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defaultThemeVersion="124226"/>
  <mc:AlternateContent xmlns:mc="http://schemas.openxmlformats.org/markup-compatibility/2006">
    <mc:Choice Requires="x15">
      <x15ac:absPath xmlns:x15ac="http://schemas.microsoft.com/office/spreadsheetml/2010/11/ac" url="https://d.docs.live.net/d70f98b2c65244cf/Documents/Personal Development/"/>
    </mc:Choice>
  </mc:AlternateContent>
  <xr:revisionPtr revIDLastSave="5465" documentId="8_{26383E6E-E3A5-AF44-BDE5-9FA67F2441F3}" xr6:coauthVersionLast="47" xr6:coauthVersionMax="47" xr10:uidLastSave="{1311E7A6-DD43-CE45-82F6-3308C1343509}"/>
  <bookViews>
    <workbookView xWindow="0" yWindow="760" windowWidth="30240" windowHeight="18880" activeTab="4" xr2:uid="{00000000-000D-0000-FFFF-FFFF00000000}"/>
  </bookViews>
  <sheets>
    <sheet name="Sheet1" sheetId="21" r:id="rId1"/>
    <sheet name="BUDGET" sheetId="1" r:id="rId2"/>
    <sheet name="Grocery List" sheetId="25" r:id="rId3"/>
    <sheet name="Recaliberation" sheetId="23" r:id="rId4"/>
    <sheet name="ACTUAL" sheetId="19" r:id="rId5"/>
    <sheet name="REPORT " sheetId="20" r:id="rId6"/>
    <sheet name="ACTUAL EXPENSES" sheetId="3" r:id="rId7"/>
    <sheet name="ACTUAL INCOME" sheetId="10" r:id="rId8"/>
    <sheet name="Planned Expenses" sheetId="22" r:id="rId9"/>
    <sheet name="Sheet2" sheetId="26" r:id="rId10"/>
    <sheet name="Sheet3" sheetId="27" r:id="rId11"/>
  </sheets>
  <definedNames>
    <definedName name="_xlnm._FilterDatabase" localSheetId="3" hidden="1">Recaliberation!$D$22:$E$22</definedName>
    <definedName name="Category1">'Grocery List'!$D$2</definedName>
    <definedName name="Category1Total">'Grocery List'!$D$3</definedName>
    <definedName name="Category2">'Grocery List'!$E$2</definedName>
    <definedName name="Category2Total">'Grocery List'!$E$3</definedName>
    <definedName name="Category3">'Grocery List'!$F$2</definedName>
    <definedName name="Category3Total">'Grocery List'!$F$3</definedName>
    <definedName name="Category4">'Grocery List'!$G$2</definedName>
    <definedName name="Category4Total">'Grocery List'!$G$3</definedName>
    <definedName name="Category5">'Grocery List'!$H$2</definedName>
    <definedName name="Category5Total">'Grocery List'!$H$3</definedName>
    <definedName name="CategoryLookup">'Grocery List'!$D$2:$H$2</definedName>
    <definedName name="ColumnTitle1">GroceryList[[#Headers],[DONE?]]</definedName>
    <definedName name="ColumnTitleRegion1..J3.1">'Grocery List'!$D$2</definedName>
    <definedName name="GrandTotal">SUM(GroceryList[TOTAL])</definedName>
    <definedName name="_xlnm.Print_Titles" localSheetId="2">'Grocery List'!$5:$5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5" i="19" l="1"/>
  <c r="H35" i="19"/>
  <c r="AF304" i="3"/>
  <c r="AF297" i="3"/>
  <c r="B14" i="27"/>
  <c r="B4" i="23"/>
  <c r="AD297" i="3" l="1"/>
  <c r="K4" i="19"/>
  <c r="AA297" i="3" l="1"/>
  <c r="AA304" i="3"/>
  <c r="Z304" i="3" l="1"/>
  <c r="Y304" i="3"/>
  <c r="C13" i="27"/>
  <c r="X297" i="3"/>
  <c r="X304" i="3"/>
  <c r="X303" i="3"/>
  <c r="W304" i="3" l="1"/>
  <c r="W297" i="3"/>
  <c r="W312" i="3" s="1"/>
  <c r="V304" i="3"/>
  <c r="V297" i="3"/>
  <c r="U304" i="3"/>
  <c r="AG304" i="3" s="1"/>
  <c r="T304" i="3"/>
  <c r="T297" i="3"/>
  <c r="Q297" i="3"/>
  <c r="Q298" i="3"/>
  <c r="R304" i="3"/>
  <c r="P305" i="3"/>
  <c r="P297" i="3"/>
  <c r="O304" i="3"/>
  <c r="O297" i="3"/>
  <c r="N304" i="3"/>
  <c r="N297" i="3"/>
  <c r="M297" i="3"/>
  <c r="L297" i="3"/>
  <c r="GS54" i="25"/>
  <c r="GR53" i="25"/>
  <c r="GS53" i="25"/>
  <c r="GS52" i="25"/>
  <c r="GS51" i="25"/>
  <c r="GS50" i="25"/>
  <c r="GS49" i="25"/>
  <c r="GS48" i="25"/>
  <c r="GS47" i="25"/>
  <c r="GR46" i="25"/>
  <c r="GS46" i="25"/>
  <c r="GS45" i="25"/>
  <c r="GS44" i="25"/>
  <c r="GS43" i="25"/>
  <c r="GS42" i="25"/>
  <c r="GS41" i="25"/>
  <c r="GS40" i="25"/>
  <c r="GS39" i="25"/>
  <c r="GS38" i="25"/>
  <c r="GS37" i="25"/>
  <c r="GS36" i="25"/>
  <c r="GS35" i="25"/>
  <c r="GS34" i="25"/>
  <c r="GS33" i="25"/>
  <c r="GS32" i="25"/>
  <c r="GS31" i="25"/>
  <c r="GS30" i="25"/>
  <c r="GS29" i="25"/>
  <c r="GS28" i="25"/>
  <c r="GS27" i="25"/>
  <c r="GS26" i="25"/>
  <c r="GS25" i="25"/>
  <c r="GS24" i="25"/>
  <c r="GS23" i="25"/>
  <c r="GS22" i="25"/>
  <c r="GS21" i="25"/>
  <c r="GS20" i="25"/>
  <c r="GS19" i="25"/>
  <c r="GS18" i="25"/>
  <c r="GR18" i="25"/>
  <c r="GS17" i="25"/>
  <c r="GR16" i="25"/>
  <c r="GS16" i="25"/>
  <c r="GS15" i="25"/>
  <c r="GS14" i="25"/>
  <c r="GS13" i="25"/>
  <c r="GS12" i="25"/>
  <c r="GS11" i="25"/>
  <c r="GR11" i="25"/>
  <c r="GS10" i="25"/>
  <c r="GS9" i="25"/>
  <c r="GS8" i="25"/>
  <c r="GR7" i="25"/>
  <c r="GS7" i="25"/>
  <c r="GS6" i="25"/>
  <c r="GR3" i="25"/>
  <c r="AG293" i="3"/>
  <c r="M9" i="19" s="1"/>
  <c r="O9" i="19" s="1"/>
  <c r="C10" i="20" s="1"/>
  <c r="AG294" i="3"/>
  <c r="AG295" i="3"/>
  <c r="AG296" i="3"/>
  <c r="AG298" i="3"/>
  <c r="M14" i="19" s="1"/>
  <c r="O14" i="19" s="1"/>
  <c r="C15" i="20" s="1"/>
  <c r="AG299" i="3"/>
  <c r="M15" i="19" s="1"/>
  <c r="O15" i="19" s="1"/>
  <c r="C16" i="20" s="1"/>
  <c r="AG300" i="3"/>
  <c r="M16" i="19" s="1"/>
  <c r="O16" i="19" s="1"/>
  <c r="C17" i="20" s="1"/>
  <c r="AG301" i="3"/>
  <c r="AG302" i="3"/>
  <c r="AG303" i="3"/>
  <c r="M19" i="19" s="1"/>
  <c r="AG305" i="3"/>
  <c r="M21" i="19" s="1"/>
  <c r="O21" i="19" s="1"/>
  <c r="C22" i="20" s="1"/>
  <c r="AG306" i="3"/>
  <c r="M22" i="19" s="1"/>
  <c r="AG307" i="3"/>
  <c r="AG308" i="3"/>
  <c r="AG309" i="3"/>
  <c r="M25" i="19" s="1"/>
  <c r="O25" i="19" s="1"/>
  <c r="C26" i="20" s="1"/>
  <c r="D26" i="20" s="1"/>
  <c r="AG310" i="3"/>
  <c r="AG311" i="3"/>
  <c r="AG267" i="3"/>
  <c r="AG268" i="3"/>
  <c r="AG269" i="3"/>
  <c r="AG270" i="3"/>
  <c r="AG271" i="3"/>
  <c r="AG272" i="3"/>
  <c r="AG273" i="3"/>
  <c r="AG274" i="3"/>
  <c r="AG275" i="3"/>
  <c r="AG276" i="3"/>
  <c r="AG277" i="3"/>
  <c r="AG278" i="3"/>
  <c r="AG279" i="3"/>
  <c r="AG280" i="3"/>
  <c r="AG281" i="3"/>
  <c r="AG282" i="3"/>
  <c r="AG283" i="3"/>
  <c r="AG284" i="3"/>
  <c r="AG285" i="3"/>
  <c r="GQ3" i="25"/>
  <c r="GP3" i="25"/>
  <c r="GN3" i="25"/>
  <c r="GS3" i="25"/>
  <c r="GO3" i="25"/>
  <c r="GS4" i="25"/>
  <c r="J297" i="3"/>
  <c r="J304" i="3"/>
  <c r="I304" i="3"/>
  <c r="I312" i="3"/>
  <c r="I297" i="3"/>
  <c r="H297" i="3"/>
  <c r="H304" i="3"/>
  <c r="B13" i="27"/>
  <c r="G297" i="3"/>
  <c r="G304" i="3"/>
  <c r="F297" i="3"/>
  <c r="E305" i="3"/>
  <c r="E304" i="3"/>
  <c r="AE271" i="3"/>
  <c r="AE278" i="3"/>
  <c r="AE286" i="3"/>
  <c r="AD279" i="3"/>
  <c r="AD278" i="3"/>
  <c r="AD286" i="3"/>
  <c r="AC278" i="3"/>
  <c r="AB284" i="3"/>
  <c r="AB279" i="3"/>
  <c r="AB271" i="3"/>
  <c r="AB278" i="3"/>
  <c r="AA278" i="3"/>
  <c r="Z278" i="3"/>
  <c r="L4" i="19"/>
  <c r="Z271" i="3"/>
  <c r="Z277" i="3"/>
  <c r="Y278" i="3"/>
  <c r="Y286" i="3"/>
  <c r="S278" i="3"/>
  <c r="Y271" i="3"/>
  <c r="AW286" i="3"/>
  <c r="BM286" i="3"/>
  <c r="BL286" i="3"/>
  <c r="BK286" i="3"/>
  <c r="BJ286" i="3"/>
  <c r="BI286" i="3"/>
  <c r="BH286" i="3"/>
  <c r="BG286" i="3"/>
  <c r="BD286" i="3"/>
  <c r="BC286" i="3"/>
  <c r="BB286" i="3"/>
  <c r="BA286" i="3"/>
  <c r="AZ286" i="3"/>
  <c r="AY286" i="3"/>
  <c r="AV286" i="3"/>
  <c r="AU286" i="3"/>
  <c r="AQ286" i="3"/>
  <c r="AN286" i="3"/>
  <c r="AM286" i="3"/>
  <c r="AJ286" i="3"/>
  <c r="BO285" i="3"/>
  <c r="BO284" i="3"/>
  <c r="BO283" i="3"/>
  <c r="BO282" i="3"/>
  <c r="BO281" i="3"/>
  <c r="BO280" i="3"/>
  <c r="BO279" i="3"/>
  <c r="BO278" i="3"/>
  <c r="AX286" i="3"/>
  <c r="AL286" i="3"/>
  <c r="AK286" i="3"/>
  <c r="BO277" i="3"/>
  <c r="BO271" i="3"/>
  <c r="BF286" i="3"/>
  <c r="BE286" i="3"/>
  <c r="AT286" i="3"/>
  <c r="AS286" i="3"/>
  <c r="AR286" i="3"/>
  <c r="AP286" i="3"/>
  <c r="AO286" i="3"/>
  <c r="BO270" i="3"/>
  <c r="BO269" i="3"/>
  <c r="BO268" i="3"/>
  <c r="BO267" i="3"/>
  <c r="BO266" i="3"/>
  <c r="AC286" i="3"/>
  <c r="W285" i="3"/>
  <c r="X271" i="3"/>
  <c r="W278" i="3"/>
  <c r="W271" i="3"/>
  <c r="C3" i="23"/>
  <c r="S271" i="3"/>
  <c r="GF46" i="25"/>
  <c r="GG13" i="25"/>
  <c r="GF7" i="25"/>
  <c r="GF11" i="25"/>
  <c r="GF18" i="25"/>
  <c r="GF16" i="25"/>
  <c r="R278" i="3"/>
  <c r="R271" i="3"/>
  <c r="L13" i="19"/>
  <c r="G22" i="22"/>
  <c r="M3" i="22"/>
  <c r="K17" i="22"/>
  <c r="L3" i="22"/>
  <c r="L4" i="22"/>
  <c r="L5" i="22"/>
  <c r="L6" i="22"/>
  <c r="L7" i="22"/>
  <c r="P278" i="3"/>
  <c r="O271" i="3"/>
  <c r="GF53" i="25"/>
  <c r="GG54" i="25"/>
  <c r="GG53" i="25"/>
  <c r="GG52" i="25"/>
  <c r="GG51" i="25"/>
  <c r="GG50" i="25"/>
  <c r="GG49" i="25"/>
  <c r="GG48" i="25"/>
  <c r="GG47" i="25"/>
  <c r="GG46" i="25"/>
  <c r="GG45" i="25"/>
  <c r="GG44" i="25"/>
  <c r="GG43" i="25"/>
  <c r="GG42" i="25"/>
  <c r="GG41" i="25"/>
  <c r="GG40" i="25"/>
  <c r="GG39" i="25"/>
  <c r="GG38" i="25"/>
  <c r="GG37" i="25"/>
  <c r="GG36" i="25"/>
  <c r="GG35" i="25"/>
  <c r="GG34" i="25"/>
  <c r="GG33" i="25"/>
  <c r="GG32" i="25"/>
  <c r="GG31" i="25"/>
  <c r="GG30" i="25"/>
  <c r="GG29" i="25"/>
  <c r="GG28" i="25"/>
  <c r="GG27" i="25"/>
  <c r="GG26" i="25"/>
  <c r="GG25" i="25"/>
  <c r="GG24" i="25"/>
  <c r="GG23" i="25"/>
  <c r="GG22" i="25"/>
  <c r="GG21" i="25"/>
  <c r="GG20" i="25"/>
  <c r="GG19" i="25"/>
  <c r="GG18" i="25"/>
  <c r="GG17" i="25"/>
  <c r="GG16" i="25"/>
  <c r="GG15" i="25"/>
  <c r="GG14" i="25"/>
  <c r="GG12" i="25"/>
  <c r="GG11" i="25"/>
  <c r="GG10" i="25"/>
  <c r="GG9" i="25"/>
  <c r="GG8" i="25"/>
  <c r="GG7" i="25"/>
  <c r="GG6" i="25"/>
  <c r="GF3" i="25"/>
  <c r="L271" i="3"/>
  <c r="K271" i="3"/>
  <c r="J278" i="3"/>
  <c r="J271" i="3"/>
  <c r="G25" i="22"/>
  <c r="H271" i="3"/>
  <c r="H286" i="3"/>
  <c r="G271" i="3"/>
  <c r="G286" i="3"/>
  <c r="E271" i="3"/>
  <c r="D278" i="3"/>
  <c r="C278" i="3"/>
  <c r="B285" i="3"/>
  <c r="B271" i="3"/>
  <c r="AE245" i="3"/>
  <c r="AD252" i="3"/>
  <c r="AC245" i="3"/>
  <c r="AB245" i="3"/>
  <c r="AB260" i="3"/>
  <c r="B26" i="22"/>
  <c r="M12" i="19"/>
  <c r="M17" i="19"/>
  <c r="M18" i="19"/>
  <c r="L14" i="19"/>
  <c r="L15" i="19"/>
  <c r="L16" i="19"/>
  <c r="L17" i="19"/>
  <c r="L18" i="19"/>
  <c r="F286" i="3"/>
  <c r="D312" i="3"/>
  <c r="B312" i="3"/>
  <c r="A267" i="3"/>
  <c r="A268" i="3"/>
  <c r="A269" i="3"/>
  <c r="A270" i="3"/>
  <c r="A271" i="3"/>
  <c r="A272" i="3"/>
  <c r="A273" i="3"/>
  <c r="A274" i="3"/>
  <c r="A275" i="3"/>
  <c r="A276" i="3"/>
  <c r="A277" i="3"/>
  <c r="A278" i="3"/>
  <c r="A279" i="3"/>
  <c r="A280" i="3"/>
  <c r="A281" i="3"/>
  <c r="A282" i="3"/>
  <c r="A283" i="3"/>
  <c r="A284" i="3"/>
  <c r="A285" i="3"/>
  <c r="A293" i="3"/>
  <c r="A294" i="3"/>
  <c r="A295" i="3"/>
  <c r="A296" i="3"/>
  <c r="A297" i="3"/>
  <c r="A298" i="3"/>
  <c r="A299" i="3"/>
  <c r="A300" i="3"/>
  <c r="A301" i="3"/>
  <c r="A302" i="3"/>
  <c r="A303" i="3"/>
  <c r="A304" i="3"/>
  <c r="A305" i="3"/>
  <c r="A306" i="3"/>
  <c r="A307" i="3"/>
  <c r="A308" i="3"/>
  <c r="A309" i="3"/>
  <c r="A310" i="3"/>
  <c r="A311" i="3"/>
  <c r="Z245" i="3"/>
  <c r="Y245" i="3"/>
  <c r="X245" i="3"/>
  <c r="W252" i="3"/>
  <c r="FH53" i="25"/>
  <c r="FH11" i="25"/>
  <c r="FH16" i="25"/>
  <c r="FH52" i="25"/>
  <c r="FU54" i="25"/>
  <c r="FU53" i="25"/>
  <c r="FU52" i="25"/>
  <c r="FU51" i="25"/>
  <c r="FU50" i="25"/>
  <c r="FU49" i="25"/>
  <c r="FU48" i="25"/>
  <c r="FU47" i="25"/>
  <c r="FU46" i="25"/>
  <c r="FU45" i="25"/>
  <c r="FU44" i="25"/>
  <c r="FU43" i="25"/>
  <c r="FU42" i="25"/>
  <c r="FU41" i="25"/>
  <c r="FU40" i="25"/>
  <c r="FU39" i="25"/>
  <c r="FU38" i="25"/>
  <c r="FU37" i="25"/>
  <c r="FU36" i="25"/>
  <c r="FU35" i="25"/>
  <c r="FU34" i="25"/>
  <c r="FU33" i="25"/>
  <c r="FU32" i="25"/>
  <c r="FU31" i="25"/>
  <c r="FU30" i="25"/>
  <c r="FU29" i="25"/>
  <c r="FU28" i="25"/>
  <c r="FU27" i="25"/>
  <c r="FU26" i="25"/>
  <c r="FU25" i="25"/>
  <c r="FU24" i="25"/>
  <c r="FU23" i="25"/>
  <c r="FU22" i="25"/>
  <c r="FS3" i="25"/>
  <c r="FU21" i="25"/>
  <c r="FU20" i="25"/>
  <c r="FU19" i="25"/>
  <c r="FU18" i="25"/>
  <c r="FU17" i="25"/>
  <c r="FU16" i="25"/>
  <c r="FT16" i="25"/>
  <c r="FU15" i="25"/>
  <c r="FU14" i="25"/>
  <c r="FU13" i="25"/>
  <c r="FT12" i="25"/>
  <c r="FU12" i="25"/>
  <c r="FU11" i="25"/>
  <c r="FT11" i="25"/>
  <c r="FU10" i="25"/>
  <c r="FU9" i="25"/>
  <c r="FU8" i="25"/>
  <c r="FP3" i="25"/>
  <c r="FU7" i="25"/>
  <c r="FU6" i="25"/>
  <c r="FT3" i="25"/>
  <c r="V252" i="3"/>
  <c r="V245" i="3"/>
  <c r="S252" i="3"/>
  <c r="S245" i="3"/>
  <c r="R245" i="3"/>
  <c r="AG253" i="3"/>
  <c r="K21" i="19"/>
  <c r="P245" i="3"/>
  <c r="O252" i="3"/>
  <c r="N252" i="3"/>
  <c r="M245" i="3"/>
  <c r="EJ11" i="25"/>
  <c r="FI54" i="25"/>
  <c r="FI53" i="25"/>
  <c r="FI52" i="25"/>
  <c r="FI51" i="25"/>
  <c r="FI50" i="25"/>
  <c r="FI49" i="25"/>
  <c r="FI48" i="25"/>
  <c r="FI47" i="25"/>
  <c r="FI46" i="25"/>
  <c r="FI45" i="25"/>
  <c r="FI44" i="25"/>
  <c r="FI43" i="25"/>
  <c r="FI42" i="25"/>
  <c r="FI41" i="25"/>
  <c r="FI40" i="25"/>
  <c r="FI39" i="25"/>
  <c r="FI38" i="25"/>
  <c r="FI37" i="25"/>
  <c r="FI36" i="25"/>
  <c r="FI35" i="25"/>
  <c r="FI34" i="25"/>
  <c r="FI33" i="25"/>
  <c r="FI32" i="25"/>
  <c r="FI31" i="25"/>
  <c r="FI30" i="25"/>
  <c r="FI29" i="25"/>
  <c r="FI28" i="25"/>
  <c r="FI27" i="25"/>
  <c r="FI26" i="25"/>
  <c r="FI25" i="25"/>
  <c r="FI24" i="25"/>
  <c r="FI23" i="25"/>
  <c r="FI22" i="25"/>
  <c r="FG3" i="25"/>
  <c r="FI21" i="25"/>
  <c r="FI20" i="25"/>
  <c r="FI19" i="25"/>
  <c r="FI18" i="25"/>
  <c r="FI17" i="25"/>
  <c r="FI16" i="25"/>
  <c r="FI15" i="25"/>
  <c r="FI14" i="25"/>
  <c r="FI13" i="25"/>
  <c r="FI12" i="25"/>
  <c r="FI11" i="25"/>
  <c r="FI10" i="25"/>
  <c r="FI9" i="25"/>
  <c r="FI8" i="25"/>
  <c r="FI7" i="25"/>
  <c r="FI6" i="25"/>
  <c r="FH3" i="25"/>
  <c r="J4" i="19"/>
  <c r="L245" i="3"/>
  <c r="K245" i="3"/>
  <c r="J253" i="3"/>
  <c r="H245" i="3"/>
  <c r="G245" i="3"/>
  <c r="G260" i="3"/>
  <c r="H5" i="10"/>
  <c r="I5" i="10"/>
  <c r="J5" i="10"/>
  <c r="K5" i="10"/>
  <c r="O5" i="10" s="1"/>
  <c r="O6" i="10" s="1"/>
  <c r="K4" i="10"/>
  <c r="L5" i="10"/>
  <c r="M5" i="10"/>
  <c r="G5" i="10"/>
  <c r="I4" i="10"/>
  <c r="J4" i="10"/>
  <c r="L4" i="10"/>
  <c r="L10" i="10"/>
  <c r="M4" i="10"/>
  <c r="M9" i="10"/>
  <c r="H4" i="10"/>
  <c r="AG251" i="3"/>
  <c r="K19" i="19"/>
  <c r="AG256" i="3"/>
  <c r="K24" i="19"/>
  <c r="E245" i="3"/>
  <c r="E260" i="3"/>
  <c r="D245" i="3"/>
  <c r="D260" i="3"/>
  <c r="AG241" i="3"/>
  <c r="K9" i="19"/>
  <c r="AG242" i="3"/>
  <c r="K10" i="19"/>
  <c r="AG243" i="3"/>
  <c r="AG260" i="3"/>
  <c r="AG244" i="3"/>
  <c r="K12" i="19"/>
  <c r="AG246" i="3"/>
  <c r="K14" i="19"/>
  <c r="AG247" i="3"/>
  <c r="K15" i="19"/>
  <c r="AG248" i="3"/>
  <c r="K16" i="19"/>
  <c r="AG249" i="3"/>
  <c r="K17" i="19"/>
  <c r="AG250" i="3"/>
  <c r="K18" i="19"/>
  <c r="AG254" i="3"/>
  <c r="K22" i="19"/>
  <c r="AG255" i="3"/>
  <c r="K23" i="19"/>
  <c r="AG257" i="3"/>
  <c r="K25" i="19"/>
  <c r="AG258" i="3"/>
  <c r="K26" i="19"/>
  <c r="AG259" i="3"/>
  <c r="K27" i="19"/>
  <c r="AE219" i="3"/>
  <c r="AC226" i="3"/>
  <c r="AB219" i="3"/>
  <c r="X225" i="3"/>
  <c r="W226" i="3"/>
  <c r="EW54" i="25"/>
  <c r="EW53" i="25"/>
  <c r="EW52" i="25"/>
  <c r="EW51" i="25"/>
  <c r="EW50" i="25"/>
  <c r="EW49" i="25"/>
  <c r="EW48" i="25"/>
  <c r="EW47" i="25"/>
  <c r="EW46" i="25"/>
  <c r="EW45" i="25"/>
  <c r="EW44" i="25"/>
  <c r="EW43" i="25"/>
  <c r="EW42" i="25"/>
  <c r="EW41" i="25"/>
  <c r="EW40" i="25"/>
  <c r="EW39" i="25"/>
  <c r="EW38" i="25"/>
  <c r="EW37" i="25"/>
  <c r="EW36" i="25"/>
  <c r="EW35" i="25"/>
  <c r="EW34" i="25"/>
  <c r="EW33" i="25"/>
  <c r="EW32" i="25"/>
  <c r="EW31" i="25"/>
  <c r="EW30" i="25"/>
  <c r="EW29" i="25"/>
  <c r="EW28" i="25"/>
  <c r="EW27" i="25"/>
  <c r="EW26" i="25"/>
  <c r="EW25" i="25"/>
  <c r="EW24" i="25"/>
  <c r="EW23" i="25"/>
  <c r="EW22" i="25"/>
  <c r="EU3" i="25"/>
  <c r="EW21" i="25"/>
  <c r="EW20" i="25"/>
  <c r="EW19" i="25"/>
  <c r="EW18" i="25"/>
  <c r="EW17" i="25"/>
  <c r="EW16" i="25"/>
  <c r="EV16" i="25"/>
  <c r="EW15" i="25"/>
  <c r="EW14" i="25"/>
  <c r="EW13" i="25"/>
  <c r="EV12" i="25"/>
  <c r="EW12" i="25"/>
  <c r="EV11" i="25"/>
  <c r="EW11" i="25"/>
  <c r="EW10" i="25"/>
  <c r="EW9" i="25"/>
  <c r="EW8" i="25"/>
  <c r="EW7" i="25"/>
  <c r="EW6" i="25"/>
  <c r="EV3" i="25"/>
  <c r="EJ12" i="25"/>
  <c r="EJ16" i="25"/>
  <c r="EK7" i="25"/>
  <c r="EK10" i="25"/>
  <c r="EK12" i="25"/>
  <c r="EK13" i="25"/>
  <c r="EK15" i="25"/>
  <c r="EK20" i="25"/>
  <c r="EK21" i="25"/>
  <c r="EK23" i="25"/>
  <c r="EK28" i="25"/>
  <c r="EK29" i="25"/>
  <c r="EK31" i="25"/>
  <c r="EK36" i="25"/>
  <c r="EK37" i="25"/>
  <c r="EK39" i="25"/>
  <c r="EK44" i="25"/>
  <c r="EK45" i="25"/>
  <c r="EK47" i="25"/>
  <c r="EK52" i="25"/>
  <c r="EK53" i="25"/>
  <c r="B6" i="26"/>
  <c r="B7" i="26"/>
  <c r="B1" i="26"/>
  <c r="V226" i="3"/>
  <c r="V219" i="3"/>
  <c r="U219" i="3"/>
  <c r="T227" i="3"/>
  <c r="T219" i="3"/>
  <c r="S219" i="3"/>
  <c r="R226" i="3"/>
  <c r="Q219" i="3"/>
  <c r="Q226" i="3"/>
  <c r="P219" i="3"/>
  <c r="O219" i="3"/>
  <c r="N219" i="3"/>
  <c r="I20" i="22"/>
  <c r="AG136" i="3"/>
  <c r="AG137" i="3"/>
  <c r="AG138" i="3"/>
  <c r="G11" i="19"/>
  <c r="AG139" i="3"/>
  <c r="G12" i="19"/>
  <c r="AG141" i="3"/>
  <c r="AG142" i="3"/>
  <c r="G15" i="19"/>
  <c r="AG143" i="3"/>
  <c r="AG144" i="3"/>
  <c r="AG145" i="3"/>
  <c r="G18" i="19"/>
  <c r="AG149" i="3"/>
  <c r="G22" i="19"/>
  <c r="AG150" i="3"/>
  <c r="G23" i="19"/>
  <c r="AG151" i="3"/>
  <c r="AG152" i="3"/>
  <c r="AG153" i="3"/>
  <c r="G26" i="19"/>
  <c r="EK54" i="25"/>
  <c r="EK51" i="25"/>
  <c r="EK50" i="25"/>
  <c r="EK49" i="25"/>
  <c r="EK48" i="25"/>
  <c r="EK46" i="25"/>
  <c r="EK43" i="25"/>
  <c r="EK42" i="25"/>
  <c r="EK41" i="25"/>
  <c r="EK40" i="25"/>
  <c r="EK38" i="25"/>
  <c r="EK35" i="25"/>
  <c r="EK34" i="25"/>
  <c r="EK33" i="25"/>
  <c r="EK32" i="25"/>
  <c r="EK30" i="25"/>
  <c r="EK27" i="25"/>
  <c r="EK26" i="25"/>
  <c r="EK25" i="25"/>
  <c r="EK24" i="25"/>
  <c r="EK22" i="25"/>
  <c r="EK19" i="25"/>
  <c r="EK18" i="25"/>
  <c r="EK17" i="25"/>
  <c r="EK16" i="25"/>
  <c r="EK14" i="25"/>
  <c r="EK11" i="25"/>
  <c r="EK9" i="25"/>
  <c r="EK8" i="25"/>
  <c r="EK6" i="25"/>
  <c r="EJ3" i="25"/>
  <c r="F20" i="22"/>
  <c r="J225" i="3"/>
  <c r="J219" i="3"/>
  <c r="J234" i="3"/>
  <c r="I219" i="3"/>
  <c r="I226" i="3"/>
  <c r="C260" i="3"/>
  <c r="A241" i="3"/>
  <c r="A242" i="3"/>
  <c r="A243" i="3"/>
  <c r="A244" i="3"/>
  <c r="A245" i="3"/>
  <c r="A246" i="3"/>
  <c r="A247" i="3"/>
  <c r="A248" i="3"/>
  <c r="A249" i="3"/>
  <c r="A250" i="3"/>
  <c r="A251" i="3"/>
  <c r="A252" i="3"/>
  <c r="A253" i="3"/>
  <c r="A254" i="3"/>
  <c r="A255" i="3"/>
  <c r="A256" i="3"/>
  <c r="A257" i="3"/>
  <c r="A258" i="3"/>
  <c r="A259" i="3"/>
  <c r="AG215" i="3"/>
  <c r="J9" i="19"/>
  <c r="AG216" i="3"/>
  <c r="J10" i="19"/>
  <c r="AG217" i="3"/>
  <c r="J11" i="19"/>
  <c r="AG218" i="3"/>
  <c r="J12" i="19"/>
  <c r="C219" i="3"/>
  <c r="E219" i="3"/>
  <c r="E234" i="3"/>
  <c r="AG220" i="3"/>
  <c r="J14" i="19"/>
  <c r="AG221" i="3"/>
  <c r="J15" i="19"/>
  <c r="AG222" i="3"/>
  <c r="J16" i="19"/>
  <c r="AG223" i="3"/>
  <c r="J17" i="19"/>
  <c r="AG224" i="3"/>
  <c r="J18" i="19"/>
  <c r="B226" i="3"/>
  <c r="B234" i="3"/>
  <c r="AG228" i="3"/>
  <c r="J22" i="19"/>
  <c r="AG229" i="3"/>
  <c r="J23" i="19"/>
  <c r="AG230" i="3"/>
  <c r="J24" i="19"/>
  <c r="AG231" i="3"/>
  <c r="J25" i="19"/>
  <c r="AG232" i="3"/>
  <c r="J26" i="19"/>
  <c r="AG233" i="3"/>
  <c r="J27" i="19"/>
  <c r="AF192" i="3"/>
  <c r="AF207" i="3"/>
  <c r="AC199" i="3"/>
  <c r="AC192" i="3"/>
  <c r="Z198" i="3"/>
  <c r="AG198" i="3"/>
  <c r="I19" i="19"/>
  <c r="Z199" i="3"/>
  <c r="Z192" i="3"/>
  <c r="H234" i="3"/>
  <c r="A215" i="3"/>
  <c r="A216" i="3"/>
  <c r="A217" i="3"/>
  <c r="A218" i="3"/>
  <c r="A219" i="3"/>
  <c r="A220" i="3"/>
  <c r="A221" i="3"/>
  <c r="A222" i="3"/>
  <c r="A223" i="3"/>
  <c r="A224" i="3"/>
  <c r="A225" i="3"/>
  <c r="A226" i="3"/>
  <c r="A227" i="3"/>
  <c r="A228" i="3"/>
  <c r="A229" i="3"/>
  <c r="A230" i="3"/>
  <c r="A231" i="3"/>
  <c r="A232" i="3"/>
  <c r="A233" i="3"/>
  <c r="DY54" i="25"/>
  <c r="DY53" i="25"/>
  <c r="DY52" i="25"/>
  <c r="DY51" i="25"/>
  <c r="DY50" i="25"/>
  <c r="DY49" i="25"/>
  <c r="DY48" i="25"/>
  <c r="DY47" i="25"/>
  <c r="DY46" i="25"/>
  <c r="DY45" i="25"/>
  <c r="DY44" i="25"/>
  <c r="DY43" i="25"/>
  <c r="DY42" i="25"/>
  <c r="DY41" i="25"/>
  <c r="DY40" i="25"/>
  <c r="DY39" i="25"/>
  <c r="DY38" i="25"/>
  <c r="DY37" i="25"/>
  <c r="DY36" i="25"/>
  <c r="DY35" i="25"/>
  <c r="DY34" i="25"/>
  <c r="DY33" i="25"/>
  <c r="DY32" i="25"/>
  <c r="DY31" i="25"/>
  <c r="DY30" i="25"/>
  <c r="DY29" i="25"/>
  <c r="DY28" i="25"/>
  <c r="DY27" i="25"/>
  <c r="DY26" i="25"/>
  <c r="DY25" i="25"/>
  <c r="DY24" i="25"/>
  <c r="DY23" i="25"/>
  <c r="DY22" i="25"/>
  <c r="DY21" i="25"/>
  <c r="DY20" i="25"/>
  <c r="DY19" i="25"/>
  <c r="DY18" i="25"/>
  <c r="DY17" i="25"/>
  <c r="DY16" i="25"/>
  <c r="DY15" i="25"/>
  <c r="DY14" i="25"/>
  <c r="DY13" i="25"/>
  <c r="DY12" i="25"/>
  <c r="DY11" i="25"/>
  <c r="DY10" i="25"/>
  <c r="DY9" i="25"/>
  <c r="DY8" i="25"/>
  <c r="DY7" i="25"/>
  <c r="DY6" i="25"/>
  <c r="DX3" i="25"/>
  <c r="J10" i="1"/>
  <c r="AG188" i="3"/>
  <c r="I9" i="19"/>
  <c r="AG189" i="3"/>
  <c r="AG190" i="3"/>
  <c r="I11" i="19"/>
  <c r="AG191" i="3"/>
  <c r="I12" i="19"/>
  <c r="AG193" i="3"/>
  <c r="I14" i="19"/>
  <c r="AG194" i="3"/>
  <c r="I15" i="19"/>
  <c r="AG195" i="3"/>
  <c r="I16" i="19"/>
  <c r="AG196" i="3"/>
  <c r="I17" i="19"/>
  <c r="AG197" i="3"/>
  <c r="I18" i="19"/>
  <c r="AG200" i="3"/>
  <c r="I21" i="19"/>
  <c r="AG201" i="3"/>
  <c r="I22" i="19"/>
  <c r="AG202" i="3"/>
  <c r="I23" i="19"/>
  <c r="AG203" i="3"/>
  <c r="I24" i="19"/>
  <c r="AG204" i="3"/>
  <c r="I25" i="19"/>
  <c r="AG205" i="3"/>
  <c r="I26" i="19"/>
  <c r="AG206" i="3"/>
  <c r="I27" i="19"/>
  <c r="DC9" i="25"/>
  <c r="CZ9" i="25"/>
  <c r="CZ8" i="25"/>
  <c r="DC8" i="25"/>
  <c r="DM54" i="25"/>
  <c r="DM53" i="25"/>
  <c r="DM52" i="25"/>
  <c r="DM51" i="25"/>
  <c r="DM50" i="25"/>
  <c r="DM49" i="25"/>
  <c r="DM48" i="25"/>
  <c r="DM47" i="25"/>
  <c r="DM46" i="25"/>
  <c r="DM45" i="25"/>
  <c r="DM44" i="25"/>
  <c r="DM43" i="25"/>
  <c r="DM42" i="25"/>
  <c r="DM41" i="25"/>
  <c r="DM40" i="25"/>
  <c r="DM39" i="25"/>
  <c r="DM38" i="25"/>
  <c r="DM37" i="25"/>
  <c r="DM36" i="25"/>
  <c r="DM35" i="25"/>
  <c r="DM34" i="25"/>
  <c r="DM33" i="25"/>
  <c r="DM32" i="25"/>
  <c r="DM31" i="25"/>
  <c r="DM30" i="25"/>
  <c r="DM29" i="25"/>
  <c r="DM28" i="25"/>
  <c r="DM27" i="25"/>
  <c r="DM26" i="25"/>
  <c r="DM25" i="25"/>
  <c r="DM24" i="25"/>
  <c r="DM23" i="25"/>
  <c r="DM22" i="25"/>
  <c r="DK3" i="25"/>
  <c r="DM21" i="25"/>
  <c r="DM20" i="25"/>
  <c r="DM19" i="25"/>
  <c r="DM18" i="25"/>
  <c r="DM17" i="25"/>
  <c r="DM16" i="25"/>
  <c r="DM15" i="25"/>
  <c r="DM14" i="25"/>
  <c r="DM13" i="25"/>
  <c r="DM12" i="25"/>
  <c r="DM11" i="25"/>
  <c r="DM10" i="25"/>
  <c r="DM9" i="25"/>
  <c r="DM8" i="25"/>
  <c r="DM7" i="25"/>
  <c r="DM6" i="25"/>
  <c r="DL3" i="25"/>
  <c r="P199" i="3"/>
  <c r="P207" i="3"/>
  <c r="O199" i="3"/>
  <c r="O207" i="3"/>
  <c r="L199" i="3"/>
  <c r="J192" i="3"/>
  <c r="DA54" i="25"/>
  <c r="DA53" i="25"/>
  <c r="DA52" i="25"/>
  <c r="DA51" i="25"/>
  <c r="DA50" i="25"/>
  <c r="DA49" i="25"/>
  <c r="DA48" i="25"/>
  <c r="DA47" i="25"/>
  <c r="DA46" i="25"/>
  <c r="DA45" i="25"/>
  <c r="DA44" i="25"/>
  <c r="DA43" i="25"/>
  <c r="DA42" i="25"/>
  <c r="DA41" i="25"/>
  <c r="DA40" i="25"/>
  <c r="DA39" i="25"/>
  <c r="DA38" i="25"/>
  <c r="DA37" i="25"/>
  <c r="DA36" i="25"/>
  <c r="DA35" i="25"/>
  <c r="DA34" i="25"/>
  <c r="DA33" i="25"/>
  <c r="DA32" i="25"/>
  <c r="DA31" i="25"/>
  <c r="DA30" i="25"/>
  <c r="DA29" i="25"/>
  <c r="DA28" i="25"/>
  <c r="DA27" i="25"/>
  <c r="DA26" i="25"/>
  <c r="DA25" i="25"/>
  <c r="DA24" i="25"/>
  <c r="DA23" i="25"/>
  <c r="DA22" i="25"/>
  <c r="DA21" i="25"/>
  <c r="DA20" i="25"/>
  <c r="DA19" i="25"/>
  <c r="DA18" i="25"/>
  <c r="DA17" i="25"/>
  <c r="DA16" i="25"/>
  <c r="DA15" i="25"/>
  <c r="DA14" i="25"/>
  <c r="DA13" i="25"/>
  <c r="DA12" i="25"/>
  <c r="DA11" i="25"/>
  <c r="DA10" i="25"/>
  <c r="DA9" i="25"/>
  <c r="DA8" i="25"/>
  <c r="DA7" i="25"/>
  <c r="DA6" i="25"/>
  <c r="CZ3" i="25"/>
  <c r="H199" i="3"/>
  <c r="G199" i="3"/>
  <c r="G207" i="3"/>
  <c r="F199" i="3"/>
  <c r="E199" i="3"/>
  <c r="C192" i="3"/>
  <c r="B192" i="3"/>
  <c r="B207" i="3"/>
  <c r="O29" i="19"/>
  <c r="AF166" i="3"/>
  <c r="AD173" i="3"/>
  <c r="AD166" i="3"/>
  <c r="B5" i="23"/>
  <c r="E18" i="23"/>
  <c r="AD180" i="3"/>
  <c r="AC166" i="3"/>
  <c r="AC173" i="3"/>
  <c r="A188" i="3"/>
  <c r="A189" i="3"/>
  <c r="A190" i="3"/>
  <c r="A191" i="3"/>
  <c r="A192" i="3"/>
  <c r="A193" i="3"/>
  <c r="A194" i="3"/>
  <c r="A195" i="3"/>
  <c r="A196" i="3"/>
  <c r="A197" i="3"/>
  <c r="A198" i="3"/>
  <c r="A199" i="3"/>
  <c r="A200" i="3"/>
  <c r="A201" i="3"/>
  <c r="A202" i="3"/>
  <c r="A203" i="3"/>
  <c r="A204" i="3"/>
  <c r="A205" i="3"/>
  <c r="A206" i="3"/>
  <c r="AA173" i="3"/>
  <c r="AA181" i="3"/>
  <c r="Z173" i="3"/>
  <c r="Z166" i="3"/>
  <c r="X180" i="3"/>
  <c r="X173" i="3"/>
  <c r="W173" i="3"/>
  <c r="V173" i="3"/>
  <c r="V181" i="3"/>
  <c r="U166" i="3"/>
  <c r="U181" i="3"/>
  <c r="S166" i="3"/>
  <c r="S181" i="3"/>
  <c r="O166" i="3"/>
  <c r="O181" i="3"/>
  <c r="CO54" i="25"/>
  <c r="CO53" i="25"/>
  <c r="CO52" i="25"/>
  <c r="CO51" i="25"/>
  <c r="CO50" i="25"/>
  <c r="CO49" i="25"/>
  <c r="CO48" i="25"/>
  <c r="CO47" i="25"/>
  <c r="CO46" i="25"/>
  <c r="CO45" i="25"/>
  <c r="CO44" i="25"/>
  <c r="CO43" i="25"/>
  <c r="CO42" i="25"/>
  <c r="CO41" i="25"/>
  <c r="CO40" i="25"/>
  <c r="CO39" i="25"/>
  <c r="CO38" i="25"/>
  <c r="CO37" i="25"/>
  <c r="CO36" i="25"/>
  <c r="CO35" i="25"/>
  <c r="CO34" i="25"/>
  <c r="CO33" i="25"/>
  <c r="CO32" i="25"/>
  <c r="CO31" i="25"/>
  <c r="CO30" i="25"/>
  <c r="CO29" i="25"/>
  <c r="CO28" i="25"/>
  <c r="CO27" i="25"/>
  <c r="CO26" i="25"/>
  <c r="CO25" i="25"/>
  <c r="CO24" i="25"/>
  <c r="CO23" i="25"/>
  <c r="CO22" i="25"/>
  <c r="CM3" i="25"/>
  <c r="CO21" i="25"/>
  <c r="CO20" i="25"/>
  <c r="CO19" i="25"/>
  <c r="CO18" i="25"/>
  <c r="CO17" i="25"/>
  <c r="CO16" i="25"/>
  <c r="CO15" i="25"/>
  <c r="CO14" i="25"/>
  <c r="CO13" i="25"/>
  <c r="CO12" i="25"/>
  <c r="CO11" i="25"/>
  <c r="CO10" i="25"/>
  <c r="CO9" i="25"/>
  <c r="CO8" i="25"/>
  <c r="CO7" i="25"/>
  <c r="CO6" i="25"/>
  <c r="CN3" i="25"/>
  <c r="K173" i="3"/>
  <c r="K166" i="3"/>
  <c r="I173" i="3"/>
  <c r="I181" i="3"/>
  <c r="H173" i="3"/>
  <c r="H166" i="3"/>
  <c r="G173" i="3"/>
  <c r="G166" i="3"/>
  <c r="F173" i="3"/>
  <c r="F166" i="3"/>
  <c r="E173" i="3"/>
  <c r="D173" i="3"/>
  <c r="E166" i="3"/>
  <c r="AG165" i="3"/>
  <c r="H12" i="19"/>
  <c r="AG167" i="3"/>
  <c r="H14" i="19"/>
  <c r="AG172" i="3"/>
  <c r="H19" i="19"/>
  <c r="AG175" i="3"/>
  <c r="H22" i="19"/>
  <c r="H25" i="19"/>
  <c r="AG176" i="3"/>
  <c r="H23" i="19"/>
  <c r="AG170" i="3"/>
  <c r="H17" i="19"/>
  <c r="AG162" i="3"/>
  <c r="H9" i="19"/>
  <c r="AG163" i="3"/>
  <c r="AG164" i="3"/>
  <c r="H11" i="19"/>
  <c r="AG168" i="3"/>
  <c r="H15" i="19"/>
  <c r="AG169" i="3"/>
  <c r="H16" i="19"/>
  <c r="AG171" i="3"/>
  <c r="H18" i="19"/>
  <c r="AG174" i="3"/>
  <c r="H21" i="19"/>
  <c r="AG177" i="3"/>
  <c r="H24" i="19"/>
  <c r="AG178" i="3"/>
  <c r="AG179" i="3"/>
  <c r="H26" i="19"/>
  <c r="D166" i="3"/>
  <c r="C173" i="3"/>
  <c r="B181" i="3"/>
  <c r="A162" i="3"/>
  <c r="A163" i="3"/>
  <c r="A164" i="3"/>
  <c r="A165" i="3"/>
  <c r="A166" i="3"/>
  <c r="A167" i="3"/>
  <c r="A168" i="3"/>
  <c r="A169" i="3"/>
  <c r="A170" i="3"/>
  <c r="A171" i="3"/>
  <c r="A172" i="3"/>
  <c r="A173" i="3"/>
  <c r="A174" i="3"/>
  <c r="A175" i="3"/>
  <c r="A176" i="3"/>
  <c r="A177" i="3"/>
  <c r="A178" i="3"/>
  <c r="A179" i="3"/>
  <c r="A180" i="3"/>
  <c r="AE147" i="3"/>
  <c r="AE140" i="3"/>
  <c r="AD147" i="3"/>
  <c r="AD155" i="3"/>
  <c r="AC140" i="3"/>
  <c r="AC147" i="3"/>
  <c r="AB147" i="3"/>
  <c r="AB140" i="3"/>
  <c r="AB155" i="3"/>
  <c r="AA147" i="3"/>
  <c r="AA155" i="3"/>
  <c r="X147" i="3"/>
  <c r="X155" i="3"/>
  <c r="W140" i="3"/>
  <c r="W147" i="3"/>
  <c r="V140" i="3"/>
  <c r="V155" i="3"/>
  <c r="U147" i="3"/>
  <c r="U140" i="3"/>
  <c r="O5" i="1"/>
  <c r="P5" i="1"/>
  <c r="R140" i="3"/>
  <c r="R147" i="3"/>
  <c r="R148" i="3"/>
  <c r="AG148" i="3"/>
  <c r="G21" i="19"/>
  <c r="Q140" i="3"/>
  <c r="Q155" i="3"/>
  <c r="H12" i="1"/>
  <c r="O147" i="3"/>
  <c r="O155" i="3"/>
  <c r="N140" i="3"/>
  <c r="N155" i="3"/>
  <c r="J147" i="3"/>
  <c r="J140" i="3"/>
  <c r="CC54" i="25"/>
  <c r="CC53" i="25"/>
  <c r="CC52" i="25"/>
  <c r="CC51" i="25"/>
  <c r="CC50" i="25"/>
  <c r="CC49" i="25"/>
  <c r="CC48" i="25"/>
  <c r="CC7" i="25"/>
  <c r="CC19" i="25"/>
  <c r="CC27" i="25"/>
  <c r="CC35" i="25"/>
  <c r="CC6" i="25"/>
  <c r="CC8" i="25"/>
  <c r="CC9" i="25"/>
  <c r="CC10" i="25"/>
  <c r="CC11" i="25"/>
  <c r="CC12" i="25"/>
  <c r="CC13" i="25"/>
  <c r="CC14" i="25"/>
  <c r="CC15" i="25"/>
  <c r="CC16" i="25"/>
  <c r="CC17" i="25"/>
  <c r="CC18" i="25"/>
  <c r="CC20" i="25"/>
  <c r="CC21" i="25"/>
  <c r="CC22" i="25"/>
  <c r="CC23" i="25"/>
  <c r="CC24" i="25"/>
  <c r="CC25" i="25"/>
  <c r="CC26" i="25"/>
  <c r="CC28" i="25"/>
  <c r="CC29" i="25"/>
  <c r="CC30" i="25"/>
  <c r="CC31" i="25"/>
  <c r="CC32" i="25"/>
  <c r="CC33" i="25"/>
  <c r="CC34" i="25"/>
  <c r="CC36" i="25"/>
  <c r="CC37" i="25"/>
  <c r="CC38" i="25"/>
  <c r="CC39" i="25"/>
  <c r="CC40" i="25"/>
  <c r="CC41" i="25"/>
  <c r="CC42" i="25"/>
  <c r="CC43" i="25"/>
  <c r="CC44" i="25"/>
  <c r="CC45" i="25"/>
  <c r="CC46" i="25"/>
  <c r="CC47" i="25"/>
  <c r="CB3" i="25"/>
  <c r="I140" i="3"/>
  <c r="I155" i="3"/>
  <c r="G140" i="3"/>
  <c r="G155" i="3"/>
  <c r="F140" i="3"/>
  <c r="F155" i="3"/>
  <c r="D140" i="3"/>
  <c r="D155" i="3"/>
  <c r="BQ54" i="25"/>
  <c r="BQ53" i="25"/>
  <c r="BQ52" i="25"/>
  <c r="BQ51" i="25"/>
  <c r="BQ50" i="25"/>
  <c r="BQ49" i="25"/>
  <c r="BQ48" i="25"/>
  <c r="BQ47" i="25"/>
  <c r="BQ46" i="25"/>
  <c r="BQ45" i="25"/>
  <c r="BQ44" i="25"/>
  <c r="BQ43" i="25"/>
  <c r="BQ42" i="25"/>
  <c r="BQ41" i="25"/>
  <c r="BQ40" i="25"/>
  <c r="BQ22" i="25"/>
  <c r="BQ39" i="25"/>
  <c r="BQ38" i="25"/>
  <c r="BQ37" i="25"/>
  <c r="BQ36" i="25"/>
  <c r="BQ35" i="25"/>
  <c r="BQ34" i="25"/>
  <c r="BQ33" i="25"/>
  <c r="BQ32" i="25"/>
  <c r="BQ31" i="25"/>
  <c r="BQ30" i="25"/>
  <c r="BQ29" i="25"/>
  <c r="BQ28" i="25"/>
  <c r="BQ27" i="25"/>
  <c r="BQ26" i="25"/>
  <c r="BQ25" i="25"/>
  <c r="BQ24" i="25"/>
  <c r="BQ23" i="25"/>
  <c r="BQ21" i="25"/>
  <c r="BQ8" i="25"/>
  <c r="BQ16" i="25"/>
  <c r="BQ20" i="25"/>
  <c r="BQ19" i="25"/>
  <c r="BQ18" i="25"/>
  <c r="BQ17" i="25"/>
  <c r="BQ15" i="25"/>
  <c r="BQ14" i="25"/>
  <c r="BQ13" i="25"/>
  <c r="BQ12" i="25"/>
  <c r="BQ11" i="25"/>
  <c r="BQ10" i="25"/>
  <c r="BQ9" i="25"/>
  <c r="BQ6" i="25"/>
  <c r="BQ7" i="25"/>
  <c r="BP3" i="25"/>
  <c r="C147" i="3"/>
  <c r="C140" i="3"/>
  <c r="B146" i="3"/>
  <c r="AG146" i="3"/>
  <c r="G19" i="19"/>
  <c r="B140" i="3"/>
  <c r="AD116" i="3"/>
  <c r="AG116" i="3"/>
  <c r="F15" i="19"/>
  <c r="AD121" i="3"/>
  <c r="P155" i="3"/>
  <c r="AB114" i="3"/>
  <c r="AB129" i="3"/>
  <c r="X121" i="3"/>
  <c r="Y114" i="3"/>
  <c r="W120" i="3"/>
  <c r="X114" i="3"/>
  <c r="X129" i="3"/>
  <c r="W121" i="3"/>
  <c r="U114" i="3"/>
  <c r="T121" i="3"/>
  <c r="T129" i="3"/>
  <c r="S120" i="3"/>
  <c r="S129" i="3"/>
  <c r="R114" i="3"/>
  <c r="R120" i="3"/>
  <c r="Q121" i="3"/>
  <c r="O114" i="3"/>
  <c r="O129" i="3"/>
  <c r="AJ86" i="3"/>
  <c r="AI86" i="3"/>
  <c r="N121" i="3"/>
  <c r="N129" i="3"/>
  <c r="J114" i="3"/>
  <c r="J129" i="3"/>
  <c r="AG84" i="3"/>
  <c r="E9" i="19"/>
  <c r="AG85" i="3"/>
  <c r="E10" i="19"/>
  <c r="AG86" i="3"/>
  <c r="AG87" i="3"/>
  <c r="E12" i="19"/>
  <c r="AG89" i="3"/>
  <c r="E14" i="19"/>
  <c r="AG90" i="3"/>
  <c r="E15" i="19"/>
  <c r="AG91" i="3"/>
  <c r="E16" i="19"/>
  <c r="AG92" i="3"/>
  <c r="E17" i="19"/>
  <c r="AG93" i="3"/>
  <c r="E18" i="19"/>
  <c r="AG96" i="3"/>
  <c r="E21" i="19"/>
  <c r="AG97" i="3"/>
  <c r="E22" i="19"/>
  <c r="AG98" i="3"/>
  <c r="E23" i="19"/>
  <c r="AG99" i="3"/>
  <c r="E24" i="19"/>
  <c r="AG100" i="3"/>
  <c r="E25" i="19"/>
  <c r="AG101" i="3"/>
  <c r="E26" i="19"/>
  <c r="G24" i="19"/>
  <c r="G25" i="19"/>
  <c r="G120" i="3"/>
  <c r="G128" i="3"/>
  <c r="AG128" i="3"/>
  <c r="F27" i="19"/>
  <c r="G114" i="3"/>
  <c r="G121" i="3"/>
  <c r="F121" i="3"/>
  <c r="F114" i="3"/>
  <c r="BF47" i="25"/>
  <c r="BF54" i="25"/>
  <c r="BF53" i="25"/>
  <c r="BF52" i="25"/>
  <c r="BF51" i="25"/>
  <c r="BF50" i="25"/>
  <c r="BF49" i="25"/>
  <c r="BF48" i="25"/>
  <c r="BF39" i="25"/>
  <c r="BF46" i="25"/>
  <c r="BF45" i="25"/>
  <c r="BF44" i="25"/>
  <c r="BF43" i="25"/>
  <c r="BF42" i="25"/>
  <c r="BF41" i="25"/>
  <c r="BF40" i="25"/>
  <c r="BF24" i="25"/>
  <c r="BF38" i="25"/>
  <c r="BF37" i="25"/>
  <c r="BF36" i="25"/>
  <c r="BF35" i="25"/>
  <c r="BF34" i="25"/>
  <c r="BF33" i="25"/>
  <c r="BF32" i="25"/>
  <c r="BF31" i="25"/>
  <c r="BF30" i="25"/>
  <c r="BF29" i="25"/>
  <c r="BF28" i="25"/>
  <c r="BF27" i="25"/>
  <c r="BF26" i="25"/>
  <c r="BF25" i="25"/>
  <c r="BF16" i="25"/>
  <c r="BF23" i="25"/>
  <c r="BF22" i="25"/>
  <c r="BF21" i="25"/>
  <c r="BF20" i="25"/>
  <c r="BF8" i="25"/>
  <c r="BA3" i="25"/>
  <c r="BF19" i="25"/>
  <c r="BF18" i="25"/>
  <c r="BF17" i="25"/>
  <c r="BF15" i="25"/>
  <c r="BF14" i="25"/>
  <c r="BF13" i="25"/>
  <c r="BF12" i="25"/>
  <c r="BF11" i="25"/>
  <c r="BF10" i="25"/>
  <c r="BF9" i="25"/>
  <c r="BF7" i="25"/>
  <c r="BF6" i="25"/>
  <c r="BE3" i="25"/>
  <c r="D114" i="3"/>
  <c r="AG110" i="3"/>
  <c r="F9" i="19"/>
  <c r="AG111" i="3"/>
  <c r="F10" i="19"/>
  <c r="AG112" i="3"/>
  <c r="F11" i="19"/>
  <c r="AG113" i="3"/>
  <c r="F12" i="19"/>
  <c r="AG115" i="3"/>
  <c r="F14" i="19"/>
  <c r="AG117" i="3"/>
  <c r="F16" i="19"/>
  <c r="AG118" i="3"/>
  <c r="F17" i="19"/>
  <c r="AG119" i="3"/>
  <c r="F18" i="19"/>
  <c r="AG122" i="3"/>
  <c r="F21" i="19"/>
  <c r="AG123" i="3"/>
  <c r="F22" i="19"/>
  <c r="AG124" i="3"/>
  <c r="F23" i="19"/>
  <c r="AG125" i="3"/>
  <c r="F24" i="19"/>
  <c r="AG126" i="3"/>
  <c r="F25" i="19"/>
  <c r="AG127" i="3"/>
  <c r="F26" i="19"/>
  <c r="AC102" i="3"/>
  <c r="AG102" i="3"/>
  <c r="E27" i="19"/>
  <c r="AC88" i="3"/>
  <c r="AC95" i="3"/>
  <c r="Y94" i="3"/>
  <c r="Z88" i="3"/>
  <c r="Z103" i="3"/>
  <c r="Y88" i="3"/>
  <c r="Y103" i="3"/>
  <c r="W94" i="3"/>
  <c r="AG94" i="3"/>
  <c r="E19" i="19"/>
  <c r="W88" i="3"/>
  <c r="W95" i="3"/>
  <c r="AT53" i="25"/>
  <c r="AT52" i="25"/>
  <c r="AT51" i="25"/>
  <c r="AT50" i="25"/>
  <c r="AT49" i="25"/>
  <c r="AT48" i="25"/>
  <c r="AT47" i="25"/>
  <c r="AT46" i="25"/>
  <c r="AT45" i="25"/>
  <c r="AT44" i="25"/>
  <c r="AT43" i="25"/>
  <c r="AT42" i="25"/>
  <c r="AT41" i="25"/>
  <c r="AT40" i="25"/>
  <c r="AT39" i="25"/>
  <c r="AT38" i="25"/>
  <c r="AT37" i="25"/>
  <c r="AT36" i="25"/>
  <c r="AT35" i="25"/>
  <c r="AT34" i="25"/>
  <c r="AT33" i="25"/>
  <c r="AT32" i="25"/>
  <c r="AT31" i="25"/>
  <c r="AT30" i="25"/>
  <c r="AT29" i="25"/>
  <c r="AT28" i="25"/>
  <c r="AT27" i="25"/>
  <c r="AT26" i="25"/>
  <c r="AT25" i="25"/>
  <c r="AT24" i="25"/>
  <c r="AT23" i="25"/>
  <c r="AT22" i="25"/>
  <c r="AT21" i="25"/>
  <c r="AT20" i="25"/>
  <c r="AT19" i="25"/>
  <c r="AT18" i="25"/>
  <c r="AT17" i="25"/>
  <c r="AT16" i="25"/>
  <c r="AT15" i="25"/>
  <c r="AT14" i="25"/>
  <c r="AT13" i="25"/>
  <c r="AT12" i="25"/>
  <c r="AT11" i="25"/>
  <c r="AT10" i="25"/>
  <c r="AT9" i="25"/>
  <c r="AT8" i="25"/>
  <c r="AT7" i="25"/>
  <c r="AT6" i="25"/>
  <c r="AS3" i="25"/>
  <c r="V88" i="3"/>
  <c r="V103" i="3"/>
  <c r="U88" i="3"/>
  <c r="U103" i="3"/>
  <c r="F10" i="1"/>
  <c r="T88" i="3"/>
  <c r="T103" i="3"/>
  <c r="A136" i="3"/>
  <c r="A137" i="3"/>
  <c r="A138" i="3"/>
  <c r="A139" i="3"/>
  <c r="A140" i="3"/>
  <c r="A141" i="3"/>
  <c r="A142" i="3"/>
  <c r="A143" i="3"/>
  <c r="A144" i="3"/>
  <c r="A145" i="3"/>
  <c r="A146" i="3"/>
  <c r="A147" i="3"/>
  <c r="A148" i="3"/>
  <c r="A149" i="3"/>
  <c r="A150" i="3"/>
  <c r="A151" i="3"/>
  <c r="A152" i="3"/>
  <c r="A153" i="3"/>
  <c r="A154" i="3"/>
  <c r="Q88" i="3"/>
  <c r="Q103" i="3"/>
  <c r="O95" i="3"/>
  <c r="O88" i="3"/>
  <c r="M88" i="3"/>
  <c r="M103" i="3"/>
  <c r="K88" i="3"/>
  <c r="K103" i="3"/>
  <c r="H95" i="3"/>
  <c r="H88" i="3"/>
  <c r="E88" i="3"/>
  <c r="E95" i="3"/>
  <c r="D88" i="3"/>
  <c r="D103" i="3"/>
  <c r="B88" i="3"/>
  <c r="B103" i="3"/>
  <c r="H129" i="3"/>
  <c r="AE103" i="3"/>
  <c r="A110" i="3"/>
  <c r="A111" i="3"/>
  <c r="A112" i="3"/>
  <c r="A113" i="3"/>
  <c r="A114" i="3"/>
  <c r="A115" i="3"/>
  <c r="A116" i="3"/>
  <c r="A117" i="3"/>
  <c r="A118" i="3"/>
  <c r="A119" i="3"/>
  <c r="A120" i="3"/>
  <c r="A121" i="3"/>
  <c r="A122" i="3"/>
  <c r="A123" i="3"/>
  <c r="A124" i="3"/>
  <c r="A125" i="3"/>
  <c r="A126" i="3"/>
  <c r="A127" i="3"/>
  <c r="A128" i="3"/>
  <c r="AF62" i="3"/>
  <c r="AF69" i="3"/>
  <c r="AE69" i="3"/>
  <c r="AE62" i="3"/>
  <c r="AD69" i="3"/>
  <c r="AD62" i="3"/>
  <c r="AC69" i="3"/>
  <c r="AC77" i="3"/>
  <c r="AB69" i="3"/>
  <c r="AB77" i="3"/>
  <c r="Z69" i="3"/>
  <c r="Z62" i="3"/>
  <c r="Y69" i="3"/>
  <c r="Y77" i="3"/>
  <c r="X69" i="3"/>
  <c r="X77" i="3"/>
  <c r="U69" i="3"/>
  <c r="U77" i="3"/>
  <c r="W69" i="3"/>
  <c r="W77" i="3"/>
  <c r="V69" i="3"/>
  <c r="V77" i="3"/>
  <c r="V62" i="3"/>
  <c r="R62" i="3"/>
  <c r="S62" i="3"/>
  <c r="S77" i="3"/>
  <c r="E62" i="3"/>
  <c r="E77" i="3"/>
  <c r="D62" i="3"/>
  <c r="O16" i="1"/>
  <c r="P16" i="1"/>
  <c r="P21" i="1"/>
  <c r="P26" i="1"/>
  <c r="O11" i="1"/>
  <c r="B11" i="20"/>
  <c r="P11" i="1"/>
  <c r="O12" i="1"/>
  <c r="P12" i="1"/>
  <c r="O13" i="1"/>
  <c r="P13" i="1"/>
  <c r="O14" i="1"/>
  <c r="B14" i="20"/>
  <c r="O15" i="1"/>
  <c r="P15" i="1"/>
  <c r="B15" i="20"/>
  <c r="O17" i="1"/>
  <c r="P17" i="1"/>
  <c r="O18" i="1"/>
  <c r="B18" i="20"/>
  <c r="E18" i="20"/>
  <c r="O19" i="1"/>
  <c r="B19" i="20"/>
  <c r="O20" i="1"/>
  <c r="P20" i="1"/>
  <c r="B20" i="20"/>
  <c r="O21" i="1"/>
  <c r="O22" i="1"/>
  <c r="B22" i="20"/>
  <c r="O23" i="1"/>
  <c r="P23" i="1"/>
  <c r="O24" i="1"/>
  <c r="P24" i="1"/>
  <c r="O25" i="1"/>
  <c r="P25" i="1"/>
  <c r="B25" i="20"/>
  <c r="O26" i="1"/>
  <c r="O27" i="1"/>
  <c r="P27" i="1"/>
  <c r="O28" i="1"/>
  <c r="P28" i="1"/>
  <c r="O9" i="1"/>
  <c r="AF53" i="25"/>
  <c r="AF52" i="25"/>
  <c r="AF51" i="25"/>
  <c r="AF50" i="25"/>
  <c r="AF49" i="25"/>
  <c r="AF48" i="25"/>
  <c r="AF47" i="25"/>
  <c r="AF46" i="25"/>
  <c r="AF45" i="25"/>
  <c r="AF44" i="25"/>
  <c r="AF43" i="25"/>
  <c r="AF42" i="25"/>
  <c r="AF41" i="25"/>
  <c r="AF40" i="25"/>
  <c r="AF39" i="25"/>
  <c r="AF38" i="25"/>
  <c r="AF37" i="25"/>
  <c r="AF36" i="25"/>
  <c r="AF35" i="25"/>
  <c r="AF34" i="25"/>
  <c r="AF33" i="25"/>
  <c r="AF32" i="25"/>
  <c r="AF31" i="25"/>
  <c r="AF30" i="25"/>
  <c r="AF29" i="25"/>
  <c r="AF28" i="25"/>
  <c r="AF27" i="25"/>
  <c r="AF26" i="25"/>
  <c r="AF25" i="25"/>
  <c r="AF24" i="25"/>
  <c r="AF23" i="25"/>
  <c r="AF22" i="25"/>
  <c r="AF21" i="25"/>
  <c r="AF20" i="25"/>
  <c r="AF19" i="25"/>
  <c r="AF18" i="25"/>
  <c r="AF17" i="25"/>
  <c r="AF16" i="25"/>
  <c r="AF15" i="25"/>
  <c r="AF14" i="25"/>
  <c r="AF13" i="25"/>
  <c r="AF12" i="25"/>
  <c r="AF11" i="25"/>
  <c r="AF10" i="25"/>
  <c r="AF9" i="25"/>
  <c r="AF6" i="25"/>
  <c r="AF8" i="25"/>
  <c r="AF7" i="25"/>
  <c r="AC3" i="25"/>
  <c r="AE3" i="25"/>
  <c r="T62" i="3"/>
  <c r="T77" i="3"/>
  <c r="A58" i="3"/>
  <c r="A59" i="3"/>
  <c r="A60" i="3"/>
  <c r="A61" i="3"/>
  <c r="A62" i="3"/>
  <c r="A63" i="3"/>
  <c r="A64" i="3"/>
  <c r="A65" i="3"/>
  <c r="A66" i="3"/>
  <c r="A67" i="3"/>
  <c r="A68" i="3"/>
  <c r="A69" i="3"/>
  <c r="A70" i="3"/>
  <c r="A71" i="3"/>
  <c r="A72" i="3"/>
  <c r="A73" i="3"/>
  <c r="A74" i="3"/>
  <c r="A75" i="3"/>
  <c r="A76" i="3"/>
  <c r="AG58" i="3"/>
  <c r="D9" i="19"/>
  <c r="AG59" i="3"/>
  <c r="D10" i="19"/>
  <c r="AG60" i="3"/>
  <c r="D11" i="19"/>
  <c r="AG61" i="3"/>
  <c r="D12" i="19"/>
  <c r="AG63" i="3"/>
  <c r="D14" i="19"/>
  <c r="AG64" i="3"/>
  <c r="D15" i="19"/>
  <c r="AG65" i="3"/>
  <c r="D16" i="19"/>
  <c r="AG66" i="3"/>
  <c r="D17" i="19"/>
  <c r="AG67" i="3"/>
  <c r="D18" i="19"/>
  <c r="AG68" i="3"/>
  <c r="D19" i="19"/>
  <c r="AG70" i="3"/>
  <c r="D21" i="19"/>
  <c r="AG71" i="3"/>
  <c r="D22" i="19"/>
  <c r="AG72" i="3"/>
  <c r="D23" i="19"/>
  <c r="AG73" i="3"/>
  <c r="D24" i="19"/>
  <c r="AG74" i="3"/>
  <c r="D25" i="19"/>
  <c r="AG75" i="3"/>
  <c r="D26" i="19"/>
  <c r="AG76" i="3"/>
  <c r="D27" i="19"/>
  <c r="R69" i="3"/>
  <c r="Q62" i="3"/>
  <c r="Q77" i="3"/>
  <c r="O62" i="3"/>
  <c r="O69" i="3"/>
  <c r="B77" i="3"/>
  <c r="D69" i="3"/>
  <c r="D29" i="1"/>
  <c r="G12" i="1"/>
  <c r="J12" i="1"/>
  <c r="D9" i="10"/>
  <c r="C11" i="10"/>
  <c r="C12" i="10"/>
  <c r="C13" i="10"/>
  <c r="C10" i="10"/>
  <c r="D10" i="10"/>
  <c r="E10" i="10"/>
  <c r="F10" i="10"/>
  <c r="G10" i="10"/>
  <c r="H10" i="10"/>
  <c r="K10" i="10"/>
  <c r="D11" i="10"/>
  <c r="I11" i="10"/>
  <c r="J11" i="10"/>
  <c r="K11" i="10"/>
  <c r="L11" i="10"/>
  <c r="B10" i="10"/>
  <c r="C9" i="10"/>
  <c r="E9" i="10"/>
  <c r="E12" i="10"/>
  <c r="F9" i="10"/>
  <c r="G9" i="10"/>
  <c r="H9" i="10"/>
  <c r="I9" i="10"/>
  <c r="I12" i="10"/>
  <c r="I13" i="10"/>
  <c r="B9" i="10"/>
  <c r="C17" i="10"/>
  <c r="E11" i="10"/>
  <c r="C16" i="10"/>
  <c r="I10" i="10"/>
  <c r="C15" i="10"/>
  <c r="J9" i="10"/>
  <c r="K9" i="10"/>
  <c r="K12" i="10"/>
  <c r="K13" i="10"/>
  <c r="N77" i="3"/>
  <c r="C103" i="3"/>
  <c r="F103" i="3"/>
  <c r="G103" i="3"/>
  <c r="I103" i="3"/>
  <c r="J103" i="3"/>
  <c r="L103" i="3"/>
  <c r="N103" i="3"/>
  <c r="P103" i="3"/>
  <c r="R103" i="3"/>
  <c r="S103" i="3"/>
  <c r="X103" i="3"/>
  <c r="AA103" i="3"/>
  <c r="AB103" i="3"/>
  <c r="AD103" i="3"/>
  <c r="AF103" i="3"/>
  <c r="A84" i="3"/>
  <c r="A85" i="3"/>
  <c r="A86" i="3"/>
  <c r="A87" i="3"/>
  <c r="A88" i="3"/>
  <c r="A89" i="3"/>
  <c r="A90" i="3"/>
  <c r="A91" i="3"/>
  <c r="A92" i="3"/>
  <c r="A93" i="3"/>
  <c r="A94" i="3"/>
  <c r="A95" i="3"/>
  <c r="A96" i="3"/>
  <c r="A97" i="3"/>
  <c r="A98" i="3"/>
  <c r="A99" i="3"/>
  <c r="A100" i="3"/>
  <c r="A101" i="3"/>
  <c r="A102" i="3"/>
  <c r="AC34" i="3"/>
  <c r="AC51" i="3"/>
  <c r="E10" i="22"/>
  <c r="Y34" i="3"/>
  <c r="Y51" i="3"/>
  <c r="X51" i="3"/>
  <c r="W34" i="3"/>
  <c r="W51" i="3"/>
  <c r="C77" i="3"/>
  <c r="F77" i="3"/>
  <c r="P41" i="3"/>
  <c r="P51" i="3"/>
  <c r="O41" i="3"/>
  <c r="O51" i="3"/>
  <c r="R51" i="3"/>
  <c r="K41" i="3"/>
  <c r="K51" i="3"/>
  <c r="A41" i="3"/>
  <c r="J42" i="3"/>
  <c r="AG42" i="3"/>
  <c r="C21" i="19"/>
  <c r="J34" i="3"/>
  <c r="H34" i="3"/>
  <c r="H51" i="3"/>
  <c r="B17" i="20"/>
  <c r="B26" i="20"/>
  <c r="E26" i="20"/>
  <c r="B28" i="20"/>
  <c r="AG30" i="3"/>
  <c r="C9" i="19"/>
  <c r="AG31" i="3"/>
  <c r="C10" i="19"/>
  <c r="AG32" i="3"/>
  <c r="C11" i="19"/>
  <c r="O11" i="19" s="1"/>
  <c r="C12" i="20" s="1"/>
  <c r="AG33" i="3"/>
  <c r="C12" i="19"/>
  <c r="AG35" i="3"/>
  <c r="C14" i="19"/>
  <c r="AG36" i="3"/>
  <c r="C15" i="19"/>
  <c r="AG37" i="3"/>
  <c r="C16" i="19"/>
  <c r="AG38" i="3"/>
  <c r="C17" i="19"/>
  <c r="AG39" i="3"/>
  <c r="C18" i="19"/>
  <c r="AG40" i="3"/>
  <c r="C19" i="19"/>
  <c r="AG43" i="3"/>
  <c r="C22" i="19"/>
  <c r="AG44" i="3"/>
  <c r="C23" i="19"/>
  <c r="AG45" i="3"/>
  <c r="C24" i="19"/>
  <c r="AG46" i="3"/>
  <c r="C25" i="19"/>
  <c r="AG47" i="3"/>
  <c r="C26" i="19"/>
  <c r="AG48" i="3"/>
  <c r="C27" i="19"/>
  <c r="AG49" i="3"/>
  <c r="AG50" i="3"/>
  <c r="A9" i="20"/>
  <c r="A10" i="20"/>
  <c r="A11" i="20"/>
  <c r="A12" i="20"/>
  <c r="A13" i="20"/>
  <c r="A14" i="20"/>
  <c r="A15" i="20"/>
  <c r="A16" i="20"/>
  <c r="A17" i="20"/>
  <c r="A18" i="20"/>
  <c r="A19" i="20"/>
  <c r="A20" i="20"/>
  <c r="A21" i="20"/>
  <c r="A22" i="20"/>
  <c r="A23" i="20"/>
  <c r="A24" i="20"/>
  <c r="A25" i="20"/>
  <c r="A26" i="20"/>
  <c r="A27" i="20"/>
  <c r="A28" i="20"/>
  <c r="E34" i="3"/>
  <c r="E51" i="3"/>
  <c r="D12" i="10"/>
  <c r="G11" i="10"/>
  <c r="F11" i="10"/>
  <c r="F12" i="10"/>
  <c r="F13" i="10"/>
  <c r="H11" i="10"/>
  <c r="H12" i="10"/>
  <c r="H13" i="10"/>
  <c r="B11" i="10"/>
  <c r="B12" i="10"/>
  <c r="B13" i="10"/>
  <c r="J10" i="10"/>
  <c r="J12" i="10"/>
  <c r="J13" i="10"/>
  <c r="B41" i="3"/>
  <c r="T53" i="25"/>
  <c r="T52" i="25"/>
  <c r="T51" i="25"/>
  <c r="T50" i="25"/>
  <c r="T49" i="25"/>
  <c r="T48" i="25"/>
  <c r="T47" i="25"/>
  <c r="T46" i="25"/>
  <c r="T45" i="25"/>
  <c r="T44" i="25"/>
  <c r="T43" i="25"/>
  <c r="T42" i="25"/>
  <c r="T41" i="25"/>
  <c r="T40" i="25"/>
  <c r="T39" i="25"/>
  <c r="T38" i="25"/>
  <c r="T37" i="25"/>
  <c r="T36" i="25"/>
  <c r="T35" i="25"/>
  <c r="T34" i="25"/>
  <c r="T33" i="25"/>
  <c r="T32" i="25"/>
  <c r="T31" i="25"/>
  <c r="T30" i="25"/>
  <c r="T29" i="25"/>
  <c r="T28" i="25"/>
  <c r="T27" i="25"/>
  <c r="T26" i="25"/>
  <c r="T25" i="25"/>
  <c r="T24" i="25"/>
  <c r="T23" i="25"/>
  <c r="T22" i="25"/>
  <c r="T21" i="25"/>
  <c r="T20" i="25"/>
  <c r="T19" i="25"/>
  <c r="T18" i="25"/>
  <c r="T17" i="25"/>
  <c r="T16" i="25"/>
  <c r="T15" i="25"/>
  <c r="T14" i="25"/>
  <c r="T13" i="25"/>
  <c r="T12" i="25"/>
  <c r="T11" i="25"/>
  <c r="T10" i="25"/>
  <c r="T9" i="25"/>
  <c r="T8" i="25"/>
  <c r="T7" i="25"/>
  <c r="T6" i="25"/>
  <c r="S3" i="25"/>
  <c r="B23" i="1"/>
  <c r="B10" i="1"/>
  <c r="AD15" i="3"/>
  <c r="AD23" i="3"/>
  <c r="AC14" i="3"/>
  <c r="AG14" i="3"/>
  <c r="B19" i="19"/>
  <c r="I51" i="25"/>
  <c r="I28" i="25"/>
  <c r="I16" i="25"/>
  <c r="I15" i="25"/>
  <c r="I14" i="25"/>
  <c r="I12" i="25"/>
  <c r="I48" i="25"/>
  <c r="I33" i="25"/>
  <c r="I41" i="25"/>
  <c r="I21" i="25"/>
  <c r="I39" i="25"/>
  <c r="I17" i="25"/>
  <c r="I8" i="25"/>
  <c r="I24" i="25"/>
  <c r="I23" i="25"/>
  <c r="I19" i="25"/>
  <c r="I7" i="25"/>
  <c r="A15" i="3"/>
  <c r="AB8" i="3"/>
  <c r="AB23" i="3"/>
  <c r="I11" i="25"/>
  <c r="A3" i="3"/>
  <c r="Z8" i="3"/>
  <c r="AG8" i="3"/>
  <c r="Z15" i="3"/>
  <c r="AG15" i="3"/>
  <c r="B20" i="19"/>
  <c r="D13" i="10"/>
  <c r="AG4" i="3"/>
  <c r="B9" i="19"/>
  <c r="AG5" i="3"/>
  <c r="B10" i="19"/>
  <c r="O10" i="19" s="1"/>
  <c r="C11" i="20" s="1"/>
  <c r="AG6" i="3"/>
  <c r="B11" i="19"/>
  <c r="AG7" i="3"/>
  <c r="B12" i="19"/>
  <c r="AG9" i="3"/>
  <c r="B14" i="19"/>
  <c r="AG10" i="3"/>
  <c r="B15" i="19"/>
  <c r="AG11" i="3"/>
  <c r="B16" i="19"/>
  <c r="AG12" i="3"/>
  <c r="B17" i="19"/>
  <c r="AG13" i="3"/>
  <c r="B18" i="19"/>
  <c r="AG16" i="3"/>
  <c r="B21" i="19"/>
  <c r="AG17" i="3"/>
  <c r="B22" i="19"/>
  <c r="AG18" i="3"/>
  <c r="B23" i="19"/>
  <c r="AG19" i="3"/>
  <c r="B24" i="19"/>
  <c r="AG20" i="3"/>
  <c r="B25" i="19"/>
  <c r="AG21" i="3"/>
  <c r="B26" i="19"/>
  <c r="AG22" i="3"/>
  <c r="B27" i="19"/>
  <c r="C23" i="1"/>
  <c r="A48" i="3"/>
  <c r="A30" i="3"/>
  <c r="A31" i="3"/>
  <c r="A32" i="3"/>
  <c r="A33" i="3"/>
  <c r="A34" i="3"/>
  <c r="A35" i="3"/>
  <c r="A36" i="3"/>
  <c r="A37" i="3"/>
  <c r="A38" i="3"/>
  <c r="A39" i="3"/>
  <c r="A40" i="3"/>
  <c r="A42" i="3"/>
  <c r="A43" i="3"/>
  <c r="A44" i="3"/>
  <c r="A45" i="3"/>
  <c r="A46" i="3"/>
  <c r="A47" i="3"/>
  <c r="A9" i="19"/>
  <c r="A10" i="19"/>
  <c r="A11" i="19"/>
  <c r="A12" i="19"/>
  <c r="A13" i="19"/>
  <c r="A14" i="19"/>
  <c r="A15" i="19"/>
  <c r="A16" i="19"/>
  <c r="A17" i="19"/>
  <c r="A18" i="19"/>
  <c r="A19" i="19"/>
  <c r="A20" i="19"/>
  <c r="A21" i="19"/>
  <c r="A22" i="19"/>
  <c r="A23" i="19"/>
  <c r="A24" i="19"/>
  <c r="A25" i="19"/>
  <c r="A26" i="19"/>
  <c r="A27" i="19"/>
  <c r="A4" i="3"/>
  <c r="A5" i="3"/>
  <c r="A6" i="3"/>
  <c r="A7" i="3"/>
  <c r="A8" i="3"/>
  <c r="A9" i="3"/>
  <c r="A10" i="3"/>
  <c r="A11" i="3"/>
  <c r="A12" i="3"/>
  <c r="A13" i="3"/>
  <c r="A14" i="3"/>
  <c r="A16" i="3"/>
  <c r="A17" i="3"/>
  <c r="A18" i="3"/>
  <c r="A19" i="3"/>
  <c r="A20" i="3"/>
  <c r="A21" i="3"/>
  <c r="C6" i="1"/>
  <c r="I9" i="25"/>
  <c r="I10" i="25"/>
  <c r="I13" i="25"/>
  <c r="I18" i="25"/>
  <c r="I20" i="25"/>
  <c r="I22" i="25"/>
  <c r="I25" i="25"/>
  <c r="I26" i="25"/>
  <c r="I27" i="25"/>
  <c r="I29" i="25"/>
  <c r="I30" i="25"/>
  <c r="I31" i="25"/>
  <c r="I32" i="25"/>
  <c r="I34" i="25"/>
  <c r="I35" i="25"/>
  <c r="I36" i="25"/>
  <c r="I37" i="25"/>
  <c r="I38" i="25"/>
  <c r="I40" i="25"/>
  <c r="I42" i="25"/>
  <c r="I43" i="25"/>
  <c r="I44" i="25"/>
  <c r="I45" i="25"/>
  <c r="I46" i="25"/>
  <c r="I47" i="25"/>
  <c r="I49" i="25"/>
  <c r="I50" i="25"/>
  <c r="I52" i="25"/>
  <c r="I53" i="25"/>
  <c r="I6" i="25"/>
  <c r="H3" i="25"/>
  <c r="B10" i="22"/>
  <c r="A22" i="3"/>
  <c r="N29" i="1"/>
  <c r="D10" i="1"/>
  <c r="E10" i="1"/>
  <c r="E29" i="1"/>
  <c r="G10" i="1"/>
  <c r="G29" i="1"/>
  <c r="H10" i="1"/>
  <c r="H29" i="1"/>
  <c r="I10" i="1"/>
  <c r="O10" i="1"/>
  <c r="P10" i="1"/>
  <c r="I29" i="1"/>
  <c r="I31" i="1"/>
  <c r="J29" i="1"/>
  <c r="J31" i="1"/>
  <c r="K29" i="1"/>
  <c r="L29" i="1"/>
  <c r="M29" i="1"/>
  <c r="C10" i="1"/>
  <c r="C29" i="1"/>
  <c r="C31" i="1"/>
  <c r="M6" i="10"/>
  <c r="L6" i="10"/>
  <c r="J6" i="10"/>
  <c r="I6" i="10"/>
  <c r="H6" i="10"/>
  <c r="G6" i="10"/>
  <c r="F6" i="10"/>
  <c r="E6" i="10"/>
  <c r="D6" i="10"/>
  <c r="C6" i="10"/>
  <c r="B6" i="10"/>
  <c r="A5" i="10"/>
  <c r="A4" i="10"/>
  <c r="O3" i="10"/>
  <c r="M1" i="10"/>
  <c r="L1" i="10"/>
  <c r="K1" i="10"/>
  <c r="J1" i="10"/>
  <c r="I1" i="10"/>
  <c r="H1" i="10"/>
  <c r="G1" i="10"/>
  <c r="F1" i="10"/>
  <c r="E1" i="10"/>
  <c r="D1" i="10"/>
  <c r="C1" i="10"/>
  <c r="B1" i="10"/>
  <c r="AF312" i="3"/>
  <c r="AE312" i="3"/>
  <c r="AD312" i="3"/>
  <c r="AC312" i="3"/>
  <c r="AB312" i="3"/>
  <c r="AA312" i="3"/>
  <c r="Z312" i="3"/>
  <c r="Y312" i="3"/>
  <c r="X312" i="3"/>
  <c r="V312" i="3"/>
  <c r="T312" i="3"/>
  <c r="S312" i="3"/>
  <c r="R312" i="3"/>
  <c r="Q312" i="3"/>
  <c r="P312" i="3"/>
  <c r="O312" i="3"/>
  <c r="N312" i="3"/>
  <c r="M312" i="3"/>
  <c r="L312" i="3"/>
  <c r="K312" i="3"/>
  <c r="J312" i="3"/>
  <c r="H312" i="3"/>
  <c r="F312" i="3"/>
  <c r="E312" i="3"/>
  <c r="C312" i="3"/>
  <c r="M27" i="19"/>
  <c r="M26" i="19"/>
  <c r="O26" i="19"/>
  <c r="C27" i="20" s="1"/>
  <c r="M24" i="19"/>
  <c r="M23" i="19"/>
  <c r="M11" i="19"/>
  <c r="M10" i="19"/>
  <c r="AG292" i="3"/>
  <c r="M8" i="19" s="1"/>
  <c r="A292" i="3"/>
  <c r="AB286" i="3"/>
  <c r="AA286" i="3"/>
  <c r="Z286" i="3"/>
  <c r="X286" i="3"/>
  <c r="W286" i="3"/>
  <c r="V286" i="3"/>
  <c r="U286" i="3"/>
  <c r="T286" i="3"/>
  <c r="S286" i="3"/>
  <c r="Q286" i="3"/>
  <c r="P286" i="3"/>
  <c r="O286" i="3"/>
  <c r="N286" i="3"/>
  <c r="M286" i="3"/>
  <c r="L286" i="3"/>
  <c r="J286" i="3"/>
  <c r="I286" i="3"/>
  <c r="E286" i="3"/>
  <c r="D286" i="3"/>
  <c r="C286" i="3"/>
  <c r="B286" i="3"/>
  <c r="L27" i="19"/>
  <c r="O27" i="19" s="1"/>
  <c r="C28" i="20" s="1"/>
  <c r="L26" i="19"/>
  <c r="L25" i="19"/>
  <c r="L24" i="19"/>
  <c r="L23" i="19"/>
  <c r="L22" i="19"/>
  <c r="L19" i="19"/>
  <c r="L12" i="19"/>
  <c r="O12" i="19"/>
  <c r="C13" i="20" s="1"/>
  <c r="L11" i="19"/>
  <c r="L10" i="19"/>
  <c r="AG266" i="3"/>
  <c r="L8" i="19"/>
  <c r="L30" i="19" s="1"/>
  <c r="L32" i="19" s="1"/>
  <c r="A266" i="3"/>
  <c r="AF260" i="3"/>
  <c r="AE260" i="3"/>
  <c r="AD260" i="3"/>
  <c r="AC260" i="3"/>
  <c r="AA260" i="3"/>
  <c r="Z260" i="3"/>
  <c r="X260" i="3"/>
  <c r="W260" i="3"/>
  <c r="V260" i="3"/>
  <c r="U260" i="3"/>
  <c r="T260" i="3"/>
  <c r="S260" i="3"/>
  <c r="Q260" i="3"/>
  <c r="P260" i="3"/>
  <c r="O260" i="3"/>
  <c r="N260" i="3"/>
  <c r="M260" i="3"/>
  <c r="L260" i="3"/>
  <c r="K260" i="3"/>
  <c r="J260" i="3"/>
  <c r="I260" i="3"/>
  <c r="H260" i="3"/>
  <c r="F260" i="3"/>
  <c r="B260" i="3"/>
  <c r="AG240" i="3"/>
  <c r="K8" i="19"/>
  <c r="K30" i="19" s="1"/>
  <c r="A240" i="3"/>
  <c r="AE234" i="3"/>
  <c r="AD234" i="3"/>
  <c r="AC234" i="3"/>
  <c r="AA234" i="3"/>
  <c r="Z234" i="3"/>
  <c r="Y234" i="3"/>
  <c r="X234" i="3"/>
  <c r="W234" i="3"/>
  <c r="V234" i="3"/>
  <c r="U234" i="3"/>
  <c r="S234" i="3"/>
  <c r="R234" i="3"/>
  <c r="Q234" i="3"/>
  <c r="P234" i="3"/>
  <c r="O234" i="3"/>
  <c r="N234" i="3"/>
  <c r="M234" i="3"/>
  <c r="L234" i="3"/>
  <c r="K234" i="3"/>
  <c r="I234" i="3"/>
  <c r="G234" i="3"/>
  <c r="F234" i="3"/>
  <c r="D234" i="3"/>
  <c r="C234" i="3"/>
  <c r="AG214" i="3"/>
  <c r="J8" i="19"/>
  <c r="A214" i="3"/>
  <c r="AG187" i="3"/>
  <c r="I8" i="19"/>
  <c r="I30" i="19" s="1"/>
  <c r="I32" i="19" s="1"/>
  <c r="I10" i="19"/>
  <c r="AE207" i="3"/>
  <c r="AD207" i="3"/>
  <c r="AC207" i="3"/>
  <c r="AB207" i="3"/>
  <c r="AA207" i="3"/>
  <c r="Y207" i="3"/>
  <c r="X207" i="3"/>
  <c r="W207" i="3"/>
  <c r="V207" i="3"/>
  <c r="U207" i="3"/>
  <c r="T207" i="3"/>
  <c r="S207" i="3"/>
  <c r="R207" i="3"/>
  <c r="Q207" i="3"/>
  <c r="N207" i="3"/>
  <c r="M207" i="3"/>
  <c r="L207" i="3"/>
  <c r="K207" i="3"/>
  <c r="I207" i="3"/>
  <c r="H207" i="3"/>
  <c r="E207" i="3"/>
  <c r="D207" i="3"/>
  <c r="A187" i="3"/>
  <c r="AF181" i="3"/>
  <c r="AE181" i="3"/>
  <c r="AB181" i="3"/>
  <c r="Y181" i="3"/>
  <c r="W181" i="3"/>
  <c r="T181" i="3"/>
  <c r="R181" i="3"/>
  <c r="Q181" i="3"/>
  <c r="P181" i="3"/>
  <c r="N181" i="3"/>
  <c r="M181" i="3"/>
  <c r="L181" i="3"/>
  <c r="J181" i="3"/>
  <c r="G181" i="3"/>
  <c r="C181" i="3"/>
  <c r="AG161" i="3"/>
  <c r="H8" i="19"/>
  <c r="A161" i="3"/>
  <c r="AF155" i="3"/>
  <c r="AE155" i="3"/>
  <c r="Z155" i="3"/>
  <c r="Y155" i="3"/>
  <c r="T155" i="3"/>
  <c r="S155" i="3"/>
  <c r="M155" i="3"/>
  <c r="L155" i="3"/>
  <c r="K155" i="3"/>
  <c r="H155" i="3"/>
  <c r="E155" i="3"/>
  <c r="AG154" i="3"/>
  <c r="G27" i="19"/>
  <c r="G17" i="19"/>
  <c r="G16" i="19"/>
  <c r="G14" i="19"/>
  <c r="G10" i="19"/>
  <c r="G9" i="19"/>
  <c r="AG135" i="3"/>
  <c r="G8" i="19"/>
  <c r="G30" i="19" s="1"/>
  <c r="G32" i="19" s="1"/>
  <c r="A135" i="3"/>
  <c r="AF129" i="3"/>
  <c r="AE129" i="3"/>
  <c r="AC129" i="3"/>
  <c r="AA129" i="3"/>
  <c r="Z129" i="3"/>
  <c r="Y129" i="3"/>
  <c r="V129" i="3"/>
  <c r="U129" i="3"/>
  <c r="Q129" i="3"/>
  <c r="P129" i="3"/>
  <c r="M129" i="3"/>
  <c r="L129" i="3"/>
  <c r="K129" i="3"/>
  <c r="I129" i="3"/>
  <c r="E129" i="3"/>
  <c r="C129" i="3"/>
  <c r="B129" i="3"/>
  <c r="AG109" i="3"/>
  <c r="A109" i="3"/>
  <c r="E11" i="19"/>
  <c r="AG83" i="3"/>
  <c r="A83" i="3"/>
  <c r="AA77" i="3"/>
  <c r="P77" i="3"/>
  <c r="M77" i="3"/>
  <c r="L77" i="3"/>
  <c r="K77" i="3"/>
  <c r="J77" i="3"/>
  <c r="I77" i="3"/>
  <c r="H77" i="3"/>
  <c r="G77" i="3"/>
  <c r="AG57" i="3"/>
  <c r="D8" i="19"/>
  <c r="D30" i="19" s="1"/>
  <c r="D32" i="19" s="1"/>
  <c r="A57" i="3"/>
  <c r="AF51" i="3"/>
  <c r="AE51" i="3"/>
  <c r="AD51" i="3"/>
  <c r="AB51" i="3"/>
  <c r="AA51" i="3"/>
  <c r="Z51" i="3"/>
  <c r="V51" i="3"/>
  <c r="U51" i="3"/>
  <c r="T51" i="3"/>
  <c r="S51" i="3"/>
  <c r="Q51" i="3"/>
  <c r="N51" i="3"/>
  <c r="M51" i="3"/>
  <c r="L51" i="3"/>
  <c r="I51" i="3"/>
  <c r="G51" i="3"/>
  <c r="F51" i="3"/>
  <c r="D51" i="3"/>
  <c r="C51" i="3"/>
  <c r="AG29" i="3"/>
  <c r="C8" i="19"/>
  <c r="A29" i="3"/>
  <c r="AF23" i="3"/>
  <c r="AE23" i="3"/>
  <c r="AA23" i="3"/>
  <c r="Y23" i="3"/>
  <c r="X23" i="3"/>
  <c r="W23" i="3"/>
  <c r="V23" i="3"/>
  <c r="U23" i="3"/>
  <c r="T23" i="3"/>
  <c r="S23" i="3"/>
  <c r="R23" i="3"/>
  <c r="Q23" i="3"/>
  <c r="P23" i="3"/>
  <c r="O23" i="3"/>
  <c r="N23" i="3"/>
  <c r="M23" i="3"/>
  <c r="L23" i="3"/>
  <c r="K23" i="3"/>
  <c r="J23" i="3"/>
  <c r="I23" i="3"/>
  <c r="H23" i="3"/>
  <c r="G23" i="3"/>
  <c r="F23" i="3"/>
  <c r="E23" i="3"/>
  <c r="D23" i="3"/>
  <c r="C23" i="3"/>
  <c r="B23" i="3"/>
  <c r="AG3" i="3"/>
  <c r="B8" i="19"/>
  <c r="B30" i="19" s="1"/>
  <c r="B32" i="19" s="1"/>
  <c r="B21" i="20"/>
  <c r="N32" i="19"/>
  <c r="A8" i="19"/>
  <c r="M5" i="19"/>
  <c r="L5" i="19"/>
  <c r="K5" i="19"/>
  <c r="J5" i="19"/>
  <c r="G5" i="19"/>
  <c r="E5" i="19"/>
  <c r="D5" i="19"/>
  <c r="C5" i="19"/>
  <c r="B5" i="19"/>
  <c r="I5" i="19"/>
  <c r="H5" i="19"/>
  <c r="F5" i="19"/>
  <c r="O4" i="19"/>
  <c r="O5" i="19" s="1"/>
  <c r="C4" i="20" s="1"/>
  <c r="O3" i="19"/>
  <c r="M1" i="19"/>
  <c r="L1" i="19"/>
  <c r="K1" i="19"/>
  <c r="J1" i="19"/>
  <c r="I1" i="19"/>
  <c r="H1" i="19"/>
  <c r="G1" i="19"/>
  <c r="F1" i="19"/>
  <c r="E1" i="19"/>
  <c r="D1" i="19"/>
  <c r="C1" i="19"/>
  <c r="B1" i="19"/>
  <c r="F6" i="1"/>
  <c r="B29" i="1"/>
  <c r="B24" i="20"/>
  <c r="M6" i="1"/>
  <c r="M31" i="1"/>
  <c r="L6" i="1"/>
  <c r="L31" i="1"/>
  <c r="K6" i="1"/>
  <c r="J6" i="1"/>
  <c r="I6" i="1"/>
  <c r="H6" i="1"/>
  <c r="G6" i="1"/>
  <c r="E6" i="1"/>
  <c r="D6" i="1"/>
  <c r="B6" i="1"/>
  <c r="O4" i="1"/>
  <c r="P4" i="1"/>
  <c r="F29" i="1"/>
  <c r="F31" i="1"/>
  <c r="C2" i="20"/>
  <c r="E31" i="1"/>
  <c r="G31" i="1"/>
  <c r="B31" i="1"/>
  <c r="D31" i="1"/>
  <c r="O28" i="19"/>
  <c r="E13" i="10"/>
  <c r="H31" i="1"/>
  <c r="AI88" i="3"/>
  <c r="B16" i="20"/>
  <c r="C207" i="3"/>
  <c r="H10" i="19"/>
  <c r="K31" i="1"/>
  <c r="P22" i="1"/>
  <c r="B23" i="20"/>
  <c r="B13" i="20"/>
  <c r="P18" i="1"/>
  <c r="B27" i="20"/>
  <c r="B10" i="20"/>
  <c r="P9" i="1"/>
  <c r="B9" i="20"/>
  <c r="B51" i="3"/>
  <c r="F207" i="3"/>
  <c r="D181" i="3"/>
  <c r="AB234" i="3"/>
  <c r="G12" i="10"/>
  <c r="G13" i="10"/>
  <c r="R260" i="3"/>
  <c r="P19" i="1"/>
  <c r="B12" i="20"/>
  <c r="AG114" i="3"/>
  <c r="F13" i="19"/>
  <c r="G129" i="3"/>
  <c r="E181" i="3"/>
  <c r="U155" i="3"/>
  <c r="AG225" i="3"/>
  <c r="J19" i="19"/>
  <c r="J30" i="19" s="1"/>
  <c r="J32" i="19" s="1"/>
  <c r="AC155" i="3"/>
  <c r="R77" i="3"/>
  <c r="X181" i="3"/>
  <c r="AG95" i="3"/>
  <c r="E20" i="19"/>
  <c r="J155" i="3"/>
  <c r="AG219" i="3"/>
  <c r="AG69" i="3"/>
  <c r="D20" i="19"/>
  <c r="W103" i="3"/>
  <c r="J51" i="3"/>
  <c r="AE77" i="3"/>
  <c r="R129" i="3"/>
  <c r="C155" i="3"/>
  <c r="Z181" i="3"/>
  <c r="Z77" i="3"/>
  <c r="AF77" i="3"/>
  <c r="AG226" i="3"/>
  <c r="J20" i="19"/>
  <c r="W155" i="3"/>
  <c r="O77" i="3"/>
  <c r="H103" i="3"/>
  <c r="AD129" i="3"/>
  <c r="R155" i="3"/>
  <c r="Z23" i="3"/>
  <c r="AG34" i="3"/>
  <c r="C13" i="19"/>
  <c r="AG140" i="3"/>
  <c r="AG147" i="3"/>
  <c r="G20" i="19"/>
  <c r="AG173" i="3"/>
  <c r="H20" i="19"/>
  <c r="AG252" i="3"/>
  <c r="K20" i="19"/>
  <c r="AC181" i="3"/>
  <c r="AG199" i="3"/>
  <c r="I20" i="19"/>
  <c r="H181" i="3"/>
  <c r="AG88" i="3"/>
  <c r="E13" i="19"/>
  <c r="O103" i="3"/>
  <c r="AG121" i="3"/>
  <c r="F20" i="19"/>
  <c r="AG192" i="3"/>
  <c r="AD77" i="3"/>
  <c r="E103" i="3"/>
  <c r="AG120" i="3"/>
  <c r="F19" i="19"/>
  <c r="W129" i="3"/>
  <c r="AD181" i="3"/>
  <c r="Z207" i="3"/>
  <c r="T234" i="3"/>
  <c r="AG62" i="3"/>
  <c r="AG77" i="3"/>
  <c r="F181" i="3"/>
  <c r="K181" i="3"/>
  <c r="G13" i="19"/>
  <c r="AG155" i="3"/>
  <c r="J13" i="19"/>
  <c r="AG23" i="3"/>
  <c r="B13" i="19"/>
  <c r="F129" i="3"/>
  <c r="F8" i="19"/>
  <c r="F30" i="19" s="1"/>
  <c r="F32" i="19" s="1"/>
  <c r="AC23" i="3"/>
  <c r="B155" i="3"/>
  <c r="J207" i="3"/>
  <c r="AG227" i="3"/>
  <c r="J21" i="19"/>
  <c r="AG41" i="3"/>
  <c r="C20" i="19"/>
  <c r="AC103" i="3"/>
  <c r="D77" i="3"/>
  <c r="E8" i="19"/>
  <c r="AG180" i="3"/>
  <c r="H27" i="19"/>
  <c r="D129" i="3"/>
  <c r="AG245" i="3"/>
  <c r="AG166" i="3"/>
  <c r="Y260" i="3"/>
  <c r="AG234" i="3"/>
  <c r="AG207" i="3"/>
  <c r="AG51" i="3"/>
  <c r="AG129" i="3"/>
  <c r="D13" i="19"/>
  <c r="I13" i="19"/>
  <c r="C30" i="19"/>
  <c r="C32" i="19"/>
  <c r="AG103" i="3"/>
  <c r="H13" i="19"/>
  <c r="K13" i="19"/>
  <c r="GE3" i="25"/>
  <c r="R286" i="3"/>
  <c r="O29" i="1"/>
  <c r="P14" i="1"/>
  <c r="B29" i="20"/>
  <c r="FU3" i="25"/>
  <c r="GB3" i="25"/>
  <c r="G27" i="22"/>
  <c r="K286" i="3"/>
  <c r="B5" i="20"/>
  <c r="P29" i="1"/>
  <c r="H30" i="19"/>
  <c r="H32" i="19" s="1"/>
  <c r="E30" i="19"/>
  <c r="E32" i="19"/>
  <c r="FQ3" i="25"/>
  <c r="GC3" i="25"/>
  <c r="GD3" i="25"/>
  <c r="AA3" i="25"/>
  <c r="AD3" i="25"/>
  <c r="BC3" i="25"/>
  <c r="BY3" i="25"/>
  <c r="DA3" i="25"/>
  <c r="CX3" i="25"/>
  <c r="DY3" i="25"/>
  <c r="EH3" i="25"/>
  <c r="FR3" i="25"/>
  <c r="FU4" i="25"/>
  <c r="D3" i="25"/>
  <c r="BF3" i="25"/>
  <c r="BX3" i="25"/>
  <c r="BZ3" i="25"/>
  <c r="DT3" i="25"/>
  <c r="FF3" i="25"/>
  <c r="Q3" i="25"/>
  <c r="G3" i="25"/>
  <c r="R3" i="25"/>
  <c r="GG3" i="25"/>
  <c r="CV3" i="25"/>
  <c r="E3" i="25"/>
  <c r="T3" i="25"/>
  <c r="AR3" i="25"/>
  <c r="AQ3" i="25"/>
  <c r="BL3" i="25"/>
  <c r="DM3" i="25"/>
  <c r="DI3" i="25"/>
  <c r="DH3" i="25"/>
  <c r="DW3" i="25"/>
  <c r="EF3" i="25"/>
  <c r="EI3" i="25"/>
  <c r="EG3" i="25"/>
  <c r="EW3" i="25"/>
  <c r="ES3" i="25"/>
  <c r="ER3" i="25"/>
  <c r="FD3" i="25"/>
  <c r="GG4" i="25"/>
  <c r="BQ3" i="25"/>
  <c r="CA3" i="25"/>
  <c r="CL3" i="25"/>
  <c r="CY3" i="25"/>
  <c r="CO3" i="25"/>
  <c r="FI3" i="25"/>
  <c r="DU3" i="25"/>
  <c r="DY4" i="25"/>
  <c r="BD3" i="25"/>
  <c r="I3" i="25"/>
  <c r="AB3" i="25"/>
  <c r="F3" i="25"/>
  <c r="AF3" i="25"/>
  <c r="AT3" i="25"/>
  <c r="AO3" i="25"/>
  <c r="BB3" i="25"/>
  <c r="BM3" i="25"/>
  <c r="BN3" i="25"/>
  <c r="BO3" i="25"/>
  <c r="CK3" i="25"/>
  <c r="CW3" i="25"/>
  <c r="DV3" i="25"/>
  <c r="O3" i="25"/>
  <c r="CC3" i="25"/>
  <c r="P3" i="25"/>
  <c r="ET3" i="25"/>
  <c r="EK3" i="25"/>
  <c r="FE3" i="25"/>
  <c r="AP3" i="25"/>
  <c r="DJ3" i="25"/>
  <c r="DM4" i="25"/>
  <c r="CJ3" i="25"/>
  <c r="K11" i="19"/>
  <c r="AG181" i="3"/>
  <c r="BO286" i="3"/>
  <c r="L9" i="19"/>
  <c r="L9" i="10"/>
  <c r="BF4" i="25"/>
  <c r="AF4" i="25"/>
  <c r="CC4" i="25"/>
  <c r="I4" i="25"/>
  <c r="AT4" i="25"/>
  <c r="FI4" i="25"/>
  <c r="T4" i="25"/>
  <c r="EK4" i="25"/>
  <c r="EW4" i="25"/>
  <c r="DA4" i="25"/>
  <c r="BQ4" i="25"/>
  <c r="CO4" i="25"/>
  <c r="L12" i="10"/>
  <c r="L13" i="10"/>
  <c r="L20" i="19"/>
  <c r="L21" i="19"/>
  <c r="AG286" i="3"/>
  <c r="O18" i="19"/>
  <c r="C19" i="20"/>
  <c r="E19" i="20"/>
  <c r="O17" i="19"/>
  <c r="C18" i="20" s="1"/>
  <c r="D18" i="20" s="1"/>
  <c r="O23" i="19"/>
  <c r="C24" i="20"/>
  <c r="D24" i="20" s="1"/>
  <c r="O6" i="1"/>
  <c r="O31" i="1"/>
  <c r="P31" i="1"/>
  <c r="P6" i="1"/>
  <c r="B4" i="20"/>
  <c r="B6" i="20"/>
  <c r="O9" i="10"/>
  <c r="M11" i="10"/>
  <c r="O11" i="10"/>
  <c r="M10" i="10"/>
  <c r="O10" i="10"/>
  <c r="O4" i="10"/>
  <c r="O24" i="19"/>
  <c r="C25" i="20" s="1"/>
  <c r="D19" i="20"/>
  <c r="G312" i="3"/>
  <c r="M12" i="10"/>
  <c r="M13" i="10"/>
  <c r="O13" i="10"/>
  <c r="O12" i="10"/>
  <c r="K6" i="10" l="1"/>
  <c r="K32" i="19"/>
  <c r="D15" i="20"/>
  <c r="E15" i="20"/>
  <c r="O22" i="19"/>
  <c r="C23" i="20" s="1"/>
  <c r="D4" i="20"/>
  <c r="E4" i="20"/>
  <c r="O19" i="19"/>
  <c r="C20" i="20" s="1"/>
  <c r="E22" i="20"/>
  <c r="D22" i="20"/>
  <c r="E25" i="20"/>
  <c r="D25" i="20"/>
  <c r="O8" i="19"/>
  <c r="C9" i="20" s="1"/>
  <c r="D10" i="20"/>
  <c r="E10" i="20"/>
  <c r="E27" i="20"/>
  <c r="D27" i="20"/>
  <c r="E11" i="20"/>
  <c r="D11" i="20"/>
  <c r="E17" i="20"/>
  <c r="D17" i="20"/>
  <c r="D28" i="20"/>
  <c r="E28" i="20"/>
  <c r="D16" i="20"/>
  <c r="E16" i="20"/>
  <c r="D12" i="20"/>
  <c r="E12" i="20"/>
  <c r="D13" i="20"/>
  <c r="E13" i="20"/>
  <c r="E23" i="20"/>
  <c r="D23" i="20"/>
  <c r="E24" i="20"/>
  <c r="E20" i="20"/>
  <c r="D20" i="20"/>
  <c r="AG297" i="3"/>
  <c r="M13" i="19" s="1"/>
  <c r="O13" i="19" s="1"/>
  <c r="C14" i="20" s="1"/>
  <c r="D14" i="20" s="1"/>
  <c r="E20" i="23"/>
  <c r="H18" i="23" s="1"/>
  <c r="F14" i="23"/>
  <c r="M20" i="19"/>
  <c r="U312" i="3"/>
  <c r="AG312" i="3" l="1"/>
  <c r="E14" i="20"/>
  <c r="E9" i="20"/>
  <c r="D9" i="20"/>
  <c r="M30" i="19"/>
  <c r="M32" i="19" s="1"/>
  <c r="O20" i="19"/>
  <c r="O30" i="19" l="1"/>
  <c r="C21" i="20"/>
  <c r="D21" i="20" l="1"/>
  <c r="D29" i="20" s="1"/>
  <c r="E21" i="20"/>
  <c r="C29" i="20"/>
  <c r="C5" i="20"/>
  <c r="O32" i="19"/>
  <c r="D5" i="20" l="1"/>
  <c r="C6" i="20"/>
  <c r="D6" i="20" s="1"/>
  <c r="E5"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tc={D3349D0F-0368-6A45-B0B6-69C0AA567E51}</author>
  </authors>
  <commentList>
    <comment ref="K4" authorId="0" shapeId="0" xr:uid="{D3349D0F-0368-6A45-B0B6-69C0AA567E51}">
      <text>
        <t xml:space="preserve">[Threaded comment]
Your version of Excel allows you to read this threaded comment; however, any edits to it will get removed if the file is opened in a newer version of Excel. Learn more: https://go.microsoft.com/fwlink/?linkid=870924
Comment:
    Rent loan (actually received on 27/09/23
Reply:
    Plus gratis sales, strawberry. And coffee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tc={7E7F0600-6317-8747-A7CD-0FC11E6FEC6B}</author>
    <author>Microsoft Office User</author>
    <author>tc={00713BC5-3D49-6940-8682-087D865AEF2B}</author>
    <author>tc={5364ECA6-7BF5-AD4F-A6C9-A1DC171D74F7}</author>
    <author>tc={E77F79F9-4167-B24A-AF03-2D92A7010652}</author>
    <author>tc={A59BB960-D62D-4F44-A1BD-6BA41113F0B2}</author>
    <author>tc={7FDF28DC-9505-214F-A2DC-CAAA1CED7C8B}</author>
    <author>tc={D49FC66B-045E-9C42-BFF2-57D1540C3C23}</author>
    <author>tc={5E6CAB57-8683-B741-A17C-53A8BF92F18D}</author>
    <author>tc={B0A11BF9-753B-4341-A784-457205E0E0D1}</author>
    <author>tc={5A33FEBF-7F13-864A-B695-A1E29D5A6C6D}</author>
    <author>tc={EB0AA160-7567-1542-A3D3-507C12CD875F}</author>
    <author>tc={015FAB10-AFAF-6046-A79E-5263F9063930}</author>
    <author>tc={0FEE39CB-ABD9-3E4C-8CF5-B1EBF62A3FCF}</author>
    <author>tc={C35CC5F7-53E6-1042-94C1-AA9494DFE842}</author>
    <author>tc={D6B9BC24-ABF1-B842-B5E2-732708DFE72D}</author>
    <author>tc={CC768C5B-D8CB-2841-81D4-60BAE3AEA40B}</author>
    <author>tc={B43E2964-87A2-D342-948E-E6ECA8964F92}</author>
    <author>tc={6FA554FF-529D-3E4C-99D1-4BE8DD996507}</author>
    <author>tc={6094491F-AD67-5242-A0CA-DCAAFC9AA0D9}</author>
    <author>tc={2B086A58-419A-DD48-B8DF-8A93E4AC02CC}</author>
    <author>tc={4BE0F747-671B-A941-93F3-421244B7214A}</author>
    <author>tc={9B531ECF-1885-5B4B-BCF3-3171A57A76A8}</author>
    <author>tc={043DDF6A-BFF2-5C48-BB70-F3D9BBDD29C4}</author>
    <author>tc={4EA8C925-C2EA-524E-9469-50DC6CDE2455}</author>
    <author>tc={957539C1-0103-F948-A8EF-4A851DFDE8FA}</author>
    <author>tc={8C233738-3C0A-2142-96AC-19A33670CA43}</author>
    <author>tc={1B6E9BCE-0678-244D-82CA-8F07120CA5DC}</author>
    <author>tc={74B740C7-5AC0-554F-AA29-DEEE4BA3ED26}</author>
    <author>tc={7663DB03-0BF5-A14D-A563-20BACC53A85A}</author>
    <author>tc={0E454D1D-E14B-034D-B5F5-2F7EA171B869}</author>
    <author>tc={47ADFA99-83E6-7148-BB8E-B6FAD8084E8C}</author>
    <author>tc={63F6FB0B-08BC-BC4A-B60A-A5D05A28AC71}</author>
    <author>tc={F46A4B0A-D4A4-7443-85D1-28332C77BEC0}</author>
    <author>tc={84620177-9F8C-FB4A-85BD-196C1F93EB9B}</author>
    <author>tc={EE8A82C8-59A3-854F-A574-EAB8D1038E8F}</author>
    <author>tc={AFEE81F8-E472-A24F-B5C4-AFBD0CC78A6B}</author>
    <author>tc={8E3D47D2-ACDE-784A-8039-AF1CEF8523B8}</author>
    <author>tc={E3AAAB5B-BE98-7448-A10C-DCC471663C20}</author>
    <author>tc={E2941D6A-2C1D-AD46-97D0-4DA7870F8737}</author>
    <author>tc={0F6DF0C0-C31E-0244-B6F9-92ED7D6C4E4F}</author>
    <author>tc={89AE3E54-CB50-784F-82E1-A51FC7292AA4}</author>
    <author>tc={515EF8F9-D29F-8A4A-8712-25D27F293CF4}</author>
    <author>tc={0A595B69-6B46-C84B-9EAE-9890075971DA}</author>
    <author>tc={122FD808-A1C3-F745-A99E-B524B7852E18}</author>
  </authors>
  <commentList>
    <comment ref="AD193" authorId="0" shapeId="0" xr:uid="{7E7F0600-6317-8747-A7CD-0FC11E6FEC6B}">
      <text>
        <t>[Threaded comment]
Your version of Excel allows you to read this threaded comment; however, any edits to it will get removed if the file is opened in a newer version of Excel. Learn more: https://go.microsoft.com/fwlink/?linkid=870924
Comment:
    Larissa’s Eyedrops</t>
      </text>
    </comment>
    <comment ref="Y200" authorId="1" shapeId="0" xr:uid="{EFABC4BB-43C6-D14D-A2AB-9E93826665FB}">
      <text>
        <r>
          <rPr>
            <b/>
            <sz val="10"/>
            <color rgb="FF000000"/>
            <rFont val="Tahoma"/>
            <family val="2"/>
          </rPr>
          <t xml:space="preserve">delivery fee for skin care products
</t>
        </r>
      </text>
    </comment>
    <comment ref="AC200" authorId="1" shapeId="0" xr:uid="{2B8AF5F1-BC79-0741-B0C4-16090A2179E3}">
      <text/>
    </comment>
    <comment ref="AC219" authorId="2" shapeId="0" xr:uid="{00713BC5-3D49-6940-8682-087D865AEF2B}">
      <text>
        <t>[Threaded comment]
Your version of Excel allows you to read this threaded comment; however, any edits to it will get removed if the file is opened in a newer version of Excel. Learn more: https://go.microsoft.com/fwlink/?linkid=870924
Comment:
    Waakye for Larissa</t>
      </text>
    </comment>
    <comment ref="E220" authorId="3" shapeId="0" xr:uid="{5364ECA6-7BF5-AD4F-A6C9-A1DC171D74F7}">
      <text>
        <t xml:space="preserve">[Threaded comment]
Your version of Excel allows you to read this threaded comment; however, any edits to it will get removed if the file is opened in a newer version of Excel. Learn more: https://go.microsoft.com/fwlink/?linkid=870924
Comment:
    Triple action cream and Floss
</t>
      </text>
    </comment>
    <comment ref="AA225" authorId="4" shapeId="0" xr:uid="{E77F79F9-4167-B24A-AF03-2D92A7010652}">
      <text>
        <t>[Threaded comment]
Your version of Excel allows you to read this threaded comment; however, any edits to it will get removed if the file is opened in a newer version of Excel. Learn more: https://go.microsoft.com/fwlink/?linkid=870924
Comment:
    Shaving stick</t>
      </text>
    </comment>
    <comment ref="B226" authorId="5" shapeId="0" xr:uid="{A59BB960-D62D-4F44-A1BD-6BA41113F0B2}">
      <text>
        <t>[Threaded comment]
Your version of Excel allows you to read this threaded comment; however, any edits to it will get removed if the file is opened in a newer version of Excel. Learn more: https://go.microsoft.com/fwlink/?linkid=870924
Comment:
    Uber Double charged: expecting a refund of 44ghc</t>
      </text>
    </comment>
    <comment ref="F226" authorId="6" shapeId="0" xr:uid="{7FDF28DC-9505-214F-A2DC-CAAA1CED7C8B}">
      <text>
        <t xml:space="preserve">[Threaded comment]
Your version of Excel allows you to read this threaded comment; however, any edits to it will get removed if the file is opened in a newer version of Excel. Learn more: https://go.microsoft.com/fwlink/?linkid=870924
Comment:
    Keyboard delivery
</t>
      </text>
    </comment>
    <comment ref="I226" authorId="7" shapeId="0" xr:uid="{D49FC66B-045E-9C42-BFF2-57D1540C3C23}">
      <text>
        <t>[Threaded comment]
Your version of Excel allows you to read this threaded comment; however, any edits to it will get removed if the file is opened in a newer version of Excel. Learn more: https://go.microsoft.com/fwlink/?linkid=870924
Comment:
    I was charged twice by Uber .expecting 48ghc refund</t>
      </text>
    </comment>
    <comment ref="W226" authorId="8" shapeId="0" xr:uid="{5E6CAB57-8683-B741-A17C-53A8BF92F18D}">
      <text>
        <t xml:space="preserve">[Threaded comment]
Your version of Excel allows you to read this threaded comment; however, any edits to it will get removed if the file is opened in a newer version of Excel. Learn more: https://go.microsoft.com/fwlink/?linkid=870924
Comment:
    Was double charged for uber
</t>
      </text>
    </comment>
    <comment ref="B227" authorId="9" shapeId="0" xr:uid="{B0A11BF9-753B-4341-A784-457205E0E0D1}">
      <text>
        <t xml:space="preserve">[Threaded comment]
Your version of Excel allows you to read this threaded comment; however, any edits to it will get removed if the file is opened in a newer version of Excel. Learn more: https://go.microsoft.com/fwlink/?linkid=870924
Comment:
    Sent to Larissa as transfer charges
</t>
      </text>
    </comment>
    <comment ref="E227" authorId="10" shapeId="0" xr:uid="{5A33FEBF-7F13-864A-B695-A1E29D5A6C6D}">
      <text>
        <t xml:space="preserve">[Threaded comment]
Your version of Excel allows you to read this threaded comment; however, any edits to it will get removed if the file is opened in a newer version of Excel. Learn more: https://go.microsoft.com/fwlink/?linkid=870924
Comment:
    Water heater </t>
      </text>
    </comment>
    <comment ref="F227" authorId="11" shapeId="0" xr:uid="{EB0AA160-7567-1542-A3D3-507C12CD875F}">
      <text>
        <t>[Threaded comment]
Your version of Excel allows you to read this threaded comment; however, any edits to it will get removed if the file is opened in a newer version of Excel. Learn more: https://go.microsoft.com/fwlink/?linkid=870924
Comment:
    Cash to Larissa</t>
      </text>
    </comment>
    <comment ref="J227" authorId="12" shapeId="0" xr:uid="{015FAB10-AFAF-6046-A79E-5263F9063930}">
      <text>
        <t xml:space="preserve">[Threaded comment]
Your version of Excel allows you to read this threaded comment; however, any edits to it will get removed if the file is opened in a newer version of Excel. Learn more: https://go.microsoft.com/fwlink/?linkid=870924
Comment:
    Trash
</t>
      </text>
    </comment>
    <comment ref="N227" authorId="13" shapeId="0" xr:uid="{0FEE39CB-ABD9-3E4C-8CF5-B1EBF62A3FCF}">
      <text>
        <t>[Threaded comment]
Your version of Excel allows you to read this threaded comment; however, any edits to it will get removed if the file is opened in a newer version of Excel. Learn more: https://go.microsoft.com/fwlink/?linkid=870924
Comment:
    Delivery fee for Larissa’s gel</t>
      </text>
    </comment>
    <comment ref="T227" authorId="14" shapeId="0" xr:uid="{C35CC5F7-53E6-1042-94C1-AA9494DFE842}">
      <text>
        <t>[Threaded comment]
Your version of Excel allows you to read this threaded comment; however, any edits to it will get removed if the file is opened in a newer version of Excel. Learn more: https://go.microsoft.com/fwlink/?linkid=870924
Comment:
    Hand mixer + delivery</t>
      </text>
    </comment>
    <comment ref="W227" authorId="15" shapeId="0" xr:uid="{D6B9BC24-ABF1-B842-B5E2-732708DFE72D}">
      <text>
        <t>[Threaded comment]
Your version of Excel allows you to read this threaded comment; however, any edits to it will get removed if the file is opened in a newer version of Excel. Learn more: https://go.microsoft.com/fwlink/?linkid=870924
Comment:
    Anniversary fund</t>
      </text>
    </comment>
    <comment ref="W233" authorId="16" shapeId="0" xr:uid="{CC768C5B-D8CB-2841-81D4-60BAE3AEA40B}">
      <text>
        <t>[Threaded comment]
Your version of Excel allows you to read this threaded comment; however, any edits to it will get removed if the file is opened in a newer version of Excel. Learn more: https://go.microsoft.com/fwlink/?linkid=870924
Comment:
    Savings transfer charge</t>
      </text>
    </comment>
    <comment ref="AB245" authorId="17" shapeId="0" xr:uid="{B43E2964-87A2-D342-948E-E6ECA8964F92}">
      <text>
        <t xml:space="preserve">[Threaded comment]
Your version of Excel allows you to read this threaded comment; however, any edits to it will get removed if the file is opened in a newer version of Excel. Learn more: https://go.microsoft.com/fwlink/?linkid=870924
Comment:
    Anniversary celebration </t>
      </text>
    </comment>
    <comment ref="D251" authorId="18" shapeId="0" xr:uid="{6FA554FF-529D-3E4C-99D1-4BE8DD996507}">
      <text>
        <t xml:space="preserve">[Threaded comment]
Your version of Excel allows you to read this threaded comment; however, any edits to it will get removed if the file is opened in a newer version of Excel. Learn more: https://go.microsoft.com/fwlink/?linkid=870924
Comment:
    Shaving sticks
</t>
      </text>
    </comment>
    <comment ref="K252" authorId="19" shapeId="0" xr:uid="{6094491F-AD67-5242-A0CA-DCAAFC9AA0D9}">
      <text>
        <t>[Threaded comment]
Your version of Excel allows you to read this threaded comment; however, any edits to it will get removed if the file is opened in a newer version of Excel. Learn more: https://go.microsoft.com/fwlink/?linkid=870924
Comment:
    Uber for Larissa</t>
      </text>
    </comment>
    <comment ref="F253" authorId="20" shapeId="0" xr:uid="{2B086A58-419A-DD48-B8DF-8A93E4AC02CC}">
      <text>
        <t xml:space="preserve">[Threaded comment]
Your version of Excel allows you to read this threaded comment; however, any edits to it will get removed if the file is opened in a newer version of Excel. Learn more: https://go.microsoft.com/fwlink/?linkid=870924
Comment:
    Donation to old woman
</t>
      </text>
    </comment>
    <comment ref="H253" authorId="21" shapeId="0" xr:uid="{4BE0F747-671B-A941-93F3-421244B7214A}">
      <text>
        <t>[Threaded comment]
Your version of Excel allows you to read this threaded comment; however, any edits to it will get removed if the file is opened in a newer version of Excel. Learn more: https://go.microsoft.com/fwlink/?linkid=870924
Comment:
    Shoe repairs</t>
      </text>
    </comment>
    <comment ref="P253" authorId="22" shapeId="0" xr:uid="{9B531ECF-1885-5B4B-BCF3-3171A57A76A8}">
      <text>
        <t>[Threaded comment]
Your version of Excel allows you to read this threaded comment; however, any edits to it will get removed if the file is opened in a newer version of Excel. Learn more: https://go.microsoft.com/fwlink/?linkid=870924
Comment:
    Eben’ s birthday</t>
      </text>
    </comment>
    <comment ref="Q253" authorId="23" shapeId="0" xr:uid="{043DDF6A-BFF2-5C48-BB70-F3D9BBDD29C4}">
      <text>
        <t>[Threaded comment]
Your version of Excel allows you to read this threaded comment; however, any edits to it will get removed if the file is opened in a newer version of Excel. Learn more: https://go.microsoft.com/fwlink/?linkid=870924
Comment:
    Electricity for Larissa</t>
      </text>
    </comment>
    <comment ref="U253" authorId="24" shapeId="0" xr:uid="{4EA8C925-C2EA-524E-9469-50DC6CDE2455}">
      <text>
        <t>[Threaded comment]
Your version of Excel allows you to read this threaded comment; however, any edits to it will get removed if the file is opened in a newer version of Excel. Learn more: https://go.microsoft.com/fwlink/?linkid=870924
Comment:
    Gave to Larissa</t>
      </text>
    </comment>
    <comment ref="X253" authorId="25" shapeId="0" xr:uid="{957539C1-0103-F948-A8EF-4A851DFDE8FA}">
      <text>
        <t xml:space="preserve">[Threaded comment]
Your version of Excel allows you to read this threaded comment; however, any edits to it will get removed if the file is opened in a newer version of Excel. Learn more: https://go.microsoft.com/fwlink/?linkid=870924
Comment:
    Larissa </t>
      </text>
    </comment>
    <comment ref="AF253" authorId="26" shapeId="0" xr:uid="{8C233738-3C0A-2142-96AC-19A33670CA43}">
      <text>
        <t xml:space="preserve">[Threaded comment]
Your version of Excel allows you to read this threaded comment; however, any edits to it will get removed if the file is opened in a newer version of Excel. Learn more: https://go.microsoft.com/fwlink/?linkid=870924
Comment:
    Gave to Larissa
</t>
      </text>
    </comment>
    <comment ref="Z271" authorId="27" shapeId="0" xr:uid="{1B6E9BCE-0678-244D-82CA-8F07120CA5DC}">
      <text>
        <t xml:space="preserve">[Threaded comment]
Your version of Excel allows you to read this threaded comment; however, any edits to it will get removed if the file is opened in a newer version of Excel. Learn more: https://go.microsoft.com/fwlink/?linkid=870924
Comment:
    Foodstuff
</t>
      </text>
    </comment>
    <comment ref="E272" authorId="28" shapeId="0" xr:uid="{74B740C7-5AC0-554F-AA29-DEEE4BA3ED26}">
      <text>
        <t xml:space="preserve">[Threaded comment]
Your version of Excel allows you to read this threaded comment; however, any edits to it will get removed if the file is opened in a newer version of Excel. Learn more: https://go.microsoft.com/fwlink/?linkid=870924
Comment:
    Vitamin C
</t>
      </text>
    </comment>
    <comment ref="I272" authorId="29" shapeId="0" xr:uid="{7663DB03-0BF5-A14D-A563-20BACC53A85A}">
      <text>
        <t>[Threaded comment]
Your version of Excel allows you to read this threaded comment; however, any edits to it will get removed if the file is opened in a newer version of Excel. Learn more: https://go.microsoft.com/fwlink/?linkid=870924
Comment:
    Eye drops for Larissa</t>
      </text>
    </comment>
    <comment ref="AM272" authorId="30" shapeId="0" xr:uid="{0E454D1D-E14B-034D-B5F5-2F7EA171B869}">
      <text>
        <t xml:space="preserve">[Threaded comment]
Your version of Excel allows you to read this threaded comment; however, any edits to it will get removed if the file is opened in a newer version of Excel. Learn more: https://go.microsoft.com/fwlink/?linkid=870924
Comment:
    Vitamin C
</t>
      </text>
    </comment>
    <comment ref="AC277" authorId="31" shapeId="0" xr:uid="{47ADFA99-83E6-7148-BB8E-B6FAD8084E8C}">
      <text>
        <t>[Threaded comment]
Your version of Excel allows you to read this threaded comment; however, any edits to it will get removed if the file is opened in a newer version of Excel. Learn more: https://go.microsoft.com/fwlink/?linkid=870924
Comment:
    Tissues for the office</t>
      </text>
    </comment>
    <comment ref="D279" authorId="32" shapeId="0" xr:uid="{63F6FB0B-08BC-BC4A-B60A-A5D05A28AC71}">
      <text>
        <t xml:space="preserve">[Threaded comment]
Your version of Excel allows you to read this threaded comment; however, any edits to it will get removed if the file is opened in a newer version of Excel. Learn more: https://go.microsoft.com/fwlink/?linkid=870924
Comment:
    Clash royale
</t>
      </text>
    </comment>
    <comment ref="E279" authorId="33" shapeId="0" xr:uid="{F46A4B0A-D4A4-7443-85D1-28332C77BEC0}">
      <text>
        <t>[Threaded comment]
Your version of Excel allows you to read this threaded comment; however, any edits to it will get removed if the file is opened in a newer version of Excel. Learn more: https://go.microsoft.com/fwlink/?linkid=870924
Comment:
    Slippers for Larissa</t>
      </text>
    </comment>
    <comment ref="I279" authorId="34" shapeId="0" xr:uid="{84620177-9F8C-FB4A-85BD-196C1F93EB9B}">
      <text>
        <t xml:space="preserve">[Threaded comment]
Your version of Excel allows you to read this threaded comment; however, any edits to it will get removed if the file is opened in a newer version of Excel. Learn more: https://go.microsoft.com/fwlink/?linkid=870924
Comment:
    Cash for Larissa </t>
      </text>
    </comment>
    <comment ref="N279" authorId="35" shapeId="0" xr:uid="{EE8A82C8-59A3-854F-A574-EAB8D1038E8F}">
      <text>
        <t>[Threaded comment]
Your version of Excel allows you to read this threaded comment; however, any edits to it will get removed if the file is opened in a newer version of Excel. Learn more: https://go.microsoft.com/fwlink/?linkid=870924
Comment:
    Cash for Larissa</t>
      </text>
    </comment>
    <comment ref="P279" authorId="36" shapeId="0" xr:uid="{AFEE81F8-E472-A24F-B5C4-AFBD0CC78A6B}">
      <text>
        <t xml:space="preserve">[Threaded comment]
Your version of Excel allows you to read this threaded comment; however, any edits to it will get removed if the file is opened in a newer version of Excel. Learn more: https://go.microsoft.com/fwlink/?linkid=870924
Comment:
    Cash for Larissa </t>
      </text>
    </comment>
    <comment ref="S279" authorId="37" shapeId="0" xr:uid="{8E3D47D2-ACDE-784A-8039-AF1CEF8523B8}">
      <text>
        <t>[Threaded comment]
Your version of Excel allows you to read this threaded comment; however, any edits to it will get removed if the file is opened in a newer version of Excel. Learn more: https://go.microsoft.com/fwlink/?linkid=870924
Comment:
    Tail comb</t>
      </text>
    </comment>
    <comment ref="U279" authorId="38" shapeId="0" xr:uid="{E3AAAB5B-BE98-7448-A10C-DCC471663C20}">
      <text>
        <t xml:space="preserve">[Threaded comment]
Your version of Excel allows you to read this threaded comment; however, any edits to it will get removed if the file is opened in a newer version of Excel. Learn more: https://go.microsoft.com/fwlink/?linkid=870924
Comment:
    Body splash and cash for Larissa
</t>
      </text>
    </comment>
    <comment ref="AD279" authorId="39" shapeId="0" xr:uid="{E2941D6A-2C1D-AD46-97D0-4DA7870F8737}">
      <text>
        <t>[Threaded comment]
Your version of Excel allows you to read this threaded comment; however, any edits to it will get removed if the file is opened in a newer version of Excel. Learn more: https://go.microsoft.com/fwlink/?linkid=870924
Comment:
    +Larissa’s lip balm</t>
      </text>
    </comment>
    <comment ref="AE279" authorId="40" shapeId="0" xr:uid="{0F6DF0C0-C31E-0244-B6F9-92ED7D6C4E4F}">
      <text>
        <t xml:space="preserve">[Threaded comment]
Your version of Excel allows you to read this threaded comment; however, any edits to it will get removed if the file is opened in a newer version of Excel. Learn more: https://go.microsoft.com/fwlink/?linkid=870924
Comment:
    Sent to Larissa for assignment
</t>
      </text>
    </comment>
    <comment ref="AL279" authorId="41" shapeId="0" xr:uid="{89AE3E54-CB50-784F-82E1-A51FC7292AA4}">
      <text>
        <t xml:space="preserve">[Threaded comment]
Your version of Excel allows you to read this threaded comment; however, any edits to it will get removed if the file is opened in a newer version of Excel. Learn more: https://go.microsoft.com/fwlink/?linkid=870924
Comment:
    Clash royale
</t>
      </text>
    </comment>
    <comment ref="H298" authorId="42" shapeId="0" xr:uid="{515EF8F9-D29F-8A4A-8712-25D27F293CF4}">
      <text>
        <t>[Threaded comment]
Your version of Excel allows you to read this threaded comment; however, any edits to it will get removed if the file is opened in a newer version of Excel. Learn more: https://go.microsoft.com/fwlink/?linkid=870924
Comment:
    Dental floss</t>
      </text>
    </comment>
    <comment ref="E305" authorId="43" shapeId="0" xr:uid="{0A595B69-6B46-C84B-9EAE-9890075971DA}">
      <text>
        <t xml:space="preserve">[Threaded comment]
Your version of Excel allows you to read this threaded comment; however, any edits to it will get removed if the file is opened in a newer version of Excel. Learn more: https://go.microsoft.com/fwlink/?linkid=870924
Comment:
    Airtime 
Reply:
    Cash for Larissa </t>
      </text>
    </comment>
    <comment ref="X305" authorId="44" shapeId="0" xr:uid="{122FD808-A1C3-F745-A99E-B524B7852E18}">
      <text>
        <t>[Threaded comment]
Your version of Excel allows you to read this threaded comment; however, any edits to it will get removed if the file is opened in a newer version of Excel. Learn more: https://go.microsoft.com/fwlink/?linkid=870924
Comment:
    Picture @palace</t>
      </text>
    </comment>
  </commentList>
</comments>
</file>

<file path=xl/sharedStrings.xml><?xml version="1.0" encoding="utf-8"?>
<sst xmlns="http://schemas.openxmlformats.org/spreadsheetml/2006/main" count="4111" uniqueCount="340">
  <si>
    <t>TOTAL</t>
  </si>
  <si>
    <t>GH¢</t>
  </si>
  <si>
    <t>BUDGET REPORT</t>
  </si>
  <si>
    <t>Budget</t>
  </si>
  <si>
    <t>Actual</t>
  </si>
  <si>
    <t>Variance</t>
  </si>
  <si>
    <t>Total Income</t>
  </si>
  <si>
    <t>Total Expenses</t>
  </si>
  <si>
    <t>Projected End Balance</t>
  </si>
  <si>
    <t>Salary</t>
  </si>
  <si>
    <t>Other</t>
  </si>
  <si>
    <t>Total</t>
  </si>
  <si>
    <t>Starting Balance</t>
  </si>
  <si>
    <t>Expenses</t>
  </si>
  <si>
    <t>Income</t>
  </si>
  <si>
    <t>Surplus / (Deficit)</t>
  </si>
  <si>
    <t>January</t>
  </si>
  <si>
    <t>February</t>
  </si>
  <si>
    <t>March</t>
  </si>
  <si>
    <t>April</t>
  </si>
  <si>
    <t>May</t>
  </si>
  <si>
    <t>June</t>
  </si>
  <si>
    <t>July</t>
  </si>
  <si>
    <t>August</t>
  </si>
  <si>
    <t>September</t>
  </si>
  <si>
    <t>October</t>
  </si>
  <si>
    <t>November</t>
  </si>
  <si>
    <t>December</t>
  </si>
  <si>
    <t>Average</t>
  </si>
  <si>
    <t>Month</t>
  </si>
  <si>
    <t>Sub-Total</t>
  </si>
  <si>
    <t>Surplus/ (Deficit)</t>
  </si>
  <si>
    <t>1. Gives you control over your money</t>
  </si>
  <si>
    <t>2. Keeps you focused on your money goals</t>
  </si>
  <si>
    <t>3. Helps you organize your spending, savings and investment</t>
  </si>
  <si>
    <t>4. Makes you decide in advance how your money will work for you</t>
  </si>
  <si>
    <t>5. Enables you to save for expected and unexpected costs</t>
  </si>
  <si>
    <t>6. Provides you with an early warning for potential financial problems</t>
  </si>
  <si>
    <t>BENEFITS OF BUDGETING YOUR MONEY</t>
  </si>
  <si>
    <t xml:space="preserve">Transportation </t>
  </si>
  <si>
    <t>Hair</t>
  </si>
  <si>
    <t>Food</t>
  </si>
  <si>
    <t xml:space="preserve">Travel/ Vacations </t>
  </si>
  <si>
    <t>Outings</t>
  </si>
  <si>
    <t xml:space="preserve">Savings/ Investment </t>
  </si>
  <si>
    <t xml:space="preserve">Clothes/ Shoes/ Jewelry </t>
  </si>
  <si>
    <t>Rent</t>
  </si>
  <si>
    <t>Tithe</t>
  </si>
  <si>
    <t>Apple Subscriptions</t>
  </si>
  <si>
    <t>Google 1</t>
  </si>
  <si>
    <t>Amuse</t>
  </si>
  <si>
    <t>Account Charges</t>
  </si>
  <si>
    <t>Data</t>
  </si>
  <si>
    <t>Toiletries/Groceries</t>
  </si>
  <si>
    <t xml:space="preserve">Expense </t>
  </si>
  <si>
    <t>Root Canal</t>
  </si>
  <si>
    <t>Cost(GHS)</t>
  </si>
  <si>
    <t>Driving school &amp; License</t>
  </si>
  <si>
    <t>Ipad and Pencil</t>
  </si>
  <si>
    <t>braces</t>
  </si>
  <si>
    <t>Driving school &amp; License(Larissa)</t>
  </si>
  <si>
    <t>Healthcare</t>
  </si>
  <si>
    <t>PERSONAL BUDGET FOR THE YEAR 2023</t>
  </si>
  <si>
    <t>CAH</t>
  </si>
  <si>
    <t>Moblie money</t>
  </si>
  <si>
    <t>Expected</t>
  </si>
  <si>
    <t>bank</t>
  </si>
  <si>
    <t>total</t>
  </si>
  <si>
    <t>P0219728</t>
  </si>
  <si>
    <t>tithe</t>
  </si>
  <si>
    <t>save</t>
  </si>
  <si>
    <t>data</t>
  </si>
  <si>
    <t>clothing</t>
  </si>
  <si>
    <t>electricity</t>
  </si>
  <si>
    <t xml:space="preserve"> Exp total</t>
  </si>
  <si>
    <t xml:space="preserve"> </t>
  </si>
  <si>
    <t>remainder</t>
  </si>
  <si>
    <t>days left</t>
  </si>
  <si>
    <t>OTHER</t>
  </si>
  <si>
    <t>GRAND TOTAL</t>
  </si>
  <si>
    <t>Customize it! Replace the entries above with your own to track your most frequently used categories.</t>
  </si>
  <si>
    <t>DONE?</t>
  </si>
  <si>
    <t>ITEM</t>
  </si>
  <si>
    <t>STORE</t>
  </si>
  <si>
    <t>CATEGORY</t>
  </si>
  <si>
    <t>QTY</t>
  </si>
  <si>
    <t>UNIT</t>
  </si>
  <si>
    <t>UNIT PRICE</t>
  </si>
  <si>
    <t>NOTE</t>
  </si>
  <si>
    <t>Foodstuff</t>
  </si>
  <si>
    <t>Frozen Food</t>
  </si>
  <si>
    <t>Household/Toiletries</t>
  </si>
  <si>
    <t>Store Bought</t>
  </si>
  <si>
    <t>Toothpaste</t>
  </si>
  <si>
    <t>Toothbrush</t>
  </si>
  <si>
    <t>Detergent</t>
  </si>
  <si>
    <t>Bath Soap</t>
  </si>
  <si>
    <t>Dish soap</t>
  </si>
  <si>
    <t>Butter</t>
  </si>
  <si>
    <t>Corn flakes/ rice crispies</t>
  </si>
  <si>
    <t>Oats</t>
  </si>
  <si>
    <t>Custard</t>
  </si>
  <si>
    <t>Yam</t>
  </si>
  <si>
    <t>Plantain</t>
  </si>
  <si>
    <t>Margarine</t>
  </si>
  <si>
    <t>peanut butter</t>
  </si>
  <si>
    <t>cheese</t>
  </si>
  <si>
    <t>Paper Towel</t>
  </si>
  <si>
    <t>fish 1kg</t>
  </si>
  <si>
    <t>oil</t>
  </si>
  <si>
    <t>olive oil</t>
  </si>
  <si>
    <t>Honey</t>
  </si>
  <si>
    <t>wet wipes</t>
  </si>
  <si>
    <t>spray starch</t>
  </si>
  <si>
    <t>perfume</t>
  </si>
  <si>
    <t>deodorant</t>
  </si>
  <si>
    <t>Mayonnaise</t>
  </si>
  <si>
    <t>Ketchup</t>
  </si>
  <si>
    <t>french fries</t>
  </si>
  <si>
    <t>eggs</t>
  </si>
  <si>
    <t>coconut oil</t>
  </si>
  <si>
    <t>granola</t>
  </si>
  <si>
    <t>Sausages</t>
  </si>
  <si>
    <t>GROCERY
LIST (FEB)</t>
  </si>
  <si>
    <t>apples</t>
  </si>
  <si>
    <t>Chicken</t>
  </si>
  <si>
    <t>Netflix</t>
  </si>
  <si>
    <t>Miscellaneous</t>
  </si>
  <si>
    <t>shoes</t>
  </si>
  <si>
    <t>root canal</t>
  </si>
  <si>
    <t>Yes</t>
  </si>
  <si>
    <t>outings</t>
  </si>
  <si>
    <t>groceries</t>
  </si>
  <si>
    <t>ice-cream</t>
  </si>
  <si>
    <t>melcom</t>
  </si>
  <si>
    <t>Milk</t>
  </si>
  <si>
    <t>tea</t>
  </si>
  <si>
    <t>Food container</t>
  </si>
  <si>
    <t>Yoghurt</t>
  </si>
  <si>
    <t>scouring pads(sponges)</t>
  </si>
  <si>
    <t>Tom-brown</t>
  </si>
  <si>
    <t>pocket tissue</t>
  </si>
  <si>
    <t>Tissue paper</t>
  </si>
  <si>
    <t>dettol soap</t>
  </si>
  <si>
    <t>shampoo</t>
  </si>
  <si>
    <t>conditioner</t>
  </si>
  <si>
    <t>lotion</t>
  </si>
  <si>
    <t>bread</t>
  </si>
  <si>
    <t>shaving stick</t>
  </si>
  <si>
    <t>buscuits</t>
  </si>
  <si>
    <t>Nana Ama</t>
  </si>
  <si>
    <t xml:space="preserve">  </t>
  </si>
  <si>
    <t>emergency funds</t>
  </si>
  <si>
    <t>GROCERY
LIST (JAN)</t>
  </si>
  <si>
    <t>Per day</t>
  </si>
  <si>
    <t>Savings</t>
  </si>
  <si>
    <t>Investments</t>
  </si>
  <si>
    <t>Tithe%</t>
  </si>
  <si>
    <t>Savings%</t>
  </si>
  <si>
    <t>Invesments%</t>
  </si>
  <si>
    <t>Available</t>
  </si>
  <si>
    <t>Hair / Gym</t>
  </si>
  <si>
    <t>GROCERY
LIST (March)</t>
  </si>
  <si>
    <t>GROCERY
LIST (April)</t>
  </si>
  <si>
    <t>GROCERY
LIST (May)</t>
  </si>
  <si>
    <t>Hair cream</t>
  </si>
  <si>
    <t>GROCERY
LIST (June)</t>
  </si>
  <si>
    <t>Notes</t>
  </si>
  <si>
    <t>Essential</t>
  </si>
  <si>
    <t>NO</t>
  </si>
  <si>
    <t>GROCERY
LIST (July)</t>
  </si>
  <si>
    <t>GROCERY
LIST (Aug)</t>
  </si>
  <si>
    <t>noodles</t>
  </si>
  <si>
    <t>spices</t>
  </si>
  <si>
    <t>whipcream</t>
  </si>
  <si>
    <t>dettol soap(larissa)</t>
  </si>
  <si>
    <t>soy sauce</t>
  </si>
  <si>
    <t>GROCERY
LIST (sept)</t>
  </si>
  <si>
    <t>GROCERY
LIST (sept) Alt</t>
  </si>
  <si>
    <t>jam</t>
  </si>
  <si>
    <t>soda bicarbonate</t>
  </si>
  <si>
    <t>popcorn</t>
  </si>
  <si>
    <t>candy</t>
  </si>
  <si>
    <t>dettol soap(Justin)</t>
  </si>
  <si>
    <t>sprite</t>
  </si>
  <si>
    <t>GROCERY
LIST  Essentials</t>
  </si>
  <si>
    <t>savings</t>
  </si>
  <si>
    <t>DATE (JAN, 2023)</t>
  </si>
  <si>
    <t>DATE (FEB, 2023)</t>
  </si>
  <si>
    <t>DATE (MARCH, 2023)</t>
  </si>
  <si>
    <t>DATE (APRIL, 2023)</t>
  </si>
  <si>
    <t>DATE (MAY, 2023)</t>
  </si>
  <si>
    <t>DATE (JUNE, 2023)</t>
  </si>
  <si>
    <t>DATE (JULY, 2023)</t>
  </si>
  <si>
    <t>DATE (AUG, 2023)</t>
  </si>
  <si>
    <t>DATE (SEPT , 2023)</t>
  </si>
  <si>
    <t>DATE (OCTOBER, 2023)</t>
  </si>
  <si>
    <t>DATE (NOV , 2023)</t>
  </si>
  <si>
    <t>DATE (DEC, 2023)</t>
  </si>
  <si>
    <t>exams</t>
  </si>
  <si>
    <t>matress</t>
  </si>
  <si>
    <t>ipad</t>
  </si>
  <si>
    <t>loan</t>
  </si>
  <si>
    <t>savings (actual)</t>
  </si>
  <si>
    <t>larissa</t>
  </si>
  <si>
    <t>expected</t>
  </si>
  <si>
    <t>GROCERY
LIST  (OCT)</t>
  </si>
  <si>
    <t xml:space="preserve">13th </t>
  </si>
  <si>
    <t>diff</t>
  </si>
  <si>
    <t xml:space="preserve">Larissa </t>
  </si>
  <si>
    <t>Land</t>
  </si>
  <si>
    <t xml:space="preserve">school </t>
  </si>
  <si>
    <t xml:space="preserve">total </t>
  </si>
  <si>
    <t>chrges</t>
  </si>
  <si>
    <t>spagetti</t>
  </si>
  <si>
    <t>cake mix</t>
  </si>
  <si>
    <t>flavour essence</t>
  </si>
  <si>
    <t>11 almond flavour</t>
  </si>
  <si>
    <t>baking powder</t>
  </si>
  <si>
    <t>gumies</t>
  </si>
  <si>
    <t>tin mackarel</t>
  </si>
  <si>
    <t>pad</t>
  </si>
  <si>
    <t>blue band margarine</t>
  </si>
  <si>
    <t>GROCERY
LIST  (OCT2)</t>
  </si>
  <si>
    <t>GROCERY
LIST  (NOV)</t>
  </si>
  <si>
    <t>antiseptic</t>
  </si>
  <si>
    <t>11.49, 11.69</t>
  </si>
  <si>
    <t>insecticide</t>
  </si>
  <si>
    <t>brandy</t>
  </si>
  <si>
    <t>wine</t>
  </si>
  <si>
    <t>80, 112</t>
  </si>
  <si>
    <t>Christmas Season</t>
  </si>
  <si>
    <t>Play</t>
  </si>
  <si>
    <t>Cinema</t>
  </si>
  <si>
    <t>beach</t>
  </si>
  <si>
    <t>picnic</t>
  </si>
  <si>
    <t>Bowling</t>
  </si>
  <si>
    <t>Larissa's Hair</t>
  </si>
  <si>
    <t>My Hair</t>
  </si>
  <si>
    <t>T -Shirts</t>
  </si>
  <si>
    <t xml:space="preserve">Food </t>
  </si>
  <si>
    <t>Carrot Cake</t>
  </si>
  <si>
    <t>Vanilla</t>
  </si>
  <si>
    <t>Mashed Potatoes</t>
  </si>
  <si>
    <t>Rosemary Rice and shrimp Scampi</t>
  </si>
  <si>
    <t>Pizza</t>
  </si>
  <si>
    <t>Ice cream</t>
  </si>
  <si>
    <t>Transport</t>
  </si>
  <si>
    <t>Paintball(war games Ghana)</t>
  </si>
  <si>
    <t>sharwarma</t>
  </si>
  <si>
    <t>cheese pound cake</t>
  </si>
  <si>
    <t xml:space="preserve">kwame Knrunah mausoleum /gallery 1957/melom </t>
  </si>
  <si>
    <t>Wknd 1</t>
  </si>
  <si>
    <t>Wknd 2</t>
  </si>
  <si>
    <t>Wknd 3</t>
  </si>
  <si>
    <t>Wknd 4</t>
  </si>
  <si>
    <t>Wknd 5</t>
  </si>
  <si>
    <t>Wknd 6</t>
  </si>
  <si>
    <t>2nd Dec</t>
  </si>
  <si>
    <t>3rd Dec</t>
  </si>
  <si>
    <t>9th Dec</t>
  </si>
  <si>
    <t>10th Dec</t>
  </si>
  <si>
    <t>16th Dec</t>
  </si>
  <si>
    <t>17th Dec</t>
  </si>
  <si>
    <t>23rd Dec</t>
  </si>
  <si>
    <t>24th Dec</t>
  </si>
  <si>
    <t>25th Dec</t>
  </si>
  <si>
    <t>26th Dec</t>
  </si>
  <si>
    <t>27th Dec</t>
  </si>
  <si>
    <t>28th Dec</t>
  </si>
  <si>
    <t>29th Dec</t>
  </si>
  <si>
    <t>Holiday Wk1</t>
  </si>
  <si>
    <t>30th Dec</t>
  </si>
  <si>
    <t>31st Dec</t>
  </si>
  <si>
    <t>1st Jan</t>
  </si>
  <si>
    <t>2nd Jan</t>
  </si>
  <si>
    <t>3rd Jan</t>
  </si>
  <si>
    <t>4th Jan</t>
  </si>
  <si>
    <t>5th Jan</t>
  </si>
  <si>
    <t>Holiday Wk2</t>
  </si>
  <si>
    <t>6th Jan</t>
  </si>
  <si>
    <t>7th Jan</t>
  </si>
  <si>
    <t>Activity</t>
  </si>
  <si>
    <t>Retreat</t>
  </si>
  <si>
    <t>Snack: Plantain chips</t>
  </si>
  <si>
    <t>Brunch: Noodles
Dinner: Fries + Chicken + Coleslaw + White wine</t>
  </si>
  <si>
    <t>Lunch from church
Supper: Sandwiches</t>
  </si>
  <si>
    <t>Rest Day</t>
  </si>
  <si>
    <t>Cross- Over</t>
  </si>
  <si>
    <t>Church Activities</t>
  </si>
  <si>
    <t>Beach Day</t>
  </si>
  <si>
    <t>Swimming</t>
  </si>
  <si>
    <t>Kwame Nkrumah Mausoleum &amp; Gallery 1957</t>
  </si>
  <si>
    <t>Visit Larissa's parents, 
Church gathering at Mish's</t>
  </si>
  <si>
    <t>Dinner</t>
  </si>
  <si>
    <t>Rest Day/ Larissa goes to parents</t>
  </si>
  <si>
    <t>Transport and Miscellaneous</t>
  </si>
  <si>
    <t>Botanical Gardens High Rope Course</t>
  </si>
  <si>
    <t>Dinner at Li Beirut</t>
  </si>
  <si>
    <t xml:space="preserve">palace chimney cone /melom </t>
  </si>
  <si>
    <t>Botanical gardens high rope course</t>
  </si>
  <si>
    <t>Rest Day/ Go for a walk and grab some pinkberry</t>
  </si>
  <si>
    <t>Rest Day/ Grab some boba</t>
  </si>
  <si>
    <t>Ice cream at palace mall /Shopping at Melcom Mall</t>
  </si>
  <si>
    <t>Boba/ FroYo/ Ice cream</t>
  </si>
  <si>
    <t>sweet &amp; sour sauce</t>
  </si>
  <si>
    <t>chinese sauce</t>
  </si>
  <si>
    <t xml:space="preserve">Brunch: Oats
Late Lunch: Rice with fish and stir fry sauce
Snacks in the night
</t>
  </si>
  <si>
    <t>Lunch from church
Supper: Fries/ Fried yam</t>
  </si>
  <si>
    <t>Brunch: Oats
Supper: Vegetable Rice and Chicken</t>
  </si>
  <si>
    <t>Lunch from church
Supper: Fries/ Plantain</t>
  </si>
  <si>
    <t xml:space="preserve">Breakfast: Tea, toast, baked beans, bacon, sausages, eggs, potato salad, fried tomatoes
</t>
  </si>
  <si>
    <t>Kwame Nkrumah mausoleum /gallery 1957</t>
  </si>
  <si>
    <t>Breakfast: Oats with Tuna sandwiches
Supper: Mash with Beef, red wine, carrot cake</t>
  </si>
  <si>
    <t>Breakfast: Noodles
Supper: Left Over Mash</t>
  </si>
  <si>
    <t>Rest Day/ Bake cream cheese cake</t>
  </si>
  <si>
    <t xml:space="preserve">Brunch:
Rosemary Rice with shrimp scampi, white wine, cream cheese pound cake
Supper: Boba tea
</t>
  </si>
  <si>
    <t>Brunch: Noodles
Supper: buy food at beach</t>
  </si>
  <si>
    <t>Brunch: Oats/ Noodles
Supper: Shawarma</t>
  </si>
  <si>
    <t>Brunch: Tea with sandwiches
Dinner: Seafood platter</t>
  </si>
  <si>
    <t>Fish and chips</t>
  </si>
  <si>
    <t>Yam and egg stew with fish</t>
  </si>
  <si>
    <t>Brunch: Noodles
Supper: Fried rice with sweet and sour pork with Rosé, chocolate cake</t>
  </si>
  <si>
    <t xml:space="preserve">Brunch: Tea with sandwiches
</t>
  </si>
  <si>
    <t>Breakfast: Tea with bread and eggs
Early supper: Jollof with Turkey</t>
  </si>
  <si>
    <t>Brunch: Left Over Jollof
Supper: Papaye</t>
  </si>
  <si>
    <t>Breakfast: Oats
Supper: Yam and egg stew with fish</t>
  </si>
  <si>
    <t xml:space="preserve">Brunch: Rice and eggstew
Supper: Pizza
</t>
  </si>
  <si>
    <t>GROCERY
LIST  (DEC)</t>
  </si>
  <si>
    <t>cake pan</t>
  </si>
  <si>
    <t xml:space="preserve">misc </t>
  </si>
  <si>
    <t>minus groceries</t>
  </si>
  <si>
    <t>minus TT</t>
  </si>
  <si>
    <t xml:space="preserve">minus data </t>
  </si>
  <si>
    <t>toilet brush</t>
  </si>
  <si>
    <t>airfryeer liner</t>
  </si>
  <si>
    <t xml:space="preserve">hook </t>
  </si>
  <si>
    <t>Butter(Elle&amp;Vire Marquis)</t>
  </si>
  <si>
    <t>cake margarine</t>
  </si>
  <si>
    <t xml:space="preserve">larissa's body wash+ hand lotion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</si>
</sst>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8" formatCode="&quot;GH₵&quot;#,##0.00_);[Red]\(&quot;GH₵&quot;#,##0.00\)"/>
    <numFmt numFmtId="42" formatCode="_(&quot;GH₵&quot;* #,##0_);_(&quot;GH₵&quot;* \(#,##0\);_(&quot;GH₵&quot;* &quot;-&quot;_);_(@_)"/>
    <numFmt numFmtId="43" formatCode="_(* #,##0.00_);_(* \(#,##0.00\);_(* &quot;-&quot;??_);_(@_)"/>
    <numFmt numFmtId="164" formatCode="&quot;$&quot;#,##0.00"/>
    <numFmt numFmtId="165" formatCode="&quot;GH₵&quot;#,##0.00"/>
  </numFmts>
  <fonts count="47" x14ac:knownFonts="1">
    <font>
      <sz val="11"/>
      <color rgb="FF000000"/>
      <name val="Calibri"/>
      <charset val="1"/>
    </font>
    <font>
      <sz val="11"/>
      <color rgb="FF000000"/>
      <name val="Calibri"/>
      <family val="2"/>
    </font>
    <font>
      <sz val="11"/>
      <color rgb="FF000000"/>
      <name val="Calibri"/>
      <family val="2"/>
    </font>
    <font>
      <sz val="11"/>
      <color rgb="FF000000"/>
      <name val="Calibri"/>
      <family val="2"/>
    </font>
    <font>
      <sz val="11"/>
      <color rgb="FF000000"/>
      <name val="Calibri"/>
      <family val="2"/>
    </font>
    <font>
      <b/>
      <sz val="11"/>
      <color rgb="FF000000"/>
      <name val="Calibri"/>
      <family val="2"/>
    </font>
    <font>
      <b/>
      <sz val="12"/>
      <color rgb="FF000000"/>
      <name val="Calibri"/>
      <family val="2"/>
    </font>
    <font>
      <sz val="11"/>
      <color rgb="FF000000"/>
      <name val="Calibri"/>
      <family val="2"/>
    </font>
    <font>
      <sz val="11"/>
      <color rgb="FF000000"/>
      <name val="Calibri"/>
      <family val="2"/>
    </font>
    <font>
      <b/>
      <sz val="12"/>
      <color rgb="FF000000"/>
      <name val="Calibri"/>
      <family val="2"/>
    </font>
    <font>
      <b/>
      <sz val="12"/>
      <color rgb="FF000000"/>
      <name val="Calibri"/>
      <family val="2"/>
    </font>
    <font>
      <sz val="11"/>
      <color rgb="FF000000"/>
      <name val="Calibri"/>
      <family val="2"/>
    </font>
    <font>
      <b/>
      <sz val="12"/>
      <color rgb="FF000000"/>
      <name val="Calibri"/>
      <family val="2"/>
    </font>
    <font>
      <sz val="11"/>
      <color rgb="FF000000"/>
      <name val="Calibri"/>
      <family val="2"/>
    </font>
    <font>
      <sz val="12"/>
      <color rgb="FF000000"/>
      <name val="Calibri"/>
      <family val="2"/>
    </font>
    <font>
      <sz val="11"/>
      <color rgb="FF000000"/>
      <name val="Calibri"/>
      <family val="2"/>
    </font>
    <font>
      <sz val="12"/>
      <color rgb="FF000000"/>
      <name val="Calibri"/>
      <family val="2"/>
    </font>
    <font>
      <b/>
      <sz val="12"/>
      <color rgb="FF000000"/>
      <name val="Calibri"/>
      <family val="2"/>
    </font>
    <font>
      <sz val="11"/>
      <color rgb="FF000000"/>
      <name val="Calibri"/>
      <family val="2"/>
    </font>
    <font>
      <sz val="11"/>
      <color rgb="FF000000"/>
      <name val="Calibri"/>
      <family val="2"/>
    </font>
    <font>
      <sz val="12"/>
      <color rgb="FF000000"/>
      <name val="Calibri"/>
      <family val="2"/>
    </font>
    <font>
      <sz val="12"/>
      <color rgb="FF000000"/>
      <name val="Calibri"/>
      <family val="2"/>
    </font>
    <font>
      <b/>
      <sz val="11"/>
      <color rgb="FF000000"/>
      <name val="Calibri"/>
      <family val="2"/>
    </font>
    <font>
      <b/>
      <sz val="12"/>
      <color rgb="FFFF0000"/>
      <name val="Calibri"/>
      <family val="2"/>
    </font>
    <font>
      <b/>
      <sz val="12"/>
      <color rgb="FFFF0000"/>
      <name val="Calibri"/>
      <family val="2"/>
    </font>
    <font>
      <b/>
      <sz val="12"/>
      <color rgb="FF000000"/>
      <name val="Calibri"/>
      <family val="2"/>
    </font>
    <font>
      <sz val="11"/>
      <color rgb="FF000000"/>
      <name val="Calibri"/>
      <family val="2"/>
    </font>
    <font>
      <b/>
      <sz val="11"/>
      <color rgb="FF000000"/>
      <name val="Calibri"/>
      <family val="2"/>
    </font>
    <font>
      <b/>
      <sz val="12"/>
      <color rgb="FFFF0000"/>
      <name val="Calibri"/>
      <family val="2"/>
    </font>
    <font>
      <b/>
      <sz val="11"/>
      <color theme="1"/>
      <name val="Calibri"/>
      <family val="2"/>
      <scheme val="minor"/>
    </font>
    <font>
      <b/>
      <sz val="14"/>
      <color theme="0"/>
      <name val="Calibri"/>
      <family val="2"/>
    </font>
    <font>
      <b/>
      <sz val="12"/>
      <color theme="0"/>
      <name val="Calibri"/>
      <family val="2"/>
    </font>
    <font>
      <sz val="11"/>
      <color theme="0"/>
      <name val="Calibri"/>
      <family val="2"/>
    </font>
    <font>
      <b/>
      <sz val="16"/>
      <color theme="0"/>
      <name val="Calibri"/>
      <family val="2"/>
    </font>
    <font>
      <sz val="12"/>
      <color rgb="FF000000"/>
      <name val="Calibri"/>
      <family val="2"/>
    </font>
    <font>
      <b/>
      <sz val="12"/>
      <name val="Calibri"/>
      <family val="2"/>
    </font>
    <font>
      <sz val="12"/>
      <name val="Calibri"/>
      <family val="2"/>
    </font>
    <font>
      <sz val="11"/>
      <color theme="0"/>
      <name val="Calibri"/>
      <family val="2"/>
      <scheme val="minor"/>
    </font>
    <font>
      <sz val="11"/>
      <color theme="3"/>
      <name val="Calibri"/>
      <family val="2"/>
      <scheme val="minor"/>
    </font>
    <font>
      <sz val="28"/>
      <color theme="0"/>
      <name val="Cambria"/>
      <family val="2"/>
      <scheme val="major"/>
    </font>
    <font>
      <sz val="11"/>
      <color theme="0"/>
      <name val="Cambria"/>
      <family val="2"/>
      <scheme val="major"/>
    </font>
    <font>
      <sz val="16"/>
      <color theme="0"/>
      <name val="Calibri"/>
      <family val="2"/>
      <scheme val="minor"/>
    </font>
    <font>
      <sz val="11"/>
      <color rgb="FF000000"/>
      <name val="Calibri"/>
      <family val="2"/>
      <charset val="1"/>
    </font>
    <font>
      <sz val="24"/>
      <color theme="0"/>
      <name val="Cambria (Headings)"/>
    </font>
    <font>
      <b/>
      <sz val="10"/>
      <color rgb="FF000000"/>
      <name val="Tahoma"/>
      <family val="2"/>
    </font>
    <font>
      <sz val="8"/>
      <name val="Calibri"/>
      <family val="2"/>
    </font>
    <font>
      <sz val="11"/>
      <color rgb="FFFF0000"/>
      <name val="Calibri"/>
      <family val="2"/>
    </font>
  </fonts>
  <fills count="16">
    <fill>
      <patternFill patternType="none"/>
    </fill>
    <fill>
      <patternFill patternType="gray125"/>
    </fill>
    <fill>
      <patternFill patternType="solid">
        <fgColor rgb="FF0070C0"/>
        <bgColor rgb="FF000000"/>
      </patternFill>
    </fill>
    <fill>
      <patternFill patternType="solid">
        <fgColor rgb="FF0070C0"/>
        <bgColor indexed="64"/>
      </patternFill>
    </fill>
    <fill>
      <patternFill patternType="solid">
        <fgColor theme="0" tint="-0.14999847407452621"/>
        <bgColor indexed="64"/>
      </patternFill>
    </fill>
    <fill>
      <patternFill patternType="solid">
        <fgColor rgb="FF00B050"/>
        <bgColor indexed="64"/>
      </patternFill>
    </fill>
    <fill>
      <patternFill patternType="solid">
        <fgColor theme="4"/>
      </patternFill>
    </fill>
    <fill>
      <patternFill patternType="solid">
        <fgColor theme="4"/>
        <bgColor indexed="64"/>
      </patternFill>
    </fill>
    <fill>
      <patternFill patternType="solid">
        <fgColor theme="5" tint="-0.499984740745262"/>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3"/>
        <bgColor indexed="64"/>
      </patternFill>
    </fill>
    <fill>
      <patternFill patternType="solid">
        <fgColor rgb="FFFFFF00"/>
        <bgColor indexed="64"/>
      </patternFill>
    </fill>
    <fill>
      <patternFill patternType="solid">
        <fgColor rgb="FF00B0F0"/>
        <bgColor indexed="64"/>
      </patternFill>
    </fill>
  </fills>
  <borders count="11">
    <border>
      <left/>
      <right/>
      <top/>
      <bottom/>
      <diagonal/>
    </border>
    <border>
      <left/>
      <right/>
      <top/>
      <bottom style="thin">
        <color rgb="FF000000"/>
      </bottom>
      <diagonal/>
    </border>
    <border>
      <left/>
      <right/>
      <top style="medium">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double">
        <color indexed="64"/>
      </bottom>
      <diagonal/>
    </border>
    <border>
      <left/>
      <right/>
      <top style="thin">
        <color theme="4"/>
      </top>
      <bottom style="double">
        <color theme="4"/>
      </bottom>
      <diagonal/>
    </border>
    <border>
      <left/>
      <right/>
      <top style="double">
        <color theme="4"/>
      </top>
      <bottom/>
      <diagonal/>
    </border>
    <border>
      <left/>
      <right style="thick">
        <color theme="0"/>
      </right>
      <top/>
      <bottom/>
      <diagonal/>
    </border>
    <border>
      <left style="thick">
        <color theme="0"/>
      </left>
      <right style="thick">
        <color theme="0"/>
      </right>
      <top style="thick">
        <color theme="0"/>
      </top>
      <bottom/>
      <diagonal/>
    </border>
    <border>
      <left style="thick">
        <color theme="0"/>
      </left>
      <right style="thick">
        <color theme="0"/>
      </right>
      <top/>
      <bottom style="thick">
        <color theme="0"/>
      </bottom>
      <diagonal/>
    </border>
  </borders>
  <cellStyleXfs count="19">
    <xf numFmtId="0" fontId="0" fillId="0" borderId="0"/>
    <xf numFmtId="43" fontId="1" fillId="0" borderId="0" applyFont="0" applyFill="0" applyBorder="0" applyAlignment="0" applyProtection="0"/>
    <xf numFmtId="9" fontId="1" fillId="0" borderId="0" applyFont="0" applyFill="0" applyBorder="0" applyAlignment="0" applyProtection="0"/>
    <xf numFmtId="0" fontId="29" fillId="0" borderId="6" applyNumberFormat="0" applyFill="0" applyAlignment="0" applyProtection="0"/>
    <xf numFmtId="0" fontId="37" fillId="6" borderId="0" applyNumberFormat="0" applyProtection="0">
      <alignment horizontal="center" vertical="center"/>
    </xf>
    <xf numFmtId="0" fontId="38" fillId="0" borderId="0" applyNumberFormat="0" applyBorder="0" applyProtection="0">
      <alignment horizontal="left" vertical="center" wrapText="1"/>
    </xf>
    <xf numFmtId="0" fontId="39" fillId="7" borderId="0" applyNumberFormat="0" applyBorder="0" applyProtection="0">
      <alignment horizontal="left" vertical="center" wrapText="1"/>
    </xf>
    <xf numFmtId="0" fontId="40" fillId="8" borderId="9" applyNumberFormat="0" applyProtection="0">
      <alignment horizontal="center" wrapText="1"/>
    </xf>
    <xf numFmtId="0" fontId="37" fillId="9" borderId="9" applyNumberFormat="0" applyProtection="0">
      <alignment horizontal="center" wrapText="1"/>
    </xf>
    <xf numFmtId="0" fontId="37" fillId="10" borderId="9" applyNumberFormat="0" applyProtection="0">
      <alignment horizontal="center" wrapText="1"/>
    </xf>
    <xf numFmtId="0" fontId="37" fillId="11" borderId="9" applyNumberFormat="0" applyProtection="0">
      <alignment horizontal="center" wrapText="1"/>
    </xf>
    <xf numFmtId="0" fontId="37" fillId="12" borderId="9">
      <alignment horizontal="center" wrapText="1"/>
    </xf>
    <xf numFmtId="0" fontId="37" fillId="13" borderId="9" applyNumberFormat="0" applyProtection="0">
      <alignment horizontal="center" wrapText="1"/>
    </xf>
    <xf numFmtId="164" fontId="41" fillId="0" borderId="10" applyFill="0" applyProtection="0">
      <alignment horizontal="center" vertical="top"/>
    </xf>
    <xf numFmtId="0" fontId="37" fillId="7" borderId="0" applyNumberFormat="0" applyProtection="0">
      <alignment horizontal="right" vertical="center" indent="16"/>
    </xf>
    <xf numFmtId="0" fontId="38" fillId="0" borderId="0" applyNumberFormat="0" applyFont="0" applyFill="0" applyBorder="0">
      <alignment horizontal="center" vertical="center"/>
    </xf>
    <xf numFmtId="164" fontId="38" fillId="0" borderId="0" applyFont="0" applyFill="0" applyBorder="0" applyProtection="0">
      <alignment horizontal="right" vertical="center" indent="3"/>
    </xf>
    <xf numFmtId="0" fontId="1" fillId="0" borderId="0"/>
    <xf numFmtId="42" fontId="1" fillId="0" borderId="0" applyFont="0" applyFill="0" applyBorder="0" applyAlignment="0" applyProtection="0"/>
  </cellStyleXfs>
  <cellXfs count="139">
    <xf numFmtId="0" fontId="0" fillId="0" borderId="0" xfId="0"/>
    <xf numFmtId="0" fontId="2" fillId="0" borderId="0" xfId="0" applyFont="1"/>
    <xf numFmtId="0" fontId="3" fillId="0" borderId="0" xfId="0" applyFont="1"/>
    <xf numFmtId="0" fontId="4" fillId="0" borderId="0" xfId="0" applyFont="1" applyAlignment="1">
      <alignment horizontal="center"/>
    </xf>
    <xf numFmtId="0" fontId="5" fillId="0" borderId="0" xfId="0" applyFont="1"/>
    <xf numFmtId="0" fontId="6" fillId="0" borderId="0" xfId="0" applyFont="1"/>
    <xf numFmtId="43" fontId="7" fillId="0" borderId="0" xfId="0" applyNumberFormat="1" applyFont="1"/>
    <xf numFmtId="0" fontId="11" fillId="0" borderId="0" xfId="0" applyFont="1"/>
    <xf numFmtId="0" fontId="13" fillId="0" borderId="0" xfId="0" applyFont="1"/>
    <xf numFmtId="43" fontId="14" fillId="0" borderId="0" xfId="0" applyNumberFormat="1" applyFont="1"/>
    <xf numFmtId="43" fontId="16" fillId="0" borderId="0" xfId="0" applyNumberFormat="1" applyFont="1"/>
    <xf numFmtId="43" fontId="18" fillId="0" borderId="0" xfId="0" applyNumberFormat="1" applyFont="1"/>
    <xf numFmtId="43" fontId="24" fillId="0" borderId="0" xfId="0" applyNumberFormat="1" applyFont="1"/>
    <xf numFmtId="43" fontId="3" fillId="0" borderId="0" xfId="1" applyFont="1" applyFill="1" applyBorder="1" applyAlignment="1"/>
    <xf numFmtId="0" fontId="27" fillId="0" borderId="0" xfId="0" applyFont="1"/>
    <xf numFmtId="43" fontId="28" fillId="0" borderId="0" xfId="0" applyNumberFormat="1" applyFont="1"/>
    <xf numFmtId="0" fontId="26" fillId="0" borderId="0" xfId="0" applyFont="1"/>
    <xf numFmtId="43" fontId="9" fillId="0" borderId="0" xfId="0" applyNumberFormat="1" applyFont="1"/>
    <xf numFmtId="0" fontId="6" fillId="0" borderId="4" xfId="0" applyFont="1" applyBorder="1"/>
    <xf numFmtId="43" fontId="9" fillId="0" borderId="5" xfId="0" applyNumberFormat="1" applyFont="1" applyBorder="1"/>
    <xf numFmtId="0" fontId="6" fillId="0" borderId="2" xfId="0" applyFont="1" applyBorder="1"/>
    <xf numFmtId="43" fontId="9" fillId="0" borderId="2" xfId="0" applyNumberFormat="1" applyFont="1" applyBorder="1"/>
    <xf numFmtId="0" fontId="12" fillId="0" borderId="2" xfId="0" applyFont="1" applyBorder="1"/>
    <xf numFmtId="43" fontId="16" fillId="0" borderId="0" xfId="1" applyFont="1" applyFill="1" applyBorder="1" applyAlignment="1"/>
    <xf numFmtId="43" fontId="0" fillId="0" borderId="0" xfId="1" applyFont="1"/>
    <xf numFmtId="0" fontId="31" fillId="3" borderId="0" xfId="0" applyFont="1" applyFill="1"/>
    <xf numFmtId="43" fontId="31" fillId="3" borderId="0" xfId="0" applyNumberFormat="1" applyFont="1" applyFill="1" applyAlignment="1">
      <alignment horizontal="center"/>
    </xf>
    <xf numFmtId="43" fontId="29" fillId="0" borderId="6" xfId="3" applyNumberFormat="1" applyFill="1" applyAlignment="1"/>
    <xf numFmtId="43" fontId="20" fillId="4" borderId="0" xfId="0" applyNumberFormat="1" applyFont="1" applyFill="1" applyAlignment="1">
      <alignment horizontal="right"/>
    </xf>
    <xf numFmtId="43" fontId="29" fillId="4" borderId="6" xfId="3" applyNumberFormat="1" applyFill="1" applyAlignment="1">
      <alignment horizontal="right"/>
    </xf>
    <xf numFmtId="43" fontId="23" fillId="4" borderId="0" xfId="0" applyNumberFormat="1" applyFont="1" applyFill="1" applyAlignment="1">
      <alignment horizontal="right"/>
    </xf>
    <xf numFmtId="43" fontId="34" fillId="0" borderId="0" xfId="0" applyNumberFormat="1" applyFont="1"/>
    <xf numFmtId="43" fontId="32" fillId="2" borderId="0" xfId="0" applyNumberFormat="1" applyFont="1" applyFill="1"/>
    <xf numFmtId="43" fontId="32" fillId="2" borderId="1" xfId="0" applyNumberFormat="1" applyFont="1" applyFill="1" applyBorder="1"/>
    <xf numFmtId="43" fontId="0" fillId="0" borderId="0" xfId="0" applyNumberFormat="1"/>
    <xf numFmtId="0" fontId="29" fillId="0" borderId="6" xfId="3"/>
    <xf numFmtId="43" fontId="29" fillId="0" borderId="6" xfId="3" applyNumberFormat="1"/>
    <xf numFmtId="43" fontId="15" fillId="0" borderId="0" xfId="0" applyNumberFormat="1" applyFont="1"/>
    <xf numFmtId="43" fontId="29" fillId="0" borderId="6" xfId="1" applyFont="1" applyBorder="1"/>
    <xf numFmtId="10" fontId="0" fillId="0" borderId="0" xfId="2" applyNumberFormat="1" applyFont="1"/>
    <xf numFmtId="43" fontId="19" fillId="0" borderId="0" xfId="0" applyNumberFormat="1" applyFont="1"/>
    <xf numFmtId="0" fontId="25" fillId="5" borderId="0" xfId="0" applyFont="1" applyFill="1"/>
    <xf numFmtId="43" fontId="25" fillId="5" borderId="0" xfId="0" applyNumberFormat="1" applyFont="1" applyFill="1"/>
    <xf numFmtId="43" fontId="21" fillId="4" borderId="0" xfId="1" applyFont="1" applyFill="1" applyBorder="1" applyAlignment="1"/>
    <xf numFmtId="43" fontId="29" fillId="4" borderId="6" xfId="1" applyFont="1" applyFill="1" applyBorder="1" applyAlignment="1"/>
    <xf numFmtId="43" fontId="6" fillId="4" borderId="0" xfId="0" applyNumberFormat="1" applyFont="1" applyFill="1" applyAlignment="1">
      <alignment horizontal="center"/>
    </xf>
    <xf numFmtId="43" fontId="17" fillId="4" borderId="0" xfId="0" applyNumberFormat="1" applyFont="1" applyFill="1" applyAlignment="1">
      <alignment horizontal="center"/>
    </xf>
    <xf numFmtId="43" fontId="25" fillId="4" borderId="0" xfId="1" applyFont="1" applyFill="1"/>
    <xf numFmtId="43" fontId="29" fillId="4" borderId="6" xfId="3" applyNumberFormat="1" applyFill="1"/>
    <xf numFmtId="0" fontId="0" fillId="4" borderId="0" xfId="0" applyFill="1"/>
    <xf numFmtId="43" fontId="0" fillId="4" borderId="0" xfId="1" applyFont="1" applyFill="1"/>
    <xf numFmtId="43" fontId="29" fillId="4" borderId="6" xfId="1" applyFont="1" applyFill="1" applyBorder="1"/>
    <xf numFmtId="0" fontId="3" fillId="4" borderId="0" xfId="0" applyFont="1" applyFill="1"/>
    <xf numFmtId="0" fontId="4" fillId="4" borderId="0" xfId="0" applyFont="1" applyFill="1" applyAlignment="1">
      <alignment horizontal="center"/>
    </xf>
    <xf numFmtId="43" fontId="8" fillId="4" borderId="0" xfId="0" applyNumberFormat="1" applyFont="1" applyFill="1"/>
    <xf numFmtId="43" fontId="10" fillId="4" borderId="5" xfId="0" applyNumberFormat="1" applyFont="1" applyFill="1" applyBorder="1"/>
    <xf numFmtId="43" fontId="10" fillId="4" borderId="2" xfId="0" applyNumberFormat="1" applyFont="1" applyFill="1" applyBorder="1"/>
    <xf numFmtId="43" fontId="10" fillId="4" borderId="0" xfId="0" applyNumberFormat="1" applyFont="1" applyFill="1"/>
    <xf numFmtId="0" fontId="35" fillId="0" borderId="0" xfId="0" applyFont="1"/>
    <xf numFmtId="43" fontId="35" fillId="0" borderId="0" xfId="0" applyNumberFormat="1" applyFont="1" applyAlignment="1">
      <alignment horizontal="center"/>
    </xf>
    <xf numFmtId="43" fontId="29" fillId="4" borderId="0" xfId="1" applyFont="1" applyFill="1" applyBorder="1" applyAlignment="1"/>
    <xf numFmtId="43" fontId="29" fillId="0" borderId="7" xfId="3" applyNumberFormat="1" applyFill="1" applyBorder="1" applyAlignment="1"/>
    <xf numFmtId="0" fontId="22" fillId="0" borderId="0" xfId="0" applyFont="1"/>
    <xf numFmtId="0" fontId="22" fillId="4" borderId="0" xfId="0" applyFont="1" applyFill="1"/>
    <xf numFmtId="43" fontId="29" fillId="0" borderId="7" xfId="3" applyNumberFormat="1" applyBorder="1"/>
    <xf numFmtId="0" fontId="29" fillId="0" borderId="7" xfId="3" applyBorder="1"/>
    <xf numFmtId="43" fontId="29" fillId="4" borderId="7" xfId="3" applyNumberFormat="1" applyFill="1" applyBorder="1"/>
    <xf numFmtId="43" fontId="25" fillId="4" borderId="0" xfId="0" applyNumberFormat="1" applyFont="1" applyFill="1" applyAlignment="1">
      <alignment horizontal="center"/>
    </xf>
    <xf numFmtId="43" fontId="35" fillId="4" borderId="0" xfId="0" applyNumberFormat="1" applyFont="1" applyFill="1" applyAlignment="1">
      <alignment horizontal="center"/>
    </xf>
    <xf numFmtId="0" fontId="36" fillId="0" borderId="0" xfId="0" applyFont="1"/>
    <xf numFmtId="43" fontId="36" fillId="0" borderId="0" xfId="0" applyNumberFormat="1" applyFont="1" applyAlignment="1">
      <alignment horizontal="center"/>
    </xf>
    <xf numFmtId="0" fontId="26" fillId="0" borderId="0" xfId="0" applyFont="1" applyAlignment="1">
      <alignment horizontal="left" vertical="center" indent="1"/>
    </xf>
    <xf numFmtId="0" fontId="1" fillId="0" borderId="0" xfId="0" applyFont="1"/>
    <xf numFmtId="0" fontId="38" fillId="0" borderId="0" xfId="5" applyProtection="1">
      <alignment horizontal="left" vertical="center" wrapText="1"/>
    </xf>
    <xf numFmtId="0" fontId="40" fillId="8" borderId="9" xfId="7" applyProtection="1">
      <alignment horizontal="center" wrapText="1"/>
    </xf>
    <xf numFmtId="0" fontId="37" fillId="9" borderId="9" xfId="8" applyProtection="1">
      <alignment horizontal="center" wrapText="1"/>
    </xf>
    <xf numFmtId="0" fontId="37" fillId="10" borderId="9" xfId="9" applyProtection="1">
      <alignment horizontal="center" wrapText="1"/>
    </xf>
    <xf numFmtId="0" fontId="37" fillId="11" borderId="9" xfId="10" applyProtection="1">
      <alignment horizontal="center" wrapText="1"/>
    </xf>
    <xf numFmtId="0" fontId="37" fillId="12" borderId="9" xfId="11">
      <alignment horizontal="center" wrapText="1"/>
    </xf>
    <xf numFmtId="0" fontId="37" fillId="13" borderId="9" xfId="12" applyProtection="1">
      <alignment horizontal="center" wrapText="1"/>
    </xf>
    <xf numFmtId="0" fontId="37" fillId="6" borderId="0" xfId="4" applyProtection="1">
      <alignment horizontal="center" vertical="center"/>
    </xf>
    <xf numFmtId="0" fontId="37" fillId="7" borderId="0" xfId="14" applyAlignment="1" applyProtection="1">
      <alignment vertical="center"/>
    </xf>
    <xf numFmtId="0" fontId="38" fillId="0" borderId="0" xfId="5" applyBorder="1" applyAlignment="1" applyProtection="1">
      <alignment horizontal="center" vertical="center"/>
    </xf>
    <xf numFmtId="0" fontId="38" fillId="0" borderId="0" xfId="5" applyBorder="1" applyAlignment="1" applyProtection="1">
      <alignment vertical="center"/>
    </xf>
    <xf numFmtId="0" fontId="0" fillId="0" borderId="0" xfId="15" applyFont="1" applyBorder="1">
      <alignment horizontal="center" vertical="center"/>
    </xf>
    <xf numFmtId="0" fontId="38" fillId="0" borderId="0" xfId="5" applyBorder="1" applyProtection="1">
      <alignment horizontal="left" vertical="center" wrapText="1"/>
    </xf>
    <xf numFmtId="164" fontId="38" fillId="0" borderId="0" xfId="5" applyNumberFormat="1" applyProtection="1">
      <alignment horizontal="left" vertical="center" wrapText="1"/>
    </xf>
    <xf numFmtId="0" fontId="38" fillId="0" borderId="0" xfId="15">
      <alignment horizontal="center" vertical="center"/>
    </xf>
    <xf numFmtId="0" fontId="42" fillId="0" borderId="0" xfId="15" applyFont="1" applyBorder="1">
      <alignment horizontal="center" vertical="center"/>
    </xf>
    <xf numFmtId="0" fontId="1" fillId="0" borderId="0" xfId="17"/>
    <xf numFmtId="165" fontId="0" fillId="0" borderId="0" xfId="16" applyNumberFormat="1" applyFont="1" applyFill="1" applyBorder="1" applyProtection="1">
      <alignment horizontal="right" vertical="center" indent="3"/>
    </xf>
    <xf numFmtId="165" fontId="41" fillId="13" borderId="10" xfId="13" applyNumberFormat="1" applyFill="1" applyProtection="1">
      <alignment horizontal="center" vertical="top"/>
    </xf>
    <xf numFmtId="165" fontId="41" fillId="12" borderId="10" xfId="13" applyNumberFormat="1" applyFill="1" applyProtection="1">
      <alignment horizontal="center" vertical="top"/>
    </xf>
    <xf numFmtId="165" fontId="41" fillId="11" borderId="10" xfId="13" applyNumberFormat="1" applyFill="1" applyProtection="1">
      <alignment horizontal="center" vertical="top"/>
    </xf>
    <xf numFmtId="165" fontId="41" fillId="10" borderId="10" xfId="13" applyNumberFormat="1" applyFill="1" applyProtection="1">
      <alignment horizontal="center" vertical="top"/>
    </xf>
    <xf numFmtId="165" fontId="41" fillId="9" borderId="10" xfId="13" applyNumberFormat="1" applyFill="1" applyProtection="1">
      <alignment horizontal="center" vertical="top"/>
    </xf>
    <xf numFmtId="165" fontId="41" fillId="8" borderId="10" xfId="13" applyNumberFormat="1" applyFill="1" applyProtection="1">
      <alignment horizontal="center" vertical="top"/>
    </xf>
    <xf numFmtId="164" fontId="38" fillId="0" borderId="0" xfId="5" applyNumberFormat="1" applyBorder="1" applyAlignment="1" applyProtection="1">
      <alignment horizontal="center" vertical="center"/>
    </xf>
    <xf numFmtId="0" fontId="37" fillId="7" borderId="0" xfId="14" applyAlignment="1" applyProtection="1">
      <alignment horizontal="center" vertical="center"/>
    </xf>
    <xf numFmtId="0" fontId="1" fillId="0" borderId="0" xfId="17" applyAlignment="1">
      <alignment horizontal="center"/>
    </xf>
    <xf numFmtId="0" fontId="38" fillId="0" borderId="0" xfId="5" applyAlignment="1" applyProtection="1">
      <alignment horizontal="center" vertical="center" wrapText="1"/>
    </xf>
    <xf numFmtId="2" fontId="0" fillId="0" borderId="0" xfId="0" applyNumberFormat="1"/>
    <xf numFmtId="0" fontId="0" fillId="0" borderId="0" xfId="0" applyAlignment="1">
      <alignment horizontal="center"/>
    </xf>
    <xf numFmtId="165" fontId="0" fillId="0" borderId="0" xfId="15" applyNumberFormat="1" applyFont="1" applyBorder="1">
      <alignment horizontal="center" vertical="center"/>
    </xf>
    <xf numFmtId="43" fontId="1" fillId="0" borderId="0" xfId="0" applyNumberFormat="1" applyFont="1"/>
    <xf numFmtId="0" fontId="1" fillId="0" borderId="0" xfId="17" applyAlignment="1">
      <alignment horizontal="center" vertical="center"/>
    </xf>
    <xf numFmtId="9" fontId="0" fillId="0" borderId="0" xfId="0" applyNumberFormat="1"/>
    <xf numFmtId="0" fontId="0" fillId="0" borderId="0" xfId="0" applyAlignment="1">
      <alignment horizontal="center" vertical="center"/>
    </xf>
    <xf numFmtId="0" fontId="0" fillId="0" borderId="0" xfId="0" applyAlignment="1">
      <alignment vertical="center"/>
    </xf>
    <xf numFmtId="165" fontId="0" fillId="0" borderId="0" xfId="16" applyNumberFormat="1" applyFont="1" applyFill="1" applyBorder="1" applyAlignment="1" applyProtection="1">
      <alignment horizontal="right" vertical="center"/>
    </xf>
    <xf numFmtId="0" fontId="1" fillId="0" borderId="0" xfId="17" applyAlignment="1">
      <alignment vertical="center"/>
    </xf>
    <xf numFmtId="0" fontId="42" fillId="0" borderId="0" xfId="0" applyFont="1" applyAlignment="1">
      <alignment horizontal="center" vertical="center"/>
    </xf>
    <xf numFmtId="0" fontId="38" fillId="0" borderId="0" xfId="5" applyBorder="1" applyAlignment="1" applyProtection="1">
      <alignment horizontal="center" vertical="center" wrapText="1"/>
    </xf>
    <xf numFmtId="0" fontId="42" fillId="0" borderId="0" xfId="0" applyFont="1" applyAlignment="1">
      <alignment vertical="center"/>
    </xf>
    <xf numFmtId="1" fontId="1" fillId="0" borderId="0" xfId="0" applyNumberFormat="1" applyFont="1"/>
    <xf numFmtId="1" fontId="0" fillId="0" borderId="0" xfId="0" applyNumberFormat="1"/>
    <xf numFmtId="8" fontId="0" fillId="0" borderId="0" xfId="0" applyNumberFormat="1"/>
    <xf numFmtId="0" fontId="46" fillId="0" borderId="0" xfId="0" applyFont="1"/>
    <xf numFmtId="43" fontId="3" fillId="0" borderId="0" xfId="1" applyFont="1" applyFill="1" applyBorder="1" applyAlignment="1">
      <alignment horizontal="center" vertical="center"/>
    </xf>
    <xf numFmtId="0" fontId="0" fillId="0" borderId="3" xfId="0" applyBorder="1" applyAlignment="1">
      <alignment vertical="center"/>
    </xf>
    <xf numFmtId="0" fontId="0" fillId="0" borderId="3" xfId="0"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1" fillId="11" borderId="3" xfId="0" applyFont="1" applyFill="1" applyBorder="1" applyAlignment="1">
      <alignment horizontal="center" vertical="center"/>
    </xf>
    <xf numFmtId="0" fontId="0" fillId="0" borderId="3" xfId="0" applyBorder="1" applyAlignment="1">
      <alignment horizontal="center"/>
    </xf>
    <xf numFmtId="0" fontId="1" fillId="14" borderId="3" xfId="0" applyFont="1" applyFill="1" applyBorder="1" applyAlignment="1">
      <alignment horizontal="center" vertical="center"/>
    </xf>
    <xf numFmtId="0" fontId="1" fillId="0" borderId="3" xfId="0" applyFont="1" applyBorder="1" applyAlignment="1">
      <alignment horizontal="center" wrapText="1"/>
    </xf>
    <xf numFmtId="43" fontId="7" fillId="15" borderId="0" xfId="0" applyNumberFormat="1" applyFont="1" applyFill="1"/>
    <xf numFmtId="43" fontId="1" fillId="0" borderId="0" xfId="1" applyFont="1" applyFill="1" applyBorder="1" applyAlignment="1"/>
    <xf numFmtId="43" fontId="30" fillId="2" borderId="3" xfId="0" applyNumberFormat="1" applyFont="1" applyFill="1" applyBorder="1" applyAlignment="1">
      <alignment horizontal="center"/>
    </xf>
    <xf numFmtId="43" fontId="31" fillId="3" borderId="0" xfId="0" applyNumberFormat="1" applyFont="1" applyFill="1" applyAlignment="1">
      <alignment horizontal="left"/>
    </xf>
    <xf numFmtId="0" fontId="37" fillId="6" borderId="0" xfId="4" applyAlignment="1" applyProtection="1">
      <alignment vertical="center"/>
    </xf>
    <xf numFmtId="0" fontId="43" fillId="7" borderId="0" xfId="6" applyFont="1" applyProtection="1">
      <alignment horizontal="left" vertical="center" wrapText="1"/>
    </xf>
    <xf numFmtId="0" fontId="39" fillId="7" borderId="8" xfId="6" applyBorder="1" applyProtection="1">
      <alignment horizontal="left" vertical="center" wrapText="1"/>
    </xf>
    <xf numFmtId="0" fontId="39" fillId="7" borderId="0" xfId="6" applyProtection="1">
      <alignment horizontal="left" vertical="center" wrapText="1"/>
    </xf>
    <xf numFmtId="43" fontId="32" fillId="2" borderId="0" xfId="0" applyNumberFormat="1" applyFont="1" applyFill="1" applyAlignment="1">
      <alignment horizontal="center"/>
    </xf>
    <xf numFmtId="43" fontId="33" fillId="2" borderId="0" xfId="0" applyNumberFormat="1" applyFont="1" applyFill="1" applyAlignment="1">
      <alignment horizontal="center"/>
    </xf>
    <xf numFmtId="0" fontId="1" fillId="0" borderId="3" xfId="0" applyFont="1" applyBorder="1" applyAlignment="1">
      <alignment horizontal="center" vertical="center"/>
    </xf>
    <xf numFmtId="0" fontId="0" fillId="0" borderId="3" xfId="0" applyBorder="1" applyAlignment="1">
      <alignment horizontal="center" vertical="center"/>
    </xf>
  </cellXfs>
  <cellStyles count="19">
    <cellStyle name="Accent1 2" xfId="4" xr:uid="{918EBBBE-9E30-5E49-9A3F-F21C9C3715BD}"/>
    <cellStyle name="Category" xfId="11" xr:uid="{4C389E26-069F-854F-8F5E-AD702AD6D75D}"/>
    <cellStyle name="Center Alignment" xfId="15" xr:uid="{1B9E2F40-D1C0-3D4C-BDBD-F08B521FEF92}"/>
    <cellStyle name="Comma" xfId="1" builtinId="3"/>
    <cellStyle name="Currency [0] 2" xfId="16" xr:uid="{50242928-E9D3-FC43-96BA-D4292D9D6864}"/>
    <cellStyle name="Currency [0] 3" xfId="18" xr:uid="{603B5B11-54EA-4649-BC5C-368D8012AB39}"/>
    <cellStyle name="Currency 2" xfId="13" xr:uid="{1D2D178A-F6A8-3844-9D85-78ABEF7F3BFC}"/>
    <cellStyle name="Heading 1 2" xfId="7" xr:uid="{002953D6-5BDC-4448-A204-7BBF3E58A2B4}"/>
    <cellStyle name="Heading 2 2" xfId="8" xr:uid="{4A440157-405B-EA47-8DD9-5307CB903145}"/>
    <cellStyle name="Heading 3 2" xfId="9" xr:uid="{A97A97A2-61F3-9E4C-838F-82109B797A0F}"/>
    <cellStyle name="Heading 4 2" xfId="10" xr:uid="{A748CBF4-24A3-DB44-BC6F-66473A31E0FB}"/>
    <cellStyle name="Normal" xfId="0" builtinId="0"/>
    <cellStyle name="Normal 2" xfId="5" xr:uid="{B5034CF3-A4A1-404C-A395-294B402F3CA0}"/>
    <cellStyle name="Normal 3" xfId="17" xr:uid="{0BF90A05-3CF2-E84A-8B59-6F901F26DBA2}"/>
    <cellStyle name="Note 2" xfId="14" xr:uid="{74E7E793-98E4-2248-BE37-2ECB4C04AF32}"/>
    <cellStyle name="Per cent" xfId="2" builtinId="5"/>
    <cellStyle name="Title 2" xfId="6" xr:uid="{3DD13713-5A01-994B-BD99-1CB07A04F3F9}"/>
    <cellStyle name="Total" xfId="3" builtinId="25"/>
    <cellStyle name="Total 2" xfId="12" xr:uid="{D5AB817A-24E4-5549-AB43-61CCBB72A110}"/>
  </cellStyles>
  <dxfs count="305">
    <dxf>
      <font>
        <b/>
        <i val="0"/>
        <strike/>
        <color theme="4" tint="0.39994506668294322"/>
      </font>
    </dxf>
    <dxf>
      <font>
        <b/>
        <i val="0"/>
        <strike/>
        <color theme="4" tint="0.39994506668294322"/>
      </font>
    </dxf>
    <dxf>
      <border>
        <right/>
        <bottom style="thin">
          <color theme="0"/>
        </bottom>
        <vertical/>
        <horizontal/>
      </border>
    </dxf>
    <dxf>
      <font>
        <color rgb="FFFF0000"/>
      </font>
      <fill>
        <patternFill>
          <bgColor theme="2"/>
        </patternFill>
      </fill>
    </dxf>
    <dxf>
      <font>
        <b/>
        <i val="0"/>
        <strike/>
        <color theme="4" tint="0.39994506668294322"/>
      </font>
    </dxf>
    <dxf>
      <font>
        <b/>
        <i val="0"/>
        <strike val="0"/>
        <color theme="4" tint="0.39991454817346722"/>
      </font>
    </dxf>
    <dxf>
      <font>
        <b/>
        <i val="0"/>
        <strike/>
        <color theme="4" tint="0.39994506668294322"/>
      </font>
    </dxf>
    <dxf>
      <font>
        <b/>
        <i val="0"/>
        <strike val="0"/>
        <color theme="4" tint="0.39991454817346722"/>
      </font>
    </dxf>
    <dxf>
      <font>
        <b/>
        <i val="0"/>
        <strike/>
        <color theme="4" tint="0.39994506668294322"/>
      </font>
    </dxf>
    <dxf>
      <font>
        <b/>
        <i val="0"/>
        <strike/>
        <color theme="4" tint="0.39994506668294322"/>
      </font>
    </dxf>
    <dxf>
      <border>
        <right/>
        <bottom style="thin">
          <color theme="0"/>
        </bottom>
        <vertical/>
        <horizontal/>
      </border>
    </dxf>
    <dxf>
      <font>
        <color rgb="FFFF0000"/>
      </font>
      <fill>
        <patternFill>
          <bgColor theme="2"/>
        </patternFill>
      </fill>
    </dxf>
    <dxf>
      <font>
        <b/>
        <i val="0"/>
        <strike/>
        <color theme="4" tint="0.39994506668294322"/>
      </font>
    </dxf>
    <dxf>
      <font>
        <b/>
        <i val="0"/>
        <strike val="0"/>
        <color theme="4" tint="0.39991454817346722"/>
      </font>
    </dxf>
    <dxf>
      <font>
        <b/>
        <i val="0"/>
        <strike/>
        <color theme="4" tint="0.39994506668294322"/>
      </font>
    </dxf>
    <dxf>
      <font>
        <b/>
        <i val="0"/>
        <strike/>
        <color theme="4" tint="0.39994506668294322"/>
      </font>
    </dxf>
    <dxf>
      <border>
        <right/>
        <bottom style="thin">
          <color theme="0"/>
        </bottom>
        <vertical/>
        <horizontal/>
      </border>
    </dxf>
    <dxf>
      <font>
        <color rgb="FFFF0000"/>
      </font>
      <fill>
        <patternFill>
          <bgColor theme="2"/>
        </patternFill>
      </fill>
    </dxf>
    <dxf>
      <font>
        <b/>
        <i val="0"/>
        <strike/>
        <color theme="4" tint="0.39994506668294322"/>
      </font>
    </dxf>
    <dxf>
      <font>
        <b/>
        <i val="0"/>
        <strike val="0"/>
        <color theme="4" tint="0.39991454817346722"/>
      </font>
    </dxf>
    <dxf>
      <font>
        <b/>
        <i val="0"/>
        <strike/>
        <color theme="4" tint="0.39994506668294322"/>
      </font>
    </dxf>
    <dxf>
      <font>
        <b/>
        <i val="0"/>
        <strike/>
        <color theme="4" tint="0.39994506668294322"/>
      </font>
    </dxf>
    <dxf>
      <border>
        <right/>
        <bottom style="thin">
          <color theme="0"/>
        </bottom>
        <vertical/>
        <horizontal/>
      </border>
    </dxf>
    <dxf>
      <font>
        <color rgb="FFFF0000"/>
      </font>
      <fill>
        <patternFill>
          <bgColor theme="2"/>
        </patternFill>
      </fill>
    </dxf>
    <dxf>
      <font>
        <b/>
        <i val="0"/>
        <strike/>
        <color theme="4" tint="0.39994506668294322"/>
      </font>
    </dxf>
    <dxf>
      <font>
        <b/>
        <i val="0"/>
        <strike val="0"/>
        <color theme="4" tint="0.39991454817346722"/>
      </font>
    </dxf>
    <dxf>
      <font>
        <b/>
        <i val="0"/>
        <strike/>
        <color theme="4" tint="0.39994506668294322"/>
      </font>
    </dxf>
    <dxf>
      <font>
        <b/>
        <i val="0"/>
        <strike/>
        <color theme="4" tint="0.39994506668294322"/>
      </font>
    </dxf>
    <dxf>
      <border>
        <right/>
        <bottom style="thin">
          <color theme="0"/>
        </bottom>
        <vertical/>
        <horizontal/>
      </border>
    </dxf>
    <dxf>
      <font>
        <color rgb="FFFF0000"/>
      </font>
      <fill>
        <patternFill>
          <bgColor theme="2"/>
        </patternFill>
      </fill>
    </dxf>
    <dxf>
      <font>
        <b/>
        <i val="0"/>
        <strike/>
        <color theme="4" tint="0.39994506668294322"/>
      </font>
    </dxf>
    <dxf>
      <font>
        <b/>
        <i val="0"/>
        <strike val="0"/>
        <color theme="4" tint="0.39991454817346722"/>
      </font>
    </dxf>
    <dxf>
      <font>
        <b/>
        <i val="0"/>
        <strike/>
        <color theme="4" tint="0.39994506668294322"/>
      </font>
    </dxf>
    <dxf>
      <font>
        <b/>
        <i val="0"/>
        <strike/>
        <color theme="4" tint="0.39994506668294322"/>
      </font>
    </dxf>
    <dxf>
      <border>
        <right/>
        <bottom style="thin">
          <color theme="0"/>
        </bottom>
        <vertical/>
        <horizontal/>
      </border>
    </dxf>
    <dxf>
      <font>
        <color rgb="FFFF0000"/>
      </font>
      <fill>
        <patternFill>
          <bgColor theme="2"/>
        </patternFill>
      </fill>
    </dxf>
    <dxf>
      <font>
        <b/>
        <i val="0"/>
        <strike/>
        <color theme="4" tint="0.39994506668294322"/>
      </font>
    </dxf>
    <dxf>
      <font>
        <b/>
        <i val="0"/>
        <strike val="0"/>
        <color theme="4" tint="0.39991454817346722"/>
      </font>
    </dxf>
    <dxf>
      <font>
        <b/>
        <i val="0"/>
        <strike/>
        <color theme="4" tint="0.39994506668294322"/>
      </font>
    </dxf>
    <dxf>
      <font>
        <b/>
        <i val="0"/>
        <strike/>
        <color theme="4" tint="0.39994506668294322"/>
      </font>
    </dxf>
    <dxf>
      <border>
        <right/>
        <bottom style="thin">
          <color theme="0"/>
        </bottom>
        <vertical/>
        <horizontal/>
      </border>
    </dxf>
    <dxf>
      <font>
        <color rgb="FFFF0000"/>
      </font>
      <fill>
        <patternFill>
          <bgColor theme="2"/>
        </patternFill>
      </fill>
    </dxf>
    <dxf>
      <font>
        <b/>
        <i val="0"/>
        <strike/>
        <color theme="4" tint="0.39994506668294322"/>
      </font>
    </dxf>
    <dxf>
      <font>
        <b/>
        <i val="0"/>
        <strike val="0"/>
        <color theme="4" tint="0.39991454817346722"/>
      </font>
    </dxf>
    <dxf>
      <font>
        <b/>
        <i val="0"/>
        <strike/>
        <color theme="4" tint="0.39994506668294322"/>
      </font>
    </dxf>
    <dxf>
      <font>
        <b/>
        <i val="0"/>
        <strike/>
        <color theme="4" tint="0.39994506668294322"/>
      </font>
    </dxf>
    <dxf>
      <border>
        <right/>
        <bottom style="thin">
          <color theme="0"/>
        </bottom>
        <vertical/>
        <horizontal/>
      </border>
    </dxf>
    <dxf>
      <font>
        <color rgb="FFFF0000"/>
      </font>
      <fill>
        <patternFill>
          <bgColor theme="2"/>
        </patternFill>
      </fill>
    </dxf>
    <dxf>
      <font>
        <b/>
        <i val="0"/>
        <strike/>
        <color theme="4" tint="0.39994506668294322"/>
      </font>
    </dxf>
    <dxf>
      <font>
        <b/>
        <i val="0"/>
        <strike val="0"/>
        <color theme="4" tint="0.39991454817346722"/>
      </font>
    </dxf>
    <dxf>
      <font>
        <b/>
        <i val="0"/>
        <strike/>
        <color theme="4" tint="0.39994506668294322"/>
      </font>
    </dxf>
    <dxf>
      <font>
        <b/>
        <i val="0"/>
        <strike/>
        <color theme="4" tint="0.39994506668294322"/>
      </font>
    </dxf>
    <dxf>
      <border>
        <right/>
        <bottom style="thin">
          <color theme="0"/>
        </bottom>
        <vertical/>
        <horizontal/>
      </border>
    </dxf>
    <dxf>
      <font>
        <color rgb="FFFF0000"/>
      </font>
      <fill>
        <patternFill>
          <bgColor theme="2"/>
        </patternFill>
      </fill>
    </dxf>
    <dxf>
      <font>
        <b/>
        <i val="0"/>
        <strike/>
        <color theme="4" tint="0.39994506668294322"/>
      </font>
    </dxf>
    <dxf>
      <font>
        <b/>
        <i val="0"/>
        <strike val="0"/>
        <color theme="4" tint="0.39991454817346722"/>
      </font>
    </dxf>
    <dxf>
      <font>
        <b/>
        <i val="0"/>
        <strike/>
        <color theme="4" tint="0.39994506668294322"/>
      </font>
    </dxf>
    <dxf>
      <font>
        <b/>
        <i val="0"/>
        <strike/>
        <color theme="4" tint="0.39994506668294322"/>
      </font>
    </dxf>
    <dxf>
      <border>
        <right/>
        <bottom style="thin">
          <color theme="0"/>
        </bottom>
        <vertical/>
        <horizontal/>
      </border>
    </dxf>
    <dxf>
      <font>
        <color rgb="FFFF0000"/>
      </font>
      <fill>
        <patternFill>
          <bgColor theme="2"/>
        </patternFill>
      </fill>
    </dxf>
    <dxf>
      <font>
        <b/>
        <i val="0"/>
        <strike/>
        <color theme="4" tint="0.39994506668294322"/>
      </font>
    </dxf>
    <dxf>
      <font>
        <b/>
        <i val="0"/>
        <strike val="0"/>
        <color theme="4" tint="0.39991454817346722"/>
      </font>
    </dxf>
    <dxf>
      <font>
        <b/>
        <i val="0"/>
        <strike/>
        <color theme="4" tint="0.39994506668294322"/>
      </font>
    </dxf>
    <dxf>
      <font>
        <b/>
        <i val="0"/>
        <strike/>
        <color theme="4" tint="0.39994506668294322"/>
      </font>
    </dxf>
    <dxf>
      <border>
        <right/>
        <bottom style="thin">
          <color theme="0"/>
        </bottom>
        <vertical/>
        <horizontal/>
      </border>
    </dxf>
    <dxf>
      <font>
        <color rgb="FFFF0000"/>
      </font>
      <fill>
        <patternFill>
          <bgColor theme="2"/>
        </patternFill>
      </fill>
    </dxf>
    <dxf>
      <font>
        <b/>
        <i val="0"/>
        <strike/>
        <color theme="4" tint="0.39994506668294322"/>
      </font>
    </dxf>
    <dxf>
      <font>
        <b/>
        <i val="0"/>
        <strike val="0"/>
        <color theme="4" tint="0.39991454817346722"/>
      </font>
    </dxf>
    <dxf>
      <font>
        <b/>
        <i val="0"/>
        <strike/>
        <color theme="4" tint="0.39994506668294322"/>
      </font>
    </dxf>
    <dxf>
      <font>
        <b/>
        <i val="0"/>
        <strike/>
        <color theme="4" tint="0.39994506668294322"/>
      </font>
    </dxf>
    <dxf>
      <border>
        <right/>
        <bottom style="thin">
          <color theme="0"/>
        </bottom>
        <vertical/>
        <horizontal/>
      </border>
    </dxf>
    <dxf>
      <font>
        <color rgb="FFFF0000"/>
      </font>
      <fill>
        <patternFill>
          <bgColor theme="2"/>
        </patternFill>
      </fill>
    </dxf>
    <dxf>
      <font>
        <b/>
        <i val="0"/>
        <strike/>
        <color theme="4" tint="0.39994506668294322"/>
      </font>
    </dxf>
    <dxf>
      <font>
        <b/>
        <i val="0"/>
        <strike val="0"/>
        <color theme="4" tint="0.39991454817346722"/>
      </font>
    </dxf>
    <dxf>
      <border>
        <right/>
        <bottom style="thin">
          <color theme="0"/>
        </bottom>
        <vertical/>
        <horizontal/>
      </border>
    </dxf>
    <dxf>
      <font>
        <color rgb="FFFF0000"/>
      </font>
      <fill>
        <patternFill>
          <bgColor theme="2"/>
        </patternFill>
      </fill>
    </dxf>
    <dxf>
      <font>
        <b/>
        <i val="0"/>
        <strike/>
        <color theme="4" tint="0.39994506668294322"/>
      </font>
    </dxf>
    <dxf>
      <font>
        <b/>
        <i val="0"/>
        <strike/>
        <color theme="4" tint="0.39994506668294322"/>
      </font>
    </dxf>
    <dxf>
      <border>
        <right/>
        <bottom style="thin">
          <color theme="0"/>
        </bottom>
        <vertical/>
        <horizontal/>
      </border>
    </dxf>
    <dxf>
      <font>
        <color rgb="FFFF0000"/>
      </font>
      <fill>
        <patternFill>
          <bgColor theme="2"/>
        </patternFill>
      </fill>
    </dxf>
    <dxf>
      <font>
        <b/>
        <i val="0"/>
        <strike/>
        <color theme="4" tint="0.39994506668294322"/>
      </font>
    </dxf>
    <dxf>
      <border>
        <right/>
        <bottom style="thin">
          <color theme="0"/>
        </bottom>
        <vertical/>
        <horizontal/>
      </border>
    </dxf>
    <dxf>
      <font>
        <color rgb="FFFF0000"/>
      </font>
      <fill>
        <patternFill>
          <bgColor theme="2"/>
        </patternFill>
      </fill>
    </dxf>
    <dxf>
      <font>
        <b/>
        <i val="0"/>
        <strike/>
        <color theme="4" tint="0.39994506668294322"/>
      </font>
    </dxf>
    <dxf>
      <border>
        <right/>
        <bottom style="thin">
          <color theme="0"/>
        </bottom>
        <vertical/>
        <horizontal/>
      </border>
    </dxf>
    <dxf>
      <font>
        <color rgb="FFFF0000"/>
      </font>
      <fill>
        <patternFill>
          <bgColor theme="2"/>
        </patternFill>
      </fill>
    </dxf>
    <dxf>
      <border>
        <right/>
        <bottom style="thin">
          <color theme="0"/>
        </bottom>
        <vertical/>
        <horizontal/>
      </border>
    </dxf>
    <dxf>
      <font>
        <color rgb="FFFF0000"/>
      </font>
      <fill>
        <patternFill>
          <bgColor theme="2"/>
        </patternFill>
      </fill>
    </dxf>
    <dxf>
      <font>
        <b/>
        <i val="0"/>
        <strike/>
        <color theme="4" tint="0.39994506668294322"/>
      </font>
    </dxf>
    <dxf>
      <protection locked="1" hidden="0"/>
    </dxf>
    <dxf>
      <protection locked="1" hidden="0"/>
    </dxf>
    <dxf>
      <alignment vertical="center" textRotation="0" indent="0" justifyLastLine="0" shrinkToFit="0" readingOrder="0"/>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font>
        <b val="0"/>
        <i val="0"/>
        <strike val="0"/>
        <condense val="0"/>
        <extend val="0"/>
        <outline val="0"/>
        <shadow val="0"/>
        <u val="none"/>
        <vertAlign val="baseline"/>
        <sz val="11"/>
        <color rgb="FF000000"/>
        <name val="Calibri"/>
        <charset val="1"/>
        <scheme val="none"/>
      </font>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protection locked="1" hidden="0"/>
    </dxf>
    <dxf>
      <protection locked="1" hidden="0"/>
    </dxf>
    <dxf>
      <alignment vertical="center" textRotation="0" indent="0" justifyLastLine="0" shrinkToFit="0" readingOrder="0"/>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protection locked="1" hidden="0"/>
    </dxf>
    <dxf>
      <protection locked="1" hidden="0"/>
    </dxf>
    <dxf>
      <alignment vertical="center" textRotation="0" indent="0" justifyLastLine="0" shrinkToFit="0" readingOrder="0"/>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protection locked="1" hidden="0"/>
    </dxf>
    <dxf>
      <protection locked="1" hidden="0"/>
    </dxf>
    <dxf>
      <alignment vertical="center" textRotation="0" indent="0" justifyLastLine="0" shrinkToFit="0" readingOrder="0"/>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protection locked="1" hidden="0"/>
    </dxf>
    <dxf>
      <protection locked="1" hidden="0"/>
    </dxf>
    <dxf>
      <alignment vertical="center" textRotation="0" indent="0" justifyLastLine="0" shrinkToFit="0" readingOrder="0"/>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protection locked="1" hidden="0"/>
    </dxf>
    <dxf>
      <protection locked="1" hidden="0"/>
    </dxf>
    <dxf>
      <alignment vertical="center" textRotation="0" indent="0" justifyLastLine="0" shrinkToFit="0" readingOrder="0"/>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protection locked="1" hidden="0"/>
    </dxf>
    <dxf>
      <protection locked="1" hidden="0"/>
    </dxf>
    <dxf>
      <alignment vertical="center" textRotation="0" indent="0" justifyLastLine="0" shrinkToFit="0" readingOrder="0"/>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protection locked="1" hidden="0"/>
    </dxf>
    <dxf>
      <protection locked="1" hidden="0"/>
    </dxf>
    <dxf>
      <alignment vertical="center" textRotation="0" indent="0" justifyLastLine="0" shrinkToFit="0" readingOrder="0"/>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protection locked="1" hidden="0"/>
    </dxf>
    <dxf>
      <protection locked="1" hidden="0"/>
    </dxf>
    <dxf>
      <alignment vertical="center" textRotation="0" indent="0" justifyLastLine="0" shrinkToFit="0" readingOrder="0"/>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protection locked="1" hidden="0"/>
    </dxf>
    <dxf>
      <protection locked="1" hidden="0"/>
    </dxf>
    <dxf>
      <alignment vertical="center" textRotation="0" indent="0" justifyLastLine="0" shrinkToFit="0" readingOrder="0"/>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protection locked="1" hidden="0"/>
    </dxf>
    <dxf>
      <protection locked="1" hidden="0"/>
    </dxf>
    <dxf>
      <alignment vertical="center" textRotation="0" indent="0" justifyLastLine="0" shrinkToFit="0" readingOrder="0"/>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protection locked="1" hidden="0"/>
    </dxf>
    <dxf>
      <protection locked="1" hidden="0"/>
    </dxf>
    <dxf>
      <alignment vertical="center" textRotation="0" indent="0" justifyLastLine="0" shrinkToFit="0" readingOrder="0"/>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protection locked="1" hidden="0"/>
    </dxf>
    <dxf>
      <protection locked="1" hidden="0"/>
    </dxf>
    <dxf>
      <protection locked="1" hidden="0"/>
    </dxf>
    <dxf>
      <fill>
        <patternFill patternType="solid">
          <fgColor indexed="64"/>
          <bgColor theme="2"/>
        </patternFill>
      </fill>
      <alignment horizontal="general" vertical="center" textRotation="0" wrapText="0" indent="0" justifyLastLine="0" shrinkToFit="0" readingOrder="0"/>
    </dxf>
    <dxf>
      <protection locked="1" hidden="0"/>
    </dxf>
    <dxf>
      <protection locked="1" hidden="0"/>
    </dxf>
    <dxf>
      <protection locked="1" hidden="0"/>
    </dxf>
    <dxf>
      <alignment horizontal="center" textRotation="0" indent="0" justifyLastLine="0" shrinkToFit="0" readingOrder="0"/>
      <protection locked="1" hidden="0"/>
    </dxf>
    <dxf>
      <protection locked="1" hidden="0"/>
    </dxf>
    <dxf>
      <protection locked="1" hidden="0"/>
    </dxf>
    <dxf>
      <protection locked="1" hidden="0"/>
    </dxf>
    <dxf>
      <font>
        <b/>
        <i val="0"/>
        <color theme="4" tint="-0.24994659260841701"/>
      </font>
      <fill>
        <patternFill>
          <bgColor theme="2"/>
        </patternFill>
      </fill>
      <border>
        <top style="medium">
          <color theme="4"/>
        </top>
        <bottom style="medium">
          <color theme="4"/>
        </bottom>
      </border>
    </dxf>
    <dxf>
      <font>
        <b val="0"/>
        <i val="0"/>
        <color theme="4" tint="-0.24994659260841701"/>
      </font>
      <fill>
        <patternFill>
          <bgColor theme="2"/>
        </patternFill>
      </fill>
    </dxf>
    <dxf>
      <font>
        <b/>
        <i val="0"/>
        <color theme="4" tint="-0.24994659260841701"/>
      </font>
      <fill>
        <patternFill>
          <bgColor theme="2"/>
        </patternFill>
      </fill>
      <border>
        <top style="medium">
          <color theme="4"/>
        </top>
        <bottom style="medium">
          <color theme="4"/>
        </bottom>
      </border>
    </dxf>
    <dxf>
      <font>
        <b val="0"/>
        <i val="0"/>
        <color theme="4" tint="-0.24994659260841701"/>
      </font>
      <fill>
        <patternFill>
          <bgColor theme="2"/>
        </patternFill>
      </fill>
    </dxf>
  </dxfs>
  <tableStyles count="2" defaultTableStyle="TableStyleMedium9" defaultPivotStyle="PivotStyleLight16">
    <tableStyle name="Grocery List" pivot="0" count="2" xr9:uid="{CFB68923-5FF6-5848-9992-17221031E03D}">
      <tableStyleElement type="wholeTable" dxfId="304"/>
      <tableStyleElement type="headerRow" dxfId="303"/>
    </tableStyle>
    <tableStyle name="Grocery List 2" pivot="0" count="2" xr9:uid="{DE7445CC-9815-C74A-B85D-898149D51384}">
      <tableStyleElement type="wholeTable" dxfId="302"/>
      <tableStyleElement type="headerRow" dxfId="30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lotArea>
      <c:layout>
        <c:manualLayout>
          <c:layoutTarget val="inner"/>
          <c:xMode val="edge"/>
          <c:yMode val="edge"/>
          <c:x val="0.1602655344208852"/>
          <c:y val="0.11927618202654246"/>
          <c:w val="0.81524921237933734"/>
          <c:h val="0.51639273963993937"/>
        </c:manualLayout>
      </c:layout>
      <c:barChart>
        <c:barDir val="col"/>
        <c:grouping val="clustered"/>
        <c:varyColors val="0"/>
        <c:ser>
          <c:idx val="0"/>
          <c:order val="0"/>
          <c:tx>
            <c:strRef>
              <c:f>'REPORT '!$B$8</c:f>
              <c:strCache>
                <c:ptCount val="1"/>
                <c:pt idx="0">
                  <c:v> Budget </c:v>
                </c:pt>
              </c:strCache>
            </c:strRef>
          </c:tx>
          <c:spPr>
            <a:solidFill>
              <a:schemeClr val="accent1"/>
            </a:solidFill>
            <a:ln>
              <a:noFill/>
            </a:ln>
            <a:effectLst/>
          </c:spPr>
          <c:invertIfNegative val="0"/>
          <c:cat>
            <c:strRef>
              <c:f>'REPORT '!$A$9:$A$28</c:f>
              <c:strCache>
                <c:ptCount val="20"/>
                <c:pt idx="0">
                  <c:v>Rent</c:v>
                </c:pt>
                <c:pt idx="1">
                  <c:v>Tithe</c:v>
                </c:pt>
                <c:pt idx="2">
                  <c:v>Data</c:v>
                </c:pt>
                <c:pt idx="3">
                  <c:v>Savings/ Investment </c:v>
                </c:pt>
                <c:pt idx="4">
                  <c:v>Hair / Gym</c:v>
                </c:pt>
                <c:pt idx="5">
                  <c:v>Food</c:v>
                </c:pt>
                <c:pt idx="6">
                  <c:v>Healthcare</c:v>
                </c:pt>
                <c:pt idx="7">
                  <c:v>Clothes/ Shoes/ Jewelry </c:v>
                </c:pt>
                <c:pt idx="8">
                  <c:v>shoes</c:v>
                </c:pt>
                <c:pt idx="9">
                  <c:v>Travel/ Vacations </c:v>
                </c:pt>
                <c:pt idx="10">
                  <c:v>Outings</c:v>
                </c:pt>
                <c:pt idx="11">
                  <c:v>Toiletries/Groceries</c:v>
                </c:pt>
                <c:pt idx="12">
                  <c:v>Transportation </c:v>
                </c:pt>
                <c:pt idx="13">
                  <c:v>Miscellaneous</c:v>
                </c:pt>
                <c:pt idx="14">
                  <c:v>Apple Subscriptions</c:v>
                </c:pt>
                <c:pt idx="15">
                  <c:v>Google 1</c:v>
                </c:pt>
                <c:pt idx="16">
                  <c:v>Netflix</c:v>
                </c:pt>
                <c:pt idx="17">
                  <c:v>Amuse</c:v>
                </c:pt>
                <c:pt idx="18">
                  <c:v>electricity</c:v>
                </c:pt>
                <c:pt idx="19">
                  <c:v>Account Charges</c:v>
                </c:pt>
              </c:strCache>
            </c:strRef>
          </c:cat>
          <c:val>
            <c:numRef>
              <c:f>'REPORT '!$B$9:$B$28</c:f>
              <c:numCache>
                <c:formatCode>_(* #,##0.00_);_(* \(#,##0.00\);_(* "-"??_);_(@_)</c:formatCode>
                <c:ptCount val="20"/>
                <c:pt idx="0">
                  <c:v>7120</c:v>
                </c:pt>
                <c:pt idx="1">
                  <c:v>3483.2</c:v>
                </c:pt>
                <c:pt idx="2">
                  <c:v>3660</c:v>
                </c:pt>
                <c:pt idx="3">
                  <c:v>4300</c:v>
                </c:pt>
                <c:pt idx="4">
                  <c:v>1600</c:v>
                </c:pt>
                <c:pt idx="5">
                  <c:v>4450</c:v>
                </c:pt>
                <c:pt idx="6">
                  <c:v>700</c:v>
                </c:pt>
                <c:pt idx="7">
                  <c:v>2200</c:v>
                </c:pt>
                <c:pt idx="8">
                  <c:v>900</c:v>
                </c:pt>
                <c:pt idx="9">
                  <c:v>0</c:v>
                </c:pt>
                <c:pt idx="10">
                  <c:v>3500</c:v>
                </c:pt>
                <c:pt idx="11">
                  <c:v>6420</c:v>
                </c:pt>
                <c:pt idx="12">
                  <c:v>4450</c:v>
                </c:pt>
                <c:pt idx="13">
                  <c:v>1705</c:v>
                </c:pt>
                <c:pt idx="14">
                  <c:v>178</c:v>
                </c:pt>
                <c:pt idx="15">
                  <c:v>114</c:v>
                </c:pt>
                <c:pt idx="16">
                  <c:v>800</c:v>
                </c:pt>
                <c:pt idx="17">
                  <c:v>0</c:v>
                </c:pt>
                <c:pt idx="18">
                  <c:v>200</c:v>
                </c:pt>
                <c:pt idx="19">
                  <c:v>120</c:v>
                </c:pt>
              </c:numCache>
            </c:numRef>
          </c:val>
          <c:extLst>
            <c:ext xmlns:c16="http://schemas.microsoft.com/office/drawing/2014/chart" uri="{C3380CC4-5D6E-409C-BE32-E72D297353CC}">
              <c16:uniqueId val="{00000000-0562-4AB8-8DD1-0A7B80FCE3EA}"/>
            </c:ext>
          </c:extLst>
        </c:ser>
        <c:ser>
          <c:idx val="1"/>
          <c:order val="1"/>
          <c:tx>
            <c:strRef>
              <c:f>'REPORT '!$C$8</c:f>
              <c:strCache>
                <c:ptCount val="1"/>
                <c:pt idx="0">
                  <c:v> Actual </c:v>
                </c:pt>
              </c:strCache>
            </c:strRef>
          </c:tx>
          <c:spPr>
            <a:solidFill>
              <a:schemeClr val="accent2"/>
            </a:solidFill>
            <a:ln>
              <a:noFill/>
            </a:ln>
            <a:effectLst/>
          </c:spPr>
          <c:invertIfNegative val="0"/>
          <c:cat>
            <c:strRef>
              <c:f>'REPORT '!$A$9:$A$28</c:f>
              <c:strCache>
                <c:ptCount val="20"/>
                <c:pt idx="0">
                  <c:v>Rent</c:v>
                </c:pt>
                <c:pt idx="1">
                  <c:v>Tithe</c:v>
                </c:pt>
                <c:pt idx="2">
                  <c:v>Data</c:v>
                </c:pt>
                <c:pt idx="3">
                  <c:v>Savings/ Investment </c:v>
                </c:pt>
                <c:pt idx="4">
                  <c:v>Hair / Gym</c:v>
                </c:pt>
                <c:pt idx="5">
                  <c:v>Food</c:v>
                </c:pt>
                <c:pt idx="6">
                  <c:v>Healthcare</c:v>
                </c:pt>
                <c:pt idx="7">
                  <c:v>Clothes/ Shoes/ Jewelry </c:v>
                </c:pt>
                <c:pt idx="8">
                  <c:v>shoes</c:v>
                </c:pt>
                <c:pt idx="9">
                  <c:v>Travel/ Vacations </c:v>
                </c:pt>
                <c:pt idx="10">
                  <c:v>Outings</c:v>
                </c:pt>
                <c:pt idx="11">
                  <c:v>Toiletries/Groceries</c:v>
                </c:pt>
                <c:pt idx="12">
                  <c:v>Transportation </c:v>
                </c:pt>
                <c:pt idx="13">
                  <c:v>Miscellaneous</c:v>
                </c:pt>
                <c:pt idx="14">
                  <c:v>Apple Subscriptions</c:v>
                </c:pt>
                <c:pt idx="15">
                  <c:v>Google 1</c:v>
                </c:pt>
                <c:pt idx="16">
                  <c:v>Netflix</c:v>
                </c:pt>
                <c:pt idx="17">
                  <c:v>Amuse</c:v>
                </c:pt>
                <c:pt idx="18">
                  <c:v>electricity</c:v>
                </c:pt>
                <c:pt idx="19">
                  <c:v>Account Charges</c:v>
                </c:pt>
              </c:strCache>
            </c:strRef>
          </c:cat>
          <c:val>
            <c:numRef>
              <c:f>'REPORT '!$C$9:$C$28</c:f>
              <c:numCache>
                <c:formatCode>_(* #,##0.00_);_(* \(#,##0.00\);_(* "-"??_);_(@_)</c:formatCode>
                <c:ptCount val="20"/>
                <c:pt idx="0">
                  <c:v>10105</c:v>
                </c:pt>
                <c:pt idx="1">
                  <c:v>385</c:v>
                </c:pt>
                <c:pt idx="2">
                  <c:v>3521</c:v>
                </c:pt>
                <c:pt idx="3">
                  <c:v>3650</c:v>
                </c:pt>
                <c:pt idx="4">
                  <c:v>560</c:v>
                </c:pt>
                <c:pt idx="5">
                  <c:v>10420.679999999998</c:v>
                </c:pt>
                <c:pt idx="6">
                  <c:v>870.2</c:v>
                </c:pt>
                <c:pt idx="7">
                  <c:v>1854</c:v>
                </c:pt>
                <c:pt idx="8">
                  <c:v>0</c:v>
                </c:pt>
                <c:pt idx="9">
                  <c:v>0</c:v>
                </c:pt>
                <c:pt idx="10">
                  <c:v>557</c:v>
                </c:pt>
                <c:pt idx="11">
                  <c:v>9406.5799999999981</c:v>
                </c:pt>
                <c:pt idx="12">
                  <c:v>10669.25</c:v>
                </c:pt>
                <c:pt idx="13">
                  <c:v>8677.85</c:v>
                </c:pt>
                <c:pt idx="14">
                  <c:v>198.23</c:v>
                </c:pt>
                <c:pt idx="15">
                  <c:v>99</c:v>
                </c:pt>
                <c:pt idx="16">
                  <c:v>1279.8699999999999</c:v>
                </c:pt>
                <c:pt idx="17">
                  <c:v>0</c:v>
                </c:pt>
                <c:pt idx="18">
                  <c:v>171</c:v>
                </c:pt>
                <c:pt idx="19">
                  <c:v>210.11999999999998</c:v>
                </c:pt>
              </c:numCache>
            </c:numRef>
          </c:val>
          <c:extLst>
            <c:ext xmlns:c16="http://schemas.microsoft.com/office/drawing/2014/chart" uri="{C3380CC4-5D6E-409C-BE32-E72D297353CC}">
              <c16:uniqueId val="{00000001-0562-4AB8-8DD1-0A7B80FCE3EA}"/>
            </c:ext>
          </c:extLst>
        </c:ser>
        <c:dLbls>
          <c:showLegendKey val="0"/>
          <c:showVal val="0"/>
          <c:showCatName val="0"/>
          <c:showSerName val="0"/>
          <c:showPercent val="0"/>
          <c:showBubbleSize val="0"/>
        </c:dLbls>
        <c:gapWidth val="219"/>
        <c:overlap val="-27"/>
        <c:axId val="457126280"/>
        <c:axId val="457140712"/>
      </c:barChart>
      <c:catAx>
        <c:axId val="457126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Expenses</a:t>
                </a:r>
              </a:p>
            </c:rich>
          </c:tx>
          <c:layout>
            <c:manualLayout>
              <c:xMode val="edge"/>
              <c:yMode val="edge"/>
              <c:x val="0.48658233585478222"/>
              <c:y val="0.8520876650022299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57140712"/>
        <c:crosses val="autoZero"/>
        <c:auto val="1"/>
        <c:lblAlgn val="ctr"/>
        <c:lblOffset val="100"/>
        <c:noMultiLvlLbl val="0"/>
      </c:catAx>
      <c:valAx>
        <c:axId val="457140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57126280"/>
        <c:crosses val="autoZero"/>
        <c:crossBetween val="between"/>
      </c:valAx>
      <c:spPr>
        <a:noFill/>
        <a:ln>
          <a:noFill/>
        </a:ln>
        <a:effectLst/>
      </c:spPr>
    </c:plotArea>
    <c:legend>
      <c:legendPos val="b"/>
      <c:layout>
        <c:manualLayout>
          <c:xMode val="edge"/>
          <c:yMode val="edge"/>
          <c:x val="0.4385054818712707"/>
          <c:y val="0.92402588896579496"/>
          <c:w val="0.18616786751015904"/>
          <c:h val="5.16625267694061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lotArea>
      <c:layout/>
      <c:barChart>
        <c:barDir val="col"/>
        <c:grouping val="clustered"/>
        <c:varyColors val="0"/>
        <c:ser>
          <c:idx val="0"/>
          <c:order val="0"/>
          <c:tx>
            <c:strRef>
              <c:f>'REPORT '!$A$4</c:f>
              <c:strCache>
                <c:ptCount val="1"/>
                <c:pt idx="0">
                  <c:v> Total Income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'!$B$3:$C$3</c:f>
              <c:strCache>
                <c:ptCount val="2"/>
                <c:pt idx="0">
                  <c:v> Budget </c:v>
                </c:pt>
                <c:pt idx="1">
                  <c:v> Actual </c:v>
                </c:pt>
              </c:strCache>
            </c:strRef>
          </c:cat>
          <c:val>
            <c:numRef>
              <c:f>'REPORT '!$B$4:$C$4</c:f>
              <c:numCache>
                <c:formatCode>_(* #,##0.00_);_(* \(#,##0.00\);_(* "-"??_);_(@_)</c:formatCode>
                <c:ptCount val="2"/>
                <c:pt idx="0">
                  <c:v>47846</c:v>
                </c:pt>
                <c:pt idx="1">
                  <c:v>62456</c:v>
                </c:pt>
              </c:numCache>
            </c:numRef>
          </c:val>
          <c:extLst>
            <c:ext xmlns:c16="http://schemas.microsoft.com/office/drawing/2014/chart" uri="{C3380CC4-5D6E-409C-BE32-E72D297353CC}">
              <c16:uniqueId val="{00000000-4BD3-48E9-A25B-78B6C81195D5}"/>
            </c:ext>
          </c:extLst>
        </c:ser>
        <c:dLbls>
          <c:dLblPos val="outEnd"/>
          <c:showLegendKey val="0"/>
          <c:showVal val="1"/>
          <c:showCatName val="0"/>
          <c:showSerName val="0"/>
          <c:showPercent val="0"/>
          <c:showBubbleSize val="0"/>
        </c:dLbls>
        <c:gapWidth val="219"/>
        <c:overlap val="-27"/>
        <c:axId val="638299744"/>
        <c:axId val="638297120"/>
      </c:barChart>
      <c:catAx>
        <c:axId val="63829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38297120"/>
        <c:crosses val="autoZero"/>
        <c:auto val="1"/>
        <c:lblAlgn val="ctr"/>
        <c:lblOffset val="100"/>
        <c:noMultiLvlLbl val="0"/>
      </c:catAx>
      <c:valAx>
        <c:axId val="638297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3829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180973</xdr:colOff>
      <xdr:row>0</xdr:row>
      <xdr:rowOff>0</xdr:rowOff>
    </xdr:from>
    <xdr:to>
      <xdr:col>10</xdr:col>
      <xdr:colOff>19049</xdr:colOff>
      <xdr:row>0</xdr:row>
      <xdr:rowOff>762000</xdr:rowOff>
    </xdr:to>
    <xdr:pic>
      <xdr:nvPicPr>
        <xdr:cNvPr id="2" name="Picture 1" descr="Fresh produce: lettuce, tomatoes, and cucumbers">
          <a:extLst>
            <a:ext uri="{FF2B5EF4-FFF2-40B4-BE49-F238E27FC236}">
              <a16:creationId xmlns:a16="http://schemas.microsoft.com/office/drawing/2014/main" id="{A83168B8-03A5-5C45-85BD-25D1ED7EF0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3" y="0"/>
          <a:ext cx="12538076" cy="762000"/>
        </a:xfrm>
        <a:prstGeom prst="rect">
          <a:avLst/>
        </a:prstGeom>
      </xdr:spPr>
    </xdr:pic>
    <xdr:clientData/>
  </xdr:twoCellAnchor>
  <xdr:twoCellAnchor>
    <xdr:from>
      <xdr:col>11</xdr:col>
      <xdr:colOff>180973</xdr:colOff>
      <xdr:row>0</xdr:row>
      <xdr:rowOff>0</xdr:rowOff>
    </xdr:from>
    <xdr:to>
      <xdr:col>21</xdr:col>
      <xdr:colOff>19049</xdr:colOff>
      <xdr:row>0</xdr:row>
      <xdr:rowOff>762000</xdr:rowOff>
    </xdr:to>
    <xdr:pic>
      <xdr:nvPicPr>
        <xdr:cNvPr id="3" name="Picture 2" descr="Fresh produce: lettuce, tomatoes, and cucumbers">
          <a:extLst>
            <a:ext uri="{FF2B5EF4-FFF2-40B4-BE49-F238E27FC236}">
              <a16:creationId xmlns:a16="http://schemas.microsoft.com/office/drawing/2014/main" id="{E79FEA6F-7076-1C4A-904E-CBCB89F872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104270" y="0"/>
          <a:ext cx="12831153" cy="762000"/>
        </a:xfrm>
        <a:prstGeom prst="rect">
          <a:avLst/>
        </a:prstGeom>
      </xdr:spPr>
    </xdr:pic>
    <xdr:clientData/>
  </xdr:twoCellAnchor>
  <xdr:twoCellAnchor>
    <xdr:from>
      <xdr:col>23</xdr:col>
      <xdr:colOff>180973</xdr:colOff>
      <xdr:row>0</xdr:row>
      <xdr:rowOff>0</xdr:rowOff>
    </xdr:from>
    <xdr:to>
      <xdr:col>33</xdr:col>
      <xdr:colOff>19049</xdr:colOff>
      <xdr:row>0</xdr:row>
      <xdr:rowOff>762000</xdr:rowOff>
    </xdr:to>
    <xdr:pic>
      <xdr:nvPicPr>
        <xdr:cNvPr id="7" name="Picture 6" descr="Fresh produce: lettuce, tomatoes, and cucumbers">
          <a:extLst>
            <a:ext uri="{FF2B5EF4-FFF2-40B4-BE49-F238E27FC236}">
              <a16:creationId xmlns:a16="http://schemas.microsoft.com/office/drawing/2014/main" id="{252DE0BC-96E7-E240-977C-BBD5C142AA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104270" y="0"/>
          <a:ext cx="12831153" cy="762000"/>
        </a:xfrm>
        <a:prstGeom prst="rect">
          <a:avLst/>
        </a:prstGeom>
      </xdr:spPr>
    </xdr:pic>
    <xdr:clientData/>
  </xdr:twoCellAnchor>
  <xdr:twoCellAnchor>
    <xdr:from>
      <xdr:col>37</xdr:col>
      <xdr:colOff>180973</xdr:colOff>
      <xdr:row>0</xdr:row>
      <xdr:rowOff>0</xdr:rowOff>
    </xdr:from>
    <xdr:to>
      <xdr:col>47</xdr:col>
      <xdr:colOff>19049</xdr:colOff>
      <xdr:row>0</xdr:row>
      <xdr:rowOff>762000</xdr:rowOff>
    </xdr:to>
    <xdr:pic>
      <xdr:nvPicPr>
        <xdr:cNvPr id="4" name="Picture 3" descr="Fresh produce: lettuce, tomatoes, and cucumbers">
          <a:extLst>
            <a:ext uri="{FF2B5EF4-FFF2-40B4-BE49-F238E27FC236}">
              <a16:creationId xmlns:a16="http://schemas.microsoft.com/office/drawing/2014/main" id="{9DD41B60-8038-0546-942F-DA84F1CF25F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424473" y="0"/>
          <a:ext cx="11204576" cy="762000"/>
        </a:xfrm>
        <a:prstGeom prst="rect">
          <a:avLst/>
        </a:prstGeom>
      </xdr:spPr>
    </xdr:pic>
    <xdr:clientData/>
  </xdr:twoCellAnchor>
  <xdr:twoCellAnchor>
    <xdr:from>
      <xdr:col>49</xdr:col>
      <xdr:colOff>180973</xdr:colOff>
      <xdr:row>0</xdr:row>
      <xdr:rowOff>0</xdr:rowOff>
    </xdr:from>
    <xdr:to>
      <xdr:col>59</xdr:col>
      <xdr:colOff>19049</xdr:colOff>
      <xdr:row>0</xdr:row>
      <xdr:rowOff>762000</xdr:rowOff>
    </xdr:to>
    <xdr:pic>
      <xdr:nvPicPr>
        <xdr:cNvPr id="5" name="Picture 4" descr="Fresh produce: lettuce, tomatoes, and cucumbers">
          <a:extLst>
            <a:ext uri="{FF2B5EF4-FFF2-40B4-BE49-F238E27FC236}">
              <a16:creationId xmlns:a16="http://schemas.microsoft.com/office/drawing/2014/main" id="{55FC3930-4841-DA4D-9940-012E3130EAC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424473" y="0"/>
          <a:ext cx="11204576" cy="762000"/>
        </a:xfrm>
        <a:prstGeom prst="rect">
          <a:avLst/>
        </a:prstGeom>
      </xdr:spPr>
    </xdr:pic>
    <xdr:clientData/>
  </xdr:twoCellAnchor>
  <xdr:twoCellAnchor>
    <xdr:from>
      <xdr:col>60</xdr:col>
      <xdr:colOff>180973</xdr:colOff>
      <xdr:row>0</xdr:row>
      <xdr:rowOff>0</xdr:rowOff>
    </xdr:from>
    <xdr:to>
      <xdr:col>70</xdr:col>
      <xdr:colOff>19049</xdr:colOff>
      <xdr:row>0</xdr:row>
      <xdr:rowOff>762000</xdr:rowOff>
    </xdr:to>
    <xdr:pic>
      <xdr:nvPicPr>
        <xdr:cNvPr id="6" name="Picture 5" descr="Fresh produce: lettuce, tomatoes, and cucumbers">
          <a:extLst>
            <a:ext uri="{FF2B5EF4-FFF2-40B4-BE49-F238E27FC236}">
              <a16:creationId xmlns:a16="http://schemas.microsoft.com/office/drawing/2014/main" id="{47103F2F-E6C3-C743-8AC1-D195AFF147A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136736" y="0"/>
          <a:ext cx="11235788" cy="762000"/>
        </a:xfrm>
        <a:prstGeom prst="rect">
          <a:avLst/>
        </a:prstGeom>
      </xdr:spPr>
    </xdr:pic>
    <xdr:clientData/>
  </xdr:twoCellAnchor>
  <xdr:twoCellAnchor>
    <xdr:from>
      <xdr:col>72</xdr:col>
      <xdr:colOff>180973</xdr:colOff>
      <xdr:row>0</xdr:row>
      <xdr:rowOff>0</xdr:rowOff>
    </xdr:from>
    <xdr:to>
      <xdr:col>82</xdr:col>
      <xdr:colOff>19049</xdr:colOff>
      <xdr:row>0</xdr:row>
      <xdr:rowOff>762000</xdr:rowOff>
    </xdr:to>
    <xdr:pic>
      <xdr:nvPicPr>
        <xdr:cNvPr id="8" name="Picture 7" descr="Fresh produce: lettuce, tomatoes, and cucumbers">
          <a:extLst>
            <a:ext uri="{FF2B5EF4-FFF2-40B4-BE49-F238E27FC236}">
              <a16:creationId xmlns:a16="http://schemas.microsoft.com/office/drawing/2014/main" id="{B68456A0-C552-D24F-8B80-9CF14F5131C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019702" y="0"/>
          <a:ext cx="11666296" cy="762000"/>
        </a:xfrm>
        <a:prstGeom prst="rect">
          <a:avLst/>
        </a:prstGeom>
      </xdr:spPr>
    </xdr:pic>
    <xdr:clientData/>
  </xdr:twoCellAnchor>
  <xdr:twoCellAnchor>
    <xdr:from>
      <xdr:col>84</xdr:col>
      <xdr:colOff>180973</xdr:colOff>
      <xdr:row>0</xdr:row>
      <xdr:rowOff>0</xdr:rowOff>
    </xdr:from>
    <xdr:to>
      <xdr:col>94</xdr:col>
      <xdr:colOff>19049</xdr:colOff>
      <xdr:row>0</xdr:row>
      <xdr:rowOff>762000</xdr:rowOff>
    </xdr:to>
    <xdr:pic>
      <xdr:nvPicPr>
        <xdr:cNvPr id="9" name="Picture 8" descr="Fresh produce: lettuce, tomatoes, and cucumbers">
          <a:extLst>
            <a:ext uri="{FF2B5EF4-FFF2-40B4-BE49-F238E27FC236}">
              <a16:creationId xmlns:a16="http://schemas.microsoft.com/office/drawing/2014/main" id="{799A5D79-2443-834C-8C4B-5593C855BF2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019702" y="0"/>
          <a:ext cx="11666296" cy="762000"/>
        </a:xfrm>
        <a:prstGeom prst="rect">
          <a:avLst/>
        </a:prstGeom>
      </xdr:spPr>
    </xdr:pic>
    <xdr:clientData/>
  </xdr:twoCellAnchor>
  <xdr:twoCellAnchor>
    <xdr:from>
      <xdr:col>96</xdr:col>
      <xdr:colOff>180973</xdr:colOff>
      <xdr:row>0</xdr:row>
      <xdr:rowOff>0</xdr:rowOff>
    </xdr:from>
    <xdr:to>
      <xdr:col>106</xdr:col>
      <xdr:colOff>19049</xdr:colOff>
      <xdr:row>0</xdr:row>
      <xdr:rowOff>762000</xdr:rowOff>
    </xdr:to>
    <xdr:pic>
      <xdr:nvPicPr>
        <xdr:cNvPr id="11" name="Picture 10" descr="Fresh produce: lettuce, tomatoes, and cucumbers">
          <a:extLst>
            <a:ext uri="{FF2B5EF4-FFF2-40B4-BE49-F238E27FC236}">
              <a16:creationId xmlns:a16="http://schemas.microsoft.com/office/drawing/2014/main" id="{FA28055B-72B8-FE41-908E-853A6BB4084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333176" y="0"/>
          <a:ext cx="11784687" cy="203200"/>
        </a:xfrm>
        <a:prstGeom prst="rect">
          <a:avLst/>
        </a:prstGeom>
      </xdr:spPr>
    </xdr:pic>
    <xdr:clientData/>
  </xdr:twoCellAnchor>
  <xdr:twoCellAnchor>
    <xdr:from>
      <xdr:col>96</xdr:col>
      <xdr:colOff>180973</xdr:colOff>
      <xdr:row>0</xdr:row>
      <xdr:rowOff>0</xdr:rowOff>
    </xdr:from>
    <xdr:to>
      <xdr:col>106</xdr:col>
      <xdr:colOff>19049</xdr:colOff>
      <xdr:row>0</xdr:row>
      <xdr:rowOff>762000</xdr:rowOff>
    </xdr:to>
    <xdr:pic>
      <xdr:nvPicPr>
        <xdr:cNvPr id="12" name="Picture 11" descr="Fresh produce: lettuce, tomatoes, and cucumbers">
          <a:extLst>
            <a:ext uri="{FF2B5EF4-FFF2-40B4-BE49-F238E27FC236}">
              <a16:creationId xmlns:a16="http://schemas.microsoft.com/office/drawing/2014/main" id="{69609324-2F8C-0146-9EF6-51F31173A65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4333176" y="0"/>
          <a:ext cx="11784687" cy="203200"/>
        </a:xfrm>
        <a:prstGeom prst="rect">
          <a:avLst/>
        </a:prstGeom>
      </xdr:spPr>
    </xdr:pic>
    <xdr:clientData/>
  </xdr:twoCellAnchor>
  <xdr:twoCellAnchor>
    <xdr:from>
      <xdr:col>108</xdr:col>
      <xdr:colOff>180973</xdr:colOff>
      <xdr:row>0</xdr:row>
      <xdr:rowOff>0</xdr:rowOff>
    </xdr:from>
    <xdr:to>
      <xdr:col>118</xdr:col>
      <xdr:colOff>19049</xdr:colOff>
      <xdr:row>0</xdr:row>
      <xdr:rowOff>762000</xdr:rowOff>
    </xdr:to>
    <xdr:pic>
      <xdr:nvPicPr>
        <xdr:cNvPr id="10" name="Picture 9" descr="Fresh produce: lettuce, tomatoes, and cucumbers">
          <a:extLst>
            <a:ext uri="{FF2B5EF4-FFF2-40B4-BE49-F238E27FC236}">
              <a16:creationId xmlns:a16="http://schemas.microsoft.com/office/drawing/2014/main" id="{49E2A1AA-8062-4344-9286-0456FD50F00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7765041" y="0"/>
          <a:ext cx="11784686" cy="203200"/>
        </a:xfrm>
        <a:prstGeom prst="rect">
          <a:avLst/>
        </a:prstGeom>
      </xdr:spPr>
    </xdr:pic>
    <xdr:clientData/>
  </xdr:twoCellAnchor>
  <xdr:twoCellAnchor>
    <xdr:from>
      <xdr:col>108</xdr:col>
      <xdr:colOff>180973</xdr:colOff>
      <xdr:row>0</xdr:row>
      <xdr:rowOff>0</xdr:rowOff>
    </xdr:from>
    <xdr:to>
      <xdr:col>118</xdr:col>
      <xdr:colOff>19049</xdr:colOff>
      <xdr:row>0</xdr:row>
      <xdr:rowOff>762000</xdr:rowOff>
    </xdr:to>
    <xdr:pic>
      <xdr:nvPicPr>
        <xdr:cNvPr id="13" name="Picture 12" descr="Fresh produce: lettuce, tomatoes, and cucumbers">
          <a:extLst>
            <a:ext uri="{FF2B5EF4-FFF2-40B4-BE49-F238E27FC236}">
              <a16:creationId xmlns:a16="http://schemas.microsoft.com/office/drawing/2014/main" id="{2EC8D5FC-3C27-E148-8F64-D72ED41DEB0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7765041" y="0"/>
          <a:ext cx="11784686" cy="203200"/>
        </a:xfrm>
        <a:prstGeom prst="rect">
          <a:avLst/>
        </a:prstGeom>
      </xdr:spPr>
    </xdr:pic>
    <xdr:clientData/>
  </xdr:twoCellAnchor>
  <xdr:twoCellAnchor>
    <xdr:from>
      <xdr:col>120</xdr:col>
      <xdr:colOff>180973</xdr:colOff>
      <xdr:row>0</xdr:row>
      <xdr:rowOff>0</xdr:rowOff>
    </xdr:from>
    <xdr:to>
      <xdr:col>130</xdr:col>
      <xdr:colOff>19049</xdr:colOff>
      <xdr:row>0</xdr:row>
      <xdr:rowOff>762000</xdr:rowOff>
    </xdr:to>
    <xdr:pic>
      <xdr:nvPicPr>
        <xdr:cNvPr id="14" name="Picture 13" descr="Fresh produce: lettuce, tomatoes, and cucumbers">
          <a:extLst>
            <a:ext uri="{FF2B5EF4-FFF2-40B4-BE49-F238E27FC236}">
              <a16:creationId xmlns:a16="http://schemas.microsoft.com/office/drawing/2014/main" id="{3F8F8603-169F-0145-9651-93E827C995D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1327428" y="0"/>
          <a:ext cx="11799166" cy="203200"/>
        </a:xfrm>
        <a:prstGeom prst="rect">
          <a:avLst/>
        </a:prstGeom>
      </xdr:spPr>
    </xdr:pic>
    <xdr:clientData/>
  </xdr:twoCellAnchor>
  <xdr:twoCellAnchor>
    <xdr:from>
      <xdr:col>120</xdr:col>
      <xdr:colOff>180973</xdr:colOff>
      <xdr:row>0</xdr:row>
      <xdr:rowOff>0</xdr:rowOff>
    </xdr:from>
    <xdr:to>
      <xdr:col>130</xdr:col>
      <xdr:colOff>19049</xdr:colOff>
      <xdr:row>0</xdr:row>
      <xdr:rowOff>762000</xdr:rowOff>
    </xdr:to>
    <xdr:pic>
      <xdr:nvPicPr>
        <xdr:cNvPr id="15" name="Picture 14" descr="Fresh produce: lettuce, tomatoes, and cucumbers">
          <a:extLst>
            <a:ext uri="{FF2B5EF4-FFF2-40B4-BE49-F238E27FC236}">
              <a16:creationId xmlns:a16="http://schemas.microsoft.com/office/drawing/2014/main" id="{9CE6F1DD-74EC-B94E-A370-361EA35FF24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1327428" y="0"/>
          <a:ext cx="11799166" cy="203200"/>
        </a:xfrm>
        <a:prstGeom prst="rect">
          <a:avLst/>
        </a:prstGeom>
      </xdr:spPr>
    </xdr:pic>
    <xdr:clientData/>
  </xdr:twoCellAnchor>
  <xdr:twoCellAnchor>
    <xdr:from>
      <xdr:col>132</xdr:col>
      <xdr:colOff>180973</xdr:colOff>
      <xdr:row>0</xdr:row>
      <xdr:rowOff>0</xdr:rowOff>
    </xdr:from>
    <xdr:to>
      <xdr:col>142</xdr:col>
      <xdr:colOff>19049</xdr:colOff>
      <xdr:row>0</xdr:row>
      <xdr:rowOff>762000</xdr:rowOff>
    </xdr:to>
    <xdr:pic>
      <xdr:nvPicPr>
        <xdr:cNvPr id="16" name="Picture 15" descr="Fresh produce: lettuce, tomatoes, and cucumbers">
          <a:extLst>
            <a:ext uri="{FF2B5EF4-FFF2-40B4-BE49-F238E27FC236}">
              <a16:creationId xmlns:a16="http://schemas.microsoft.com/office/drawing/2014/main" id="{6722BE4E-CC8C-6A49-832D-AA26632674E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4777882" y="0"/>
          <a:ext cx="11799167" cy="203200"/>
        </a:xfrm>
        <a:prstGeom prst="rect">
          <a:avLst/>
        </a:prstGeom>
      </xdr:spPr>
    </xdr:pic>
    <xdr:clientData/>
  </xdr:twoCellAnchor>
  <xdr:twoCellAnchor>
    <xdr:from>
      <xdr:col>132</xdr:col>
      <xdr:colOff>180973</xdr:colOff>
      <xdr:row>0</xdr:row>
      <xdr:rowOff>0</xdr:rowOff>
    </xdr:from>
    <xdr:to>
      <xdr:col>142</xdr:col>
      <xdr:colOff>19049</xdr:colOff>
      <xdr:row>0</xdr:row>
      <xdr:rowOff>762000</xdr:rowOff>
    </xdr:to>
    <xdr:pic>
      <xdr:nvPicPr>
        <xdr:cNvPr id="17" name="Picture 16" descr="Fresh produce: lettuce, tomatoes, and cucumbers">
          <a:extLst>
            <a:ext uri="{FF2B5EF4-FFF2-40B4-BE49-F238E27FC236}">
              <a16:creationId xmlns:a16="http://schemas.microsoft.com/office/drawing/2014/main" id="{E7BA5E2F-492C-0B4D-AB23-500D50063F4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4777882" y="0"/>
          <a:ext cx="11799167" cy="203200"/>
        </a:xfrm>
        <a:prstGeom prst="rect">
          <a:avLst/>
        </a:prstGeom>
      </xdr:spPr>
    </xdr:pic>
    <xdr:clientData/>
  </xdr:twoCellAnchor>
  <xdr:twoCellAnchor>
    <xdr:from>
      <xdr:col>144</xdr:col>
      <xdr:colOff>180973</xdr:colOff>
      <xdr:row>0</xdr:row>
      <xdr:rowOff>0</xdr:rowOff>
    </xdr:from>
    <xdr:to>
      <xdr:col>154</xdr:col>
      <xdr:colOff>19049</xdr:colOff>
      <xdr:row>0</xdr:row>
      <xdr:rowOff>762000</xdr:rowOff>
    </xdr:to>
    <xdr:pic>
      <xdr:nvPicPr>
        <xdr:cNvPr id="18" name="Picture 17" descr="Fresh produce: lettuce, tomatoes, and cucumbers">
          <a:extLst>
            <a:ext uri="{FF2B5EF4-FFF2-40B4-BE49-F238E27FC236}">
              <a16:creationId xmlns:a16="http://schemas.microsoft.com/office/drawing/2014/main" id="{C3BB88E4-F47F-BB48-B812-554689180B4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48228337" y="0"/>
          <a:ext cx="11799167" cy="203200"/>
        </a:xfrm>
        <a:prstGeom prst="rect">
          <a:avLst/>
        </a:prstGeom>
      </xdr:spPr>
    </xdr:pic>
    <xdr:clientData/>
  </xdr:twoCellAnchor>
  <xdr:twoCellAnchor>
    <xdr:from>
      <xdr:col>144</xdr:col>
      <xdr:colOff>180973</xdr:colOff>
      <xdr:row>0</xdr:row>
      <xdr:rowOff>0</xdr:rowOff>
    </xdr:from>
    <xdr:to>
      <xdr:col>154</xdr:col>
      <xdr:colOff>19049</xdr:colOff>
      <xdr:row>0</xdr:row>
      <xdr:rowOff>762000</xdr:rowOff>
    </xdr:to>
    <xdr:pic>
      <xdr:nvPicPr>
        <xdr:cNvPr id="19" name="Picture 18" descr="Fresh produce: lettuce, tomatoes, and cucumbers">
          <a:extLst>
            <a:ext uri="{FF2B5EF4-FFF2-40B4-BE49-F238E27FC236}">
              <a16:creationId xmlns:a16="http://schemas.microsoft.com/office/drawing/2014/main" id="{9720D710-6BB5-5F49-AB4D-8F701348E77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8228337" y="0"/>
          <a:ext cx="11799167" cy="203200"/>
        </a:xfrm>
        <a:prstGeom prst="rect">
          <a:avLst/>
        </a:prstGeom>
      </xdr:spPr>
    </xdr:pic>
    <xdr:clientData/>
  </xdr:twoCellAnchor>
  <xdr:twoCellAnchor>
    <xdr:from>
      <xdr:col>156</xdr:col>
      <xdr:colOff>180973</xdr:colOff>
      <xdr:row>0</xdr:row>
      <xdr:rowOff>0</xdr:rowOff>
    </xdr:from>
    <xdr:to>
      <xdr:col>166</xdr:col>
      <xdr:colOff>19049</xdr:colOff>
      <xdr:row>0</xdr:row>
      <xdr:rowOff>762000</xdr:rowOff>
    </xdr:to>
    <xdr:pic>
      <xdr:nvPicPr>
        <xdr:cNvPr id="20" name="Picture 19" descr="Fresh produce: lettuce, tomatoes, and cucumbers">
          <a:extLst>
            <a:ext uri="{FF2B5EF4-FFF2-40B4-BE49-F238E27FC236}">
              <a16:creationId xmlns:a16="http://schemas.microsoft.com/office/drawing/2014/main" id="{74F5F4A3-A259-E24A-939D-55F17EF2AF5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1678791" y="0"/>
          <a:ext cx="11799167" cy="203200"/>
        </a:xfrm>
        <a:prstGeom prst="rect">
          <a:avLst/>
        </a:prstGeom>
      </xdr:spPr>
    </xdr:pic>
    <xdr:clientData/>
  </xdr:twoCellAnchor>
  <xdr:twoCellAnchor>
    <xdr:from>
      <xdr:col>156</xdr:col>
      <xdr:colOff>180973</xdr:colOff>
      <xdr:row>0</xdr:row>
      <xdr:rowOff>0</xdr:rowOff>
    </xdr:from>
    <xdr:to>
      <xdr:col>166</xdr:col>
      <xdr:colOff>19049</xdr:colOff>
      <xdr:row>0</xdr:row>
      <xdr:rowOff>762000</xdr:rowOff>
    </xdr:to>
    <xdr:pic>
      <xdr:nvPicPr>
        <xdr:cNvPr id="21" name="Picture 20" descr="Fresh produce: lettuce, tomatoes, and cucumbers">
          <a:extLst>
            <a:ext uri="{FF2B5EF4-FFF2-40B4-BE49-F238E27FC236}">
              <a16:creationId xmlns:a16="http://schemas.microsoft.com/office/drawing/2014/main" id="{351B113D-0EB6-1544-A558-DD19CDE9023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1678791" y="0"/>
          <a:ext cx="11799167" cy="203200"/>
        </a:xfrm>
        <a:prstGeom prst="rect">
          <a:avLst/>
        </a:prstGeom>
      </xdr:spPr>
    </xdr:pic>
    <xdr:clientData/>
  </xdr:twoCellAnchor>
  <xdr:twoCellAnchor>
    <xdr:from>
      <xdr:col>168</xdr:col>
      <xdr:colOff>180973</xdr:colOff>
      <xdr:row>0</xdr:row>
      <xdr:rowOff>0</xdr:rowOff>
    </xdr:from>
    <xdr:to>
      <xdr:col>178</xdr:col>
      <xdr:colOff>19049</xdr:colOff>
      <xdr:row>0</xdr:row>
      <xdr:rowOff>762000</xdr:rowOff>
    </xdr:to>
    <xdr:pic>
      <xdr:nvPicPr>
        <xdr:cNvPr id="22" name="Picture 21" descr="Fresh produce: lettuce, tomatoes, and cucumbers">
          <a:extLst>
            <a:ext uri="{FF2B5EF4-FFF2-40B4-BE49-F238E27FC236}">
              <a16:creationId xmlns:a16="http://schemas.microsoft.com/office/drawing/2014/main" id="{65A4EAB5-A762-2E43-92DF-D20B4CC84C4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75129246" y="0"/>
          <a:ext cx="11799167" cy="203200"/>
        </a:xfrm>
        <a:prstGeom prst="rect">
          <a:avLst/>
        </a:prstGeom>
      </xdr:spPr>
    </xdr:pic>
    <xdr:clientData/>
  </xdr:twoCellAnchor>
  <xdr:twoCellAnchor>
    <xdr:from>
      <xdr:col>168</xdr:col>
      <xdr:colOff>180973</xdr:colOff>
      <xdr:row>0</xdr:row>
      <xdr:rowOff>0</xdr:rowOff>
    </xdr:from>
    <xdr:to>
      <xdr:col>178</xdr:col>
      <xdr:colOff>19049</xdr:colOff>
      <xdr:row>0</xdr:row>
      <xdr:rowOff>762000</xdr:rowOff>
    </xdr:to>
    <xdr:pic>
      <xdr:nvPicPr>
        <xdr:cNvPr id="23" name="Picture 22" descr="Fresh produce: lettuce, tomatoes, and cucumbers">
          <a:extLst>
            <a:ext uri="{FF2B5EF4-FFF2-40B4-BE49-F238E27FC236}">
              <a16:creationId xmlns:a16="http://schemas.microsoft.com/office/drawing/2014/main" id="{8B766DF7-ACD8-FF48-9B56-67ADA2E03D0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75129246" y="0"/>
          <a:ext cx="11799167" cy="203200"/>
        </a:xfrm>
        <a:prstGeom prst="rect">
          <a:avLst/>
        </a:prstGeom>
      </xdr:spPr>
    </xdr:pic>
    <xdr:clientData/>
  </xdr:twoCellAnchor>
  <xdr:twoCellAnchor>
    <xdr:from>
      <xdr:col>180</xdr:col>
      <xdr:colOff>180973</xdr:colOff>
      <xdr:row>0</xdr:row>
      <xdr:rowOff>0</xdr:rowOff>
    </xdr:from>
    <xdr:to>
      <xdr:col>190</xdr:col>
      <xdr:colOff>19049</xdr:colOff>
      <xdr:row>0</xdr:row>
      <xdr:rowOff>762000</xdr:rowOff>
    </xdr:to>
    <xdr:pic>
      <xdr:nvPicPr>
        <xdr:cNvPr id="24" name="Picture 23" descr="Fresh produce: lettuce, tomatoes, and cucumbers">
          <a:extLst>
            <a:ext uri="{FF2B5EF4-FFF2-40B4-BE49-F238E27FC236}">
              <a16:creationId xmlns:a16="http://schemas.microsoft.com/office/drawing/2014/main" id="{53B2C0AB-13E8-B74E-B076-045BA6261B2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75129246" y="0"/>
          <a:ext cx="11799167" cy="203200"/>
        </a:xfrm>
        <a:prstGeom prst="rect">
          <a:avLst/>
        </a:prstGeom>
      </xdr:spPr>
    </xdr:pic>
    <xdr:clientData/>
  </xdr:twoCellAnchor>
  <xdr:twoCellAnchor>
    <xdr:from>
      <xdr:col>180</xdr:col>
      <xdr:colOff>180973</xdr:colOff>
      <xdr:row>0</xdr:row>
      <xdr:rowOff>0</xdr:rowOff>
    </xdr:from>
    <xdr:to>
      <xdr:col>190</xdr:col>
      <xdr:colOff>19049</xdr:colOff>
      <xdr:row>0</xdr:row>
      <xdr:rowOff>762000</xdr:rowOff>
    </xdr:to>
    <xdr:pic>
      <xdr:nvPicPr>
        <xdr:cNvPr id="25" name="Picture 24" descr="Fresh produce: lettuce, tomatoes, and cucumbers">
          <a:extLst>
            <a:ext uri="{FF2B5EF4-FFF2-40B4-BE49-F238E27FC236}">
              <a16:creationId xmlns:a16="http://schemas.microsoft.com/office/drawing/2014/main" id="{F75CFA35-84FE-AB47-8888-398FE3A4101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75129246" y="0"/>
          <a:ext cx="11799167" cy="203200"/>
        </a:xfrm>
        <a:prstGeom prst="rect">
          <a:avLst/>
        </a:prstGeom>
      </xdr:spPr>
    </xdr:pic>
    <xdr:clientData/>
  </xdr:twoCellAnchor>
  <xdr:twoCellAnchor>
    <xdr:from>
      <xdr:col>192</xdr:col>
      <xdr:colOff>180973</xdr:colOff>
      <xdr:row>0</xdr:row>
      <xdr:rowOff>0</xdr:rowOff>
    </xdr:from>
    <xdr:to>
      <xdr:col>202</xdr:col>
      <xdr:colOff>19049</xdr:colOff>
      <xdr:row>0</xdr:row>
      <xdr:rowOff>762000</xdr:rowOff>
    </xdr:to>
    <xdr:pic>
      <xdr:nvPicPr>
        <xdr:cNvPr id="26" name="Picture 25" descr="Fresh produce: lettuce, tomatoes, and cucumbers">
          <a:extLst>
            <a:ext uri="{FF2B5EF4-FFF2-40B4-BE49-F238E27FC236}">
              <a16:creationId xmlns:a16="http://schemas.microsoft.com/office/drawing/2014/main" id="{6EE3024B-5592-794F-84CA-CC34B506E0A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02030155" y="0"/>
          <a:ext cx="11799167" cy="203200"/>
        </a:xfrm>
        <a:prstGeom prst="rect">
          <a:avLst/>
        </a:prstGeom>
      </xdr:spPr>
    </xdr:pic>
    <xdr:clientData/>
  </xdr:twoCellAnchor>
  <xdr:twoCellAnchor>
    <xdr:from>
      <xdr:col>192</xdr:col>
      <xdr:colOff>180973</xdr:colOff>
      <xdr:row>0</xdr:row>
      <xdr:rowOff>0</xdr:rowOff>
    </xdr:from>
    <xdr:to>
      <xdr:col>202</xdr:col>
      <xdr:colOff>19049</xdr:colOff>
      <xdr:row>0</xdr:row>
      <xdr:rowOff>762000</xdr:rowOff>
    </xdr:to>
    <xdr:pic>
      <xdr:nvPicPr>
        <xdr:cNvPr id="27" name="Picture 26" descr="Fresh produce: lettuce, tomatoes, and cucumbers">
          <a:extLst>
            <a:ext uri="{FF2B5EF4-FFF2-40B4-BE49-F238E27FC236}">
              <a16:creationId xmlns:a16="http://schemas.microsoft.com/office/drawing/2014/main" id="{134FC43E-B8DA-9849-AC30-C2D8C1E6D62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02030155" y="0"/>
          <a:ext cx="11799167" cy="203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xdr:colOff>
      <xdr:row>16</xdr:row>
      <xdr:rowOff>9526</xdr:rowOff>
    </xdr:from>
    <xdr:to>
      <xdr:col>22</xdr:col>
      <xdr:colOff>498928</xdr:colOff>
      <xdr:row>35</xdr:row>
      <xdr:rowOff>28576</xdr:rowOff>
    </xdr:to>
    <xdr:graphicFrame macro="">
      <xdr:nvGraphicFramePr>
        <xdr:cNvPr id="3" name="Chart 2">
          <a:extLst>
            <a:ext uri="{FF2B5EF4-FFF2-40B4-BE49-F238E27FC236}">
              <a16:creationId xmlns:a16="http://schemas.microsoft.com/office/drawing/2014/main" id="{2AD6F950-3452-42F8-AD66-B3516FDAD7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0</xdr:row>
      <xdr:rowOff>0</xdr:rowOff>
    </xdr:from>
    <xdr:to>
      <xdr:col>13</xdr:col>
      <xdr:colOff>314325</xdr:colOff>
      <xdr:row>13</xdr:row>
      <xdr:rowOff>161925</xdr:rowOff>
    </xdr:to>
    <xdr:graphicFrame macro="">
      <xdr:nvGraphicFramePr>
        <xdr:cNvPr id="4" name="Chart 3">
          <a:extLst>
            <a:ext uri="{FF2B5EF4-FFF2-40B4-BE49-F238E27FC236}">
              <a16:creationId xmlns:a16="http://schemas.microsoft.com/office/drawing/2014/main" id="{E26F9D95-2DAE-4BF6-B5D9-964736D34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ustin Uto-Dieu" id="{B602138E-D724-2645-AECF-3334CF3BF9F5}" userId="d70f98b2c65244cf"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E5B861-2E99-634D-9986-30AD10EC52FF}" name="GroceryList" displayName="GroceryList" ref="B5:J53" headerRowDxfId="300" dataDxfId="299" totalsRowDxfId="298">
  <autoFilter ref="B5:J53" xr:uid="{56E5B861-2E99-634D-9986-30AD10EC52FF}"/>
  <tableColumns count="9">
    <tableColumn id="1" xr3:uid="{471D0C96-0F37-3745-B48E-F5ABC7477AF8}" name="DONE?" totalsRowLabel="Total" dataCellStyle="Center Alignment"/>
    <tableColumn id="2" xr3:uid="{120DC2D2-1DF3-774A-AD59-7F486505A800}" name="ITEM" dataDxfId="297" dataCellStyle="Normal"/>
    <tableColumn id="9" xr3:uid="{CC7E6A4D-5BCA-664E-9365-40EAF23A4DF2}" name="STORE" dataDxfId="296" dataCellStyle="Normal"/>
    <tableColumn id="3" xr3:uid="{059C24AF-E9D0-184A-9312-F22D02DEADD4}" name="CATEGORY" dataDxfId="295" dataCellStyle="Normal"/>
    <tableColumn id="4" xr3:uid="{376C18FE-9E0F-4C4D-B759-8CC923C8E40B}" name="QTY" dataCellStyle="Center Alignment"/>
    <tableColumn id="8" xr3:uid="{EB8BD3ED-6A87-C743-99F4-A032A7AE3C2A}" name="UNIT" dataDxfId="294" totalsRowDxfId="293"/>
    <tableColumn id="5" xr3:uid="{0E83FBCE-FE5A-D34F-8F82-3A0BCC195C93}" name="UNIT PRICE" dataDxfId="292"/>
    <tableColumn id="6" xr3:uid="{8F5095FB-0599-F245-AC26-D30214EED502}" name="TOTAL" dataDxfId="291">
      <calculatedColumnFormula>IFERROR(GroceryList[[#This Row],[QTY]]*GroceryList[[#This Row],[UNIT PRICE]],"")</calculatedColumnFormula>
    </tableColumn>
    <tableColumn id="7" xr3:uid="{4FF23D6A-9956-6442-8A3C-E1C6A306C4BE}" name="NOTE" totalsRowFunction="count" dataDxfId="290" dataCellStyle="Normal"/>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CD29610-0FE8-5F42-8A4F-1C77179E3976}" name="GroceryList27456148109" displayName="GroceryList27456148109" ref="DF5:DO54" headerRowDxfId="193" dataDxfId="192" totalsRowDxfId="191">
  <autoFilter ref="DF5:DO54" xr:uid="{5CD29610-0FE8-5F42-8A4F-1C77179E3976}"/>
  <tableColumns count="10">
    <tableColumn id="1" xr3:uid="{10108117-FDC6-8043-A677-93DE805BA49F}" name="DONE?" totalsRowLabel="Total" dataCellStyle="Center Alignment"/>
    <tableColumn id="2" xr3:uid="{39E8E95A-33D0-3540-B062-91A1D21EFD28}" name="ITEM" dataDxfId="190" dataCellStyle="Normal"/>
    <tableColumn id="9" xr3:uid="{4CB92CBF-A107-E644-BE96-7D8826E96983}" name="STORE" dataDxfId="189" dataCellStyle="Normal"/>
    <tableColumn id="3" xr3:uid="{E460D729-54F7-8744-BE68-73A4C796BD1F}" name="CATEGORY" dataDxfId="188" dataCellStyle="Normal"/>
    <tableColumn id="4" xr3:uid="{E2ADDA88-652D-5A49-888F-F0A6DC9E104F}" name="QTY" dataCellStyle="Center Alignment"/>
    <tableColumn id="8" xr3:uid="{B476ED7E-C6E5-814D-9DEC-30854C3F6523}" name="UNIT" dataDxfId="187" totalsRowDxfId="186"/>
    <tableColumn id="5" xr3:uid="{D870CECA-3D9E-E74E-BE55-B79ECAA3BD21}" name="UNIT PRICE" dataDxfId="185"/>
    <tableColumn id="6" xr3:uid="{EC05D33D-12AA-8048-9519-B3B8B5BE4280}" name="TOTAL" dataDxfId="184">
      <calculatedColumnFormula>IFERROR(GroceryList27456148109[[#This Row],[QTY]]*GroceryList27456148109[[#This Row],[UNIT PRICE]],"")</calculatedColumnFormula>
    </tableColumn>
    <tableColumn id="7" xr3:uid="{001DE548-1C35-AB46-9BFA-6A0B4A8CF349}" name="Essential" totalsRowFunction="count" dataDxfId="183" dataCellStyle="Normal"/>
    <tableColumn id="10" xr3:uid="{A0BDEACF-2A1A-6341-B482-18E428BA73D6}" name="Notes" dataDxfId="182" totalsRowDxfId="181"/>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60EE71-D2D7-384F-A12E-181157090BF3}" name="GroceryList2745614810911" displayName="GroceryList2745614810911" ref="DR5:EA54" headerRowDxfId="180" dataDxfId="179" totalsRowDxfId="178">
  <autoFilter ref="DR5:EA54" xr:uid="{B760EE71-D2D7-384F-A12E-181157090BF3}"/>
  <tableColumns count="10">
    <tableColumn id="1" xr3:uid="{DC0B5FF1-4EBD-9F45-83EF-15D306AB903D}" name="DONE?" totalsRowLabel="Total" dataCellStyle="Center Alignment"/>
    <tableColumn id="2" xr3:uid="{309AD127-3FB5-3D42-A515-09ABF7CCF3D6}" name="ITEM" dataDxfId="177" dataCellStyle="Normal"/>
    <tableColumn id="9" xr3:uid="{EA3DF2E2-C353-8A44-BBED-54EB884CC4B4}" name="STORE" dataDxfId="176" dataCellStyle="Normal"/>
    <tableColumn id="3" xr3:uid="{0B6A94E6-24C2-0247-9416-944032F83377}" name="CATEGORY" dataDxfId="175" dataCellStyle="Normal"/>
    <tableColumn id="4" xr3:uid="{17A05E88-1E4E-3C4A-86EF-4ABA93B13BCF}" name="QTY" dataCellStyle="Center Alignment"/>
    <tableColumn id="8" xr3:uid="{3A1FF5E7-16E1-7D4D-8832-EF7A14F3912D}" name="UNIT" dataDxfId="174" totalsRowDxfId="173"/>
    <tableColumn id="5" xr3:uid="{35E74718-06A5-C148-8C59-73129CD2B703}" name="UNIT PRICE" dataDxfId="172"/>
    <tableColumn id="6" xr3:uid="{B77D6D2E-AB34-2841-809A-5C75B0A3815F}" name="TOTAL" dataDxfId="171">
      <calculatedColumnFormula>IFERROR(GroceryList2745614810911[[#This Row],[QTY]]*GroceryList2745614810911[[#This Row],[UNIT PRICE]],"")</calculatedColumnFormula>
    </tableColumn>
    <tableColumn id="7" xr3:uid="{F1556A8F-2B8E-BE4F-9026-8E05AA75EDE6}" name="Essential" totalsRowFunction="count" dataDxfId="170" dataCellStyle="Normal"/>
    <tableColumn id="10" xr3:uid="{2E0C6FE4-2E0C-744E-B58A-7DE6F560B986}" name="Notes" dataDxfId="169" totalsRowDxfId="168"/>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F38B538-A0CB-7042-96DE-C53B1AD76A30}" name="GroceryList274561481091112" displayName="GroceryList274561481091112" ref="ED5:EM54" headerRowDxfId="167" dataDxfId="166" totalsRowDxfId="165">
  <autoFilter ref="ED5:EM54" xr:uid="{9F38B538-A0CB-7042-96DE-C53B1AD76A30}">
    <filterColumn colId="4">
      <filters>
        <filter val="1"/>
        <filter val="2"/>
        <filter val="3"/>
        <filter val="5"/>
      </filters>
    </filterColumn>
  </autoFilter>
  <tableColumns count="10">
    <tableColumn id="1" xr3:uid="{54AB2A59-60D5-B140-872E-E5FD72FF6D4A}" name="DONE?" totalsRowLabel="Total" dataCellStyle="Center Alignment"/>
    <tableColumn id="2" xr3:uid="{9EDE6419-8708-B443-9212-19058D495686}" name="ITEM" dataDxfId="164" dataCellStyle="Normal"/>
    <tableColumn id="9" xr3:uid="{394F68D0-133B-C640-94FD-D1F861CA2E33}" name="STORE" dataDxfId="163" dataCellStyle="Normal"/>
    <tableColumn id="3" xr3:uid="{A4EC1E2E-0EC4-1549-85CE-3BE1217A9B58}" name="CATEGORY" dataDxfId="162" dataCellStyle="Normal"/>
    <tableColumn id="4" xr3:uid="{6253B027-33E1-AF4A-83BB-DFF8B095C1C4}" name="QTY" dataCellStyle="Center Alignment"/>
    <tableColumn id="8" xr3:uid="{36C0E6A0-D4C6-C448-9B5C-F32C63CE30FA}" name="UNIT" dataDxfId="161" totalsRowDxfId="160"/>
    <tableColumn id="5" xr3:uid="{002899EC-AFA5-8643-813B-FAC8BC013D8B}" name="UNIT PRICE" dataDxfId="159"/>
    <tableColumn id="6" xr3:uid="{6165D5FA-19CD-0345-9C68-A95B566ED00C}" name="TOTAL" dataDxfId="158">
      <calculatedColumnFormula>IFERROR(GroceryList274561481091112[[#This Row],[QTY]]*GroceryList274561481091112[[#This Row],[UNIT PRICE]],"")</calculatedColumnFormula>
    </tableColumn>
    <tableColumn id="7" xr3:uid="{BA8ED35A-A878-FC42-8548-9D7355E4EBE0}" name="Essential" totalsRowFunction="count" dataDxfId="157" dataCellStyle="Normal"/>
    <tableColumn id="10" xr3:uid="{AB44F9C9-E617-9A46-A980-00B103FA4CDC}" name="Notes" dataDxfId="156" totalsRowDxfId="155"/>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6EFEB93-7678-9843-A87D-2808C82E7332}" name="GroceryList27456148109111213" displayName="GroceryList27456148109111213" ref="EP5:EY54" headerRowDxfId="154" dataDxfId="153" totalsRowDxfId="152">
  <autoFilter ref="EP5:EY54" xr:uid="{36EFEB93-7678-9843-A87D-2808C82E7332}"/>
  <tableColumns count="10">
    <tableColumn id="1" xr3:uid="{870CD6B9-D777-174F-80F6-F3A3A7F04C4F}" name="DONE?" totalsRowLabel="Total" dataCellStyle="Center Alignment"/>
    <tableColumn id="2" xr3:uid="{BC7861A3-F8EC-4749-9B37-191F6DAC855F}" name="ITEM" dataDxfId="151" dataCellStyle="Normal"/>
    <tableColumn id="9" xr3:uid="{0201A9C7-9196-6040-837F-BA98D487C333}" name="STORE" dataDxfId="150" dataCellStyle="Normal"/>
    <tableColumn id="3" xr3:uid="{E647F1AE-CE8B-BC42-935C-7A1E31128A5F}" name="CATEGORY" dataDxfId="149" dataCellStyle="Normal"/>
    <tableColumn id="4" xr3:uid="{478BAD74-A1F0-5847-8AF0-79CB5DDFDC22}" name="QTY" dataCellStyle="Center Alignment"/>
    <tableColumn id="8" xr3:uid="{EC820E7F-9C30-A642-84D7-8628857B8819}" name="UNIT" dataDxfId="148" totalsRowDxfId="147"/>
    <tableColumn id="5" xr3:uid="{501E9E15-3312-6E4C-ADBC-EEFC1FC1B38B}" name="UNIT PRICE" dataDxfId="146"/>
    <tableColumn id="6" xr3:uid="{61CA2CF0-B792-5949-B702-40872866DE69}" name="TOTAL" dataDxfId="145">
      <calculatedColumnFormula>IFERROR(GroceryList27456148109111213[[#This Row],[QTY]]*GroceryList27456148109111213[[#This Row],[UNIT PRICE]],"")</calculatedColumnFormula>
    </tableColumn>
    <tableColumn id="7" xr3:uid="{54564610-590A-2F42-97E8-D96D343CCF9C}" name="Essential" totalsRowFunction="count" dataDxfId="144" dataCellStyle="Normal"/>
    <tableColumn id="10" xr3:uid="{C9E19844-7E29-3942-A6DD-A6DFE5868812}" name="Notes" dataDxfId="143" totalsRowDxfId="142"/>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D39ED49-245E-0E4D-A9FF-C7FA32789317}" name="GroceryList2745614810911121315" displayName="GroceryList2745614810911121315" ref="FB5:FK54" headerRowDxfId="141" dataDxfId="140" totalsRowDxfId="139">
  <autoFilter ref="FB5:FK54" xr:uid="{4D39ED49-245E-0E4D-A9FF-C7FA32789317}"/>
  <tableColumns count="10">
    <tableColumn id="1" xr3:uid="{F7E5C524-EE6D-8443-9DC2-38A7E385083E}" name="DONE?" totalsRowLabel="Total" dataCellStyle="Center Alignment"/>
    <tableColumn id="2" xr3:uid="{864AFBD6-D3A5-4748-82FE-AF54516BCB1D}" name="ITEM" dataDxfId="138" dataCellStyle="Normal"/>
    <tableColumn id="9" xr3:uid="{4F0EC791-57AA-D149-90AF-F265F8A8D3EA}" name="STORE" dataDxfId="137" dataCellStyle="Normal"/>
    <tableColumn id="3" xr3:uid="{ED5B38F3-E852-4644-934A-E344ECE3690D}" name="CATEGORY" dataDxfId="136" dataCellStyle="Normal"/>
    <tableColumn id="4" xr3:uid="{D49879C1-6696-534A-ACDE-9AFA35160B1A}" name="QTY" dataCellStyle="Center Alignment"/>
    <tableColumn id="8" xr3:uid="{CA5FA4F6-246D-8A42-83E4-7AEE5474D7D6}" name="UNIT" dataDxfId="135" totalsRowDxfId="134"/>
    <tableColumn id="5" xr3:uid="{498115E2-17A9-994B-87D5-9F2DAF0E99DC}" name="UNIT PRICE" dataDxfId="133"/>
    <tableColumn id="6" xr3:uid="{526F4B82-EE68-4746-B06B-7A6F112771C2}" name="TOTAL" dataDxfId="132">
      <calculatedColumnFormula>IFERROR(GroceryList2745614810911121315[[#This Row],[QTY]]*GroceryList2745614810911121315[[#This Row],[UNIT PRICE]],"")</calculatedColumnFormula>
    </tableColumn>
    <tableColumn id="7" xr3:uid="{70B66818-7321-C247-92F2-1FB9B8A66CF4}" name="Essential" totalsRowFunction="count" dataDxfId="131" dataCellStyle="Normal"/>
    <tableColumn id="10" xr3:uid="{49071EFE-DFC3-0241-9043-D0AFAF95EC4C}" name="Notes" dataDxfId="130" totalsRowDxfId="129"/>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84EBA8F-400F-C042-A72F-3F39190EFC6F}" name="GroceryList274561481091112131516" displayName="GroceryList274561481091112131516" ref="FN5:FW54" headerRowDxfId="128" dataDxfId="127" totalsRowDxfId="126">
  <autoFilter ref="FN5:FW54" xr:uid="{484EBA8F-400F-C042-A72F-3F39190EFC6F}"/>
  <tableColumns count="10">
    <tableColumn id="1" xr3:uid="{F13F3147-2A40-D545-AE20-11A985BBFE16}" name="DONE?" totalsRowLabel="Total" dataCellStyle="Center Alignment"/>
    <tableColumn id="2" xr3:uid="{8447D92C-E7EC-0F49-AA46-A45E91335F67}" name="ITEM" dataDxfId="125" dataCellStyle="Normal"/>
    <tableColumn id="9" xr3:uid="{6250AB29-49B7-7F40-BDF5-A3E4F7646483}" name="STORE" dataDxfId="124" dataCellStyle="Normal"/>
    <tableColumn id="3" xr3:uid="{8F4CA73A-3F88-724B-B55B-BE83BEE75629}" name="CATEGORY" dataDxfId="123" dataCellStyle="Normal"/>
    <tableColumn id="4" xr3:uid="{3DDE0F83-B408-924D-A277-E61865B0188D}" name="QTY" dataCellStyle="Center Alignment"/>
    <tableColumn id="8" xr3:uid="{B0E5DE77-4425-7C48-AEBC-064586FEB38D}" name="UNIT" dataDxfId="122" totalsRowDxfId="121"/>
    <tableColumn id="5" xr3:uid="{975FEE4F-BFDD-454C-AFCB-A7A670CB9D43}" name="UNIT PRICE" dataDxfId="120"/>
    <tableColumn id="6" xr3:uid="{17249974-5CC0-F545-BFC9-7707E5E8A458}" name="TOTAL" dataDxfId="119">
      <calculatedColumnFormula>IFERROR(GroceryList274561481091112131516[[#This Row],[QTY]]*GroceryList274561481091112131516[[#This Row],[UNIT PRICE]],"")</calculatedColumnFormula>
    </tableColumn>
    <tableColumn id="7" xr3:uid="{9B02F7C6-9717-154B-8A11-3ACAF4166005}" name="Essential" totalsRowFunction="count" dataDxfId="118" dataCellStyle="Normal"/>
    <tableColumn id="10" xr3:uid="{100C4FAC-CA76-D947-A26A-11FD26C65647}" name="Notes" dataDxfId="117" totalsRowDxfId="116"/>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8A9D3D4-B163-954A-86DF-7565AE642B13}" name="GroceryList274561481091112131517" displayName="GroceryList274561481091112131517" ref="FZ5:GI54" headerRowDxfId="115" dataDxfId="114" totalsRowDxfId="113">
  <autoFilter ref="FZ5:GI54" xr:uid="{E8A9D3D4-B163-954A-86DF-7565AE642B13}">
    <filterColumn colId="4">
      <filters>
        <filter val="1"/>
        <filter val="2"/>
        <filter val="3"/>
        <filter val="6"/>
      </filters>
    </filterColumn>
  </autoFilter>
  <tableColumns count="10">
    <tableColumn id="1" xr3:uid="{3E02571A-3120-8447-87E6-AD5C81E9B0CD}" name="DONE?" totalsRowLabel="Total" dataCellStyle="Center Alignment"/>
    <tableColumn id="2" xr3:uid="{8AEF9826-3FBA-7645-8BF6-8DEC2ECA1C20}" name="ITEM" dataDxfId="112" dataCellStyle="Normal"/>
    <tableColumn id="9" xr3:uid="{ED93EAD1-1809-8A40-9726-AB890AE63EBD}" name="STORE" dataDxfId="111" dataCellStyle="Normal"/>
    <tableColumn id="3" xr3:uid="{10D7BEE5-A744-E34A-AB11-6B34ED5C8A6A}" name="CATEGORY" dataDxfId="110" dataCellStyle="Normal"/>
    <tableColumn id="4" xr3:uid="{0EE47212-D60B-864C-9D66-B4A4282A5B13}" name="QTY" dataCellStyle="Center Alignment"/>
    <tableColumn id="8" xr3:uid="{385205E5-3911-F548-AED0-76C5CB96FF8D}" name="UNIT" dataDxfId="109" totalsRowDxfId="108"/>
    <tableColumn id="5" xr3:uid="{AD2354AB-462C-BA45-807A-FB0911D0A51C}" name="UNIT PRICE" dataDxfId="107"/>
    <tableColumn id="6" xr3:uid="{9758B263-A474-F945-B6C1-B513ECDB06C7}" name="TOTAL" dataDxfId="106">
      <calculatedColumnFormula>IFERROR(GroceryList274561481091112131517[[#This Row],[QTY]]*GroceryList274561481091112131517[[#This Row],[UNIT PRICE]],"")</calculatedColumnFormula>
    </tableColumn>
    <tableColumn id="7" xr3:uid="{AAC99AD1-A145-9F4A-AADC-3E0805820674}" name="Essential" totalsRowFunction="count" dataDxfId="105" dataCellStyle="Normal"/>
    <tableColumn id="10" xr3:uid="{C30DE70E-5A98-7A4E-818E-6AE5AD85E9FC}" name="Notes" dataDxfId="104" totalsRowDxfId="103"/>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907F2B6-DCF0-C449-A7B6-F56A016EDF22}" name="GroceryList27456148109111213151718" displayName="GroceryList27456148109111213151718" ref="GL5:GU54" headerRowDxfId="102" dataDxfId="101" totalsRowDxfId="100">
  <autoFilter ref="GL5:GU54" xr:uid="{4907F2B6-DCF0-C449-A7B6-F56A016EDF22}"/>
  <tableColumns count="10">
    <tableColumn id="1" xr3:uid="{10FAB396-8C1A-2B4F-AACD-A524B0ECD2AA}" name="DONE?" totalsRowLabel="Total" dataCellStyle="Center Alignment"/>
    <tableColumn id="2" xr3:uid="{B814C2FA-E7BB-7A48-838D-A96C16BDB89F}" name="ITEM" dataDxfId="99" dataCellStyle="Normal"/>
    <tableColumn id="9" xr3:uid="{02A5B4FC-E7F9-3D48-8C95-F50AB5D3D908}" name="STORE" dataDxfId="98" dataCellStyle="Normal"/>
    <tableColumn id="3" xr3:uid="{0F07473C-6BD5-A74F-8941-128DCB9A6201}" name="CATEGORY" dataDxfId="97" dataCellStyle="Normal"/>
    <tableColumn id="4" xr3:uid="{5C375C8D-6056-0748-B47C-8E000566ECAA}" name="QTY" dataDxfId="96" dataCellStyle="Center Alignment"/>
    <tableColumn id="8" xr3:uid="{3AF8811D-A541-AC42-8D88-F7FE91B0FB31}" name="UNIT" dataDxfId="95" totalsRowDxfId="94"/>
    <tableColumn id="5" xr3:uid="{14E57965-04D3-2A48-99CC-A3A5129745C7}" name="UNIT PRICE" dataDxfId="93"/>
    <tableColumn id="6" xr3:uid="{85CB8712-9EE2-D749-88F7-40775F174F34}" name="TOTAL" dataDxfId="92">
      <calculatedColumnFormula>IFERROR(GroceryList27456148109111213151718[[#This Row],[QTY]]*GroceryList27456148109111213151718[[#This Row],[UNIT PRICE]],"")</calculatedColumnFormula>
    </tableColumn>
    <tableColumn id="7" xr3:uid="{B4C68647-1A00-B043-95DD-D300DB41BC58}" name="Essential" totalsRowFunction="count" dataDxfId="91" dataCellStyle="Normal"/>
    <tableColumn id="10" xr3:uid="{0585F603-B295-8E4A-9400-E59AA4001E25}" name="Notes" dataDxfId="90" totalsRowDxfId="89"/>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2678FD-2F5E-F047-8E63-09A033ADB8B7}" name="GroceryList2" displayName="GroceryList2" ref="M5:U53" headerRowDxfId="289" dataDxfId="288" totalsRowDxfId="287">
  <autoFilter ref="M5:U53" xr:uid="{482678FD-2F5E-F047-8E63-09A033ADB8B7}"/>
  <tableColumns count="9">
    <tableColumn id="1" xr3:uid="{68727F10-F81F-B14C-B183-BB5E9AF7260D}" name="DONE?" totalsRowLabel="Total" dataCellStyle="Center Alignment"/>
    <tableColumn id="2" xr3:uid="{158AEAF5-59C9-3247-BF7C-A5868E4EF213}" name="ITEM" dataDxfId="286" dataCellStyle="Normal"/>
    <tableColumn id="9" xr3:uid="{C7E84743-13F7-6846-A3DE-3864A4D27252}" name="STORE" dataDxfId="285" dataCellStyle="Normal"/>
    <tableColumn id="3" xr3:uid="{3469DA17-EFBC-4642-9497-DF4BA2233889}" name="CATEGORY" dataDxfId="284" dataCellStyle="Normal"/>
    <tableColumn id="4" xr3:uid="{8B3221D3-B506-134F-91F5-2A20FF10AFB1}" name="QTY" dataCellStyle="Center Alignment"/>
    <tableColumn id="8" xr3:uid="{006186A2-8856-934E-BCD2-3662DB55F856}" name="UNIT" dataDxfId="283" totalsRowDxfId="282"/>
    <tableColumn id="5" xr3:uid="{8F6CB15D-DA5C-E548-A6D5-581A4A6A504B}" name="UNIT PRICE" dataDxfId="281"/>
    <tableColumn id="6" xr3:uid="{39969511-7F46-A546-90EE-D62F085DC405}" name="TOTAL" dataDxfId="280">
      <calculatedColumnFormula>IFERROR(GroceryList2[[#This Row],[QTY]]*GroceryList2[[#This Row],[UNIT PRICE]],"")</calculatedColumnFormula>
    </tableColumn>
    <tableColumn id="7" xr3:uid="{EF520492-DA4F-1145-86DA-8D11D7A03904}" name="NOTE" totalsRowFunction="count" dataDxfId="279" dataCellStyle="Normal"/>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089F7E-5243-5443-9697-1FC6BBBFF599}" name="GroceryList27" displayName="GroceryList27" ref="Y5:AG53" headerRowDxfId="278" dataDxfId="277" totalsRowDxfId="276">
  <autoFilter ref="Y5:AG53" xr:uid="{5D089F7E-5243-5443-9697-1FC6BBBFF599}"/>
  <tableColumns count="9">
    <tableColumn id="1" xr3:uid="{1EB97B2D-8AB9-AB4B-98E0-19655B5A9724}" name="DONE?" totalsRowLabel="Total" dataCellStyle="Center Alignment"/>
    <tableColumn id="2" xr3:uid="{AE2F85DF-07EC-1445-93CA-32CA7CB0A47E}" name="ITEM" dataDxfId="275" dataCellStyle="Normal"/>
    <tableColumn id="9" xr3:uid="{D5D2E8D1-B5B1-DD4A-8664-AF78CD1A7C77}" name="STORE" dataDxfId="274" dataCellStyle="Normal"/>
    <tableColumn id="3" xr3:uid="{6E874CF2-521E-1A40-B346-19CE137B1C8B}" name="CATEGORY" dataDxfId="273" dataCellStyle="Normal"/>
    <tableColumn id="4" xr3:uid="{2BD6D8EA-C995-7A40-944A-3FFE4CB74F40}" name="QTY" dataCellStyle="Center Alignment"/>
    <tableColumn id="8" xr3:uid="{5BBC1D1F-1ECE-8147-BC14-2EF9145AF426}" name="UNIT" dataDxfId="272" totalsRowDxfId="271"/>
    <tableColumn id="5" xr3:uid="{7505FD05-2521-8847-9A24-C706F275834B}" name="UNIT PRICE" dataDxfId="270"/>
    <tableColumn id="6" xr3:uid="{3723D0AB-A6B9-6647-931C-9B2FBFAA589C}" name="TOTAL" dataDxfId="269">
      <calculatedColumnFormula>IFERROR(GroceryList27[[#This Row],[QTY]]*GroceryList27[[#This Row],[UNIT PRICE]],"")</calculatedColumnFormula>
    </tableColumn>
    <tableColumn id="7" xr3:uid="{493EC3F6-AA8C-334A-8D98-DD47588F0F7A}" name="NOTE" totalsRowFunction="count" dataDxfId="268" dataCellStyle="Normal"/>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D41FA7-F237-E947-BD70-B17997541391}" name="GroceryList274" displayName="GroceryList274" ref="AM5:AU53" headerRowDxfId="267" dataDxfId="266" totalsRowDxfId="265">
  <autoFilter ref="AM5:AU53" xr:uid="{D0D41FA7-F237-E947-BD70-B17997541391}"/>
  <tableColumns count="9">
    <tableColumn id="1" xr3:uid="{EAC30C7A-778E-2F4F-84B9-E8C07EA9B5EA}" name="DONE?" totalsRowLabel="Total" dataCellStyle="Center Alignment"/>
    <tableColumn id="2" xr3:uid="{D51D7A29-8912-B74F-974E-45BED2FB3680}" name="ITEM" dataDxfId="264" dataCellStyle="Normal"/>
    <tableColumn id="9" xr3:uid="{EBF06AF1-9684-0846-80BD-AB6EC8B03C45}" name="STORE" dataDxfId="263" dataCellStyle="Normal"/>
    <tableColumn id="3" xr3:uid="{C956706B-6C75-A043-BC3E-AD8F16D25C17}" name="CATEGORY" dataDxfId="262" dataCellStyle="Normal"/>
    <tableColumn id="4" xr3:uid="{D4C8D6E8-AB3A-6349-8F00-F03CD0BE4847}" name="QTY" dataCellStyle="Center Alignment"/>
    <tableColumn id="8" xr3:uid="{F7DEAAD4-E503-0F40-B9BB-CE1282893374}" name="UNIT" dataDxfId="261" totalsRowDxfId="260"/>
    <tableColumn id="5" xr3:uid="{2E517F1B-B28A-FD43-94FD-5F81660E4CF1}" name="UNIT PRICE" dataDxfId="259"/>
    <tableColumn id="6" xr3:uid="{D1CCE01D-F0FF-7B49-8B58-0A0732D127F4}" name="TOTAL" dataDxfId="258">
      <calculatedColumnFormula>IFERROR(GroceryList274[[#This Row],[QTY]]*GroceryList274[[#This Row],[UNIT PRICE]],"")</calculatedColumnFormula>
    </tableColumn>
    <tableColumn id="7" xr3:uid="{579999A6-3B5D-1E40-A5DA-243C41178BC1}" name="NOTE" totalsRowFunction="count" dataDxfId="257" dataCellStyle="Normal"/>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C26C2B-486F-8B41-9C84-5FF53C453C74}" name="GroceryList2745" displayName="GroceryList2745" ref="AY5:BG54" headerRowDxfId="256" dataDxfId="255" totalsRowDxfId="254">
  <autoFilter ref="AY5:BG54" xr:uid="{05C26C2B-486F-8B41-9C84-5FF53C453C74}"/>
  <tableColumns count="9">
    <tableColumn id="1" xr3:uid="{85C423D4-CF50-2E4F-B80E-3A791588C1E3}" name="DONE?" totalsRowLabel="Total" dataCellStyle="Center Alignment"/>
    <tableColumn id="2" xr3:uid="{C2F261F5-D4E8-E741-B5D8-804CB3820E87}" name="ITEM" dataDxfId="253" dataCellStyle="Normal"/>
    <tableColumn id="9" xr3:uid="{F2271757-0C88-8A4B-834E-9D947B589329}" name="STORE" dataDxfId="252" dataCellStyle="Normal"/>
    <tableColumn id="3" xr3:uid="{4C8E7E94-DA39-D842-8808-AAF36179EF49}" name="CATEGORY" dataDxfId="251" dataCellStyle="Normal"/>
    <tableColumn id="4" xr3:uid="{8C7DC108-4F6D-9F41-A5BE-A9051F883582}" name="QTY" dataCellStyle="Center Alignment"/>
    <tableColumn id="8" xr3:uid="{7F5A12D2-71DF-D542-A483-3E6161336D50}" name="UNIT" dataDxfId="250" totalsRowDxfId="249"/>
    <tableColumn id="5" xr3:uid="{CD802224-4E44-F446-9A1E-609FC550E22E}" name="UNIT PRICE" dataDxfId="248"/>
    <tableColumn id="6" xr3:uid="{F32195CB-C2F2-8049-A873-4034522E13E1}" name="TOTAL" dataDxfId="247">
      <calculatedColumnFormula>IFERROR(GroceryList2745[[#This Row],[QTY]]*GroceryList2745[[#This Row],[UNIT PRICE]],"")</calculatedColumnFormula>
    </tableColumn>
    <tableColumn id="7" xr3:uid="{7615EFC8-D19F-D949-9997-D7C9E595E71D}" name="NOTE" totalsRowFunction="count" dataDxfId="246" dataCellStyle="Normal"/>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8994813-A6B2-ED4C-918C-A4782DC44C85}" name="GroceryList27456" displayName="GroceryList27456" ref="BJ5:BS54" headerRowDxfId="245" dataDxfId="244" totalsRowDxfId="243">
  <autoFilter ref="BJ5:BS54" xr:uid="{18994813-A6B2-ED4C-918C-A4782DC44C85}"/>
  <tableColumns count="10">
    <tableColumn id="1" xr3:uid="{845EAC1D-F582-364E-A736-83F7D8C43D93}" name="DONE?" totalsRowLabel="Total" dataCellStyle="Center Alignment"/>
    <tableColumn id="2" xr3:uid="{61AA4DCF-0F45-C648-8760-B7B5114F0515}" name="ITEM" dataDxfId="242" dataCellStyle="Normal"/>
    <tableColumn id="9" xr3:uid="{CCFBF63E-DEA3-0F4E-8769-AEFDA767CB7B}" name="STORE" dataDxfId="241" dataCellStyle="Normal"/>
    <tableColumn id="3" xr3:uid="{E5CD330B-C78C-8B4D-BC6F-E6A5A41B5A59}" name="CATEGORY" dataDxfId="240" dataCellStyle="Normal"/>
    <tableColumn id="4" xr3:uid="{DA2C9F58-9C5A-394A-99F7-50567002FFA1}" name="QTY" dataCellStyle="Center Alignment"/>
    <tableColumn id="8" xr3:uid="{38402CB8-88B3-3C4B-B365-154DF34EC3CF}" name="UNIT" dataDxfId="239" totalsRowDxfId="238"/>
    <tableColumn id="5" xr3:uid="{E429764D-57BF-DE49-AC66-CC68854B5D22}" name="UNIT PRICE" dataDxfId="237"/>
    <tableColumn id="6" xr3:uid="{2E03C24C-AFC3-564E-B5E1-A65B09C7FF50}" name="TOTAL" dataDxfId="236">
      <calculatedColumnFormula>IFERROR(GroceryList27456[[#This Row],[QTY]]*GroceryList27456[[#This Row],[UNIT PRICE]],"")</calculatedColumnFormula>
    </tableColumn>
    <tableColumn id="7" xr3:uid="{2FB67684-2349-5149-A5A0-1397E61347EF}" name="Essential" totalsRowFunction="count" dataDxfId="235" dataCellStyle="Normal"/>
    <tableColumn id="10" xr3:uid="{0CAAB1E9-1B3F-B541-84BF-4A399BB36402}" name="Notes" dataDxfId="234" totalsRowDxfId="233"/>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72146E2-EBB8-B942-8A69-CE9AC609CC9E}" name="GroceryList2745614" displayName="GroceryList2745614" ref="BV5:CE54" headerRowDxfId="232" dataDxfId="231" totalsRowDxfId="230">
  <autoFilter ref="BV5:CE54" xr:uid="{372146E2-EBB8-B942-8A69-CE9AC609CC9E}"/>
  <tableColumns count="10">
    <tableColumn id="1" xr3:uid="{AAC738CD-7BC1-CD40-AF68-396561E4444E}" name="DONE?" totalsRowLabel="Total" dataCellStyle="Center Alignment"/>
    <tableColumn id="2" xr3:uid="{71418B1E-9ABA-4F4E-B75F-FE47BBAEE2AD}" name="ITEM" dataDxfId="229" dataCellStyle="Normal"/>
    <tableColumn id="9" xr3:uid="{C8C99262-A3F5-8B4A-8C89-89B9132E30D4}" name="STORE" dataDxfId="228" dataCellStyle="Normal"/>
    <tableColumn id="3" xr3:uid="{F807C40A-1B09-D044-9C8B-EEAF000B9562}" name="CATEGORY" dataDxfId="227" dataCellStyle="Normal"/>
    <tableColumn id="4" xr3:uid="{1CC96369-C44D-054E-B814-4D76FF0736B0}" name="QTY" dataCellStyle="Center Alignment"/>
    <tableColumn id="8" xr3:uid="{29F098F9-2C12-2E4D-8B70-50E67F69727E}" name="UNIT" dataDxfId="226" totalsRowDxfId="225"/>
    <tableColumn id="5" xr3:uid="{B6A793B4-232B-4942-AE2F-9625F3623962}" name="UNIT PRICE" dataDxfId="224"/>
    <tableColumn id="6" xr3:uid="{B741DFC7-447B-B442-9072-3C97B75026BA}" name="TOTAL" dataDxfId="223">
      <calculatedColumnFormula>IFERROR(GroceryList2745614[[#This Row],[QTY]]*GroceryList2745614[[#This Row],[UNIT PRICE]],"")</calculatedColumnFormula>
    </tableColumn>
    <tableColumn id="7" xr3:uid="{D70A0704-63F3-B343-A60D-D9C564CFAB79}" name="Essential" totalsRowFunction="count" dataDxfId="222" dataCellStyle="Normal"/>
    <tableColumn id="10" xr3:uid="{A8F6A94B-6DA6-594A-9CD7-48DFC55637BA}" name="Notes" dataDxfId="221" totalsRowDxfId="220"/>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10A2D5B-E972-1E49-B111-D9AE3E040347}" name="GroceryList27456148" displayName="GroceryList27456148" ref="CH5:CQ54" headerRowDxfId="219" dataDxfId="218" totalsRowDxfId="217">
  <autoFilter ref="CH5:CQ54" xr:uid="{510A2D5B-E972-1E49-B111-D9AE3E040347}"/>
  <tableColumns count="10">
    <tableColumn id="1" xr3:uid="{3503E998-8AC4-504B-A812-94551134BF11}" name="DONE?" totalsRowLabel="Total" dataCellStyle="Center Alignment"/>
    <tableColumn id="2" xr3:uid="{2660477D-D41D-D542-AB8C-9A436703E47F}" name="ITEM" dataDxfId="216" dataCellStyle="Normal"/>
    <tableColumn id="9" xr3:uid="{D270A196-17F4-8945-BB88-5B79C69DD1E3}" name="STORE" dataDxfId="215" dataCellStyle="Normal"/>
    <tableColumn id="3" xr3:uid="{075CE9C4-5332-0942-BDE2-097D50ACF529}" name="CATEGORY" dataDxfId="214" dataCellStyle="Normal"/>
    <tableColumn id="4" xr3:uid="{3E992EA9-DB1B-6A4C-A514-92A5A1016168}" name="QTY" dataCellStyle="Center Alignment"/>
    <tableColumn id="8" xr3:uid="{E995A453-DE8D-2140-8D3F-7F86B691B27B}" name="UNIT" dataDxfId="213" totalsRowDxfId="212"/>
    <tableColumn id="5" xr3:uid="{03D83A76-CA6A-3A42-A66F-229A48078DD3}" name="UNIT PRICE" dataDxfId="211"/>
    <tableColumn id="6" xr3:uid="{5313D8B0-1AD7-5A40-827C-4170BA94BEAC}" name="TOTAL" dataDxfId="210">
      <calculatedColumnFormula>IFERROR(GroceryList27456148[[#This Row],[QTY]]*GroceryList27456148[[#This Row],[UNIT PRICE]],"")</calculatedColumnFormula>
    </tableColumn>
    <tableColumn id="7" xr3:uid="{46D263FF-5239-4D4B-8CCE-CE118B73A263}" name="Essential" totalsRowFunction="count" dataDxfId="209" dataCellStyle="Normal"/>
    <tableColumn id="10" xr3:uid="{B948926A-6FD7-3144-9C0A-815A67190F6C}" name="Notes" dataDxfId="208" totalsRowDxfId="207"/>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324CCEA-6D63-D24A-98DE-E5AD4FEC745B}" name="GroceryList2745614810" displayName="GroceryList2745614810" ref="CT5:DC54" headerRowDxfId="206" dataDxfId="205" totalsRowDxfId="204">
  <autoFilter ref="CT5:DC54" xr:uid="{A324CCEA-6D63-D24A-98DE-E5AD4FEC745B}"/>
  <tableColumns count="10">
    <tableColumn id="1" xr3:uid="{BC2985A1-DF6D-D244-BFD4-2BA5CF048873}" name="DONE?" totalsRowLabel="Total" dataCellStyle="Center Alignment"/>
    <tableColumn id="2" xr3:uid="{BADF8850-E0CC-0441-AD34-8EA4329F6836}" name="ITEM" dataDxfId="203" dataCellStyle="Normal"/>
    <tableColumn id="9" xr3:uid="{11FE7CC9-D71C-7340-AAA9-25CC93F1056D}" name="STORE" dataDxfId="202" dataCellStyle="Normal"/>
    <tableColumn id="3" xr3:uid="{E7B6781D-4A78-AE4D-8B46-74541C0CFB8F}" name="CATEGORY" dataDxfId="201" dataCellStyle="Normal"/>
    <tableColumn id="4" xr3:uid="{CE9AD327-C6B6-9044-A552-4D4DEBCA6987}" name="QTY" dataCellStyle="Center Alignment"/>
    <tableColumn id="8" xr3:uid="{2F48B474-75A4-F948-801D-772294294C33}" name="UNIT" dataDxfId="200" totalsRowDxfId="199"/>
    <tableColumn id="5" xr3:uid="{EC5F0CA4-6116-0746-AA44-3BC31A93E0B6}" name="UNIT PRICE" dataDxfId="198"/>
    <tableColumn id="6" xr3:uid="{1F5C8083-DE21-4A4B-96A7-CA7E76E054E6}" name="TOTAL" dataDxfId="197">
      <calculatedColumnFormula>IFERROR(GroceryList2745614810[[#This Row],[QTY]]*GroceryList2745614810[[#This Row],[UNIT PRICE]],"")</calculatedColumnFormula>
    </tableColumn>
    <tableColumn id="7" xr3:uid="{7BC58F5A-DE08-CB46-BB1D-0845FB4E3E68}" name="Essential" totalsRowFunction="count" dataDxfId="196" dataCellStyle="Normal"/>
    <tableColumn id="10" xr3:uid="{857CFEA9-262A-4942-A8BB-2EEC0E625A5F}" name="Notes" dataDxfId="195" totalsRowDxfId="194"/>
  </tableColumns>
  <tableStyleInfo name="Grocery List" showFirstColumn="0" showLastColumn="0" showRowStripes="1" showColumnStripes="0"/>
  <extLst>
    <ext xmlns:x14="http://schemas.microsoft.com/office/spreadsheetml/2009/9/main" uri="{504A1905-F514-4f6f-8877-14C23A59335A}">
      <x14:table altTextSummary="Enter grocery Item, Store name, Category, Quantity, Unit, Unit Price, and Notes in this table. Select Yes in the Done column when item has been bought"/>
    </ext>
  </extLst>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K4" dT="2023-10-05T17:44:36.06" personId="{B602138E-D724-2645-AECF-3334CF3BF9F5}" id="{D3349D0F-0368-6A45-B0B6-69C0AA567E51}">
    <text>Rent loan (actually received on 27/09/23</text>
  </threadedComment>
  <threadedComment ref="K4" dT="2023-10-15T08:07:32.27" personId="{B602138E-D724-2645-AECF-3334CF3BF9F5}" id="{520C100B-6636-6644-87F8-FC7C08A0C123}" parentId="{D3349D0F-0368-6A45-B0B6-69C0AA567E51}">
    <text xml:space="preserve">Plus gratis sales, strawberry. And coffee
</text>
  </threadedComment>
</ThreadedComments>
</file>

<file path=xl/threadedComments/threadedComment2.xml><?xml version="1.0" encoding="utf-8"?>
<ThreadedComments xmlns="http://schemas.microsoft.com/office/spreadsheetml/2018/threadedcomments" xmlns:x="http://schemas.openxmlformats.org/spreadsheetml/2006/main">
  <threadedComment ref="AD193" dT="2023-08-30T07:56:14.75" personId="{B602138E-D724-2645-AECF-3334CF3BF9F5}" id="{7E7F0600-6317-8747-A7CD-0FC11E6FEC6B}">
    <text>Larissa’s Eyedrops</text>
  </threadedComment>
  <threadedComment ref="AC219" dT="2023-09-28T15:19:43.89" personId="{B602138E-D724-2645-AECF-3334CF3BF9F5}" id="{00713BC5-3D49-6940-8682-087D865AEF2B}">
    <text>Waakye for Larissa</text>
  </threadedComment>
  <threadedComment ref="E220" dT="2023-09-04T13:28:56.53" personId="{B602138E-D724-2645-AECF-3334CF3BF9F5}" id="{5364ECA6-7BF5-AD4F-A6C9-A1DC171D74F7}">
    <text xml:space="preserve">Triple action cream and Floss
</text>
  </threadedComment>
  <threadedComment ref="AA225" dT="2023-09-27T05:41:14.69" personId="{B602138E-D724-2645-AECF-3334CF3BF9F5}" id="{E77F79F9-4167-B24A-AF03-2D92A7010652}">
    <text>Shaving stick</text>
  </threadedComment>
  <threadedComment ref="B226" dT="2023-09-04T08:21:46.28" personId="{B602138E-D724-2645-AECF-3334CF3BF9F5}" id="{A59BB960-D62D-4F44-A1BD-6BA41113F0B2}">
    <text>Uber Double charged: expecting a refund of 44ghc</text>
  </threadedComment>
  <threadedComment ref="F226" dT="2023-09-06T07:48:11.35" personId="{B602138E-D724-2645-AECF-3334CF3BF9F5}" id="{7FDF28DC-9505-214F-A2DC-CAAA1CED7C8B}">
    <text xml:space="preserve">Keyboard delivery
</text>
  </threadedComment>
  <threadedComment ref="I226" dT="2023-09-09T16:26:19.87" personId="{B602138E-D724-2645-AECF-3334CF3BF9F5}" id="{D49FC66B-045E-9C42-BFF2-57D1540C3C23}">
    <text>I was charged twice by Uber .expecting 48ghc refund</text>
  </threadedComment>
  <threadedComment ref="W226" dT="2023-09-23T09:46:08.50" personId="{B602138E-D724-2645-AECF-3334CF3BF9F5}" id="{5E6CAB57-8683-B741-A17C-53A8BF92F18D}">
    <text xml:space="preserve">Was double charged for uber
</text>
  </threadedComment>
  <threadedComment ref="B227" dT="2023-09-04T08:22:36.60" personId="{B602138E-D724-2645-AECF-3334CF3BF9F5}" id="{B0A11BF9-753B-4341-A784-457205E0E0D1}">
    <text xml:space="preserve">Sent to Larissa as transfer charges
</text>
  </threadedComment>
  <threadedComment ref="E227" dT="2023-09-05T17:54:18.39" personId="{B602138E-D724-2645-AECF-3334CF3BF9F5}" id="{5A33FEBF-7F13-864A-B695-A1E29D5A6C6D}">
    <text xml:space="preserve">Water heater </text>
  </threadedComment>
  <threadedComment ref="F227" dT="2023-09-08T13:56:44.12" personId="{B602138E-D724-2645-AECF-3334CF3BF9F5}" id="{EB0AA160-7567-1542-A3D3-507C12CD875F}">
    <text>Cash to Larissa</text>
  </threadedComment>
  <threadedComment ref="J227" dT="2023-09-09T16:25:28.87" personId="{B602138E-D724-2645-AECF-3334CF3BF9F5}" id="{015FAB10-AFAF-6046-A79E-5263F9063930}">
    <text xml:space="preserve">Trash
</text>
  </threadedComment>
  <threadedComment ref="N227" dT="2023-09-14T06:43:17.63" personId="{B602138E-D724-2645-AECF-3334CF3BF9F5}" id="{0FEE39CB-ABD9-3E4C-8CF5-B1EBF62A3FCF}">
    <text>Delivery fee for Larissa’s gel</text>
  </threadedComment>
  <threadedComment ref="T227" dT="2023-09-19T15:19:49.33" personId="{B602138E-D724-2645-AECF-3334CF3BF9F5}" id="{C35CC5F7-53E6-1042-94C1-AA9494DFE842}">
    <text>Hand mixer + delivery</text>
  </threadedComment>
  <threadedComment ref="W227" dT="2023-09-23T09:45:28.76" personId="{B602138E-D724-2645-AECF-3334CF3BF9F5}" id="{D6B9BC24-ABF1-B842-B5E2-732708DFE72D}">
    <text>Anniversary fund</text>
  </threadedComment>
  <threadedComment ref="W233" dT="2023-09-22T15:56:16.22" personId="{B602138E-D724-2645-AECF-3334CF3BF9F5}" id="{CC768C5B-D8CB-2841-81D4-60BAE3AEA40B}">
    <text>Savings transfer charge</text>
  </threadedComment>
  <threadedComment ref="AB245" dT="2023-10-28T06:54:42.24" personId="{B602138E-D724-2645-AECF-3334CF3BF9F5}" id="{B43E2964-87A2-D342-948E-E6ECA8964F92}">
    <text xml:space="preserve">Anniversary celebration </text>
  </threadedComment>
  <threadedComment ref="D251" dT="2023-10-03T13:07:02.58" personId="{B602138E-D724-2645-AECF-3334CF3BF9F5}" id="{6FA554FF-529D-3E4C-99D1-4BE8DD996507}">
    <text xml:space="preserve">Shaving sticks
</text>
  </threadedComment>
  <threadedComment ref="K252" dT="2023-10-10T08:55:22.63" personId="{B602138E-D724-2645-AECF-3334CF3BF9F5}" id="{6094491F-AD67-5242-A0CA-DCAAFC9AA0D9}">
    <text>Uber for Larissa</text>
  </threadedComment>
  <threadedComment ref="F253" dT="2023-10-06T06:46:34.98" personId="{B602138E-D724-2645-AECF-3334CF3BF9F5}" id="{2B086A58-419A-DD48-B8DF-8A93E4AC02CC}">
    <text xml:space="preserve">Donation to old woman
</text>
  </threadedComment>
  <threadedComment ref="H253" dT="2023-10-08T16:04:38.56" personId="{B602138E-D724-2645-AECF-3334CF3BF9F5}" id="{4BE0F747-671B-A941-93F3-421244B7214A}">
    <text>Shoe repairs</text>
  </threadedComment>
  <threadedComment ref="P253" dT="2023-10-15T08:08:15.15" personId="{B602138E-D724-2645-AECF-3334CF3BF9F5}" id="{9B531ECF-1885-5B4B-BCF3-3171A57A76A8}">
    <text>Eben’ s birthday</text>
  </threadedComment>
  <threadedComment ref="Q253" dT="2023-10-17T06:54:47.89" personId="{B602138E-D724-2645-AECF-3334CF3BF9F5}" id="{043DDF6A-BFF2-5C48-BB70-F3D9BBDD29C4}">
    <text>Electricity for Larissa</text>
  </threadedComment>
  <threadedComment ref="U253" dT="2023-10-21T15:57:30.45" personId="{B602138E-D724-2645-AECF-3334CF3BF9F5}" id="{4EA8C925-C2EA-524E-9469-50DC6CDE2455}">
    <text>Gave to Larissa</text>
  </threadedComment>
  <threadedComment ref="X253" dT="2023-10-24T06:47:56.75" personId="{B602138E-D724-2645-AECF-3334CF3BF9F5}" id="{957539C1-0103-F948-A8EF-4A851DFDE8FA}">
    <text xml:space="preserve">Larissa </text>
  </threadedComment>
  <threadedComment ref="AF253" dT="2023-11-01T14:17:30.47" personId="{B602138E-D724-2645-AECF-3334CF3BF9F5}" id="{8C233738-3C0A-2142-96AC-19A33670CA43}">
    <text xml:space="preserve">Gave to Larissa
</text>
  </threadedComment>
  <threadedComment ref="Z271" dT="2023-11-25T15:56:17.04" personId="{B602138E-D724-2645-AECF-3334CF3BF9F5}" id="{1B6E9BCE-0678-244D-82CA-8F07120CA5DC}">
    <text xml:space="preserve">Foodstuff
</text>
  </threadedComment>
  <threadedComment ref="E272" dT="2023-11-05T09:36:04.87" personId="{B602138E-D724-2645-AECF-3334CF3BF9F5}" id="{74B740C7-5AC0-554F-AA29-DEEE4BA3ED26}">
    <text xml:space="preserve">Vitamin C
</text>
  </threadedComment>
  <threadedComment ref="I272" dT="2023-11-09T17:39:23.63" personId="{B602138E-D724-2645-AECF-3334CF3BF9F5}" id="{7663DB03-0BF5-A14D-A563-20BACC53A85A}">
    <text>Eye drops for Larissa</text>
  </threadedComment>
  <threadedComment ref="AM272" dT="2023-11-05T09:36:04.87" personId="{B602138E-D724-2645-AECF-3334CF3BF9F5}" id="{0E454D1D-E14B-034D-B5F5-2F7EA171B869}">
    <text xml:space="preserve">Vitamin C
</text>
  </threadedComment>
  <threadedComment ref="AC277" dT="2023-11-28T10:17:26.56" personId="{B602138E-D724-2645-AECF-3334CF3BF9F5}" id="{47ADFA99-83E6-7148-BB8E-B6FAD8084E8C}">
    <text>Tissues for the office</text>
  </threadedComment>
  <threadedComment ref="D279" dT="2023-11-04T08:08:37.49" personId="{B602138E-D724-2645-AECF-3334CF3BF9F5}" id="{63F6FB0B-08BC-BC4A-B60A-A5D05A28AC71}">
    <text xml:space="preserve">Clash royale
</text>
  </threadedComment>
  <threadedComment ref="E279" dT="2023-11-05T09:36:29.76" personId="{B602138E-D724-2645-AECF-3334CF3BF9F5}" id="{F46A4B0A-D4A4-7443-85D1-28332C77BEC0}">
    <text>Slippers for Larissa</text>
  </threadedComment>
  <threadedComment ref="I279" dT="2023-11-09T17:39:53.20" personId="{B602138E-D724-2645-AECF-3334CF3BF9F5}" id="{84620177-9F8C-FB4A-85BD-196C1F93EB9B}">
    <text xml:space="preserve">Cash for Larissa </text>
  </threadedComment>
  <threadedComment ref="N279" dT="2023-11-14T08:59:22.57" personId="{B602138E-D724-2645-AECF-3334CF3BF9F5}" id="{EE8A82C8-59A3-854F-A574-EAB8D1038E8F}">
    <text>Cash for Larissa</text>
  </threadedComment>
  <threadedComment ref="P279" dT="2023-11-16T08:48:10.99" personId="{B602138E-D724-2645-AECF-3334CF3BF9F5}" id="{AFEE81F8-E472-A24F-B5C4-AFBD0CC78A6B}">
    <text xml:space="preserve">Cash for Larissa </text>
  </threadedComment>
  <threadedComment ref="S279" dT="2023-11-19T08:05:19.99" personId="{B602138E-D724-2645-AECF-3334CF3BF9F5}" id="{8E3D47D2-ACDE-784A-8039-AF1CEF8523B8}">
    <text>Tail comb</text>
  </threadedComment>
  <threadedComment ref="U279" dT="2023-11-22T04:19:27.54" personId="{B602138E-D724-2645-AECF-3334CF3BF9F5}" id="{E3AAAB5B-BE98-7448-A10C-DCC471663C20}">
    <text xml:space="preserve">Body splash and cash for Larissa
</text>
  </threadedComment>
  <threadedComment ref="AD279" dT="2023-11-30T07:34:48.60" personId="{B602138E-D724-2645-AECF-3334CF3BF9F5}" id="{E2941D6A-2C1D-AD46-97D0-4DA7870F8737}">
    <text>+Larissa’s lip balm</text>
  </threadedComment>
  <threadedComment ref="AE279" dT="2023-12-04T07:00:00.79" personId="{B602138E-D724-2645-AECF-3334CF3BF9F5}" id="{0F6DF0C0-C31E-0244-B6F9-92ED7D6C4E4F}">
    <text xml:space="preserve">Sent to Larissa for assignment
</text>
  </threadedComment>
  <threadedComment ref="AL279" dT="2023-11-04T08:08:37.49" personId="{B602138E-D724-2645-AECF-3334CF3BF9F5}" id="{89AE3E54-CB50-784F-82E1-A51FC7292AA4}">
    <text xml:space="preserve">Clash royale
</text>
  </threadedComment>
  <threadedComment ref="H298" dT="2023-12-11T16:22:04.12" personId="{B602138E-D724-2645-AECF-3334CF3BF9F5}" id="{515EF8F9-D29F-8A4A-8712-25D27F293CF4}">
    <text>Dental floss</text>
  </threadedComment>
  <threadedComment ref="E305" dT="2023-12-06T06:46:37.69" personId="{B602138E-D724-2645-AECF-3334CF3BF9F5}" id="{0A595B69-6B46-C84B-9EAE-9890075971DA}">
    <text xml:space="preserve">Airtime </text>
  </threadedComment>
  <threadedComment ref="E305" dT="2023-12-06T06:50:26.14" personId="{B602138E-D724-2645-AECF-3334CF3BF9F5}" id="{8B6E02CF-30C1-8340-9FE5-15347A954D1D}" parentId="{0A595B69-6B46-C84B-9EAE-9890075971DA}">
    <text xml:space="preserve">Cash for Larissa </text>
  </threadedComment>
  <threadedComment ref="X305" dT="2023-12-24T09:17:08.50" personId="{B602138E-D724-2645-AECF-3334CF3BF9F5}" id="{122FD808-A1C3-F745-A99E-B524B7852E18}">
    <text>Picture @palace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18" Type="http://schemas.openxmlformats.org/officeDocument/2006/relationships/table" Target="../tables/table16.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table" Target="../tables/table15.xml"/><Relationship Id="rId2" Type="http://schemas.openxmlformats.org/officeDocument/2006/relationships/drawing" Target="../drawings/drawing1.xml"/><Relationship Id="rId16" Type="http://schemas.openxmlformats.org/officeDocument/2006/relationships/table" Target="../tables/table14.xml"/><Relationship Id="rId1" Type="http://schemas.openxmlformats.org/officeDocument/2006/relationships/printerSettings" Target="../printerSettings/printerSettings3.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5" Type="http://schemas.openxmlformats.org/officeDocument/2006/relationships/table" Target="../tables/table13.xml"/><Relationship Id="rId10" Type="http://schemas.openxmlformats.org/officeDocument/2006/relationships/table" Target="../tables/table8.xml"/><Relationship Id="rId19" Type="http://schemas.openxmlformats.org/officeDocument/2006/relationships/table" Target="../tables/table17.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BEE5B-F0EA-4C8B-9CBF-C7DA3266E8C2}">
  <dimension ref="A2:A8"/>
  <sheetViews>
    <sheetView zoomScale="140" workbookViewId="0">
      <selection activeCell="C18" sqref="C18"/>
    </sheetView>
  </sheetViews>
  <sheetFormatPr baseColWidth="10" defaultColWidth="8.83203125" defaultRowHeight="15" x14ac:dyDescent="0.2"/>
  <sheetData>
    <row r="2" spans="1:1" x14ac:dyDescent="0.2">
      <c r="A2" s="14" t="s">
        <v>38</v>
      </c>
    </row>
    <row r="3" spans="1:1" x14ac:dyDescent="0.2">
      <c r="A3" s="71" t="s">
        <v>32</v>
      </c>
    </row>
    <row r="4" spans="1:1" x14ac:dyDescent="0.2">
      <c r="A4" s="71" t="s">
        <v>33</v>
      </c>
    </row>
    <row r="5" spans="1:1" x14ac:dyDescent="0.2">
      <c r="A5" s="71" t="s">
        <v>34</v>
      </c>
    </row>
    <row r="6" spans="1:1" x14ac:dyDescent="0.2">
      <c r="A6" s="71" t="s">
        <v>35</v>
      </c>
    </row>
    <row r="7" spans="1:1" x14ac:dyDescent="0.2">
      <c r="A7" s="71" t="s">
        <v>36</v>
      </c>
    </row>
    <row r="8" spans="1:1" x14ac:dyDescent="0.2">
      <c r="A8" s="71" t="s">
        <v>37</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0258-4271-7241-AFE7-D18D4977803D}">
  <dimension ref="A1:B7"/>
  <sheetViews>
    <sheetView zoomScale="140" zoomScaleNormal="140" workbookViewId="0">
      <selection activeCell="B7" sqref="B7"/>
    </sheetView>
  </sheetViews>
  <sheetFormatPr baseColWidth="10" defaultColWidth="10.83203125" defaultRowHeight="15" x14ac:dyDescent="0.2"/>
  <sheetData>
    <row r="1" spans="1:2" x14ac:dyDescent="0.2">
      <c r="A1" s="72" t="s">
        <v>209</v>
      </c>
      <c r="B1">
        <f>2930-70</f>
        <v>2860</v>
      </c>
    </row>
    <row r="3" spans="1:2" x14ac:dyDescent="0.2">
      <c r="A3" s="72" t="s">
        <v>210</v>
      </c>
      <c r="B3">
        <v>700</v>
      </c>
    </row>
    <row r="4" spans="1:2" x14ac:dyDescent="0.2">
      <c r="A4" s="72" t="s">
        <v>211</v>
      </c>
      <c r="B4">
        <v>1750</v>
      </c>
    </row>
    <row r="5" spans="1:2" x14ac:dyDescent="0.2">
      <c r="A5" s="72" t="s">
        <v>213</v>
      </c>
      <c r="B5">
        <v>40</v>
      </c>
    </row>
    <row r="6" spans="1:2" x14ac:dyDescent="0.2">
      <c r="A6" s="72" t="s">
        <v>212</v>
      </c>
      <c r="B6">
        <f>SUM(B3:B5)</f>
        <v>2490</v>
      </c>
    </row>
    <row r="7" spans="1:2" x14ac:dyDescent="0.2">
      <c r="A7" s="72" t="s">
        <v>76</v>
      </c>
      <c r="B7">
        <f>B1-B6</f>
        <v>370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8AC17-9274-CB4C-A261-B4BE9625C000}">
  <dimension ref="A1:J28"/>
  <sheetViews>
    <sheetView zoomScale="110" zoomScaleNormal="110" workbookViewId="0">
      <selection activeCell="B15" sqref="B15"/>
    </sheetView>
  </sheetViews>
  <sheetFormatPr baseColWidth="10" defaultColWidth="10.83203125" defaultRowHeight="15" x14ac:dyDescent="0.2"/>
  <cols>
    <col min="1" max="1" width="37" customWidth="1"/>
    <col min="2" max="2" width="10.83203125" style="107"/>
    <col min="5" max="5" width="10.33203125" customWidth="1"/>
    <col min="6" max="6" width="11.5" style="102" customWidth="1"/>
    <col min="7" max="7" width="43.33203125" style="102" customWidth="1"/>
    <col min="8" max="8" width="35.33203125" style="102" customWidth="1"/>
  </cols>
  <sheetData>
    <row r="1" spans="1:8" x14ac:dyDescent="0.2">
      <c r="A1" s="72" t="s">
        <v>231</v>
      </c>
      <c r="B1" s="118"/>
      <c r="E1" s="108"/>
      <c r="F1" s="107"/>
      <c r="G1" s="107"/>
      <c r="H1" s="107"/>
    </row>
    <row r="2" spans="1:8" x14ac:dyDescent="0.2">
      <c r="A2" s="117" t="s">
        <v>232</v>
      </c>
      <c r="B2" s="118">
        <v>0</v>
      </c>
      <c r="C2" s="118">
        <v>200</v>
      </c>
      <c r="E2" s="119"/>
      <c r="F2" s="120"/>
      <c r="G2" s="121" t="s">
        <v>282</v>
      </c>
      <c r="H2" s="121" t="s">
        <v>41</v>
      </c>
    </row>
    <row r="3" spans="1:8" x14ac:dyDescent="0.2">
      <c r="A3" s="117" t="s">
        <v>291</v>
      </c>
      <c r="B3" s="118">
        <v>0</v>
      </c>
      <c r="E3" s="137" t="s">
        <v>252</v>
      </c>
      <c r="F3" s="121" t="s">
        <v>258</v>
      </c>
      <c r="G3" s="137" t="s">
        <v>283</v>
      </c>
      <c r="H3" s="137" t="s">
        <v>284</v>
      </c>
    </row>
    <row r="4" spans="1:8" x14ac:dyDescent="0.2">
      <c r="A4" s="117" t="s">
        <v>234</v>
      </c>
      <c r="B4" s="118">
        <v>100</v>
      </c>
      <c r="E4" s="137"/>
      <c r="F4" s="121" t="s">
        <v>259</v>
      </c>
      <c r="G4" s="138"/>
      <c r="H4" s="138"/>
    </row>
    <row r="5" spans="1:8" ht="48" x14ac:dyDescent="0.2">
      <c r="A5" s="72" t="s">
        <v>297</v>
      </c>
      <c r="B5" s="118">
        <v>110</v>
      </c>
      <c r="C5">
        <v>340</v>
      </c>
      <c r="E5" s="137" t="s">
        <v>253</v>
      </c>
      <c r="F5" s="121" t="s">
        <v>260</v>
      </c>
      <c r="G5" s="121" t="s">
        <v>232</v>
      </c>
      <c r="H5" s="122" t="s">
        <v>285</v>
      </c>
    </row>
    <row r="6" spans="1:8" ht="32" x14ac:dyDescent="0.2">
      <c r="A6" s="117" t="s">
        <v>294</v>
      </c>
      <c r="B6" s="118">
        <v>450</v>
      </c>
      <c r="E6" s="137"/>
      <c r="F6" s="121" t="s">
        <v>261</v>
      </c>
      <c r="G6" s="123" t="s">
        <v>289</v>
      </c>
      <c r="H6" s="122" t="s">
        <v>286</v>
      </c>
    </row>
    <row r="7" spans="1:8" ht="64" x14ac:dyDescent="0.2">
      <c r="A7" s="72" t="s">
        <v>304</v>
      </c>
      <c r="B7" s="118">
        <v>300</v>
      </c>
      <c r="E7" s="137" t="s">
        <v>254</v>
      </c>
      <c r="F7" s="121" t="s">
        <v>262</v>
      </c>
      <c r="G7" s="124"/>
      <c r="H7" s="122" t="s">
        <v>307</v>
      </c>
    </row>
    <row r="8" spans="1:8" ht="32" x14ac:dyDescent="0.2">
      <c r="A8" s="72" t="s">
        <v>237</v>
      </c>
      <c r="B8" s="118">
        <v>0</v>
      </c>
      <c r="C8" s="118">
        <v>350</v>
      </c>
      <c r="E8" s="137"/>
      <c r="F8" s="121" t="s">
        <v>263</v>
      </c>
      <c r="G8" s="123" t="s">
        <v>289</v>
      </c>
      <c r="H8" s="122" t="s">
        <v>308</v>
      </c>
    </row>
    <row r="9" spans="1:8" ht="39" customHeight="1" x14ac:dyDescent="0.2">
      <c r="A9" s="72" t="s">
        <v>238</v>
      </c>
      <c r="B9" s="118">
        <v>0</v>
      </c>
      <c r="E9" s="137" t="s">
        <v>255</v>
      </c>
      <c r="F9" s="121" t="s">
        <v>264</v>
      </c>
      <c r="G9" s="121" t="s">
        <v>303</v>
      </c>
      <c r="H9" s="122" t="s">
        <v>309</v>
      </c>
    </row>
    <row r="10" spans="1:8" ht="37" customHeight="1" x14ac:dyDescent="0.2">
      <c r="A10" s="72" t="s">
        <v>239</v>
      </c>
      <c r="C10" s="118">
        <v>510</v>
      </c>
      <c r="E10" s="137"/>
      <c r="F10" s="121" t="s">
        <v>265</v>
      </c>
      <c r="G10" s="123" t="s">
        <v>289</v>
      </c>
      <c r="H10" s="122" t="s">
        <v>310</v>
      </c>
    </row>
    <row r="11" spans="1:8" ht="48" x14ac:dyDescent="0.2">
      <c r="A11" s="117" t="s">
        <v>312</v>
      </c>
      <c r="B11" s="118">
        <v>100</v>
      </c>
      <c r="E11" s="137" t="s">
        <v>271</v>
      </c>
      <c r="F11" s="121" t="s">
        <v>266</v>
      </c>
      <c r="G11" s="122" t="s">
        <v>293</v>
      </c>
      <c r="H11" s="122" t="s">
        <v>311</v>
      </c>
    </row>
    <row r="12" spans="1:8" ht="48" x14ac:dyDescent="0.2">
      <c r="A12" s="117" t="s">
        <v>299</v>
      </c>
      <c r="C12" s="118">
        <v>200</v>
      </c>
      <c r="E12" s="138"/>
      <c r="F12" s="121" t="s">
        <v>267</v>
      </c>
      <c r="G12" s="121" t="s">
        <v>291</v>
      </c>
      <c r="H12" s="122" t="s">
        <v>313</v>
      </c>
    </row>
    <row r="13" spans="1:8" ht="36" customHeight="1" x14ac:dyDescent="0.2">
      <c r="A13" s="72" t="s">
        <v>296</v>
      </c>
      <c r="B13" s="118">
        <f>(260+ 800)-C13</f>
        <v>364</v>
      </c>
      <c r="C13">
        <f>150+108+108+200+130</f>
        <v>696</v>
      </c>
      <c r="E13" s="138"/>
      <c r="F13" s="121" t="s">
        <v>268</v>
      </c>
      <c r="G13" s="121" t="s">
        <v>292</v>
      </c>
      <c r="H13" s="122" t="s">
        <v>314</v>
      </c>
    </row>
    <row r="14" spans="1:8" ht="32" x14ac:dyDescent="0.2">
      <c r="A14" s="72" t="s">
        <v>0</v>
      </c>
      <c r="B14" s="118">
        <f>SUM(B2:B13)</f>
        <v>1424</v>
      </c>
      <c r="E14" s="138"/>
      <c r="F14" s="121" t="s">
        <v>269</v>
      </c>
      <c r="G14" s="125" t="s">
        <v>301</v>
      </c>
      <c r="H14" s="126" t="s">
        <v>324</v>
      </c>
    </row>
    <row r="15" spans="1:8" ht="32" x14ac:dyDescent="0.2">
      <c r="B15" s="118"/>
      <c r="E15" s="138"/>
      <c r="F15" s="121" t="s">
        <v>270</v>
      </c>
      <c r="G15" s="121" t="s">
        <v>300</v>
      </c>
      <c r="H15" s="122" t="s">
        <v>325</v>
      </c>
    </row>
    <row r="16" spans="1:8" ht="32" x14ac:dyDescent="0.2">
      <c r="A16" s="72" t="s">
        <v>240</v>
      </c>
      <c r="B16" s="118"/>
      <c r="E16" s="137" t="s">
        <v>256</v>
      </c>
      <c r="F16" s="121" t="s">
        <v>272</v>
      </c>
      <c r="G16" s="125" t="s">
        <v>315</v>
      </c>
      <c r="H16" s="122" t="s">
        <v>326</v>
      </c>
    </row>
    <row r="17" spans="1:10" ht="48" x14ac:dyDescent="0.2">
      <c r="A17" s="72" t="s">
        <v>241</v>
      </c>
      <c r="B17" s="118"/>
      <c r="E17" s="137"/>
      <c r="F17" s="121" t="s">
        <v>273</v>
      </c>
      <c r="G17" s="121" t="s">
        <v>288</v>
      </c>
      <c r="H17" s="122" t="s">
        <v>327</v>
      </c>
    </row>
    <row r="18" spans="1:10" ht="80" x14ac:dyDescent="0.2">
      <c r="A18" s="72" t="s">
        <v>242</v>
      </c>
      <c r="B18" s="118"/>
      <c r="E18" s="137" t="s">
        <v>279</v>
      </c>
      <c r="F18" s="121" t="s">
        <v>274</v>
      </c>
      <c r="G18" s="125" t="s">
        <v>302</v>
      </c>
      <c r="H18" s="122" t="s">
        <v>316</v>
      </c>
      <c r="J18" s="116"/>
    </row>
    <row r="19" spans="1:10" ht="45" customHeight="1" x14ac:dyDescent="0.2">
      <c r="A19" s="72" t="s">
        <v>243</v>
      </c>
      <c r="B19" s="118"/>
      <c r="E19" s="138"/>
      <c r="F19" s="121" t="s">
        <v>275</v>
      </c>
      <c r="G19" s="121" t="s">
        <v>290</v>
      </c>
      <c r="H19" s="122" t="s">
        <v>317</v>
      </c>
    </row>
    <row r="20" spans="1:10" ht="32" x14ac:dyDescent="0.2">
      <c r="A20" s="72" t="s">
        <v>244</v>
      </c>
      <c r="B20" s="118"/>
      <c r="E20" s="138"/>
      <c r="F20" s="121" t="s">
        <v>276</v>
      </c>
      <c r="G20" s="125" t="s">
        <v>287</v>
      </c>
      <c r="H20" s="122" t="s">
        <v>318</v>
      </c>
    </row>
    <row r="21" spans="1:10" ht="32" x14ac:dyDescent="0.2">
      <c r="A21" s="72" t="s">
        <v>245</v>
      </c>
      <c r="B21" s="118"/>
      <c r="E21" s="138"/>
      <c r="F21" s="121" t="s">
        <v>277</v>
      </c>
      <c r="G21" s="121" t="s">
        <v>298</v>
      </c>
      <c r="H21" s="122" t="s">
        <v>319</v>
      </c>
    </row>
    <row r="22" spans="1:10" ht="48" x14ac:dyDescent="0.2">
      <c r="A22" s="72" t="s">
        <v>306</v>
      </c>
      <c r="B22" s="118"/>
      <c r="E22" s="138"/>
      <c r="F22" s="121" t="s">
        <v>278</v>
      </c>
      <c r="G22" s="120"/>
      <c r="H22" s="122" t="s">
        <v>322</v>
      </c>
    </row>
    <row r="23" spans="1:10" ht="32" x14ac:dyDescent="0.2">
      <c r="A23" s="72" t="s">
        <v>249</v>
      </c>
      <c r="B23" s="118"/>
      <c r="E23" s="137" t="s">
        <v>257</v>
      </c>
      <c r="F23" s="121" t="s">
        <v>280</v>
      </c>
      <c r="G23" s="125" t="s">
        <v>295</v>
      </c>
      <c r="H23" s="122" t="s">
        <v>323</v>
      </c>
    </row>
    <row r="24" spans="1:10" x14ac:dyDescent="0.2">
      <c r="A24" s="72" t="s">
        <v>250</v>
      </c>
      <c r="B24" s="118"/>
      <c r="E24" s="137"/>
      <c r="F24" s="121" t="s">
        <v>281</v>
      </c>
      <c r="G24" s="123" t="s">
        <v>289</v>
      </c>
      <c r="H24" s="120"/>
    </row>
    <row r="25" spans="1:10" x14ac:dyDescent="0.2">
      <c r="A25" s="72" t="s">
        <v>305</v>
      </c>
      <c r="E25" s="108"/>
      <c r="F25" s="107"/>
      <c r="G25" s="107"/>
      <c r="H25" s="107"/>
    </row>
    <row r="26" spans="1:10" x14ac:dyDescent="0.2">
      <c r="A26" s="72" t="s">
        <v>320</v>
      </c>
      <c r="E26" s="108"/>
      <c r="F26" s="107"/>
      <c r="G26" s="107"/>
      <c r="H26" s="107"/>
    </row>
    <row r="27" spans="1:10" x14ac:dyDescent="0.2">
      <c r="A27" s="72" t="s">
        <v>321</v>
      </c>
      <c r="E27" s="108"/>
      <c r="F27" s="107"/>
      <c r="G27" s="107"/>
      <c r="H27" s="107"/>
    </row>
    <row r="28" spans="1:10" x14ac:dyDescent="0.2">
      <c r="E28" s="108"/>
      <c r="F28" s="107"/>
      <c r="G28" s="107"/>
      <c r="H28" s="107"/>
    </row>
  </sheetData>
  <mergeCells count="10">
    <mergeCell ref="E18:E22"/>
    <mergeCell ref="E23:E24"/>
    <mergeCell ref="G3:G4"/>
    <mergeCell ref="H3:H4"/>
    <mergeCell ref="E3:E4"/>
    <mergeCell ref="E5:E6"/>
    <mergeCell ref="E7:E8"/>
    <mergeCell ref="E9:E10"/>
    <mergeCell ref="E11:E15"/>
    <mergeCell ref="E16:E17"/>
  </mergeCells>
  <phoneticPr fontId="4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P31"/>
  <sheetViews>
    <sheetView zoomScale="136" zoomScaleNormal="140" workbookViewId="0">
      <pane xSplit="1" ySplit="3" topLeftCell="E4" activePane="bottomRight" state="frozen"/>
      <selection pane="topRight" activeCell="B1" sqref="B1"/>
      <selection pane="bottomLeft" activeCell="A4" sqref="A4"/>
      <selection pane="bottomRight" activeCell="M9" sqref="M9:M28"/>
    </sheetView>
  </sheetViews>
  <sheetFormatPr baseColWidth="10" defaultColWidth="8.83203125" defaultRowHeight="15" x14ac:dyDescent="0.2"/>
  <cols>
    <col min="1" max="1" width="23.1640625" customWidth="1"/>
    <col min="2" max="2" width="10.1640625" bestFit="1" customWidth="1"/>
    <col min="3" max="3" width="11" bestFit="1" customWidth="1"/>
    <col min="4" max="4" width="10.5" customWidth="1"/>
    <col min="5" max="5" width="9.83203125" customWidth="1"/>
    <col min="6" max="6" width="11.5" customWidth="1"/>
    <col min="7" max="7" width="14" customWidth="1"/>
    <col min="8" max="8" width="11.5" customWidth="1"/>
    <col min="9" max="9" width="9.6640625" customWidth="1"/>
    <col min="10" max="10" width="11.83203125" style="6" customWidth="1"/>
    <col min="11" max="11" width="10.83203125" style="6" customWidth="1"/>
    <col min="12" max="12" width="13.6640625" style="6" customWidth="1"/>
    <col min="13" max="13" width="12" style="6" customWidth="1"/>
    <col min="14" max="14" width="4.6640625" style="6" customWidth="1"/>
    <col min="15" max="16" width="12.33203125" style="6" customWidth="1"/>
  </cols>
  <sheetData>
    <row r="1" spans="1:16" s="8" customFormat="1" ht="18.75" customHeight="1" x14ac:dyDescent="0.25">
      <c r="A1" s="129" t="s">
        <v>62</v>
      </c>
      <c r="B1" s="129"/>
      <c r="C1" s="129"/>
      <c r="D1" s="129"/>
      <c r="E1" s="129"/>
      <c r="F1" s="129"/>
      <c r="G1" s="129"/>
      <c r="H1" s="129"/>
      <c r="I1" s="129"/>
      <c r="J1" s="129"/>
      <c r="K1" s="129"/>
      <c r="L1" s="129"/>
      <c r="M1" s="129"/>
      <c r="N1" s="129"/>
      <c r="O1" s="129"/>
      <c r="P1" s="130" t="s">
        <v>28</v>
      </c>
    </row>
    <row r="2" spans="1:16" ht="15.75" customHeight="1" x14ac:dyDescent="0.2">
      <c r="A2" s="25" t="s">
        <v>29</v>
      </c>
      <c r="B2" s="25" t="s">
        <v>16</v>
      </c>
      <c r="C2" s="25" t="s">
        <v>17</v>
      </c>
      <c r="D2" s="25" t="s">
        <v>18</v>
      </c>
      <c r="E2" s="25" t="s">
        <v>19</v>
      </c>
      <c r="F2" s="25" t="s">
        <v>20</v>
      </c>
      <c r="G2" s="25" t="s">
        <v>21</v>
      </c>
      <c r="H2" s="25" t="s">
        <v>22</v>
      </c>
      <c r="I2" s="25" t="s">
        <v>23</v>
      </c>
      <c r="J2" s="26" t="s">
        <v>24</v>
      </c>
      <c r="K2" s="26" t="s">
        <v>25</v>
      </c>
      <c r="L2" s="26" t="s">
        <v>26</v>
      </c>
      <c r="M2" s="26" t="s">
        <v>27</v>
      </c>
      <c r="N2" s="26"/>
      <c r="O2" s="26" t="s">
        <v>11</v>
      </c>
      <c r="P2" s="130"/>
    </row>
    <row r="3" spans="1:16" ht="15.75" customHeight="1" x14ac:dyDescent="0.2">
      <c r="A3" s="58" t="s">
        <v>14</v>
      </c>
      <c r="B3" s="59" t="s">
        <v>1</v>
      </c>
      <c r="C3" s="59" t="s">
        <v>1</v>
      </c>
      <c r="D3" s="59" t="s">
        <v>1</v>
      </c>
      <c r="E3" s="59" t="s">
        <v>1</v>
      </c>
      <c r="F3" s="59" t="s">
        <v>1</v>
      </c>
      <c r="G3" s="59" t="s">
        <v>1</v>
      </c>
      <c r="H3" s="59" t="s">
        <v>1</v>
      </c>
      <c r="I3" s="59" t="s">
        <v>1</v>
      </c>
      <c r="J3" s="59" t="s">
        <v>1</v>
      </c>
      <c r="K3" s="59" t="s">
        <v>1</v>
      </c>
      <c r="L3" s="59" t="s">
        <v>1</v>
      </c>
      <c r="M3" s="59" t="s">
        <v>1</v>
      </c>
      <c r="N3" s="59"/>
      <c r="O3" s="59" t="s">
        <v>1</v>
      </c>
      <c r="P3" s="59" t="s">
        <v>1</v>
      </c>
    </row>
    <row r="4" spans="1:16" ht="15.75" customHeight="1" x14ac:dyDescent="0.2">
      <c r="A4" s="16" t="s">
        <v>9</v>
      </c>
      <c r="B4" s="13">
        <v>3945</v>
      </c>
      <c r="C4" s="13">
        <v>3900</v>
      </c>
      <c r="D4" s="13">
        <v>3900</v>
      </c>
      <c r="E4" s="13">
        <v>3850</v>
      </c>
      <c r="F4" s="13">
        <v>3850</v>
      </c>
      <c r="G4" s="13">
        <v>3850</v>
      </c>
      <c r="H4" s="13">
        <v>3847</v>
      </c>
      <c r="I4" s="13">
        <v>3840</v>
      </c>
      <c r="J4" s="13">
        <v>3850</v>
      </c>
      <c r="K4" s="13">
        <v>3829</v>
      </c>
      <c r="L4" s="13">
        <v>3850</v>
      </c>
      <c r="M4" s="13">
        <v>3850</v>
      </c>
      <c r="N4" s="10"/>
      <c r="O4" s="10">
        <f>SUM(B4:N4)</f>
        <v>46361</v>
      </c>
      <c r="P4" s="43">
        <f>O4/COLUMNS(B4:M4)</f>
        <v>3863.4166666666665</v>
      </c>
    </row>
    <row r="5" spans="1:16" ht="16.5" customHeight="1" x14ac:dyDescent="0.2">
      <c r="A5" t="s">
        <v>10</v>
      </c>
      <c r="B5" s="13">
        <v>255</v>
      </c>
      <c r="C5" s="13">
        <v>230</v>
      </c>
      <c r="D5" s="13"/>
      <c r="E5" s="13">
        <v>800</v>
      </c>
      <c r="F5" s="13"/>
      <c r="G5" s="13"/>
      <c r="H5" s="13">
        <v>0</v>
      </c>
      <c r="I5" s="13">
        <v>200</v>
      </c>
      <c r="J5" s="13"/>
      <c r="K5" s="13"/>
      <c r="L5" s="10"/>
      <c r="M5" s="10">
        <v>0</v>
      </c>
      <c r="N5" s="10"/>
      <c r="O5" s="10">
        <f>SUM(B5:N5)</f>
        <v>1485</v>
      </c>
      <c r="P5" s="43">
        <f>O5/COLUMNS(B5:M5)</f>
        <v>123.75</v>
      </c>
    </row>
    <row r="6" spans="1:16" ht="16.5" customHeight="1" thickBot="1" x14ac:dyDescent="0.25">
      <c r="A6" s="14" t="s">
        <v>30</v>
      </c>
      <c r="B6" s="27">
        <f t="shared" ref="B6:M6" si="0">SUM(B4:B5)</f>
        <v>4200</v>
      </c>
      <c r="C6" s="27">
        <f>SUM(C4:C5)</f>
        <v>4130</v>
      </c>
      <c r="D6" s="27">
        <f>SUM(D4:D5)</f>
        <v>3900</v>
      </c>
      <c r="E6" s="27">
        <f t="shared" si="0"/>
        <v>4650</v>
      </c>
      <c r="F6" s="27">
        <f t="shared" si="0"/>
        <v>3850</v>
      </c>
      <c r="G6" s="27">
        <f t="shared" si="0"/>
        <v>3850</v>
      </c>
      <c r="H6" s="27">
        <f t="shared" si="0"/>
        <v>3847</v>
      </c>
      <c r="I6" s="27">
        <f t="shared" si="0"/>
        <v>4040</v>
      </c>
      <c r="J6" s="27">
        <f t="shared" si="0"/>
        <v>3850</v>
      </c>
      <c r="K6" s="27">
        <f t="shared" si="0"/>
        <v>3829</v>
      </c>
      <c r="L6" s="27">
        <f>SUM(L4:L5)</f>
        <v>3850</v>
      </c>
      <c r="M6" s="27">
        <f t="shared" si="0"/>
        <v>3850</v>
      </c>
      <c r="N6" s="27"/>
      <c r="O6" s="27">
        <f>SUM(B6:M6)</f>
        <v>47846</v>
      </c>
      <c r="P6" s="44">
        <f>O6/COLUMNS(B6:M6)</f>
        <v>3987.1666666666665</v>
      </c>
    </row>
    <row r="7" spans="1:16" ht="16.5" customHeight="1" thickTop="1" x14ac:dyDescent="0.2">
      <c r="A7" s="4"/>
      <c r="B7" s="61"/>
      <c r="C7" s="61"/>
      <c r="D7" s="61"/>
      <c r="E7" s="61"/>
      <c r="F7" s="61"/>
      <c r="G7" s="61"/>
      <c r="H7" s="61"/>
      <c r="I7" s="61"/>
      <c r="J7" s="61"/>
      <c r="K7" s="61"/>
      <c r="L7" s="61"/>
      <c r="M7" s="61"/>
      <c r="N7" s="61"/>
      <c r="O7" s="61"/>
      <c r="P7" s="60"/>
    </row>
    <row r="8" spans="1:16" ht="15.75" customHeight="1" x14ac:dyDescent="0.2">
      <c r="A8" s="14" t="s">
        <v>13</v>
      </c>
      <c r="B8" s="62"/>
      <c r="C8" s="62"/>
      <c r="D8" s="62"/>
      <c r="E8" s="62"/>
      <c r="F8" s="62"/>
      <c r="G8" s="62"/>
      <c r="H8" s="62"/>
      <c r="I8" s="62"/>
      <c r="J8" s="62"/>
      <c r="K8" s="62"/>
      <c r="L8" s="62"/>
      <c r="M8" s="62"/>
      <c r="N8" s="62"/>
      <c r="O8" s="62"/>
      <c r="P8" s="63"/>
    </row>
    <row r="9" spans="1:16" ht="15.75" customHeight="1" x14ac:dyDescent="0.2">
      <c r="A9" s="16" t="s">
        <v>46</v>
      </c>
      <c r="B9" s="13">
        <v>1205</v>
      </c>
      <c r="C9" s="13">
        <v>1205</v>
      </c>
      <c r="D9" s="13">
        <v>205</v>
      </c>
      <c r="E9" s="13">
        <v>1405</v>
      </c>
      <c r="F9" s="13">
        <v>0</v>
      </c>
      <c r="G9" s="13">
        <v>500</v>
      </c>
      <c r="H9" s="13">
        <v>500</v>
      </c>
      <c r="I9" s="13">
        <v>300</v>
      </c>
      <c r="J9" s="13">
        <v>300</v>
      </c>
      <c r="K9" s="13">
        <v>500</v>
      </c>
      <c r="L9" s="13">
        <v>500</v>
      </c>
      <c r="M9" s="13">
        <v>500</v>
      </c>
      <c r="N9" s="13"/>
      <c r="O9" s="10">
        <f>SUM(B9:M9)</f>
        <v>7120</v>
      </c>
      <c r="P9" s="28">
        <f>O9/COLUMNS(B9:M9)</f>
        <v>593.33333333333337</v>
      </c>
    </row>
    <row r="10" spans="1:16" ht="15.75" customHeight="1" x14ac:dyDescent="0.2">
      <c r="A10" s="16" t="s">
        <v>47</v>
      </c>
      <c r="B10" s="13">
        <f>0.1*B4</f>
        <v>394.5</v>
      </c>
      <c r="C10" s="13">
        <f>0.1*C4</f>
        <v>390</v>
      </c>
      <c r="D10" s="13">
        <f t="shared" ref="D10:J10" si="1">0.1*D4</f>
        <v>390</v>
      </c>
      <c r="E10" s="13">
        <f t="shared" si="1"/>
        <v>385</v>
      </c>
      <c r="F10" s="13">
        <f t="shared" si="1"/>
        <v>385</v>
      </c>
      <c r="G10" s="13">
        <f t="shared" si="1"/>
        <v>385</v>
      </c>
      <c r="H10" s="13">
        <f t="shared" si="1"/>
        <v>384.70000000000005</v>
      </c>
      <c r="I10" s="13">
        <f t="shared" si="1"/>
        <v>384</v>
      </c>
      <c r="J10" s="13">
        <f t="shared" si="1"/>
        <v>385</v>
      </c>
      <c r="K10" s="13">
        <v>0</v>
      </c>
      <c r="L10" s="13">
        <v>0</v>
      </c>
      <c r="M10" s="13">
        <v>0</v>
      </c>
      <c r="N10" s="10"/>
      <c r="O10" s="10">
        <f t="shared" ref="O10:O28" si="2">SUM(B10:M10)</f>
        <v>3483.2</v>
      </c>
      <c r="P10" s="28">
        <f t="shared" ref="P10:P28" si="3">O10/COLUMNS(B10:M10)</f>
        <v>290.26666666666665</v>
      </c>
    </row>
    <row r="11" spans="1:16" ht="15.75" customHeight="1" x14ac:dyDescent="0.2">
      <c r="A11" s="16" t="s">
        <v>52</v>
      </c>
      <c r="B11" s="13">
        <v>300</v>
      </c>
      <c r="C11" s="13">
        <v>300</v>
      </c>
      <c r="D11" s="13">
        <v>300</v>
      </c>
      <c r="E11" s="13">
        <v>300</v>
      </c>
      <c r="F11" s="13">
        <v>300</v>
      </c>
      <c r="G11" s="13">
        <v>300</v>
      </c>
      <c r="H11" s="13">
        <v>300</v>
      </c>
      <c r="I11" s="13">
        <v>300</v>
      </c>
      <c r="J11" s="13">
        <v>300</v>
      </c>
      <c r="K11" s="13">
        <v>300</v>
      </c>
      <c r="L11" s="13">
        <v>330</v>
      </c>
      <c r="M11" s="13">
        <v>330</v>
      </c>
      <c r="N11" s="10"/>
      <c r="O11" s="10">
        <f t="shared" si="2"/>
        <v>3660</v>
      </c>
      <c r="P11" s="28">
        <f t="shared" si="3"/>
        <v>305</v>
      </c>
    </row>
    <row r="12" spans="1:16" ht="15.75" customHeight="1" x14ac:dyDescent="0.2">
      <c r="A12" s="16" t="s">
        <v>44</v>
      </c>
      <c r="B12" s="13">
        <v>200</v>
      </c>
      <c r="C12" s="13">
        <v>200</v>
      </c>
      <c r="D12" s="13">
        <v>200</v>
      </c>
      <c r="E12" s="13">
        <v>350</v>
      </c>
      <c r="F12" s="13">
        <v>500</v>
      </c>
      <c r="G12" s="13">
        <f t="shared" ref="G12:J12" si="4">1200-500</f>
        <v>700</v>
      </c>
      <c r="H12" s="13">
        <f>1200-500</f>
        <v>700</v>
      </c>
      <c r="I12" s="13">
        <v>0</v>
      </c>
      <c r="J12" s="13">
        <f t="shared" si="4"/>
        <v>700</v>
      </c>
      <c r="K12" s="13">
        <v>250</v>
      </c>
      <c r="L12" s="13">
        <v>250</v>
      </c>
      <c r="M12" s="13">
        <v>250</v>
      </c>
      <c r="N12" s="10"/>
      <c r="O12" s="10">
        <f t="shared" si="2"/>
        <v>4300</v>
      </c>
      <c r="P12" s="28">
        <f t="shared" si="3"/>
        <v>358.33333333333331</v>
      </c>
    </row>
    <row r="13" spans="1:16" ht="15.75" customHeight="1" x14ac:dyDescent="0.2">
      <c r="A13" s="72" t="s">
        <v>161</v>
      </c>
      <c r="B13" s="13">
        <v>20</v>
      </c>
      <c r="C13" s="13">
        <v>20</v>
      </c>
      <c r="D13" s="13">
        <v>320</v>
      </c>
      <c r="E13" s="13">
        <v>500</v>
      </c>
      <c r="F13" s="13">
        <v>320</v>
      </c>
      <c r="G13" s="13">
        <v>320</v>
      </c>
      <c r="H13" s="13">
        <v>20</v>
      </c>
      <c r="I13" s="13">
        <v>20</v>
      </c>
      <c r="J13" s="13">
        <v>20</v>
      </c>
      <c r="K13" s="13">
        <v>20</v>
      </c>
      <c r="L13" s="13">
        <v>20</v>
      </c>
      <c r="M13" s="13">
        <v>0</v>
      </c>
      <c r="N13" s="10"/>
      <c r="O13" s="10">
        <f t="shared" si="2"/>
        <v>1600</v>
      </c>
      <c r="P13" s="28">
        <f t="shared" si="3"/>
        <v>133.33333333333334</v>
      </c>
    </row>
    <row r="14" spans="1:16" ht="15.75" customHeight="1" x14ac:dyDescent="0.2">
      <c r="A14" s="72" t="s">
        <v>41</v>
      </c>
      <c r="B14" s="13">
        <v>150</v>
      </c>
      <c r="C14" s="13">
        <v>150</v>
      </c>
      <c r="D14" s="13">
        <v>150</v>
      </c>
      <c r="E14" s="13">
        <v>300</v>
      </c>
      <c r="F14" s="13">
        <v>250</v>
      </c>
      <c r="G14" s="13">
        <v>150</v>
      </c>
      <c r="H14" s="13">
        <v>400</v>
      </c>
      <c r="I14" s="13">
        <v>450</v>
      </c>
      <c r="J14" s="13">
        <v>450</v>
      </c>
      <c r="K14" s="13">
        <v>700</v>
      </c>
      <c r="L14" s="13">
        <v>700</v>
      </c>
      <c r="M14" s="13">
        <v>600</v>
      </c>
      <c r="N14" s="10"/>
      <c r="O14" s="10">
        <f t="shared" si="2"/>
        <v>4450</v>
      </c>
      <c r="P14" s="28">
        <f t="shared" si="3"/>
        <v>370.83333333333331</v>
      </c>
    </row>
    <row r="15" spans="1:16" ht="15.75" customHeight="1" x14ac:dyDescent="0.2">
      <c r="A15" s="72" t="s">
        <v>61</v>
      </c>
      <c r="B15" s="13">
        <v>350</v>
      </c>
      <c r="C15" s="13">
        <v>350</v>
      </c>
      <c r="D15" s="13">
        <v>0</v>
      </c>
      <c r="E15" s="13">
        <v>0</v>
      </c>
      <c r="F15" s="13">
        <v>0</v>
      </c>
      <c r="G15" s="13">
        <v>0</v>
      </c>
      <c r="H15" s="13">
        <v>0</v>
      </c>
      <c r="I15" s="13">
        <v>0</v>
      </c>
      <c r="J15" s="13">
        <v>0</v>
      </c>
      <c r="K15" s="13">
        <v>0</v>
      </c>
      <c r="L15" s="13">
        <v>0</v>
      </c>
      <c r="M15" s="13">
        <v>0</v>
      </c>
      <c r="N15" s="10"/>
      <c r="O15" s="10">
        <f t="shared" si="2"/>
        <v>700</v>
      </c>
      <c r="P15" s="28">
        <f t="shared" si="3"/>
        <v>58.333333333333336</v>
      </c>
    </row>
    <row r="16" spans="1:16" ht="15.75" customHeight="1" x14ac:dyDescent="0.2">
      <c r="A16" s="16" t="s">
        <v>45</v>
      </c>
      <c r="B16" s="13">
        <v>200</v>
      </c>
      <c r="C16" s="13">
        <v>200</v>
      </c>
      <c r="D16" s="13">
        <v>200</v>
      </c>
      <c r="E16" s="13">
        <v>200</v>
      </c>
      <c r="F16" s="13">
        <v>200</v>
      </c>
      <c r="G16" s="13">
        <v>200</v>
      </c>
      <c r="H16" s="13">
        <v>200</v>
      </c>
      <c r="I16" s="13">
        <v>200</v>
      </c>
      <c r="J16" s="13">
        <v>200</v>
      </c>
      <c r="K16" s="13">
        <v>200</v>
      </c>
      <c r="L16" s="13">
        <v>200</v>
      </c>
      <c r="M16" s="13">
        <v>0</v>
      </c>
      <c r="N16" s="10"/>
      <c r="O16" s="10">
        <f t="shared" si="2"/>
        <v>2200</v>
      </c>
      <c r="P16" s="28">
        <f t="shared" si="3"/>
        <v>183.33333333333334</v>
      </c>
    </row>
    <row r="17" spans="1:16" ht="15.75" customHeight="1" x14ac:dyDescent="0.2">
      <c r="A17" s="72" t="s">
        <v>128</v>
      </c>
      <c r="B17" s="13">
        <v>100</v>
      </c>
      <c r="C17" s="13">
        <v>100</v>
      </c>
      <c r="D17" s="13">
        <v>100</v>
      </c>
      <c r="E17" s="13">
        <v>0</v>
      </c>
      <c r="F17" s="13">
        <v>100</v>
      </c>
      <c r="G17" s="13">
        <v>100</v>
      </c>
      <c r="H17" s="13">
        <v>100</v>
      </c>
      <c r="I17" s="13">
        <v>100</v>
      </c>
      <c r="J17" s="13">
        <v>100</v>
      </c>
      <c r="K17" s="13">
        <v>0</v>
      </c>
      <c r="L17" s="13">
        <v>0</v>
      </c>
      <c r="M17" s="13">
        <v>100</v>
      </c>
      <c r="N17" s="10"/>
      <c r="O17" s="10">
        <f t="shared" si="2"/>
        <v>900</v>
      </c>
      <c r="P17" s="28">
        <f t="shared" si="3"/>
        <v>75</v>
      </c>
    </row>
    <row r="18" spans="1:16" ht="15.75" customHeight="1" x14ac:dyDescent="0.2">
      <c r="A18" s="16" t="s">
        <v>42</v>
      </c>
      <c r="B18" s="13"/>
      <c r="C18" s="13"/>
      <c r="D18" s="13"/>
      <c r="E18" s="13"/>
      <c r="F18" s="13"/>
      <c r="G18" s="13"/>
      <c r="H18" s="13"/>
      <c r="I18" s="13"/>
      <c r="J18" s="13"/>
      <c r="K18" s="13"/>
      <c r="L18" s="13"/>
      <c r="M18" s="13"/>
      <c r="N18" s="10"/>
      <c r="O18" s="10">
        <f t="shared" si="2"/>
        <v>0</v>
      </c>
      <c r="P18" s="28">
        <f t="shared" si="3"/>
        <v>0</v>
      </c>
    </row>
    <row r="19" spans="1:16" ht="15.75" customHeight="1" x14ac:dyDescent="0.2">
      <c r="A19" s="16" t="s">
        <v>43</v>
      </c>
      <c r="B19" s="13">
        <v>500</v>
      </c>
      <c r="C19" s="13">
        <v>300</v>
      </c>
      <c r="D19" s="13">
        <v>250</v>
      </c>
      <c r="E19" s="13">
        <v>250</v>
      </c>
      <c r="F19" s="13">
        <v>400</v>
      </c>
      <c r="G19" s="13">
        <v>300</v>
      </c>
      <c r="H19" s="13">
        <v>200</v>
      </c>
      <c r="I19" s="13">
        <v>200</v>
      </c>
      <c r="J19" s="13">
        <v>200</v>
      </c>
      <c r="K19" s="13">
        <v>300</v>
      </c>
      <c r="L19" s="13">
        <v>200</v>
      </c>
      <c r="M19" s="13">
        <v>400</v>
      </c>
      <c r="N19" s="10"/>
      <c r="O19" s="10">
        <f t="shared" si="2"/>
        <v>3500</v>
      </c>
      <c r="P19" s="28">
        <f t="shared" si="3"/>
        <v>291.66666666666669</v>
      </c>
    </row>
    <row r="20" spans="1:16" ht="15.75" customHeight="1" x14ac:dyDescent="0.2">
      <c r="A20" s="72" t="s">
        <v>53</v>
      </c>
      <c r="B20" s="13">
        <v>300</v>
      </c>
      <c r="C20" s="13">
        <v>300</v>
      </c>
      <c r="D20" s="13">
        <v>300</v>
      </c>
      <c r="E20" s="13">
        <v>400</v>
      </c>
      <c r="F20" s="13">
        <v>300</v>
      </c>
      <c r="G20" s="13">
        <v>300</v>
      </c>
      <c r="H20" s="13">
        <v>500</v>
      </c>
      <c r="I20" s="13">
        <v>800</v>
      </c>
      <c r="J20" s="13">
        <v>700</v>
      </c>
      <c r="K20" s="13">
        <v>750</v>
      </c>
      <c r="L20" s="13">
        <v>820</v>
      </c>
      <c r="M20" s="13">
        <v>950</v>
      </c>
      <c r="N20" s="10"/>
      <c r="O20" s="10">
        <f t="shared" si="2"/>
        <v>6420</v>
      </c>
      <c r="P20" s="28">
        <f t="shared" si="3"/>
        <v>535</v>
      </c>
    </row>
    <row r="21" spans="1:16" ht="15.75" customHeight="1" x14ac:dyDescent="0.2">
      <c r="A21" s="16" t="s">
        <v>39</v>
      </c>
      <c r="B21" s="13">
        <v>200</v>
      </c>
      <c r="C21" s="13">
        <v>200</v>
      </c>
      <c r="D21" s="13">
        <v>400</v>
      </c>
      <c r="E21" s="13">
        <v>450</v>
      </c>
      <c r="F21" s="13">
        <v>400</v>
      </c>
      <c r="G21" s="13">
        <v>400</v>
      </c>
      <c r="H21" s="13">
        <v>400</v>
      </c>
      <c r="I21" s="13">
        <v>400</v>
      </c>
      <c r="J21" s="13">
        <v>400</v>
      </c>
      <c r="K21" s="13">
        <v>400</v>
      </c>
      <c r="L21" s="13">
        <v>400</v>
      </c>
      <c r="M21" s="13">
        <v>400</v>
      </c>
      <c r="N21" s="10"/>
      <c r="O21" s="10">
        <f t="shared" si="2"/>
        <v>4450</v>
      </c>
      <c r="P21" s="28">
        <f t="shared" si="3"/>
        <v>370.83333333333331</v>
      </c>
    </row>
    <row r="22" spans="1:16" ht="15.75" customHeight="1" x14ac:dyDescent="0.2">
      <c r="A22" s="72" t="s">
        <v>127</v>
      </c>
      <c r="B22" s="13">
        <v>0</v>
      </c>
      <c r="C22" s="13">
        <v>0</v>
      </c>
      <c r="D22" s="13"/>
      <c r="E22" s="13"/>
      <c r="F22" s="13">
        <v>200</v>
      </c>
      <c r="G22" s="13">
        <v>0</v>
      </c>
      <c r="H22" s="13">
        <v>105</v>
      </c>
      <c r="I22" s="13">
        <v>750</v>
      </c>
      <c r="J22" s="13">
        <v>150</v>
      </c>
      <c r="K22" s="13">
        <v>300</v>
      </c>
      <c r="L22" s="13">
        <v>200</v>
      </c>
      <c r="M22" s="13"/>
      <c r="N22" s="10"/>
      <c r="O22" s="10">
        <f t="shared" si="2"/>
        <v>1705</v>
      </c>
      <c r="P22" s="28">
        <f t="shared" si="3"/>
        <v>142.08333333333334</v>
      </c>
    </row>
    <row r="23" spans="1:16" ht="15.75" customHeight="1" x14ac:dyDescent="0.2">
      <c r="A23" s="16" t="s">
        <v>48</v>
      </c>
      <c r="B23" s="13">
        <f>61-45</f>
        <v>16</v>
      </c>
      <c r="C23" s="13">
        <f>61-45</f>
        <v>16</v>
      </c>
      <c r="D23" s="13">
        <v>15</v>
      </c>
      <c r="E23" s="13">
        <v>15</v>
      </c>
      <c r="F23" s="13">
        <v>15</v>
      </c>
      <c r="G23" s="13">
        <v>15</v>
      </c>
      <c r="H23" s="13">
        <v>15</v>
      </c>
      <c r="I23" s="13">
        <v>15</v>
      </c>
      <c r="J23" s="13">
        <v>15</v>
      </c>
      <c r="K23" s="13">
        <v>13</v>
      </c>
      <c r="L23" s="13">
        <v>13</v>
      </c>
      <c r="M23" s="13">
        <v>15</v>
      </c>
      <c r="N23" s="10"/>
      <c r="O23" s="10">
        <f t="shared" si="2"/>
        <v>178</v>
      </c>
      <c r="P23" s="28">
        <f t="shared" si="3"/>
        <v>14.833333333333334</v>
      </c>
    </row>
    <row r="24" spans="1:16" ht="16.5" customHeight="1" x14ac:dyDescent="0.2">
      <c r="A24" s="16" t="s">
        <v>49</v>
      </c>
      <c r="B24" s="13">
        <v>12</v>
      </c>
      <c r="C24" s="13">
        <v>12</v>
      </c>
      <c r="D24" s="13">
        <v>9</v>
      </c>
      <c r="E24" s="13">
        <v>9</v>
      </c>
      <c r="F24" s="13">
        <v>9</v>
      </c>
      <c r="G24" s="13">
        <v>9</v>
      </c>
      <c r="H24" s="13">
        <v>9</v>
      </c>
      <c r="I24" s="13">
        <v>9</v>
      </c>
      <c r="J24" s="13">
        <v>9</v>
      </c>
      <c r="K24" s="13">
        <v>9</v>
      </c>
      <c r="L24" s="13">
        <v>9</v>
      </c>
      <c r="M24" s="13">
        <v>9</v>
      </c>
      <c r="N24" s="10"/>
      <c r="O24" s="10">
        <f t="shared" si="2"/>
        <v>114</v>
      </c>
      <c r="P24" s="28">
        <f t="shared" si="3"/>
        <v>9.5</v>
      </c>
    </row>
    <row r="25" spans="1:16" ht="16.5" customHeight="1" x14ac:dyDescent="0.2">
      <c r="A25" s="72" t="s">
        <v>126</v>
      </c>
      <c r="B25" s="13">
        <v>0</v>
      </c>
      <c r="C25" s="13">
        <v>0</v>
      </c>
      <c r="D25" s="13">
        <v>60</v>
      </c>
      <c r="E25" s="13">
        <v>60</v>
      </c>
      <c r="F25" s="13">
        <v>120</v>
      </c>
      <c r="G25" s="13">
        <v>60</v>
      </c>
      <c r="H25" s="13">
        <v>0</v>
      </c>
      <c r="I25" s="13">
        <v>100</v>
      </c>
      <c r="J25" s="13">
        <v>100</v>
      </c>
      <c r="K25" s="13">
        <v>100</v>
      </c>
      <c r="L25" s="13">
        <v>100</v>
      </c>
      <c r="M25" s="13">
        <v>100</v>
      </c>
      <c r="N25" s="10"/>
      <c r="O25" s="10">
        <f t="shared" si="2"/>
        <v>800</v>
      </c>
      <c r="P25" s="28">
        <f t="shared" si="3"/>
        <v>66.666666666666671</v>
      </c>
    </row>
    <row r="26" spans="1:16" ht="16.5" customHeight="1" x14ac:dyDescent="0.2">
      <c r="A26" s="16" t="s">
        <v>50</v>
      </c>
      <c r="B26" s="13">
        <v>0</v>
      </c>
      <c r="C26" s="13">
        <v>0</v>
      </c>
      <c r="D26" s="13"/>
      <c r="E26" s="13"/>
      <c r="F26" s="13"/>
      <c r="G26" s="13"/>
      <c r="H26" s="13"/>
      <c r="I26" s="13"/>
      <c r="J26" s="13"/>
      <c r="K26" s="13"/>
      <c r="L26" s="13"/>
      <c r="M26" s="13"/>
      <c r="N26" s="10"/>
      <c r="O26" s="10">
        <f t="shared" si="2"/>
        <v>0</v>
      </c>
      <c r="P26" s="28">
        <f t="shared" si="3"/>
        <v>0</v>
      </c>
    </row>
    <row r="27" spans="1:16" ht="16.5" customHeight="1" x14ac:dyDescent="0.2">
      <c r="A27" s="72" t="s">
        <v>73</v>
      </c>
      <c r="B27" s="13">
        <v>0</v>
      </c>
      <c r="C27" s="13">
        <v>0</v>
      </c>
      <c r="D27" s="13">
        <v>100</v>
      </c>
      <c r="E27" s="13">
        <v>0</v>
      </c>
      <c r="F27" s="13">
        <v>0</v>
      </c>
      <c r="G27" s="13">
        <v>0</v>
      </c>
      <c r="H27" s="13">
        <v>0</v>
      </c>
      <c r="I27" s="13">
        <v>0</v>
      </c>
      <c r="J27" s="13">
        <v>0</v>
      </c>
      <c r="K27" s="13">
        <v>0</v>
      </c>
      <c r="L27" s="13">
        <v>0</v>
      </c>
      <c r="M27" s="13">
        <v>100</v>
      </c>
      <c r="N27" s="10"/>
      <c r="O27" s="10">
        <f t="shared" si="2"/>
        <v>200</v>
      </c>
      <c r="P27" s="28">
        <f t="shared" si="3"/>
        <v>16.666666666666668</v>
      </c>
    </row>
    <row r="28" spans="1:16" ht="16.5" customHeight="1" x14ac:dyDescent="0.2">
      <c r="A28" s="16" t="s">
        <v>51</v>
      </c>
      <c r="B28" s="13">
        <v>10</v>
      </c>
      <c r="C28" s="13">
        <v>10</v>
      </c>
      <c r="D28" s="13">
        <v>10</v>
      </c>
      <c r="E28" s="13">
        <v>10</v>
      </c>
      <c r="F28" s="13">
        <v>10</v>
      </c>
      <c r="G28" s="13">
        <v>10</v>
      </c>
      <c r="H28" s="13">
        <v>10</v>
      </c>
      <c r="I28" s="13">
        <v>10</v>
      </c>
      <c r="J28" s="13">
        <v>10</v>
      </c>
      <c r="K28" s="13">
        <v>10</v>
      </c>
      <c r="L28" s="13">
        <v>10</v>
      </c>
      <c r="M28" s="13">
        <v>10</v>
      </c>
      <c r="N28" s="10"/>
      <c r="O28" s="10">
        <f t="shared" si="2"/>
        <v>120</v>
      </c>
      <c r="P28" s="28">
        <f t="shared" si="3"/>
        <v>10</v>
      </c>
    </row>
    <row r="29" spans="1:16" ht="16" thickBot="1" x14ac:dyDescent="0.25">
      <c r="A29" s="14" t="s">
        <v>30</v>
      </c>
      <c r="B29" s="27">
        <f>SUM(B9:B24)</f>
        <v>3947.5</v>
      </c>
      <c r="C29" s="27">
        <f>SUM(C9:C28)</f>
        <v>3753</v>
      </c>
      <c r="D29" s="27">
        <f>SUM(D9:D28)</f>
        <v>3009</v>
      </c>
      <c r="E29" s="27">
        <f>SUM(E9:E28)</f>
        <v>4634</v>
      </c>
      <c r="F29" s="27">
        <f t="shared" ref="F29:N29" si="5">SUM(F9:F28)</f>
        <v>3509</v>
      </c>
      <c r="G29" s="27">
        <f t="shared" si="5"/>
        <v>3749</v>
      </c>
      <c r="H29" s="27">
        <f t="shared" si="5"/>
        <v>3843.7</v>
      </c>
      <c r="I29" s="27">
        <f t="shared" si="5"/>
        <v>4038</v>
      </c>
      <c r="J29" s="27">
        <f t="shared" si="5"/>
        <v>4039</v>
      </c>
      <c r="K29" s="27">
        <f t="shared" si="5"/>
        <v>3852</v>
      </c>
      <c r="L29" s="27">
        <f t="shared" si="5"/>
        <v>3752</v>
      </c>
      <c r="M29" s="27">
        <f t="shared" si="5"/>
        <v>3764</v>
      </c>
      <c r="N29" s="27">
        <f t="shared" si="5"/>
        <v>0</v>
      </c>
      <c r="O29" s="27">
        <f>SUM(O9:O28)</f>
        <v>45900.2</v>
      </c>
      <c r="P29" s="29">
        <f t="shared" ref="P29" si="6">O29/COLUMNS(B29:M29)</f>
        <v>3825.0166666666664</v>
      </c>
    </row>
    <row r="30" spans="1:16" ht="16.5" customHeight="1" thickTop="1" x14ac:dyDescent="0.2">
      <c r="J30" s="11"/>
      <c r="K30" s="11"/>
      <c r="L30" s="11"/>
      <c r="M30" s="11"/>
      <c r="N30" s="11"/>
      <c r="O30" s="11"/>
      <c r="P30" s="28"/>
    </row>
    <row r="31" spans="1:16" ht="15.75" customHeight="1" x14ac:dyDescent="0.2">
      <c r="A31" s="14" t="s">
        <v>31</v>
      </c>
      <c r="B31" s="15">
        <f t="shared" ref="B31:M31" si="7">SUM(B6-B29)</f>
        <v>252.5</v>
      </c>
      <c r="C31" s="15">
        <f>SUM(C6-C29)</f>
        <v>377</v>
      </c>
      <c r="D31" s="15">
        <f t="shared" si="7"/>
        <v>891</v>
      </c>
      <c r="E31" s="15">
        <f t="shared" si="7"/>
        <v>16</v>
      </c>
      <c r="F31" s="15">
        <f t="shared" si="7"/>
        <v>341</v>
      </c>
      <c r="G31" s="15">
        <f t="shared" si="7"/>
        <v>101</v>
      </c>
      <c r="H31" s="15">
        <f t="shared" si="7"/>
        <v>3.3000000000001819</v>
      </c>
      <c r="I31" s="15">
        <f t="shared" si="7"/>
        <v>2</v>
      </c>
      <c r="J31" s="12">
        <f t="shared" si="7"/>
        <v>-189</v>
      </c>
      <c r="K31" s="12">
        <f t="shared" si="7"/>
        <v>-23</v>
      </c>
      <c r="L31" s="12">
        <f t="shared" si="7"/>
        <v>98</v>
      </c>
      <c r="M31" s="12">
        <f t="shared" si="7"/>
        <v>86</v>
      </c>
      <c r="N31" s="12"/>
      <c r="O31" s="12">
        <f>SUM(O6-O29)</f>
        <v>1945.8000000000029</v>
      </c>
      <c r="P31" s="30">
        <f>O31/COLUMNS(B31:M31)</f>
        <v>162.15000000000023</v>
      </c>
    </row>
  </sheetData>
  <mergeCells count="2">
    <mergeCell ref="A1:O1"/>
    <mergeCell ref="P1:P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195B0-AF3E-2C42-A463-3C3FD636133F}">
  <sheetPr>
    <tabColor theme="5"/>
    <pageSetUpPr fitToPage="1"/>
  </sheetPr>
  <dimension ref="B1:GU54"/>
  <sheetViews>
    <sheetView showGridLines="0" topLeftCell="FX1" zoomScale="110" zoomScaleNormal="110" workbookViewId="0">
      <selection activeCell="GP59" sqref="GP59"/>
    </sheetView>
  </sheetViews>
  <sheetFormatPr baseColWidth="10" defaultColWidth="9.1640625" defaultRowHeight="30" customHeight="1" x14ac:dyDescent="0.2"/>
  <cols>
    <col min="1" max="1" width="2.6640625" style="73" customWidth="1"/>
    <col min="2" max="2" width="11.5" style="73" customWidth="1"/>
    <col min="3" max="3" width="22.6640625" style="100" customWidth="1"/>
    <col min="4" max="4" width="18.6640625" style="73" customWidth="1"/>
    <col min="5" max="5" width="17.33203125" style="73" customWidth="1"/>
    <col min="6" max="6" width="15.33203125" style="73" customWidth="1"/>
    <col min="7" max="7" width="14.83203125" style="73" customWidth="1"/>
    <col min="8" max="8" width="16.5" style="86" customWidth="1"/>
    <col min="9" max="9" width="21.5" style="73" customWidth="1"/>
    <col min="10" max="10" width="25.6640625" style="73" customWidth="1"/>
    <col min="11" max="11" width="2.6640625" style="73" customWidth="1"/>
    <col min="12" max="12" width="9.1640625" style="73"/>
    <col min="13" max="13" width="11.5" style="73" customWidth="1"/>
    <col min="14" max="14" width="22.6640625" style="100" customWidth="1"/>
    <col min="15" max="15" width="18.6640625" style="73" customWidth="1"/>
    <col min="16" max="16" width="17.33203125" style="73" customWidth="1"/>
    <col min="17" max="17" width="15.33203125" style="73" customWidth="1"/>
    <col min="18" max="18" width="12" style="73" bestFit="1" customWidth="1"/>
    <col min="19" max="19" width="16.5" style="86" customWidth="1"/>
    <col min="20" max="20" width="21.5" style="73" customWidth="1"/>
    <col min="21" max="21" width="25.6640625" style="73" customWidth="1"/>
    <col min="22" max="24" width="9.1640625" style="73"/>
    <col min="25" max="25" width="11.5" style="73" customWidth="1"/>
    <col min="26" max="26" width="22.6640625" style="73" customWidth="1"/>
    <col min="27" max="27" width="18.6640625" style="73" customWidth="1"/>
    <col min="28" max="28" width="17.33203125" style="73" customWidth="1"/>
    <col min="29" max="29" width="15.33203125" style="73" customWidth="1"/>
    <col min="30" max="30" width="12" style="73" bestFit="1" customWidth="1"/>
    <col min="31" max="31" width="16.5" style="73" customWidth="1"/>
    <col min="32" max="32" width="21.5" style="73" customWidth="1"/>
    <col min="33" max="33" width="25.6640625" style="73" customWidth="1"/>
    <col min="34" max="38" width="9.1640625" style="73"/>
    <col min="39" max="39" width="11.5" style="73" bestFit="1" customWidth="1"/>
    <col min="40" max="40" width="19.5" style="73" bestFit="1" customWidth="1"/>
    <col min="41" max="41" width="22.1640625" style="73" customWidth="1"/>
    <col min="42" max="42" width="24.33203125" style="73" customWidth="1"/>
    <col min="43" max="43" width="13.5" style="73" bestFit="1" customWidth="1"/>
    <col min="44" max="44" width="10.83203125" style="73" bestFit="1" customWidth="1"/>
    <col min="45" max="45" width="14.6640625" style="73" bestFit="1" customWidth="1"/>
    <col min="46" max="46" width="13.5" style="73" bestFit="1" customWidth="1"/>
    <col min="47" max="47" width="10.33203125" style="73" bestFit="1" customWidth="1"/>
    <col min="48" max="50" width="9.1640625" style="73"/>
    <col min="51" max="51" width="11.5" style="73" bestFit="1" customWidth="1"/>
    <col min="52" max="52" width="19.5" style="73" bestFit="1" customWidth="1"/>
    <col min="53" max="53" width="22.1640625" style="73" customWidth="1"/>
    <col min="54" max="54" width="24.33203125" style="73" customWidth="1"/>
    <col min="55" max="55" width="13.5" style="73" bestFit="1" customWidth="1"/>
    <col min="56" max="56" width="10.83203125" style="73" bestFit="1" customWidth="1"/>
    <col min="57" max="57" width="14.6640625" style="73" bestFit="1" customWidth="1"/>
    <col min="58" max="58" width="13.5" style="73" bestFit="1" customWidth="1"/>
    <col min="59" max="59" width="10.33203125" style="73" bestFit="1" customWidth="1"/>
    <col min="60" max="61" width="9.1640625" style="73"/>
    <col min="62" max="62" width="11.5" style="73" bestFit="1" customWidth="1"/>
    <col min="63" max="63" width="19.5" style="73" bestFit="1" customWidth="1"/>
    <col min="64" max="64" width="22.1640625" style="73" customWidth="1"/>
    <col min="65" max="65" width="24.33203125" style="73" customWidth="1"/>
    <col min="66" max="66" width="13.5" style="73" bestFit="1" customWidth="1"/>
    <col min="67" max="67" width="10.83203125" style="73" bestFit="1" customWidth="1"/>
    <col min="68" max="68" width="14.6640625" style="73" bestFit="1" customWidth="1"/>
    <col min="69" max="69" width="13.5" style="73" bestFit="1" customWidth="1"/>
    <col min="70" max="71" width="10.33203125" style="73" bestFit="1" customWidth="1"/>
    <col min="72" max="73" width="9.1640625" style="73"/>
    <col min="74" max="74" width="11.5" style="73" bestFit="1" customWidth="1"/>
    <col min="75" max="75" width="19.5" style="73" bestFit="1" customWidth="1"/>
    <col min="76" max="76" width="22.1640625" style="73" customWidth="1"/>
    <col min="77" max="77" width="24.33203125" style="73" customWidth="1"/>
    <col min="78" max="78" width="13.5" style="73" bestFit="1" customWidth="1"/>
    <col min="79" max="79" width="12.1640625" style="73" bestFit="1" customWidth="1"/>
    <col min="80" max="80" width="14.6640625" style="73" bestFit="1" customWidth="1"/>
    <col min="81" max="81" width="18" style="73" customWidth="1"/>
    <col min="82" max="83" width="10.33203125" style="73" bestFit="1" customWidth="1"/>
    <col min="84" max="85" width="9.1640625" style="73"/>
    <col min="86" max="86" width="11.5" style="73" bestFit="1" customWidth="1"/>
    <col min="87" max="87" width="19.5" style="73" bestFit="1" customWidth="1"/>
    <col min="88" max="88" width="22.1640625" style="73" customWidth="1"/>
    <col min="89" max="89" width="24.33203125" style="73" customWidth="1"/>
    <col min="90" max="90" width="13.5" style="73" bestFit="1" customWidth="1"/>
    <col min="91" max="91" width="13.6640625" style="73" bestFit="1" customWidth="1"/>
    <col min="92" max="92" width="14.6640625" style="73" bestFit="1" customWidth="1"/>
    <col min="93" max="93" width="18" style="73" customWidth="1"/>
    <col min="94" max="95" width="10.33203125" style="73" bestFit="1" customWidth="1"/>
    <col min="96" max="97" width="9.1640625" style="73"/>
    <col min="98" max="98" width="11.5" style="73" bestFit="1" customWidth="1"/>
    <col min="99" max="99" width="19.5" style="73" bestFit="1" customWidth="1"/>
    <col min="100" max="100" width="22.1640625" style="73" customWidth="1"/>
    <col min="101" max="101" width="24.33203125" style="73" customWidth="1"/>
    <col min="102" max="102" width="13.5" style="73" bestFit="1" customWidth="1"/>
    <col min="103" max="103" width="13.6640625" style="73" bestFit="1" customWidth="1"/>
    <col min="104" max="104" width="14.6640625" style="73" bestFit="1" customWidth="1"/>
    <col min="105" max="105" width="18" style="73" customWidth="1"/>
    <col min="106" max="107" width="10.33203125" style="73" bestFit="1" customWidth="1"/>
    <col min="108" max="109" width="9.1640625" style="73"/>
    <col min="110" max="110" width="11.5" style="73" bestFit="1" customWidth="1"/>
    <col min="111" max="111" width="19.5" style="73" bestFit="1" customWidth="1"/>
    <col min="112" max="112" width="22.1640625" style="73" customWidth="1"/>
    <col min="113" max="113" width="24.33203125" style="73" customWidth="1"/>
    <col min="114" max="114" width="13.5" style="73" bestFit="1" customWidth="1"/>
    <col min="115" max="115" width="13.6640625" style="73" bestFit="1" customWidth="1"/>
    <col min="116" max="116" width="14.6640625" style="73" bestFit="1" customWidth="1"/>
    <col min="117" max="117" width="18" style="73" customWidth="1"/>
    <col min="118" max="119" width="10.33203125" style="73" bestFit="1" customWidth="1"/>
    <col min="120" max="121" width="9.1640625" style="73"/>
    <col min="122" max="122" width="11.5" style="73" bestFit="1" customWidth="1"/>
    <col min="123" max="123" width="19.5" style="73" bestFit="1" customWidth="1"/>
    <col min="124" max="124" width="22.1640625" style="73" customWidth="1"/>
    <col min="125" max="125" width="24.33203125" style="73" customWidth="1"/>
    <col min="126" max="126" width="13.5" style="73" bestFit="1" customWidth="1"/>
    <col min="127" max="127" width="13.6640625" style="73" bestFit="1" customWidth="1"/>
    <col min="128" max="128" width="14.6640625" style="73" bestFit="1" customWidth="1"/>
    <col min="129" max="129" width="18" style="73" customWidth="1"/>
    <col min="130" max="131" width="10.33203125" style="73" bestFit="1" customWidth="1"/>
    <col min="132" max="133" width="9.1640625" style="73"/>
    <col min="134" max="134" width="11.5" style="73" bestFit="1" customWidth="1"/>
    <col min="135" max="135" width="19.5" style="73" bestFit="1" customWidth="1"/>
    <col min="136" max="136" width="22.1640625" style="73" customWidth="1"/>
    <col min="137" max="137" width="24.33203125" style="73" customWidth="1"/>
    <col min="138" max="138" width="13.5" style="73" bestFit="1" customWidth="1"/>
    <col min="139" max="139" width="13.6640625" style="73" bestFit="1" customWidth="1"/>
    <col min="140" max="140" width="14.6640625" style="73" bestFit="1" customWidth="1"/>
    <col min="141" max="141" width="18" style="73" customWidth="1"/>
    <col min="142" max="143" width="10.33203125" style="73" bestFit="1" customWidth="1"/>
    <col min="144" max="145" width="9.1640625" style="73"/>
    <col min="146" max="146" width="11.5" style="73" bestFit="1" customWidth="1"/>
    <col min="147" max="147" width="19.5" style="73" bestFit="1" customWidth="1"/>
    <col min="148" max="148" width="22.1640625" style="73" customWidth="1"/>
    <col min="149" max="149" width="24.33203125" style="73" customWidth="1"/>
    <col min="150" max="150" width="13.5" style="73" bestFit="1" customWidth="1"/>
    <col min="151" max="151" width="13.6640625" style="73" bestFit="1" customWidth="1"/>
    <col min="152" max="152" width="14.6640625" style="73" bestFit="1" customWidth="1"/>
    <col min="153" max="153" width="18" style="73" customWidth="1"/>
    <col min="154" max="155" width="10.33203125" style="73" bestFit="1" customWidth="1"/>
    <col min="156" max="157" width="9.1640625" style="73"/>
    <col min="158" max="158" width="11.5" style="73" bestFit="1" customWidth="1"/>
    <col min="159" max="159" width="19.5" style="73" bestFit="1" customWidth="1"/>
    <col min="160" max="160" width="22.1640625" style="73" customWidth="1"/>
    <col min="161" max="161" width="24.33203125" style="73" customWidth="1"/>
    <col min="162" max="162" width="13.5" style="73" bestFit="1" customWidth="1"/>
    <col min="163" max="163" width="13.6640625" style="73" bestFit="1" customWidth="1"/>
    <col min="164" max="164" width="14.6640625" style="73" bestFit="1" customWidth="1"/>
    <col min="165" max="165" width="18" style="73" customWidth="1"/>
    <col min="166" max="167" width="10.33203125" style="73" bestFit="1" customWidth="1"/>
    <col min="168" max="169" width="9.1640625" style="73"/>
    <col min="170" max="170" width="11.5" style="73" bestFit="1" customWidth="1"/>
    <col min="171" max="171" width="19.5" style="73" bestFit="1" customWidth="1"/>
    <col min="172" max="172" width="22.1640625" style="73" customWidth="1"/>
    <col min="173" max="173" width="24.33203125" style="73" customWidth="1"/>
    <col min="174" max="174" width="13.5" style="73" bestFit="1" customWidth="1"/>
    <col min="175" max="175" width="13.6640625" style="73" bestFit="1" customWidth="1"/>
    <col min="176" max="176" width="14.6640625" style="73" bestFit="1" customWidth="1"/>
    <col min="177" max="177" width="18" style="73" customWidth="1"/>
    <col min="178" max="179" width="10.33203125" style="73" bestFit="1" customWidth="1"/>
    <col min="180" max="181" width="9.1640625" style="73"/>
    <col min="182" max="182" width="11.5" style="73" bestFit="1" customWidth="1"/>
    <col min="183" max="183" width="19.5" style="73" bestFit="1" customWidth="1"/>
    <col min="184" max="184" width="22.1640625" style="73" customWidth="1"/>
    <col min="185" max="185" width="24.33203125" style="73" customWidth="1"/>
    <col min="186" max="186" width="13.5" style="73" bestFit="1" customWidth="1"/>
    <col min="187" max="187" width="13.6640625" style="73" bestFit="1" customWidth="1"/>
    <col min="188" max="188" width="14.6640625" style="73" bestFit="1" customWidth="1"/>
    <col min="189" max="189" width="18" style="73" customWidth="1"/>
    <col min="190" max="191" width="10.33203125" style="73" bestFit="1" customWidth="1"/>
    <col min="192" max="193" width="9.1640625" style="73"/>
    <col min="194" max="194" width="11.5" style="73" bestFit="1" customWidth="1"/>
    <col min="195" max="195" width="19.5" style="73" bestFit="1" customWidth="1"/>
    <col min="196" max="196" width="22.1640625" style="73" customWidth="1"/>
    <col min="197" max="197" width="24.33203125" style="73" customWidth="1"/>
    <col min="198" max="198" width="13.5" style="73" bestFit="1" customWidth="1"/>
    <col min="199" max="199" width="13.6640625" style="73" bestFit="1" customWidth="1"/>
    <col min="200" max="200" width="14.6640625" style="73" bestFit="1" customWidth="1"/>
    <col min="201" max="201" width="18" style="73" customWidth="1"/>
    <col min="202" max="203" width="10.33203125" style="73" bestFit="1" customWidth="1"/>
    <col min="204" max="16384" width="9.1640625" style="73"/>
  </cols>
  <sheetData>
    <row r="1" spans="2:203" ht="16" thickBot="1" x14ac:dyDescent="0.25">
      <c r="B1" s="131"/>
      <c r="C1" s="131"/>
      <c r="D1" s="131"/>
      <c r="E1" s="131"/>
      <c r="F1" s="131"/>
      <c r="G1" s="131"/>
      <c r="H1" s="131"/>
      <c r="I1" s="131"/>
      <c r="J1" s="131"/>
      <c r="M1" s="131"/>
      <c r="N1" s="131"/>
      <c r="O1" s="131"/>
      <c r="P1" s="131"/>
      <c r="Q1" s="131"/>
      <c r="R1" s="131"/>
      <c r="S1" s="131"/>
      <c r="T1" s="131"/>
      <c r="U1" s="131"/>
      <c r="Y1" s="131"/>
      <c r="Z1" s="131"/>
      <c r="AA1" s="131"/>
      <c r="AB1" s="131"/>
      <c r="AC1" s="131"/>
      <c r="AD1" s="131"/>
      <c r="AE1" s="131"/>
      <c r="AF1" s="131"/>
      <c r="AG1" s="131"/>
      <c r="AM1" s="131"/>
      <c r="AN1" s="131"/>
      <c r="AO1" s="131"/>
      <c r="AP1" s="131"/>
      <c r="AQ1" s="131"/>
      <c r="AR1" s="131"/>
      <c r="AS1" s="131"/>
      <c r="AT1" s="131"/>
      <c r="AU1" s="131"/>
      <c r="AY1" s="131"/>
      <c r="AZ1" s="131"/>
      <c r="BA1" s="131"/>
      <c r="BB1" s="131"/>
      <c r="BC1" s="131"/>
      <c r="BD1" s="131"/>
      <c r="BE1" s="131"/>
      <c r="BF1" s="131"/>
      <c r="BG1" s="131"/>
      <c r="BJ1" s="131"/>
      <c r="BK1" s="131"/>
      <c r="BL1" s="131"/>
      <c r="BM1" s="131"/>
      <c r="BN1" s="131"/>
      <c r="BO1" s="131"/>
      <c r="BP1" s="131"/>
      <c r="BQ1" s="131"/>
      <c r="BR1" s="131"/>
      <c r="BV1" s="131"/>
      <c r="BW1" s="131"/>
      <c r="BX1" s="131"/>
      <c r="BY1" s="131"/>
      <c r="BZ1" s="131"/>
      <c r="CA1" s="131"/>
      <c r="CB1" s="131"/>
      <c r="CC1" s="131"/>
      <c r="CD1" s="131"/>
      <c r="CH1" s="131"/>
      <c r="CI1" s="131"/>
      <c r="CJ1" s="131"/>
      <c r="CK1" s="131"/>
      <c r="CL1" s="131"/>
      <c r="CM1" s="131"/>
      <c r="CN1" s="131"/>
      <c r="CO1" s="131"/>
      <c r="CP1" s="131"/>
      <c r="CT1" s="131"/>
      <c r="CU1" s="131"/>
      <c r="CV1" s="131"/>
      <c r="CW1" s="131"/>
      <c r="CX1" s="131"/>
      <c r="CY1" s="131"/>
      <c r="CZ1" s="131"/>
      <c r="DA1" s="131"/>
      <c r="DB1" s="131"/>
      <c r="DF1" s="131"/>
      <c r="DG1" s="131"/>
      <c r="DH1" s="131"/>
      <c r="DI1" s="131"/>
      <c r="DJ1" s="131"/>
      <c r="DK1" s="131"/>
      <c r="DL1" s="131"/>
      <c r="DM1" s="131"/>
      <c r="DN1" s="131"/>
      <c r="DR1" s="131"/>
      <c r="DS1" s="131"/>
      <c r="DT1" s="131"/>
      <c r="DU1" s="131"/>
      <c r="DV1" s="131"/>
      <c r="DW1" s="131"/>
      <c r="DX1" s="131"/>
      <c r="DY1" s="131"/>
      <c r="DZ1" s="131"/>
      <c r="ED1" s="131"/>
      <c r="EE1" s="131"/>
      <c r="EF1" s="131"/>
      <c r="EG1" s="131"/>
      <c r="EH1" s="131"/>
      <c r="EI1" s="131"/>
      <c r="EJ1" s="131"/>
      <c r="EK1" s="131"/>
      <c r="EL1" s="131"/>
      <c r="EP1" s="131"/>
      <c r="EQ1" s="131"/>
      <c r="ER1" s="131"/>
      <c r="ES1" s="131"/>
      <c r="ET1" s="131"/>
      <c r="EU1" s="131"/>
      <c r="EV1" s="131"/>
      <c r="EW1" s="131"/>
      <c r="EX1" s="131"/>
      <c r="FB1" s="131"/>
      <c r="FC1" s="131"/>
      <c r="FD1" s="131"/>
      <c r="FE1" s="131"/>
      <c r="FF1" s="131"/>
      <c r="FG1" s="131"/>
      <c r="FH1" s="131"/>
      <c r="FI1" s="131"/>
      <c r="FJ1" s="131"/>
      <c r="FN1" s="131"/>
      <c r="FO1" s="131"/>
      <c r="FP1" s="131"/>
      <c r="FQ1" s="131"/>
      <c r="FR1" s="131"/>
      <c r="FS1" s="131"/>
      <c r="FT1" s="131"/>
      <c r="FU1" s="131"/>
      <c r="FV1" s="131"/>
      <c r="FZ1" s="131"/>
      <c r="GA1" s="131"/>
      <c r="GB1" s="131"/>
      <c r="GC1" s="131"/>
      <c r="GD1" s="131"/>
      <c r="GE1" s="131"/>
      <c r="GF1" s="131"/>
      <c r="GG1" s="131"/>
      <c r="GH1" s="131"/>
      <c r="GL1" s="131"/>
      <c r="GM1" s="131"/>
      <c r="GN1" s="131"/>
      <c r="GO1" s="131"/>
      <c r="GP1" s="131"/>
      <c r="GQ1" s="131"/>
      <c r="GR1" s="131"/>
      <c r="GS1" s="131"/>
      <c r="GT1" s="131"/>
    </row>
    <row r="2" spans="2:203" ht="17" thickTop="1" x14ac:dyDescent="0.2">
      <c r="B2" s="134" t="s">
        <v>153</v>
      </c>
      <c r="C2" s="133"/>
      <c r="D2" s="74" t="s">
        <v>92</v>
      </c>
      <c r="E2" s="75" t="s">
        <v>91</v>
      </c>
      <c r="F2" s="76" t="s">
        <v>90</v>
      </c>
      <c r="G2" s="77" t="s">
        <v>89</v>
      </c>
      <c r="H2" s="78" t="s">
        <v>78</v>
      </c>
      <c r="I2" s="79" t="s">
        <v>79</v>
      </c>
      <c r="J2" s="80"/>
      <c r="M2" s="134" t="s">
        <v>123</v>
      </c>
      <c r="N2" s="133"/>
      <c r="O2" s="74" t="s">
        <v>92</v>
      </c>
      <c r="P2" s="75" t="s">
        <v>91</v>
      </c>
      <c r="Q2" s="76" t="s">
        <v>90</v>
      </c>
      <c r="R2" s="77" t="s">
        <v>89</v>
      </c>
      <c r="S2" s="78" t="s">
        <v>78</v>
      </c>
      <c r="T2" s="79" t="s">
        <v>79</v>
      </c>
      <c r="U2" s="80"/>
      <c r="Y2" s="134" t="s">
        <v>162</v>
      </c>
      <c r="Z2" s="133"/>
      <c r="AA2" s="74" t="s">
        <v>92</v>
      </c>
      <c r="AB2" s="75" t="s">
        <v>91</v>
      </c>
      <c r="AC2" s="76" t="s">
        <v>90</v>
      </c>
      <c r="AD2" s="77" t="s">
        <v>89</v>
      </c>
      <c r="AE2" s="78" t="s">
        <v>78</v>
      </c>
      <c r="AF2" s="79" t="s">
        <v>79</v>
      </c>
      <c r="AG2" s="80"/>
      <c r="AM2" s="134" t="s">
        <v>163</v>
      </c>
      <c r="AN2" s="133"/>
      <c r="AO2" s="74" t="s">
        <v>92</v>
      </c>
      <c r="AP2" s="75" t="s">
        <v>91</v>
      </c>
      <c r="AQ2" s="76" t="s">
        <v>90</v>
      </c>
      <c r="AR2" s="77" t="s">
        <v>89</v>
      </c>
      <c r="AS2" s="78" t="s">
        <v>78</v>
      </c>
      <c r="AT2" s="79" t="s">
        <v>79</v>
      </c>
      <c r="AU2" s="80"/>
      <c r="AY2" s="134" t="s">
        <v>164</v>
      </c>
      <c r="AZ2" s="133"/>
      <c r="BA2" s="74" t="s">
        <v>92</v>
      </c>
      <c r="BB2" s="75" t="s">
        <v>91</v>
      </c>
      <c r="BC2" s="76" t="s">
        <v>90</v>
      </c>
      <c r="BD2" s="77" t="s">
        <v>89</v>
      </c>
      <c r="BE2" s="78" t="s">
        <v>78</v>
      </c>
      <c r="BF2" s="79" t="s">
        <v>79</v>
      </c>
      <c r="BG2" s="80"/>
      <c r="BJ2" s="134" t="s">
        <v>166</v>
      </c>
      <c r="BK2" s="133"/>
      <c r="BL2" s="74" t="s">
        <v>92</v>
      </c>
      <c r="BM2" s="75" t="s">
        <v>91</v>
      </c>
      <c r="BN2" s="76" t="s">
        <v>90</v>
      </c>
      <c r="BO2" s="77" t="s">
        <v>89</v>
      </c>
      <c r="BP2" s="78" t="s">
        <v>78</v>
      </c>
      <c r="BQ2" s="79" t="s">
        <v>79</v>
      </c>
      <c r="BR2" s="80"/>
      <c r="BS2" s="80"/>
      <c r="BV2" s="134" t="s">
        <v>170</v>
      </c>
      <c r="BW2" s="133"/>
      <c r="BX2" s="74" t="s">
        <v>92</v>
      </c>
      <c r="BY2" s="75" t="s">
        <v>91</v>
      </c>
      <c r="BZ2" s="76" t="s">
        <v>90</v>
      </c>
      <c r="CA2" s="77" t="s">
        <v>89</v>
      </c>
      <c r="CB2" s="78" t="s">
        <v>78</v>
      </c>
      <c r="CC2" s="79" t="s">
        <v>79</v>
      </c>
      <c r="CD2" s="80"/>
      <c r="CE2" s="80"/>
      <c r="CH2" s="134" t="s">
        <v>171</v>
      </c>
      <c r="CI2" s="133"/>
      <c r="CJ2" s="74" t="s">
        <v>92</v>
      </c>
      <c r="CK2" s="75" t="s">
        <v>91</v>
      </c>
      <c r="CL2" s="76" t="s">
        <v>90</v>
      </c>
      <c r="CM2" s="77" t="s">
        <v>89</v>
      </c>
      <c r="CN2" s="78" t="s">
        <v>78</v>
      </c>
      <c r="CO2" s="79" t="s">
        <v>79</v>
      </c>
      <c r="CP2" s="80"/>
      <c r="CQ2" s="80"/>
      <c r="CT2" s="134" t="s">
        <v>177</v>
      </c>
      <c r="CU2" s="133"/>
      <c r="CV2" s="74" t="s">
        <v>92</v>
      </c>
      <c r="CW2" s="75" t="s">
        <v>91</v>
      </c>
      <c r="CX2" s="76" t="s">
        <v>90</v>
      </c>
      <c r="CY2" s="77" t="s">
        <v>89</v>
      </c>
      <c r="CZ2" s="78" t="s">
        <v>78</v>
      </c>
      <c r="DA2" s="79" t="s">
        <v>79</v>
      </c>
      <c r="DB2" s="80"/>
      <c r="DC2" s="80"/>
      <c r="DF2" s="134" t="s">
        <v>178</v>
      </c>
      <c r="DG2" s="133"/>
      <c r="DH2" s="74" t="s">
        <v>92</v>
      </c>
      <c r="DI2" s="75" t="s">
        <v>91</v>
      </c>
      <c r="DJ2" s="76" t="s">
        <v>90</v>
      </c>
      <c r="DK2" s="77" t="s">
        <v>89</v>
      </c>
      <c r="DL2" s="78" t="s">
        <v>78</v>
      </c>
      <c r="DM2" s="79" t="s">
        <v>79</v>
      </c>
      <c r="DN2" s="80"/>
      <c r="DO2" s="80"/>
      <c r="DR2" s="132" t="s">
        <v>185</v>
      </c>
      <c r="DS2" s="133"/>
      <c r="DT2" s="74" t="s">
        <v>92</v>
      </c>
      <c r="DU2" s="75" t="s">
        <v>91</v>
      </c>
      <c r="DV2" s="76" t="s">
        <v>90</v>
      </c>
      <c r="DW2" s="77" t="s">
        <v>89</v>
      </c>
      <c r="DX2" s="78" t="s">
        <v>78</v>
      </c>
      <c r="DY2" s="79" t="s">
        <v>79</v>
      </c>
      <c r="DZ2" s="80"/>
      <c r="EA2" s="80"/>
      <c r="ED2" s="132" t="s">
        <v>206</v>
      </c>
      <c r="EE2" s="133"/>
      <c r="EF2" s="74" t="s">
        <v>92</v>
      </c>
      <c r="EG2" s="75" t="s">
        <v>91</v>
      </c>
      <c r="EH2" s="76" t="s">
        <v>90</v>
      </c>
      <c r="EI2" s="77" t="s">
        <v>89</v>
      </c>
      <c r="EJ2" s="78" t="s">
        <v>78</v>
      </c>
      <c r="EK2" s="79" t="s">
        <v>79</v>
      </c>
      <c r="EL2" s="80"/>
      <c r="EM2" s="80"/>
      <c r="EP2" s="132" t="s">
        <v>223</v>
      </c>
      <c r="EQ2" s="133"/>
      <c r="ER2" s="74" t="s">
        <v>92</v>
      </c>
      <c r="ES2" s="75" t="s">
        <v>91</v>
      </c>
      <c r="ET2" s="76" t="s">
        <v>90</v>
      </c>
      <c r="EU2" s="77" t="s">
        <v>89</v>
      </c>
      <c r="EV2" s="78" t="s">
        <v>78</v>
      </c>
      <c r="EW2" s="79" t="s">
        <v>79</v>
      </c>
      <c r="EX2" s="80"/>
      <c r="EY2" s="80"/>
      <c r="FB2" s="132" t="s">
        <v>224</v>
      </c>
      <c r="FC2" s="133"/>
      <c r="FD2" s="74" t="s">
        <v>92</v>
      </c>
      <c r="FE2" s="75" t="s">
        <v>91</v>
      </c>
      <c r="FF2" s="76" t="s">
        <v>90</v>
      </c>
      <c r="FG2" s="77" t="s">
        <v>89</v>
      </c>
      <c r="FH2" s="78" t="s">
        <v>78</v>
      </c>
      <c r="FI2" s="79" t="s">
        <v>79</v>
      </c>
      <c r="FJ2" s="80"/>
      <c r="FK2" s="80"/>
      <c r="FN2" s="132" t="s">
        <v>224</v>
      </c>
      <c r="FO2" s="133"/>
      <c r="FP2" s="74" t="s">
        <v>92</v>
      </c>
      <c r="FQ2" s="75" t="s">
        <v>91</v>
      </c>
      <c r="FR2" s="76" t="s">
        <v>90</v>
      </c>
      <c r="FS2" s="77" t="s">
        <v>89</v>
      </c>
      <c r="FT2" s="78" t="s">
        <v>78</v>
      </c>
      <c r="FU2" s="79" t="s">
        <v>79</v>
      </c>
      <c r="FV2" s="80"/>
      <c r="FW2" s="80"/>
      <c r="FZ2" s="132" t="s">
        <v>328</v>
      </c>
      <c r="GA2" s="133"/>
      <c r="GB2" s="74" t="s">
        <v>92</v>
      </c>
      <c r="GC2" s="75" t="s">
        <v>91</v>
      </c>
      <c r="GD2" s="76" t="s">
        <v>90</v>
      </c>
      <c r="GE2" s="77" t="s">
        <v>89</v>
      </c>
      <c r="GF2" s="78" t="s">
        <v>78</v>
      </c>
      <c r="GG2" s="79" t="s">
        <v>79</v>
      </c>
      <c r="GH2" s="80"/>
      <c r="GI2" s="80"/>
      <c r="GL2" s="132" t="s">
        <v>328</v>
      </c>
      <c r="GM2" s="133"/>
      <c r="GN2" s="74" t="s">
        <v>92</v>
      </c>
      <c r="GO2" s="75" t="s">
        <v>91</v>
      </c>
      <c r="GP2" s="76" t="s">
        <v>90</v>
      </c>
      <c r="GQ2" s="77" t="s">
        <v>89</v>
      </c>
      <c r="GR2" s="78" t="s">
        <v>78</v>
      </c>
      <c r="GS2" s="79" t="s">
        <v>79</v>
      </c>
      <c r="GT2" s="80"/>
      <c r="GU2" s="80"/>
    </row>
    <row r="3" spans="2:203" ht="60" customHeight="1" thickBot="1" x14ac:dyDescent="0.25">
      <c r="B3" s="134"/>
      <c r="C3" s="133"/>
      <c r="D3" s="96">
        <f>IFERROR(SUMIF(GroceryList[CATEGORY],Category1,GroceryList[TOTAL]), "")</f>
        <v>270.31</v>
      </c>
      <c r="E3" s="95">
        <f>IFERROR(SUMIF(GroceryList[CATEGORY],Category2,GroceryList[TOTAL]), "")</f>
        <v>322.75000000000006</v>
      </c>
      <c r="F3" s="94">
        <f>IFERROR(SUMIF(GroceryList[CATEGORY],Category3,GroceryList[TOTAL]), "")</f>
        <v>121.58500000000001</v>
      </c>
      <c r="G3" s="93">
        <f>IFERROR(SUMIF(GroceryList[CATEGORY],Category4,GroceryList[TOTAL]), "")</f>
        <v>42.67</v>
      </c>
      <c r="H3" s="92">
        <f>IFERROR(SUMIF(GroceryList[CATEGORY],Category5,GroceryList[TOTAL]), "")</f>
        <v>0</v>
      </c>
      <c r="I3" s="91">
        <f>SUM(GroceryList[TOTAL])</f>
        <v>757.31499999999994</v>
      </c>
      <c r="J3" s="80"/>
      <c r="M3" s="134"/>
      <c r="N3" s="133"/>
      <c r="O3" s="96">
        <f>IFERROR(SUMIF(GroceryList2[CATEGORY],Category1,GroceryList2[TOTAL]), "")</f>
        <v>0</v>
      </c>
      <c r="P3" s="95">
        <f>IFERROR(SUMIF(GroceryList2[CATEGORY],Category2,GroceryList2[TOTAL]), "")</f>
        <v>121.72999999999998</v>
      </c>
      <c r="Q3" s="94">
        <f>IFERROR(SUMIF(GroceryList2[CATEGORY],Category3,GroceryList2[TOTAL]), "")</f>
        <v>0</v>
      </c>
      <c r="R3" s="93">
        <f>IFERROR(SUMIF(GroceryList2[CATEGORY],Category4,GroceryList2[TOTAL]), "")</f>
        <v>0</v>
      </c>
      <c r="S3" s="92">
        <f>IFERROR(SUMIF(GroceryList2[CATEGORY],Category5,GroceryList2[TOTAL]), "")</f>
        <v>0</v>
      </c>
      <c r="T3" s="91">
        <f>SUM(GroceryList2[TOTAL])</f>
        <v>121.72999999999998</v>
      </c>
      <c r="U3" s="80"/>
      <c r="Y3" s="134"/>
      <c r="Z3" s="133"/>
      <c r="AA3" s="96">
        <f>IFERROR(SUMIF(GroceryList27[CATEGORY],Category1,GroceryList27[TOTAL]), "")</f>
        <v>45</v>
      </c>
      <c r="AB3" s="95">
        <f>IFERROR(SUMIF(GroceryList27[CATEGORY],Category2,GroceryList27[TOTAL]), "")</f>
        <v>114.07</v>
      </c>
      <c r="AC3" s="94">
        <f>IFERROR(SUMIF(GroceryList27[CATEGORY],Category3,GroceryList27[TOTAL]), "")</f>
        <v>80</v>
      </c>
      <c r="AD3" s="93">
        <f>IFERROR(SUMIF(GroceryList27[CATEGORY],Category4,GroceryList27[TOTAL]), "")</f>
        <v>0</v>
      </c>
      <c r="AE3" s="92">
        <f>IFERROR(SUMIF(GroceryList27[CATEGORY],Category5,GroceryList27[TOTAL]), "")</f>
        <v>0</v>
      </c>
      <c r="AF3" s="91">
        <f>SUM(GroceryList27[TOTAL])</f>
        <v>323.07</v>
      </c>
      <c r="AG3" s="80"/>
      <c r="AM3" s="134"/>
      <c r="AN3" s="133"/>
      <c r="AO3" s="96">
        <f>IFERROR(SUMIF(GroceryList274[CATEGORY],Category1,GroceryList274[TOTAL]), "")</f>
        <v>45</v>
      </c>
      <c r="AP3" s="95">
        <f>IFERROR(SUMIF(GroceryList274[CATEGORY],Category2,GroceryList274[TOTAL]), "")</f>
        <v>163.155</v>
      </c>
      <c r="AQ3" s="94">
        <f>IFERROR(SUMIF(GroceryList274[CATEGORY],Category3,GroceryList274[TOTAL]), "")</f>
        <v>34</v>
      </c>
      <c r="AR3" s="93">
        <f>IFERROR(SUMIF(GroceryList274[CATEGORY],Category4,GroceryList274[TOTAL]), "")</f>
        <v>0</v>
      </c>
      <c r="AS3" s="92">
        <f>IFERROR(SUMIF(GroceryList274[CATEGORY],Category5,GroceryList274[TOTAL]), "")</f>
        <v>0</v>
      </c>
      <c r="AT3" s="91">
        <f>SUM(GroceryList274[TOTAL])</f>
        <v>242.155</v>
      </c>
      <c r="AU3" s="80"/>
      <c r="AY3" s="134"/>
      <c r="AZ3" s="133"/>
      <c r="BA3" s="96">
        <f>IFERROR(SUMIF(GroceryList2745[CATEGORY],Category1,GroceryList2745[TOTAL]), "")</f>
        <v>134.39000000000001</v>
      </c>
      <c r="BB3" s="95">
        <f>IFERROR(SUMIF(GroceryList2745[CATEGORY],Category2,GroceryList2745[TOTAL]), "")</f>
        <v>111.96000000000001</v>
      </c>
      <c r="BC3" s="94">
        <f>IFERROR(SUMIF(GroceryList2745[CATEGORY],Category3,GroceryList2745[TOTAL]), "")</f>
        <v>0</v>
      </c>
      <c r="BD3" s="93">
        <f>IFERROR(SUMIF(GroceryList2745[CATEGORY],Category4,GroceryList2745[TOTAL]), "")</f>
        <v>0</v>
      </c>
      <c r="BE3" s="92">
        <f>IFERROR(SUMIF(GroceryList2745[CATEGORY],Category5,GroceryList2745[TOTAL]), "")</f>
        <v>0</v>
      </c>
      <c r="BF3" s="91">
        <f>SUM(GroceryList2745[TOTAL])</f>
        <v>246.35000000000002</v>
      </c>
      <c r="BG3" s="80"/>
      <c r="BJ3" s="134"/>
      <c r="BK3" s="133"/>
      <c r="BL3" s="96">
        <f>IFERROR(SUMIF(GroceryList27456[CATEGORY],Category1,GroceryList27456[TOTAL]), "")</f>
        <v>50</v>
      </c>
      <c r="BM3" s="95">
        <f>IFERROR(SUMIF(GroceryList27456[CATEGORY],Category2,GroceryList27456[TOTAL]), "")</f>
        <v>100.49000000000001</v>
      </c>
      <c r="BN3" s="94">
        <f>IFERROR(SUMIF(GroceryList27456[CATEGORY],Category3,GroceryList27456[TOTAL]), "")</f>
        <v>0</v>
      </c>
      <c r="BO3" s="93">
        <f>IFERROR(SUMIF(GroceryList27456[CATEGORY],Category4,GroceryList27456[TOTAL]), "")</f>
        <v>0</v>
      </c>
      <c r="BP3" s="92">
        <f>IFERROR(SUMIF(GroceryList27456[CATEGORY],Category5,GroceryList27456[TOTAL]), "")</f>
        <v>0</v>
      </c>
      <c r="BQ3" s="91">
        <f>SUM(GroceryList27456[TOTAL])</f>
        <v>150.49</v>
      </c>
      <c r="BR3" s="80"/>
      <c r="BS3" s="80"/>
      <c r="BV3" s="134"/>
      <c r="BW3" s="133"/>
      <c r="BX3" s="96">
        <f>IFERROR(SUMIF(GroceryList2745614[CATEGORY],Category1,GroceryList2745614[TOTAL]), "")</f>
        <v>119.16</v>
      </c>
      <c r="BY3" s="95">
        <f>IFERROR(SUMIF(GroceryList2745614[CATEGORY],Category2,GroceryList2745614[TOTAL]), "")</f>
        <v>202.46999999999997</v>
      </c>
      <c r="BZ3" s="94">
        <f>IFERROR(SUMIF(GroceryList2745614[CATEGORY],Category3,GroceryList2745614[TOTAL]), "")</f>
        <v>271.77000000000004</v>
      </c>
      <c r="CA3" s="93">
        <f>IFERROR(SUMIF(GroceryList2745614[CATEGORY],Category4,GroceryList2745614[TOTAL]), "")</f>
        <v>60</v>
      </c>
      <c r="CB3" s="92">
        <f>IFERROR(SUMIF(GroceryList2745614[CATEGORY],Category5,GroceryList2745614[TOTAL]), "")</f>
        <v>0</v>
      </c>
      <c r="CC3" s="91">
        <f>SUM(GroceryList2745614[TOTAL])</f>
        <v>653.4</v>
      </c>
      <c r="CD3" s="80"/>
      <c r="CE3" s="80"/>
      <c r="CH3" s="134"/>
      <c r="CI3" s="133"/>
      <c r="CJ3" s="96">
        <f>IFERROR(SUMIF(GroceryList27456148[CATEGORY],Category1,GroceryList27456148[TOTAL]), "")</f>
        <v>237.12</v>
      </c>
      <c r="CK3" s="95">
        <f>IFERROR(SUMIF(GroceryList27456148[CATEGORY],Category2,GroceryList27456148[TOTAL]), "")</f>
        <v>174.8</v>
      </c>
      <c r="CL3" s="94">
        <f>IFERROR(SUMIF(GroceryList27456148[CATEGORY],Category3,GroceryList27456148[TOTAL]), "")</f>
        <v>281.55</v>
      </c>
      <c r="CM3" s="93">
        <f>IFERROR(SUMIF(GroceryList27456148[CATEGORY],Category4,GroceryList27456148[TOTAL]), "")</f>
        <v>120</v>
      </c>
      <c r="CN3" s="92">
        <f>IFERROR(SUMIF(GroceryList27456148[CATEGORY],Category5,GroceryList27456148[TOTAL]), "")</f>
        <v>0</v>
      </c>
      <c r="CO3" s="91">
        <f>SUM(GroceryList27456148[TOTAL])</f>
        <v>813.47</v>
      </c>
      <c r="CP3" s="80"/>
      <c r="CQ3" s="80"/>
      <c r="CT3" s="134"/>
      <c r="CU3" s="133"/>
      <c r="CV3" s="96">
        <f>IFERROR(SUMIF(GroceryList2745614810[CATEGORY],Category1,GroceryList2745614810[TOTAL]), "")</f>
        <v>116.02000000000001</v>
      </c>
      <c r="CW3" s="95">
        <f>IFERROR(SUMIF(GroceryList2745614810[CATEGORY],Category2,GroceryList2745614810[TOTAL]), "")</f>
        <v>130.66</v>
      </c>
      <c r="CX3" s="94">
        <f>IFERROR(SUMIF(GroceryList2745614810[CATEGORY],Category3,GroceryList2745614810[TOTAL]), "")</f>
        <v>218.04</v>
      </c>
      <c r="CY3" s="93">
        <f>IFERROR(SUMIF(GroceryList2745614810[CATEGORY],Category4,GroceryList2745614810[TOTAL]), "")</f>
        <v>0</v>
      </c>
      <c r="CZ3" s="92">
        <f>IFERROR(SUMIF(GroceryList2745614810[CATEGORY],Category5,GroceryList2745614810[TOTAL]), "")</f>
        <v>0</v>
      </c>
      <c r="DA3" s="91">
        <f>SUM(GroceryList2745614810[TOTAL])</f>
        <v>540.49</v>
      </c>
      <c r="DB3" s="80"/>
      <c r="DC3" s="80"/>
      <c r="DF3" s="134"/>
      <c r="DG3" s="133"/>
      <c r="DH3" s="96">
        <f>IFERROR(SUMIF(GroceryList27456148109[CATEGORY],Category1,GroceryList27456148109[TOTAL]), "")</f>
        <v>40</v>
      </c>
      <c r="DI3" s="95">
        <f>IFERROR(SUMIF(GroceryList27456148109[CATEGORY],Category2,GroceryList27456148109[TOTAL]), "")</f>
        <v>0</v>
      </c>
      <c r="DJ3" s="94">
        <f>IFERROR(SUMIF(GroceryList27456148109[CATEGORY],Category3,GroceryList27456148109[TOTAL]), "")</f>
        <v>130</v>
      </c>
      <c r="DK3" s="93">
        <f>IFERROR(SUMIF(GroceryList27456148109[CATEGORY],Category4,GroceryList27456148109[TOTAL]), "")</f>
        <v>0</v>
      </c>
      <c r="DL3" s="92">
        <f>IFERROR(SUMIF(GroceryList27456148109[CATEGORY],Category5,GroceryList27456148109[TOTAL]), "")</f>
        <v>0</v>
      </c>
      <c r="DM3" s="91">
        <f>SUM(GroceryList27456148109[TOTAL])</f>
        <v>170</v>
      </c>
      <c r="DN3" s="80"/>
      <c r="DO3" s="80"/>
      <c r="DR3" s="134"/>
      <c r="DS3" s="133"/>
      <c r="DT3" s="96">
        <f>IFERROR(SUMIF(GroceryList2745614810911[CATEGORY],Category1,GroceryList2745614810911[TOTAL]), "")</f>
        <v>110.76</v>
      </c>
      <c r="DU3" s="95">
        <f>IFERROR(SUMIF(GroceryList2745614810911[CATEGORY],Category2,GroceryList2745614810911[TOTAL]), "")</f>
        <v>122.36000000000001</v>
      </c>
      <c r="DV3" s="94">
        <f>IFERROR(SUMIF(GroceryList2745614810911[CATEGORY],Category3,GroceryList2745614810911[TOTAL]), "")</f>
        <v>241.17</v>
      </c>
      <c r="DW3" s="93">
        <f>IFERROR(SUMIF(GroceryList2745614810911[CATEGORY],Category4,GroceryList2745614810911[TOTAL]), "")</f>
        <v>60</v>
      </c>
      <c r="DX3" s="92">
        <f>IFERROR(SUMIF(GroceryList2745614810911[CATEGORY],Category5,GroceryList2745614810911[TOTAL]), "")</f>
        <v>0</v>
      </c>
      <c r="DY3" s="91">
        <f>SUM(GroceryList2745614810911[TOTAL])</f>
        <v>534.29</v>
      </c>
      <c r="DZ3" s="80"/>
      <c r="EA3" s="80"/>
      <c r="ED3" s="134"/>
      <c r="EE3" s="133"/>
      <c r="EF3" s="96">
        <f>IFERROR(SUMIF(GroceryList274561481091112[CATEGORY],Category1,GroceryList274561481091112[TOTAL]), "")</f>
        <v>361.69000000000005</v>
      </c>
      <c r="EG3" s="95">
        <f>IFERROR(SUMIF(GroceryList274561481091112[CATEGORY],Category2,GroceryList274561481091112[TOTAL]), "")</f>
        <v>297.52999999999997</v>
      </c>
      <c r="EH3" s="94">
        <f>IFERROR(SUMIF(GroceryList274561481091112[CATEGORY],Category3,GroceryList274561481091112[TOTAL]), "")</f>
        <v>235.35</v>
      </c>
      <c r="EI3" s="93">
        <f>IFERROR(SUMIF(GroceryList274561481091112[CATEGORY],Category4,GroceryList274561481091112[TOTAL]), "")</f>
        <v>87.47</v>
      </c>
      <c r="EJ3" s="92">
        <f>IFERROR(SUMIF(GroceryList274561481091112[CATEGORY],Category5,GroceryList274561481091112[TOTAL]), "")</f>
        <v>0</v>
      </c>
      <c r="EK3" s="91">
        <f>SUM(GroceryList274561481091112[TOTAL])</f>
        <v>982.04000000000008</v>
      </c>
      <c r="EL3" s="80"/>
      <c r="EM3" s="80"/>
      <c r="EP3" s="134"/>
      <c r="EQ3" s="133"/>
      <c r="ER3" s="96">
        <f>IFERROR(SUMIF(GroceryList27456148109111213[CATEGORY],Category1,GroceryList27456148109111213[TOTAL]), "")</f>
        <v>40</v>
      </c>
      <c r="ES3" s="95">
        <f>IFERROR(SUMIF(GroceryList27456148109111213[CATEGORY],Category2,GroceryList27456148109111213[TOTAL]), "")</f>
        <v>20.420000000000002</v>
      </c>
      <c r="ET3" s="94">
        <f>IFERROR(SUMIF(GroceryList27456148109111213[CATEGORY],Category3,GroceryList27456148109111213[TOTAL]), "")</f>
        <v>166.38</v>
      </c>
      <c r="EU3" s="93">
        <f>IFERROR(SUMIF(GroceryList27456148109111213[CATEGORY],Category4,GroceryList27456148109111213[TOTAL]), "")</f>
        <v>0</v>
      </c>
      <c r="EV3" s="92">
        <f>IFERROR(SUMIF(GroceryList27456148109111213[CATEGORY],Category5,GroceryList27456148109111213[TOTAL]), "")</f>
        <v>0</v>
      </c>
      <c r="EW3" s="91">
        <f>SUM(GroceryList27456148109111213[TOTAL])</f>
        <v>226.8</v>
      </c>
      <c r="EX3" s="80"/>
      <c r="EY3" s="80"/>
      <c r="FB3" s="134"/>
      <c r="FC3" s="133"/>
      <c r="FD3" s="96">
        <f>IFERROR(SUMIF(GroceryList2745614810911121315[CATEGORY],Category1,GroceryList2745614810911121315[TOTAL]), "")</f>
        <v>139.31020000000001</v>
      </c>
      <c r="FE3" s="95">
        <f>IFERROR(SUMIF(GroceryList2745614810911121315[CATEGORY],Category2,GroceryList2745614810911121315[TOTAL]), "")</f>
        <v>143</v>
      </c>
      <c r="FF3" s="94">
        <f>IFERROR(SUMIF(GroceryList2745614810911121315[CATEGORY],Category3,GroceryList2745614810911121315[TOTAL]), "")</f>
        <v>58.11</v>
      </c>
      <c r="FG3" s="93">
        <f>IFERROR(SUMIF(GroceryList2745614810911121315[CATEGORY],Category4,GroceryList2745614810911121315[TOTAL]), "")</f>
        <v>10</v>
      </c>
      <c r="FH3" s="92">
        <f>IFERROR(SUMIF(GroceryList2745614810911121315[CATEGORY],Category5,GroceryList2745614810911121315[TOTAL]), "")</f>
        <v>0</v>
      </c>
      <c r="FI3" s="91">
        <f>SUM(GroceryList2745614810911121315[TOTAL])</f>
        <v>569.35020000000009</v>
      </c>
      <c r="FJ3" s="80"/>
      <c r="FK3" s="80"/>
      <c r="FN3" s="134"/>
      <c r="FO3" s="133"/>
      <c r="FP3" s="96">
        <f>IFERROR(SUMIF(GroceryList274561481091112131516[CATEGORY],Category1,GroceryList274561481091112131516[TOTAL]), "")</f>
        <v>40</v>
      </c>
      <c r="FQ3" s="95">
        <f>IFERROR(SUMIF(GroceryList274561481091112131516[CATEGORY],Category2,GroceryList274561481091112131516[TOTAL]), "")</f>
        <v>22.99</v>
      </c>
      <c r="FR3" s="94">
        <f>IFERROR(SUMIF(GroceryList274561481091112131516[CATEGORY],Category3,GroceryList274561481091112131516[TOTAL]), "")</f>
        <v>120</v>
      </c>
      <c r="FS3" s="93">
        <f>IFERROR(SUMIF(GroceryList274561481091112131516[CATEGORY],Category4,GroceryList274561481091112131516[TOTAL]), "")</f>
        <v>0</v>
      </c>
      <c r="FT3" s="92">
        <f>IFERROR(SUMIF(GroceryList274561481091112131516[CATEGORY],Category5,GroceryList274561481091112131516[TOTAL]), "")</f>
        <v>0</v>
      </c>
      <c r="FU3" s="91">
        <f>SUM(GroceryList274561481091112131516[TOTAL])</f>
        <v>182.99</v>
      </c>
      <c r="FV3" s="80"/>
      <c r="FW3" s="80"/>
      <c r="FZ3" s="134"/>
      <c r="GA3" s="133"/>
      <c r="GB3" s="96">
        <f>IFERROR(SUMIF(GroceryList274561481091112131517[CATEGORY],Category1,GroceryList274561481091112131517[TOTAL]), "")</f>
        <v>322.97000000000003</v>
      </c>
      <c r="GC3" s="95">
        <f>IFERROR(SUMIF(GroceryList274561481091112131517[CATEGORY],Category2,GroceryList274561481091112131517[TOTAL]), "")</f>
        <v>425.12</v>
      </c>
      <c r="GD3" s="94">
        <f>IFERROR(SUMIF(GroceryList274561481091112131517[CATEGORY],Category3,GroceryList274561481091112131517[TOTAL]), "")</f>
        <v>458.53</v>
      </c>
      <c r="GE3" s="93">
        <f>IFERROR(SUMIF(GroceryList274561481091112131517[CATEGORY],Category4,GroceryList274561481091112131517[TOTAL]), "")</f>
        <v>102.99</v>
      </c>
      <c r="GF3" s="92">
        <f>IFERROR(SUMIF(GroceryList274561481091112131517[CATEGORY],Category5,GroceryList274561481091112131517[TOTAL]), "")</f>
        <v>0</v>
      </c>
      <c r="GG3" s="91">
        <f>SUM(GroceryList274561481091112131517[TOTAL])</f>
        <v>1309.6100000000001</v>
      </c>
      <c r="GH3" s="80"/>
      <c r="GI3" s="80"/>
      <c r="GL3" s="134"/>
      <c r="GM3" s="133"/>
      <c r="GN3" s="96">
        <f>IFERROR(SUMIF(GroceryList27456148109111213151718[CATEGORY],Category1,GroceryList27456148109111213151718[TOTAL]), "")</f>
        <v>370.44000000000005</v>
      </c>
      <c r="GO3" s="95">
        <f>IFERROR(SUMIF(GroceryList27456148109111213151718[CATEGORY],Category2,GroceryList27456148109111213151718[TOTAL]), "")</f>
        <v>391.09000000000003</v>
      </c>
      <c r="GP3" s="94">
        <f>IFERROR(SUMIF(GroceryList27456148109111213151718[CATEGORY],Category3,GroceryList27456148109111213151718[TOTAL]), "")</f>
        <v>474.66999999999996</v>
      </c>
      <c r="GQ3" s="93">
        <f>IFERROR(SUMIF(GroceryList27456148109111213151718[CATEGORY],Category4,GroceryList27456148109111213151718[TOTAL]), "")</f>
        <v>102.99</v>
      </c>
      <c r="GR3" s="92">
        <f>IFERROR(SUMIF(GroceryList27456148109111213151718[CATEGORY],Category5,GroceryList27456148109111213151718[TOTAL]), "")</f>
        <v>0</v>
      </c>
      <c r="GS3" s="91">
        <f>SUM(GroceryList27456148109111213151718[TOTAL])</f>
        <v>1339.19</v>
      </c>
      <c r="GT3" s="80"/>
      <c r="GU3" s="80"/>
    </row>
    <row r="4" spans="2:203" ht="21" customHeight="1" thickTop="1" x14ac:dyDescent="0.2">
      <c r="B4" s="81"/>
      <c r="C4" s="98"/>
      <c r="D4" s="81" t="s">
        <v>80</v>
      </c>
      <c r="E4" s="81"/>
      <c r="F4" s="81"/>
      <c r="G4" s="81"/>
      <c r="H4" s="81"/>
      <c r="I4" s="80" t="str">
        <f>IF(SUM(D3:H3)&lt;&gt;SUM(GroceryList[TOTAL]),"Out of Balance","")</f>
        <v/>
      </c>
      <c r="J4" s="80"/>
      <c r="M4" s="81"/>
      <c r="N4" s="98"/>
      <c r="O4" s="81" t="s">
        <v>80</v>
      </c>
      <c r="P4" s="81"/>
      <c r="Q4" s="81"/>
      <c r="R4" s="81"/>
      <c r="S4" s="81"/>
      <c r="T4" s="80" t="str">
        <f>IF(SUM(O3:S3)&lt;&gt;SUM(GroceryList2[TOTAL]),"Out of Balance","")</f>
        <v/>
      </c>
      <c r="U4" s="80"/>
      <c r="Y4" s="81"/>
      <c r="Z4" s="98"/>
      <c r="AA4" s="81" t="s">
        <v>80</v>
      </c>
      <c r="AB4" s="81"/>
      <c r="AC4" s="81"/>
      <c r="AD4" s="81"/>
      <c r="AE4" s="81"/>
      <c r="AF4" s="80" t="str">
        <f>IF(SUM(AA3:AE3)&lt;&gt;SUM(GroceryList27[TOTAL]),"Out of Balance","")</f>
        <v>Out of Balance</v>
      </c>
      <c r="AG4" s="80"/>
      <c r="AM4" s="81"/>
      <c r="AN4" s="98"/>
      <c r="AO4" s="81" t="s">
        <v>80</v>
      </c>
      <c r="AP4" s="81"/>
      <c r="AQ4" s="81"/>
      <c r="AR4" s="81"/>
      <c r="AS4" s="81"/>
      <c r="AT4" s="80" t="str">
        <f>IF(SUM(AO3:AS3)&lt;&gt;SUM(GroceryList274[TOTAL]),"Out of Balance","")</f>
        <v/>
      </c>
      <c r="AU4" s="80"/>
      <c r="AY4" s="81"/>
      <c r="AZ4" s="98"/>
      <c r="BA4" s="81" t="s">
        <v>80</v>
      </c>
      <c r="BB4" s="81"/>
      <c r="BC4" s="81"/>
      <c r="BD4" s="81"/>
      <c r="BE4" s="81"/>
      <c r="BF4" s="80" t="str">
        <f>IF(SUM(BA3:BE3)&lt;&gt;SUM(GroceryList2745[TOTAL]),"Out of Balance","")</f>
        <v/>
      </c>
      <c r="BG4" s="80"/>
      <c r="BJ4" s="81"/>
      <c r="BK4" s="98"/>
      <c r="BL4" s="81" t="s">
        <v>80</v>
      </c>
      <c r="BM4" s="81"/>
      <c r="BN4" s="81"/>
      <c r="BO4" s="81"/>
      <c r="BP4" s="81"/>
      <c r="BQ4" s="80" t="str">
        <f>IF(SUM(BL3:BP3)&lt;&gt;SUM(GroceryList27456[TOTAL]),"Out of Balance","")</f>
        <v/>
      </c>
      <c r="BR4" s="80"/>
      <c r="BS4" s="80"/>
      <c r="BV4" s="81"/>
      <c r="BW4" s="98"/>
      <c r="BX4" s="81" t="s">
        <v>80</v>
      </c>
      <c r="BY4" s="81"/>
      <c r="BZ4" s="81"/>
      <c r="CA4" s="81"/>
      <c r="CB4" s="81"/>
      <c r="CC4" s="80" t="str">
        <f>IF(SUM(BX3:CB3)&lt;&gt;SUM(GroceryList2745614[TOTAL]),"Out of Balance","")</f>
        <v/>
      </c>
      <c r="CD4" s="80"/>
      <c r="CE4" s="80"/>
      <c r="CH4" s="81"/>
      <c r="CI4" s="98"/>
      <c r="CJ4" s="81" t="s">
        <v>80</v>
      </c>
      <c r="CK4" s="81"/>
      <c r="CL4" s="81"/>
      <c r="CM4" s="81"/>
      <c r="CN4" s="81"/>
      <c r="CO4" s="80" t="str">
        <f>IF(SUM(CJ3:CN3)&lt;&gt;SUM(GroceryList27456148[TOTAL]),"Out of Balance","")</f>
        <v/>
      </c>
      <c r="CP4" s="80"/>
      <c r="CQ4" s="80"/>
      <c r="CT4" s="81"/>
      <c r="CU4" s="98"/>
      <c r="CV4" s="81" t="s">
        <v>80</v>
      </c>
      <c r="CW4" s="81"/>
      <c r="CX4" s="81"/>
      <c r="CY4" s="81"/>
      <c r="CZ4" s="81"/>
      <c r="DA4" s="80" t="str">
        <f>IF(SUM(CV3:CZ3)&lt;&gt;SUM(GroceryList2745614810[TOTAL]),"Out of Balance","")</f>
        <v>Out of Balance</v>
      </c>
      <c r="DB4" s="80"/>
      <c r="DC4" s="80"/>
      <c r="DF4" s="81"/>
      <c r="DG4" s="98"/>
      <c r="DH4" s="81" t="s">
        <v>80</v>
      </c>
      <c r="DI4" s="81"/>
      <c r="DJ4" s="81"/>
      <c r="DK4" s="81"/>
      <c r="DL4" s="81"/>
      <c r="DM4" s="80" t="str">
        <f>IF(SUM(DH3:DL3)&lt;&gt;SUM(GroceryList27456148109[TOTAL]),"Out of Balance","")</f>
        <v/>
      </c>
      <c r="DN4" s="80"/>
      <c r="DO4" s="80"/>
      <c r="DR4" s="81"/>
      <c r="DS4" s="98"/>
      <c r="DT4" s="81" t="s">
        <v>80</v>
      </c>
      <c r="DU4" s="81"/>
      <c r="DV4" s="81"/>
      <c r="DW4" s="81"/>
      <c r="DX4" s="81"/>
      <c r="DY4" s="80" t="str">
        <f>IF(SUM(DT3:DX3)&lt;&gt;SUM(GroceryList2745614810911[TOTAL]),"Out of Balance","")</f>
        <v/>
      </c>
      <c r="DZ4" s="80"/>
      <c r="EA4" s="80"/>
      <c r="ED4" s="81"/>
      <c r="EE4" s="98"/>
      <c r="EF4" s="81" t="s">
        <v>80</v>
      </c>
      <c r="EG4" s="81"/>
      <c r="EH4" s="81"/>
      <c r="EI4" s="81"/>
      <c r="EJ4" s="81"/>
      <c r="EK4" s="80" t="str">
        <f>IF(SUM(EF3:EJ3)&lt;&gt;SUM(GroceryList274561481091112[TOTAL]),"Out of Balance","")</f>
        <v/>
      </c>
      <c r="EL4" s="80"/>
      <c r="EM4" s="80"/>
      <c r="EP4" s="81"/>
      <c r="EQ4" s="98"/>
      <c r="ER4" s="81" t="s">
        <v>80</v>
      </c>
      <c r="ES4" s="81"/>
      <c r="ET4" s="81"/>
      <c r="EU4" s="81"/>
      <c r="EV4" s="81"/>
      <c r="EW4" s="80" t="str">
        <f>IF(SUM(ER3:EV3)&lt;&gt;SUM(GroceryList27456148109111213[TOTAL]),"Out of Balance","")</f>
        <v/>
      </c>
      <c r="EX4" s="80"/>
      <c r="EY4" s="80"/>
      <c r="FB4" s="81"/>
      <c r="FC4" s="98"/>
      <c r="FD4" s="81" t="s">
        <v>80</v>
      </c>
      <c r="FE4" s="81"/>
      <c r="FF4" s="81"/>
      <c r="FG4" s="81"/>
      <c r="FH4" s="81"/>
      <c r="FI4" s="80" t="str">
        <f>IF(SUM(FD3:FH3)&lt;&gt;SUM(GroceryList2745614810911121315[TOTAL]),"Out of Balance","")</f>
        <v>Out of Balance</v>
      </c>
      <c r="FJ4" s="80"/>
      <c r="FK4" s="80"/>
      <c r="FN4" s="81"/>
      <c r="FO4" s="98"/>
      <c r="FP4" s="81" t="s">
        <v>80</v>
      </c>
      <c r="FQ4" s="81"/>
      <c r="FR4" s="81"/>
      <c r="FS4" s="81"/>
      <c r="FT4" s="81"/>
      <c r="FU4" s="80" t="str">
        <f>IF(SUM(FP3:FT3)&lt;&gt;SUM(GroceryList274561481091112131516[TOTAL]),"Out of Balance","")</f>
        <v/>
      </c>
      <c r="FV4" s="80"/>
      <c r="FW4" s="80"/>
      <c r="FZ4" s="81"/>
      <c r="GA4" s="98"/>
      <c r="GB4" s="81" t="s">
        <v>80</v>
      </c>
      <c r="GC4" s="81"/>
      <c r="GD4" s="81"/>
      <c r="GE4" s="81"/>
      <c r="GF4" s="81"/>
      <c r="GG4" s="80" t="str">
        <f>IF(SUM(GB3:GF3)&lt;&gt;SUM(GroceryList274561481091112131517[TOTAL]),"Out of Balance","")</f>
        <v/>
      </c>
      <c r="GH4" s="80"/>
      <c r="GI4" s="80"/>
      <c r="GL4" s="81"/>
      <c r="GM4" s="98"/>
      <c r="GN4" s="81" t="s">
        <v>80</v>
      </c>
      <c r="GO4" s="81"/>
      <c r="GP4" s="81"/>
      <c r="GQ4" s="81"/>
      <c r="GR4" s="81"/>
      <c r="GS4" s="80" t="str">
        <f>IF(SUM(GN3:GR3)&lt;&gt;SUM(GroceryList27456148109111213151718[TOTAL]),"Out of Balance","")</f>
        <v/>
      </c>
      <c r="GT4" s="80"/>
      <c r="GU4" s="80"/>
    </row>
    <row r="5" spans="2:203" ht="30" customHeight="1" x14ac:dyDescent="0.2">
      <c r="B5" s="82" t="s">
        <v>81</v>
      </c>
      <c r="C5" s="82" t="s">
        <v>82</v>
      </c>
      <c r="D5" s="82" t="s">
        <v>83</v>
      </c>
      <c r="E5" s="82" t="s">
        <v>84</v>
      </c>
      <c r="F5" s="82" t="s">
        <v>85</v>
      </c>
      <c r="G5" s="82" t="s">
        <v>86</v>
      </c>
      <c r="H5" s="82" t="s">
        <v>87</v>
      </c>
      <c r="I5" s="97" t="s">
        <v>0</v>
      </c>
      <c r="J5" s="82" t="s">
        <v>88</v>
      </c>
      <c r="M5" s="82" t="s">
        <v>81</v>
      </c>
      <c r="N5" s="82" t="s">
        <v>82</v>
      </c>
      <c r="O5" s="82" t="s">
        <v>83</v>
      </c>
      <c r="P5" s="82" t="s">
        <v>84</v>
      </c>
      <c r="Q5" s="82" t="s">
        <v>85</v>
      </c>
      <c r="R5" s="82" t="s">
        <v>86</v>
      </c>
      <c r="S5" s="82" t="s">
        <v>87</v>
      </c>
      <c r="T5" s="97" t="s">
        <v>0</v>
      </c>
      <c r="U5" s="82" t="s">
        <v>88</v>
      </c>
      <c r="Y5" s="82" t="s">
        <v>81</v>
      </c>
      <c r="Z5" s="82" t="s">
        <v>82</v>
      </c>
      <c r="AA5" s="82" t="s">
        <v>83</v>
      </c>
      <c r="AB5" s="82" t="s">
        <v>84</v>
      </c>
      <c r="AC5" s="82" t="s">
        <v>85</v>
      </c>
      <c r="AD5" s="82" t="s">
        <v>86</v>
      </c>
      <c r="AE5" s="82" t="s">
        <v>87</v>
      </c>
      <c r="AF5" s="97" t="s">
        <v>0</v>
      </c>
      <c r="AG5" s="82" t="s">
        <v>88</v>
      </c>
      <c r="AM5" s="82" t="s">
        <v>81</v>
      </c>
      <c r="AN5" s="82" t="s">
        <v>82</v>
      </c>
      <c r="AO5" s="82" t="s">
        <v>83</v>
      </c>
      <c r="AP5" s="82" t="s">
        <v>84</v>
      </c>
      <c r="AQ5" s="82" t="s">
        <v>85</v>
      </c>
      <c r="AR5" s="82" t="s">
        <v>86</v>
      </c>
      <c r="AS5" s="82" t="s">
        <v>87</v>
      </c>
      <c r="AT5" s="97" t="s">
        <v>0</v>
      </c>
      <c r="AU5" s="82" t="s">
        <v>88</v>
      </c>
      <c r="AY5" s="82" t="s">
        <v>81</v>
      </c>
      <c r="AZ5" s="82" t="s">
        <v>82</v>
      </c>
      <c r="BA5" s="82" t="s">
        <v>83</v>
      </c>
      <c r="BB5" s="82" t="s">
        <v>84</v>
      </c>
      <c r="BC5" s="82" t="s">
        <v>85</v>
      </c>
      <c r="BD5" s="82" t="s">
        <v>86</v>
      </c>
      <c r="BE5" s="82" t="s">
        <v>87</v>
      </c>
      <c r="BF5" s="97" t="s">
        <v>0</v>
      </c>
      <c r="BG5" s="82" t="s">
        <v>88</v>
      </c>
      <c r="BJ5" s="82" t="s">
        <v>81</v>
      </c>
      <c r="BK5" s="82" t="s">
        <v>82</v>
      </c>
      <c r="BL5" s="82" t="s">
        <v>83</v>
      </c>
      <c r="BM5" s="82" t="s">
        <v>84</v>
      </c>
      <c r="BN5" s="82" t="s">
        <v>85</v>
      </c>
      <c r="BO5" s="82" t="s">
        <v>86</v>
      </c>
      <c r="BP5" s="82" t="s">
        <v>87</v>
      </c>
      <c r="BQ5" s="97" t="s">
        <v>0</v>
      </c>
      <c r="BR5" s="82" t="s">
        <v>168</v>
      </c>
      <c r="BS5" s="82" t="s">
        <v>167</v>
      </c>
      <c r="BV5" s="82" t="s">
        <v>81</v>
      </c>
      <c r="BW5" s="82" t="s">
        <v>82</v>
      </c>
      <c r="BX5" s="82" t="s">
        <v>83</v>
      </c>
      <c r="BY5" s="82" t="s">
        <v>84</v>
      </c>
      <c r="BZ5" s="82" t="s">
        <v>85</v>
      </c>
      <c r="CA5" s="82" t="s">
        <v>86</v>
      </c>
      <c r="CB5" s="82" t="s">
        <v>87</v>
      </c>
      <c r="CC5" s="97" t="s">
        <v>0</v>
      </c>
      <c r="CD5" s="82" t="s">
        <v>168</v>
      </c>
      <c r="CE5" s="82" t="s">
        <v>167</v>
      </c>
      <c r="CH5" s="82" t="s">
        <v>81</v>
      </c>
      <c r="CI5" s="82" t="s">
        <v>82</v>
      </c>
      <c r="CJ5" s="82" t="s">
        <v>83</v>
      </c>
      <c r="CK5" s="82" t="s">
        <v>84</v>
      </c>
      <c r="CL5" s="82" t="s">
        <v>85</v>
      </c>
      <c r="CM5" s="82" t="s">
        <v>86</v>
      </c>
      <c r="CN5" s="82" t="s">
        <v>87</v>
      </c>
      <c r="CO5" s="97" t="s">
        <v>0</v>
      </c>
      <c r="CP5" s="82" t="s">
        <v>168</v>
      </c>
      <c r="CQ5" s="82" t="s">
        <v>167</v>
      </c>
      <c r="CT5" s="82" t="s">
        <v>81</v>
      </c>
      <c r="CU5" s="82" t="s">
        <v>82</v>
      </c>
      <c r="CV5" s="82" t="s">
        <v>83</v>
      </c>
      <c r="CW5" s="82" t="s">
        <v>84</v>
      </c>
      <c r="CX5" s="82" t="s">
        <v>85</v>
      </c>
      <c r="CY5" s="82" t="s">
        <v>86</v>
      </c>
      <c r="CZ5" s="82" t="s">
        <v>87</v>
      </c>
      <c r="DA5" s="97" t="s">
        <v>0</v>
      </c>
      <c r="DB5" s="82" t="s">
        <v>168</v>
      </c>
      <c r="DC5" s="82" t="s">
        <v>167</v>
      </c>
      <c r="DF5" s="82" t="s">
        <v>81</v>
      </c>
      <c r="DG5" s="82" t="s">
        <v>82</v>
      </c>
      <c r="DH5" s="82" t="s">
        <v>83</v>
      </c>
      <c r="DI5" s="82" t="s">
        <v>84</v>
      </c>
      <c r="DJ5" s="82" t="s">
        <v>85</v>
      </c>
      <c r="DK5" s="82" t="s">
        <v>86</v>
      </c>
      <c r="DL5" s="82" t="s">
        <v>87</v>
      </c>
      <c r="DM5" s="97" t="s">
        <v>0</v>
      </c>
      <c r="DN5" s="82" t="s">
        <v>168</v>
      </c>
      <c r="DO5" s="82" t="s">
        <v>167</v>
      </c>
      <c r="DR5" s="82" t="s">
        <v>81</v>
      </c>
      <c r="DS5" s="82" t="s">
        <v>82</v>
      </c>
      <c r="DT5" s="82" t="s">
        <v>83</v>
      </c>
      <c r="DU5" s="82" t="s">
        <v>84</v>
      </c>
      <c r="DV5" s="82" t="s">
        <v>85</v>
      </c>
      <c r="DW5" s="82" t="s">
        <v>86</v>
      </c>
      <c r="DX5" s="82" t="s">
        <v>87</v>
      </c>
      <c r="DY5" s="97" t="s">
        <v>0</v>
      </c>
      <c r="DZ5" s="82" t="s">
        <v>168</v>
      </c>
      <c r="EA5" s="82" t="s">
        <v>167</v>
      </c>
      <c r="ED5" s="82" t="s">
        <v>81</v>
      </c>
      <c r="EE5" s="82" t="s">
        <v>82</v>
      </c>
      <c r="EF5" s="82" t="s">
        <v>83</v>
      </c>
      <c r="EG5" s="82" t="s">
        <v>84</v>
      </c>
      <c r="EH5" s="82" t="s">
        <v>85</v>
      </c>
      <c r="EI5" s="82" t="s">
        <v>86</v>
      </c>
      <c r="EJ5" s="82" t="s">
        <v>87</v>
      </c>
      <c r="EK5" s="97" t="s">
        <v>0</v>
      </c>
      <c r="EL5" s="82" t="s">
        <v>168</v>
      </c>
      <c r="EM5" s="82" t="s">
        <v>167</v>
      </c>
      <c r="EP5" s="82" t="s">
        <v>81</v>
      </c>
      <c r="EQ5" s="82" t="s">
        <v>82</v>
      </c>
      <c r="ER5" s="82" t="s">
        <v>83</v>
      </c>
      <c r="ES5" s="82" t="s">
        <v>84</v>
      </c>
      <c r="ET5" s="82" t="s">
        <v>85</v>
      </c>
      <c r="EU5" s="82" t="s">
        <v>86</v>
      </c>
      <c r="EV5" s="82" t="s">
        <v>87</v>
      </c>
      <c r="EW5" s="97" t="s">
        <v>0</v>
      </c>
      <c r="EX5" s="82" t="s">
        <v>168</v>
      </c>
      <c r="EY5" s="82" t="s">
        <v>167</v>
      </c>
      <c r="FB5" s="82" t="s">
        <v>81</v>
      </c>
      <c r="FC5" s="82" t="s">
        <v>82</v>
      </c>
      <c r="FD5" s="82" t="s">
        <v>83</v>
      </c>
      <c r="FE5" s="82" t="s">
        <v>84</v>
      </c>
      <c r="FF5" s="82" t="s">
        <v>85</v>
      </c>
      <c r="FG5" s="82" t="s">
        <v>86</v>
      </c>
      <c r="FH5" s="82" t="s">
        <v>87</v>
      </c>
      <c r="FI5" s="97" t="s">
        <v>0</v>
      </c>
      <c r="FJ5" s="82" t="s">
        <v>168</v>
      </c>
      <c r="FK5" s="82" t="s">
        <v>167</v>
      </c>
      <c r="FN5" s="82" t="s">
        <v>81</v>
      </c>
      <c r="FO5" s="82" t="s">
        <v>82</v>
      </c>
      <c r="FP5" s="82" t="s">
        <v>83</v>
      </c>
      <c r="FQ5" s="82" t="s">
        <v>84</v>
      </c>
      <c r="FR5" s="82" t="s">
        <v>85</v>
      </c>
      <c r="FS5" s="82" t="s">
        <v>86</v>
      </c>
      <c r="FT5" s="82" t="s">
        <v>87</v>
      </c>
      <c r="FU5" s="97" t="s">
        <v>0</v>
      </c>
      <c r="FV5" s="82" t="s">
        <v>168</v>
      </c>
      <c r="FW5" s="82" t="s">
        <v>167</v>
      </c>
      <c r="FZ5" s="82" t="s">
        <v>81</v>
      </c>
      <c r="GA5" s="82" t="s">
        <v>82</v>
      </c>
      <c r="GB5" s="82" t="s">
        <v>83</v>
      </c>
      <c r="GC5" s="82" t="s">
        <v>84</v>
      </c>
      <c r="GD5" s="82" t="s">
        <v>85</v>
      </c>
      <c r="GE5" s="82" t="s">
        <v>86</v>
      </c>
      <c r="GF5" s="82" t="s">
        <v>87</v>
      </c>
      <c r="GG5" s="97" t="s">
        <v>0</v>
      </c>
      <c r="GH5" s="82" t="s">
        <v>168</v>
      </c>
      <c r="GI5" s="82" t="s">
        <v>167</v>
      </c>
      <c r="GL5" s="82" t="s">
        <v>81</v>
      </c>
      <c r="GM5" s="82" t="s">
        <v>82</v>
      </c>
      <c r="GN5" s="82" t="s">
        <v>83</v>
      </c>
      <c r="GO5" s="82" t="s">
        <v>84</v>
      </c>
      <c r="GP5" s="82" t="s">
        <v>85</v>
      </c>
      <c r="GQ5" s="82" t="s">
        <v>86</v>
      </c>
      <c r="GR5" s="82" t="s">
        <v>87</v>
      </c>
      <c r="GS5" s="97" t="s">
        <v>0</v>
      </c>
      <c r="GT5" s="82" t="s">
        <v>168</v>
      </c>
      <c r="GU5" s="82" t="s">
        <v>167</v>
      </c>
    </row>
    <row r="6" spans="2:203" ht="30" customHeight="1" x14ac:dyDescent="0.2">
      <c r="B6" s="84" t="s">
        <v>130</v>
      </c>
      <c r="C6" s="99" t="s">
        <v>93</v>
      </c>
      <c r="D6" s="85" t="s">
        <v>134</v>
      </c>
      <c r="E6" s="85" t="s">
        <v>91</v>
      </c>
      <c r="F6" s="84">
        <v>1</v>
      </c>
      <c r="G6" s="83"/>
      <c r="H6" s="90">
        <v>13.29</v>
      </c>
      <c r="I6" s="90">
        <f>IFERROR(GroceryList[[#This Row],[QTY]]*GroceryList[[#This Row],[UNIT PRICE]],"")</f>
        <v>13.29</v>
      </c>
      <c r="J6" s="85"/>
      <c r="M6" s="84" t="s">
        <v>130</v>
      </c>
      <c r="N6" s="105" t="s">
        <v>93</v>
      </c>
      <c r="O6" s="85" t="s">
        <v>134</v>
      </c>
      <c r="P6" s="85" t="s">
        <v>91</v>
      </c>
      <c r="Q6" s="84">
        <v>1</v>
      </c>
      <c r="R6" s="83"/>
      <c r="S6" s="90">
        <v>13.99</v>
      </c>
      <c r="T6" s="90">
        <f>IFERROR(GroceryList2[[#This Row],[QTY]]*GroceryList2[[#This Row],[UNIT PRICE]],"")</f>
        <v>13.99</v>
      </c>
      <c r="U6" s="85"/>
      <c r="Y6" s="84" t="s">
        <v>130</v>
      </c>
      <c r="Z6" s="105" t="s">
        <v>93</v>
      </c>
      <c r="AA6" s="85" t="s">
        <v>134</v>
      </c>
      <c r="AB6" s="85" t="s">
        <v>91</v>
      </c>
      <c r="AC6" s="84">
        <v>0</v>
      </c>
      <c r="AD6" s="83"/>
      <c r="AE6" s="90">
        <v>13.99</v>
      </c>
      <c r="AF6" s="90">
        <f>IFERROR(GroceryList27[[#This Row],[QTY]]*GroceryList27[[#This Row],[UNIT PRICE]],"")</f>
        <v>0</v>
      </c>
      <c r="AG6" s="85"/>
      <c r="AM6" s="84" t="s">
        <v>130</v>
      </c>
      <c r="AN6" s="105" t="s">
        <v>93</v>
      </c>
      <c r="AO6" s="85" t="s">
        <v>134</v>
      </c>
      <c r="AP6" s="85" t="s">
        <v>91</v>
      </c>
      <c r="AQ6" s="84">
        <v>0</v>
      </c>
      <c r="AR6" s="83"/>
      <c r="AS6" s="90">
        <v>13.99</v>
      </c>
      <c r="AT6" s="90">
        <f>IFERROR(GroceryList274[[#This Row],[QTY]]*GroceryList274[[#This Row],[UNIT PRICE]],"")</f>
        <v>0</v>
      </c>
      <c r="AU6" s="85"/>
      <c r="AY6" s="84" t="s">
        <v>130</v>
      </c>
      <c r="AZ6" s="105" t="s">
        <v>93</v>
      </c>
      <c r="BA6" s="85" t="s">
        <v>134</v>
      </c>
      <c r="BB6" s="85" t="s">
        <v>91</v>
      </c>
      <c r="BC6" s="84">
        <v>1</v>
      </c>
      <c r="BD6" s="83"/>
      <c r="BE6" s="90">
        <v>20</v>
      </c>
      <c r="BF6" s="90">
        <f>IFERROR(GroceryList2745[[#This Row],[QTY]]*GroceryList2745[[#This Row],[UNIT PRICE]],"")</f>
        <v>20</v>
      </c>
      <c r="BG6" s="85"/>
      <c r="BJ6" s="84" t="s">
        <v>130</v>
      </c>
      <c r="BK6" s="105" t="s">
        <v>93</v>
      </c>
      <c r="BL6" s="85" t="s">
        <v>134</v>
      </c>
      <c r="BM6" s="85" t="s">
        <v>91</v>
      </c>
      <c r="BN6" s="84">
        <v>0</v>
      </c>
      <c r="BO6" s="83"/>
      <c r="BP6" s="90">
        <v>20</v>
      </c>
      <c r="BQ6" s="90">
        <f>IFERROR(GroceryList27456[[#This Row],[QTY]]*GroceryList27456[[#This Row],[UNIT PRICE]],"")</f>
        <v>0</v>
      </c>
      <c r="BR6" s="111" t="s">
        <v>130</v>
      </c>
      <c r="BS6" s="85"/>
      <c r="BV6" s="84" t="s">
        <v>130</v>
      </c>
      <c r="BW6" s="105" t="s">
        <v>93</v>
      </c>
      <c r="BX6" s="85" t="s">
        <v>134</v>
      </c>
      <c r="BY6" s="85" t="s">
        <v>91</v>
      </c>
      <c r="BZ6" s="84">
        <v>1</v>
      </c>
      <c r="CA6" s="83"/>
      <c r="CB6" s="90">
        <v>15.19</v>
      </c>
      <c r="CC6" s="90">
        <f>IFERROR(GroceryList2745614[[#This Row],[QTY]]*GroceryList2745614[[#This Row],[UNIT PRICE]],"")</f>
        <v>15.19</v>
      </c>
      <c r="CD6" s="111" t="s">
        <v>130</v>
      </c>
      <c r="CE6" s="85">
        <v>15.99</v>
      </c>
      <c r="CH6" s="84" t="s">
        <v>130</v>
      </c>
      <c r="CI6" s="105" t="s">
        <v>93</v>
      </c>
      <c r="CJ6" s="85" t="s">
        <v>134</v>
      </c>
      <c r="CK6" s="85" t="s">
        <v>91</v>
      </c>
      <c r="CL6" s="84">
        <v>2</v>
      </c>
      <c r="CM6" s="83"/>
      <c r="CN6" s="90">
        <v>12.79</v>
      </c>
      <c r="CO6" s="90">
        <f>IFERROR(GroceryList27456148[[#This Row],[QTY]]*GroceryList27456148[[#This Row],[UNIT PRICE]],"")</f>
        <v>25.58</v>
      </c>
      <c r="CP6" s="111" t="s">
        <v>130</v>
      </c>
      <c r="CQ6" s="85">
        <v>15.99</v>
      </c>
      <c r="CT6" s="84" t="s">
        <v>130</v>
      </c>
      <c r="CU6" s="105" t="s">
        <v>93</v>
      </c>
      <c r="CV6" s="85" t="s">
        <v>134</v>
      </c>
      <c r="CW6" s="85" t="s">
        <v>91</v>
      </c>
      <c r="CX6" s="84">
        <v>2</v>
      </c>
      <c r="CY6" s="83"/>
      <c r="CZ6" s="90">
        <v>12.79</v>
      </c>
      <c r="DA6" s="90">
        <f>IFERROR(GroceryList2745614810[[#This Row],[QTY]]*GroceryList2745614810[[#This Row],[UNIT PRICE]],"")</f>
        <v>25.58</v>
      </c>
      <c r="DB6" s="111" t="s">
        <v>130</v>
      </c>
      <c r="DC6" s="85">
        <v>15.99</v>
      </c>
      <c r="DF6" s="84" t="s">
        <v>130</v>
      </c>
      <c r="DG6" s="105" t="s">
        <v>93</v>
      </c>
      <c r="DH6" s="85" t="s">
        <v>134</v>
      </c>
      <c r="DI6" s="85" t="s">
        <v>91</v>
      </c>
      <c r="DJ6" s="84">
        <v>0</v>
      </c>
      <c r="DK6" s="83"/>
      <c r="DL6" s="90">
        <v>12.79</v>
      </c>
      <c r="DM6" s="90">
        <f>IFERROR(GroceryList27456148109[[#This Row],[QTY]]*GroceryList27456148109[[#This Row],[UNIT PRICE]],"")</f>
        <v>0</v>
      </c>
      <c r="DN6" s="111" t="s">
        <v>130</v>
      </c>
      <c r="DO6" s="85">
        <v>15.99</v>
      </c>
      <c r="DR6" s="84" t="s">
        <v>130</v>
      </c>
      <c r="DS6" s="105" t="s">
        <v>93</v>
      </c>
      <c r="DT6" s="85" t="s">
        <v>134</v>
      </c>
      <c r="DU6" s="85" t="s">
        <v>91</v>
      </c>
      <c r="DV6" s="84">
        <v>1</v>
      </c>
      <c r="DW6" s="83"/>
      <c r="DX6" s="90">
        <v>12.79</v>
      </c>
      <c r="DY6" s="90">
        <f>IFERROR(GroceryList2745614810911[[#This Row],[QTY]]*GroceryList2745614810911[[#This Row],[UNIT PRICE]],"")</f>
        <v>12.79</v>
      </c>
      <c r="DZ6" s="111" t="s">
        <v>130</v>
      </c>
      <c r="EA6" s="85">
        <v>15.99</v>
      </c>
      <c r="ED6" s="84" t="s">
        <v>130</v>
      </c>
      <c r="EE6" s="105" t="s">
        <v>93</v>
      </c>
      <c r="EF6" s="85" t="s">
        <v>134</v>
      </c>
      <c r="EG6" s="85" t="s">
        <v>91</v>
      </c>
      <c r="EH6" s="84">
        <v>1</v>
      </c>
      <c r="EI6" s="83"/>
      <c r="EJ6" s="90">
        <v>15.99</v>
      </c>
      <c r="EK6" s="90">
        <f>IFERROR(GroceryList274561481091112[[#This Row],[QTY]]*GroceryList274561481091112[[#This Row],[UNIT PRICE]],"")</f>
        <v>15.99</v>
      </c>
      <c r="EL6" s="111" t="s">
        <v>130</v>
      </c>
      <c r="EM6" s="85">
        <v>15.99</v>
      </c>
      <c r="EP6" s="84" t="s">
        <v>130</v>
      </c>
      <c r="EQ6" s="105" t="s">
        <v>93</v>
      </c>
      <c r="ER6" s="85" t="s">
        <v>134</v>
      </c>
      <c r="ES6" s="85" t="s">
        <v>91</v>
      </c>
      <c r="ET6" s="84">
        <v>0</v>
      </c>
      <c r="EU6" s="83"/>
      <c r="EV6" s="90">
        <v>15.99</v>
      </c>
      <c r="EW6" s="90">
        <f>IFERROR(GroceryList27456148109111213[[#This Row],[QTY]]*GroceryList27456148109111213[[#This Row],[UNIT PRICE]],"")</f>
        <v>0</v>
      </c>
      <c r="EX6" s="111" t="s">
        <v>130</v>
      </c>
      <c r="EY6" s="85">
        <v>15.99</v>
      </c>
      <c r="FB6" s="84" t="s">
        <v>130</v>
      </c>
      <c r="FC6" s="105" t="s">
        <v>93</v>
      </c>
      <c r="FD6" s="85" t="s">
        <v>134</v>
      </c>
      <c r="FE6" s="85" t="s">
        <v>91</v>
      </c>
      <c r="FF6" s="84">
        <v>2</v>
      </c>
      <c r="FG6" s="83"/>
      <c r="FH6" s="90">
        <v>13.59</v>
      </c>
      <c r="FI6" s="90">
        <f>IFERROR(GroceryList2745614810911121315[[#This Row],[QTY]]*GroceryList2745614810911121315[[#This Row],[UNIT PRICE]],"")</f>
        <v>27.18</v>
      </c>
      <c r="FJ6" s="111" t="s">
        <v>130</v>
      </c>
      <c r="FK6" s="85">
        <v>15.99</v>
      </c>
      <c r="FN6" s="84" t="s">
        <v>130</v>
      </c>
      <c r="FO6" s="105" t="s">
        <v>93</v>
      </c>
      <c r="FP6" s="85" t="s">
        <v>134</v>
      </c>
      <c r="FQ6" s="85" t="s">
        <v>91</v>
      </c>
      <c r="FR6" s="84">
        <v>0</v>
      </c>
      <c r="FS6" s="83"/>
      <c r="FT6" s="90">
        <v>15.99</v>
      </c>
      <c r="FU6" s="90">
        <f>IFERROR(GroceryList274561481091112131516[[#This Row],[QTY]]*GroceryList274561481091112131516[[#This Row],[UNIT PRICE]],"")</f>
        <v>0</v>
      </c>
      <c r="FV6" s="111" t="s">
        <v>130</v>
      </c>
      <c r="FW6" s="85">
        <v>15.99</v>
      </c>
      <c r="FZ6" s="84" t="s">
        <v>130</v>
      </c>
      <c r="GA6" s="105" t="s">
        <v>93</v>
      </c>
      <c r="GB6" s="85" t="s">
        <v>134</v>
      </c>
      <c r="GC6" s="85" t="s">
        <v>91</v>
      </c>
      <c r="GD6" s="84">
        <v>1</v>
      </c>
      <c r="GE6" s="83"/>
      <c r="GF6" s="90">
        <v>13.99</v>
      </c>
      <c r="GG6" s="90">
        <f>IFERROR(GroceryList274561481091112131517[[#This Row],[QTY]]*GroceryList274561481091112131517[[#This Row],[UNIT PRICE]],"")</f>
        <v>13.99</v>
      </c>
      <c r="GH6" s="111" t="s">
        <v>130</v>
      </c>
      <c r="GI6" s="85">
        <v>15.99</v>
      </c>
      <c r="GL6" s="84" t="s">
        <v>130</v>
      </c>
      <c r="GM6" s="105" t="s">
        <v>93</v>
      </c>
      <c r="GN6" s="85" t="s">
        <v>134</v>
      </c>
      <c r="GO6" s="85" t="s">
        <v>91</v>
      </c>
      <c r="GP6" s="84">
        <v>1</v>
      </c>
      <c r="GQ6" s="83"/>
      <c r="GR6" s="90">
        <v>13.99</v>
      </c>
      <c r="GS6" s="90">
        <f>IFERROR(GroceryList27456148109111213151718[[#This Row],[QTY]]*GroceryList27456148109111213151718[[#This Row],[UNIT PRICE]],"")</f>
        <v>13.99</v>
      </c>
      <c r="GT6" s="111" t="s">
        <v>130</v>
      </c>
      <c r="GU6" s="85">
        <v>15.99</v>
      </c>
    </row>
    <row r="7" spans="2:203" ht="30" customHeight="1" x14ac:dyDescent="0.2">
      <c r="B7" s="84"/>
      <c r="C7" s="102" t="s">
        <v>133</v>
      </c>
      <c r="D7" t="s">
        <v>134</v>
      </c>
      <c r="E7" t="s">
        <v>90</v>
      </c>
      <c r="F7" s="84">
        <v>0.5</v>
      </c>
      <c r="G7" s="83"/>
      <c r="H7" s="90">
        <v>108.29</v>
      </c>
      <c r="I7" s="90">
        <f>IFERROR(GroceryList[[#This Row],[QTY]]*GroceryList[[#This Row],[UNIT PRICE]],"")</f>
        <v>54.145000000000003</v>
      </c>
      <c r="J7"/>
      <c r="M7" s="84"/>
      <c r="N7" s="102" t="s">
        <v>133</v>
      </c>
      <c r="O7" t="s">
        <v>134</v>
      </c>
      <c r="P7" t="s">
        <v>90</v>
      </c>
      <c r="Q7" s="84"/>
      <c r="R7" s="83"/>
      <c r="S7" s="90">
        <v>108.29</v>
      </c>
      <c r="T7" s="90">
        <f>IFERROR(GroceryList2[[#This Row],[QTY]]*GroceryList2[[#This Row],[UNIT PRICE]],"")</f>
        <v>0</v>
      </c>
      <c r="U7"/>
      <c r="Y7" s="84" t="s">
        <v>130</v>
      </c>
      <c r="Z7" s="102" t="s">
        <v>133</v>
      </c>
      <c r="AA7" t="s">
        <v>134</v>
      </c>
      <c r="AB7" t="s">
        <v>90</v>
      </c>
      <c r="AC7" s="84">
        <v>0</v>
      </c>
      <c r="AD7" s="83"/>
      <c r="AE7" s="90">
        <v>108.29</v>
      </c>
      <c r="AF7" s="90">
        <f>IFERROR(GroceryList27[[#This Row],[QTY]]*GroceryList27[[#This Row],[UNIT PRICE]],"")</f>
        <v>0</v>
      </c>
      <c r="AG7"/>
      <c r="AM7" s="84" t="s">
        <v>130</v>
      </c>
      <c r="AN7" s="107" t="s">
        <v>133</v>
      </c>
      <c r="AO7" s="108" t="s">
        <v>134</v>
      </c>
      <c r="AP7" s="108" t="s">
        <v>90</v>
      </c>
      <c r="AQ7" s="84">
        <v>0</v>
      </c>
      <c r="AR7" s="83"/>
      <c r="AS7" s="109">
        <v>108.29</v>
      </c>
      <c r="AT7" s="109">
        <f>IFERROR(GroceryList274[[#This Row],[QTY]]*GroceryList274[[#This Row],[UNIT PRICE]],"")</f>
        <v>0</v>
      </c>
      <c r="AU7"/>
      <c r="AY7" s="84" t="s">
        <v>130</v>
      </c>
      <c r="AZ7" s="107" t="s">
        <v>133</v>
      </c>
      <c r="BA7" s="108" t="s">
        <v>134</v>
      </c>
      <c r="BB7" s="108" t="s">
        <v>90</v>
      </c>
      <c r="BC7" s="84">
        <v>0</v>
      </c>
      <c r="BD7" s="83"/>
      <c r="BE7" s="109">
        <v>108.29</v>
      </c>
      <c r="BF7" s="109">
        <f>IFERROR(GroceryList2745[[#This Row],[QTY]]*GroceryList2745[[#This Row],[UNIT PRICE]],"")</f>
        <v>0</v>
      </c>
      <c r="BG7"/>
      <c r="BJ7" s="84" t="s">
        <v>130</v>
      </c>
      <c r="BK7" s="107" t="s">
        <v>133</v>
      </c>
      <c r="BL7" s="108" t="s">
        <v>134</v>
      </c>
      <c r="BM7" s="108" t="s">
        <v>90</v>
      </c>
      <c r="BN7" s="84">
        <v>0</v>
      </c>
      <c r="BO7" s="83"/>
      <c r="BP7" s="109">
        <v>108.29</v>
      </c>
      <c r="BQ7" s="109">
        <f>IFERROR(GroceryList27456[[#This Row],[QTY]]*GroceryList27456[[#This Row],[UNIT PRICE]],"")</f>
        <v>0</v>
      </c>
      <c r="BR7" s="111" t="s">
        <v>169</v>
      </c>
      <c r="BS7"/>
      <c r="BV7" s="84" t="s">
        <v>130</v>
      </c>
      <c r="BW7" s="107" t="s">
        <v>133</v>
      </c>
      <c r="BX7" s="108" t="s">
        <v>134</v>
      </c>
      <c r="BY7" s="108" t="s">
        <v>90</v>
      </c>
      <c r="BZ7" s="84">
        <v>0</v>
      </c>
      <c r="CA7" s="83"/>
      <c r="CB7" s="109">
        <v>108.29</v>
      </c>
      <c r="CC7" s="109">
        <f>IFERROR(GroceryList2745614[[#This Row],[QTY]]*GroceryList2745614[[#This Row],[UNIT PRICE]],"")</f>
        <v>0</v>
      </c>
      <c r="CD7" s="111" t="s">
        <v>169</v>
      </c>
      <c r="CE7"/>
      <c r="CH7" s="84" t="s">
        <v>130</v>
      </c>
      <c r="CI7" s="107" t="s">
        <v>133</v>
      </c>
      <c r="CJ7" s="108" t="s">
        <v>134</v>
      </c>
      <c r="CK7" s="108" t="s">
        <v>90</v>
      </c>
      <c r="CL7" s="84">
        <v>1</v>
      </c>
      <c r="CM7" s="83"/>
      <c r="CN7" s="109">
        <v>110.38</v>
      </c>
      <c r="CO7" s="109">
        <f>IFERROR(GroceryList27456148[[#This Row],[QTY]]*GroceryList27456148[[#This Row],[UNIT PRICE]],"")</f>
        <v>110.38</v>
      </c>
      <c r="CP7" s="111" t="s">
        <v>169</v>
      </c>
      <c r="CQ7"/>
      <c r="CT7" s="84" t="s">
        <v>130</v>
      </c>
      <c r="CU7" s="107" t="s">
        <v>133</v>
      </c>
      <c r="CV7" s="108" t="s">
        <v>134</v>
      </c>
      <c r="CW7" s="108" t="s">
        <v>90</v>
      </c>
      <c r="CX7" s="84">
        <v>1</v>
      </c>
      <c r="CY7" s="83"/>
      <c r="CZ7" s="109">
        <v>42.39</v>
      </c>
      <c r="DA7" s="109">
        <f>IFERROR(GroceryList2745614810[[#This Row],[QTY]]*GroceryList2745614810[[#This Row],[UNIT PRICE]],"")</f>
        <v>42.39</v>
      </c>
      <c r="DB7" s="111" t="s">
        <v>169</v>
      </c>
      <c r="DC7">
        <v>52.99</v>
      </c>
      <c r="DF7" s="84" t="s">
        <v>130</v>
      </c>
      <c r="DG7" s="107" t="s">
        <v>133</v>
      </c>
      <c r="DH7" s="108" t="s">
        <v>134</v>
      </c>
      <c r="DI7" s="108" t="s">
        <v>90</v>
      </c>
      <c r="DJ7" s="84">
        <v>0</v>
      </c>
      <c r="DK7" s="83"/>
      <c r="DL7" s="109">
        <v>110.38</v>
      </c>
      <c r="DM7" s="109">
        <f>IFERROR(GroceryList27456148109[[#This Row],[QTY]]*GroceryList27456148109[[#This Row],[UNIT PRICE]],"")</f>
        <v>0</v>
      </c>
      <c r="DN7" s="111" t="s">
        <v>169</v>
      </c>
      <c r="DO7"/>
      <c r="DR7" s="84" t="s">
        <v>130</v>
      </c>
      <c r="DS7" s="107" t="s">
        <v>133</v>
      </c>
      <c r="DT7" s="108" t="s">
        <v>134</v>
      </c>
      <c r="DU7" s="108" t="s">
        <v>90</v>
      </c>
      <c r="DV7" s="84">
        <v>0</v>
      </c>
      <c r="DW7" s="83"/>
      <c r="DX7" s="109">
        <v>110.38</v>
      </c>
      <c r="DY7" s="109">
        <f>IFERROR(GroceryList2745614810911[[#This Row],[QTY]]*GroceryList2745614810911[[#This Row],[UNIT PRICE]],"")</f>
        <v>0</v>
      </c>
      <c r="DZ7" s="111" t="s">
        <v>169</v>
      </c>
      <c r="EA7"/>
      <c r="ED7" s="84" t="s">
        <v>130</v>
      </c>
      <c r="EE7" s="107" t="s">
        <v>133</v>
      </c>
      <c r="EF7" s="108" t="s">
        <v>134</v>
      </c>
      <c r="EG7" s="108" t="s">
        <v>90</v>
      </c>
      <c r="EH7" s="84">
        <v>1</v>
      </c>
      <c r="EI7" s="83"/>
      <c r="EJ7" s="109">
        <v>50.34</v>
      </c>
      <c r="EK7" s="109">
        <f>IFERROR(GroceryList274561481091112[[#This Row],[QTY]]*GroceryList274561481091112[[#This Row],[UNIT PRICE]],"")</f>
        <v>50.34</v>
      </c>
      <c r="EL7" s="111" t="s">
        <v>169</v>
      </c>
      <c r="EM7">
        <v>53</v>
      </c>
      <c r="EP7" s="84" t="s">
        <v>130</v>
      </c>
      <c r="EQ7" s="107" t="s">
        <v>133</v>
      </c>
      <c r="ER7" s="108" t="s">
        <v>134</v>
      </c>
      <c r="ES7" s="108" t="s">
        <v>90</v>
      </c>
      <c r="ET7" s="84">
        <v>0</v>
      </c>
      <c r="EU7" s="83"/>
      <c r="EV7" s="109">
        <v>50.34</v>
      </c>
      <c r="EW7" s="109">
        <f>IFERROR(GroceryList27456148109111213[[#This Row],[QTY]]*GroceryList27456148109111213[[#This Row],[UNIT PRICE]],"")</f>
        <v>0</v>
      </c>
      <c r="EX7" s="111" t="s">
        <v>169</v>
      </c>
      <c r="EY7">
        <v>53</v>
      </c>
      <c r="FB7" s="84" t="s">
        <v>130</v>
      </c>
      <c r="FC7" s="107" t="s">
        <v>133</v>
      </c>
      <c r="FD7" s="108" t="s">
        <v>134</v>
      </c>
      <c r="FE7" s="108" t="s">
        <v>90</v>
      </c>
      <c r="FF7" s="84">
        <v>0</v>
      </c>
      <c r="FG7" s="83"/>
      <c r="FH7" s="109">
        <v>50.34</v>
      </c>
      <c r="FI7" s="109">
        <f>IFERROR(GroceryList2745614810911121315[[#This Row],[QTY]]*GroceryList2745614810911121315[[#This Row],[UNIT PRICE]],"")</f>
        <v>0</v>
      </c>
      <c r="FJ7" s="111" t="s">
        <v>169</v>
      </c>
      <c r="FK7">
        <v>53</v>
      </c>
      <c r="FN7" s="84" t="s">
        <v>130</v>
      </c>
      <c r="FO7" s="107" t="s">
        <v>133</v>
      </c>
      <c r="FP7" s="108" t="s">
        <v>134</v>
      </c>
      <c r="FQ7" s="108" t="s">
        <v>90</v>
      </c>
      <c r="FR7" s="84">
        <v>0</v>
      </c>
      <c r="FS7" s="83"/>
      <c r="FT7" s="109">
        <v>50.34</v>
      </c>
      <c r="FU7" s="109">
        <f>IFERROR(GroceryList274561481091112131516[[#This Row],[QTY]]*GroceryList274561481091112131516[[#This Row],[UNIT PRICE]],"")</f>
        <v>0</v>
      </c>
      <c r="FV7" s="111" t="s">
        <v>169</v>
      </c>
      <c r="FW7">
        <v>53</v>
      </c>
      <c r="FZ7" s="84" t="s">
        <v>130</v>
      </c>
      <c r="GA7" s="107" t="s">
        <v>133</v>
      </c>
      <c r="GB7" s="108" t="s">
        <v>134</v>
      </c>
      <c r="GC7" s="108" t="s">
        <v>90</v>
      </c>
      <c r="GD7" s="84">
        <v>1</v>
      </c>
      <c r="GE7" s="83"/>
      <c r="GF7" s="109">
        <f>85.49+27.49</f>
        <v>112.97999999999999</v>
      </c>
      <c r="GG7" s="109">
        <f>IFERROR(GroceryList274561481091112131517[[#This Row],[QTY]]*GroceryList274561481091112131517[[#This Row],[UNIT PRICE]],"")</f>
        <v>112.97999999999999</v>
      </c>
      <c r="GH7" s="111" t="s">
        <v>169</v>
      </c>
      <c r="GI7">
        <v>53</v>
      </c>
      <c r="GL7" s="84" t="s">
        <v>130</v>
      </c>
      <c r="GM7" s="107" t="s">
        <v>133</v>
      </c>
      <c r="GN7" s="108" t="s">
        <v>134</v>
      </c>
      <c r="GO7" s="108" t="s">
        <v>90</v>
      </c>
      <c r="GP7" s="84">
        <v>1</v>
      </c>
      <c r="GQ7" s="83"/>
      <c r="GR7" s="109">
        <f>85.49+27.49</f>
        <v>112.97999999999999</v>
      </c>
      <c r="GS7" s="109">
        <f>IFERROR(GroceryList27456148109111213151718[[#This Row],[QTY]]*GroceryList27456148109111213151718[[#This Row],[UNIT PRICE]],"")</f>
        <v>112.97999999999999</v>
      </c>
      <c r="GT7" s="111" t="s">
        <v>169</v>
      </c>
      <c r="GU7">
        <v>53</v>
      </c>
    </row>
    <row r="8" spans="2:203" ht="30" customHeight="1" x14ac:dyDescent="0.2">
      <c r="B8" s="84"/>
      <c r="C8" s="102" t="s">
        <v>138</v>
      </c>
      <c r="D8" t="s">
        <v>134</v>
      </c>
      <c r="E8" t="s">
        <v>92</v>
      </c>
      <c r="F8" s="84">
        <v>1</v>
      </c>
      <c r="G8" s="83"/>
      <c r="H8" s="90">
        <v>15.06</v>
      </c>
      <c r="I8" s="90">
        <f>IFERROR(GroceryList[[#This Row],[QTY]]*GroceryList[[#This Row],[UNIT PRICE]],"")</f>
        <v>15.06</v>
      </c>
      <c r="J8"/>
      <c r="M8" s="84"/>
      <c r="N8" s="102" t="s">
        <v>138</v>
      </c>
      <c r="O8" t="s">
        <v>134</v>
      </c>
      <c r="P8" t="s">
        <v>92</v>
      </c>
      <c r="Q8" s="84"/>
      <c r="R8" s="83"/>
      <c r="S8" s="90">
        <v>15.06</v>
      </c>
      <c r="T8" s="90">
        <f>IFERROR(GroceryList2[[#This Row],[QTY]]*GroceryList2[[#This Row],[UNIT PRICE]],"")</f>
        <v>0</v>
      </c>
      <c r="U8"/>
      <c r="Y8" s="84"/>
      <c r="Z8" s="102" t="s">
        <v>138</v>
      </c>
      <c r="AA8" t="s">
        <v>134</v>
      </c>
      <c r="AB8" t="s">
        <v>92</v>
      </c>
      <c r="AC8" s="84"/>
      <c r="AD8" s="83"/>
      <c r="AE8" s="90">
        <v>15.06</v>
      </c>
      <c r="AF8" s="90">
        <f>IFERROR(GroceryList27[[#This Row],[QTY]]*GroceryList27[[#This Row],[UNIT PRICE]],"")</f>
        <v>0</v>
      </c>
      <c r="AG8"/>
      <c r="AM8" s="84"/>
      <c r="AN8" s="107" t="s">
        <v>138</v>
      </c>
      <c r="AO8" s="108" t="s">
        <v>134</v>
      </c>
      <c r="AP8" s="108" t="s">
        <v>92</v>
      </c>
      <c r="AQ8" s="84"/>
      <c r="AR8" s="83"/>
      <c r="AS8" s="109">
        <v>15.06</v>
      </c>
      <c r="AT8" s="109">
        <f>IFERROR(GroceryList274[[#This Row],[QTY]]*GroceryList274[[#This Row],[UNIT PRICE]],"")</f>
        <v>0</v>
      </c>
      <c r="AU8"/>
      <c r="AY8" s="84"/>
      <c r="AZ8" s="107" t="s">
        <v>138</v>
      </c>
      <c r="BA8" s="108" t="s">
        <v>134</v>
      </c>
      <c r="BB8" s="108" t="s">
        <v>92</v>
      </c>
      <c r="BC8" s="84">
        <v>0</v>
      </c>
      <c r="BD8" s="83"/>
      <c r="BE8" s="109">
        <v>15.06</v>
      </c>
      <c r="BF8" s="109">
        <f>IFERROR(GroceryList2745[[#This Row],[QTY]]*GroceryList2745[[#This Row],[UNIT PRICE]],"")</f>
        <v>0</v>
      </c>
      <c r="BG8"/>
      <c r="BJ8" s="84"/>
      <c r="BK8" s="107" t="s">
        <v>138</v>
      </c>
      <c r="BL8" s="108" t="s">
        <v>134</v>
      </c>
      <c r="BM8" s="108" t="s">
        <v>92</v>
      </c>
      <c r="BN8" s="84">
        <v>0</v>
      </c>
      <c r="BO8" s="83"/>
      <c r="BP8" s="109">
        <v>15.06</v>
      </c>
      <c r="BQ8" s="109">
        <f>IFERROR(GroceryList27456[[#This Row],[QTY]]*GroceryList27456[[#This Row],[UNIT PRICE]],"")</f>
        <v>0</v>
      </c>
      <c r="BR8" s="111" t="s">
        <v>169</v>
      </c>
      <c r="BS8"/>
      <c r="BV8" s="84"/>
      <c r="BW8" s="107" t="s">
        <v>138</v>
      </c>
      <c r="BX8" s="108" t="s">
        <v>134</v>
      </c>
      <c r="BY8" s="108" t="s">
        <v>92</v>
      </c>
      <c r="BZ8" s="84">
        <v>0</v>
      </c>
      <c r="CA8" s="83"/>
      <c r="CB8" s="109">
        <v>15.06</v>
      </c>
      <c r="CC8" s="109">
        <f>IFERROR(GroceryList2745614[[#This Row],[QTY]]*GroceryList2745614[[#This Row],[UNIT PRICE]],"")</f>
        <v>0</v>
      </c>
      <c r="CD8" s="111" t="s">
        <v>169</v>
      </c>
      <c r="CE8"/>
      <c r="CH8" s="84"/>
      <c r="CI8" s="111" t="s">
        <v>172</v>
      </c>
      <c r="CJ8" s="108" t="s">
        <v>134</v>
      </c>
      <c r="CK8" s="108" t="s">
        <v>92</v>
      </c>
      <c r="CL8" s="84">
        <v>3</v>
      </c>
      <c r="CM8" s="83"/>
      <c r="CN8" s="109">
        <v>4.92</v>
      </c>
      <c r="CO8" s="109">
        <f>IFERROR(GroceryList27456148[[#This Row],[QTY]]*GroceryList27456148[[#This Row],[UNIT PRICE]],"")</f>
        <v>14.76</v>
      </c>
      <c r="CP8" s="111" t="s">
        <v>169</v>
      </c>
      <c r="CQ8"/>
      <c r="CT8" s="84"/>
      <c r="CU8" s="111" t="s">
        <v>172</v>
      </c>
      <c r="CV8" s="108" t="s">
        <v>134</v>
      </c>
      <c r="CW8" s="108" t="s">
        <v>92</v>
      </c>
      <c r="CX8" s="84">
        <v>1</v>
      </c>
      <c r="CY8" s="83"/>
      <c r="CZ8" s="109">
        <f>7.18+18.38</f>
        <v>25.56</v>
      </c>
      <c r="DA8" s="109">
        <f>IFERROR(GroceryList2745614810[[#This Row],[QTY]]*GroceryList2745614810[[#This Row],[UNIT PRICE]],"")</f>
        <v>25.56</v>
      </c>
      <c r="DB8" s="111" t="s">
        <v>169</v>
      </c>
      <c r="DC8">
        <f>(4.49*2)+(11.49*2)</f>
        <v>31.96</v>
      </c>
      <c r="DF8" s="84"/>
      <c r="DG8" s="111" t="s">
        <v>172</v>
      </c>
      <c r="DH8" s="108" t="s">
        <v>134</v>
      </c>
      <c r="DI8" s="108" t="s">
        <v>92</v>
      </c>
      <c r="DJ8" s="84">
        <v>0</v>
      </c>
      <c r="DK8" s="83"/>
      <c r="DL8" s="109">
        <v>4.92</v>
      </c>
      <c r="DM8" s="109">
        <f>IFERROR(GroceryList27456148109[[#This Row],[QTY]]*GroceryList27456148109[[#This Row],[UNIT PRICE]],"")</f>
        <v>0</v>
      </c>
      <c r="DN8" s="111" t="s">
        <v>169</v>
      </c>
      <c r="DO8"/>
      <c r="DR8" s="84"/>
      <c r="DS8" s="111" t="s">
        <v>172</v>
      </c>
      <c r="DT8" s="108" t="s">
        <v>134</v>
      </c>
      <c r="DU8" s="108" t="s">
        <v>92</v>
      </c>
      <c r="DV8" s="84">
        <v>0</v>
      </c>
      <c r="DW8" s="83"/>
      <c r="DX8" s="109">
        <v>4.92</v>
      </c>
      <c r="DY8" s="109">
        <f>IFERROR(GroceryList2745614810911[[#This Row],[QTY]]*GroceryList2745614810911[[#This Row],[UNIT PRICE]],"")</f>
        <v>0</v>
      </c>
      <c r="DZ8" s="111" t="s">
        <v>169</v>
      </c>
      <c r="EA8"/>
      <c r="ED8" s="84"/>
      <c r="EE8" s="111" t="s">
        <v>172</v>
      </c>
      <c r="EF8" s="108" t="s">
        <v>134</v>
      </c>
      <c r="EG8" s="108" t="s">
        <v>92</v>
      </c>
      <c r="EH8" s="84">
        <v>0</v>
      </c>
      <c r="EI8" s="83"/>
      <c r="EJ8" s="109">
        <v>4.92</v>
      </c>
      <c r="EK8" s="109">
        <f>IFERROR(GroceryList274561481091112[[#This Row],[QTY]]*GroceryList274561481091112[[#This Row],[UNIT PRICE]],"")</f>
        <v>0</v>
      </c>
      <c r="EL8" s="111" t="s">
        <v>169</v>
      </c>
      <c r="EM8"/>
      <c r="EP8" s="84"/>
      <c r="EQ8" s="111" t="s">
        <v>172</v>
      </c>
      <c r="ER8" s="108" t="s">
        <v>134</v>
      </c>
      <c r="ES8" s="108" t="s">
        <v>92</v>
      </c>
      <c r="ET8" s="84">
        <v>0</v>
      </c>
      <c r="EU8" s="83"/>
      <c r="EV8" s="109">
        <v>4.92</v>
      </c>
      <c r="EW8" s="109">
        <f>IFERROR(GroceryList27456148109111213[[#This Row],[QTY]]*GroceryList27456148109111213[[#This Row],[UNIT PRICE]],"")</f>
        <v>0</v>
      </c>
      <c r="EX8" s="111" t="s">
        <v>169</v>
      </c>
      <c r="EY8"/>
      <c r="FB8" s="84"/>
      <c r="FC8" s="111" t="s">
        <v>172</v>
      </c>
      <c r="FD8" s="108" t="s">
        <v>134</v>
      </c>
      <c r="FE8" s="108" t="s">
        <v>92</v>
      </c>
      <c r="FF8" s="84">
        <v>0</v>
      </c>
      <c r="FG8" s="83"/>
      <c r="FH8" s="109">
        <v>4.92</v>
      </c>
      <c r="FI8" s="109">
        <f>IFERROR(GroceryList2745614810911121315[[#This Row],[QTY]]*GroceryList2745614810911121315[[#This Row],[UNIT PRICE]],"")</f>
        <v>0</v>
      </c>
      <c r="FJ8" s="111" t="s">
        <v>169</v>
      </c>
      <c r="FK8"/>
      <c r="FN8" s="84"/>
      <c r="FO8" s="111" t="s">
        <v>172</v>
      </c>
      <c r="FP8" s="108" t="s">
        <v>134</v>
      </c>
      <c r="FQ8" s="108" t="s">
        <v>92</v>
      </c>
      <c r="FR8" s="84">
        <v>0</v>
      </c>
      <c r="FS8" s="83"/>
      <c r="FT8" s="109">
        <v>4.92</v>
      </c>
      <c r="FU8" s="109">
        <f>IFERROR(GroceryList274561481091112131516[[#This Row],[QTY]]*GroceryList274561481091112131516[[#This Row],[UNIT PRICE]],"")</f>
        <v>0</v>
      </c>
      <c r="FV8" s="111" t="s">
        <v>169</v>
      </c>
      <c r="FW8"/>
      <c r="FZ8" s="84"/>
      <c r="GA8" s="111" t="s">
        <v>329</v>
      </c>
      <c r="GB8" s="108" t="s">
        <v>134</v>
      </c>
      <c r="GC8" s="108" t="s">
        <v>92</v>
      </c>
      <c r="GD8" s="84">
        <v>1</v>
      </c>
      <c r="GE8" s="83"/>
      <c r="GF8" s="109">
        <v>42.9</v>
      </c>
      <c r="GG8" s="109">
        <f>IFERROR(GroceryList274561481091112131517[[#This Row],[QTY]]*GroceryList274561481091112131517[[#This Row],[UNIT PRICE]],"")</f>
        <v>42.9</v>
      </c>
      <c r="GH8" s="111" t="s">
        <v>169</v>
      </c>
      <c r="GI8"/>
      <c r="GL8" s="84"/>
      <c r="GM8" s="111" t="s">
        <v>329</v>
      </c>
      <c r="GN8" s="108" t="s">
        <v>134</v>
      </c>
      <c r="GO8" s="108" t="s">
        <v>92</v>
      </c>
      <c r="GP8" s="84">
        <v>0</v>
      </c>
      <c r="GQ8" s="83"/>
      <c r="GR8" s="109">
        <v>42.9</v>
      </c>
      <c r="GS8" s="109">
        <f>IFERROR(GroceryList27456148109111213151718[[#This Row],[QTY]]*GroceryList27456148109111213151718[[#This Row],[UNIT PRICE]],"")</f>
        <v>0</v>
      </c>
      <c r="GT8" s="111" t="s">
        <v>169</v>
      </c>
      <c r="GU8"/>
    </row>
    <row r="9" spans="2:203" ht="30" customHeight="1" x14ac:dyDescent="0.2">
      <c r="B9" s="84"/>
      <c r="C9" s="99" t="s">
        <v>94</v>
      </c>
      <c r="D9" s="85"/>
      <c r="E9" s="85"/>
      <c r="F9" s="84"/>
      <c r="G9" s="83"/>
      <c r="H9" s="90"/>
      <c r="I9" s="90">
        <f>IFERROR(GroceryList[[#This Row],[QTY]]*GroceryList[[#This Row],[UNIT PRICE]],"")</f>
        <v>0</v>
      </c>
      <c r="J9" s="85"/>
      <c r="M9" s="84" t="s">
        <v>130</v>
      </c>
      <c r="N9" s="99" t="s">
        <v>94</v>
      </c>
      <c r="O9" s="85"/>
      <c r="P9" s="85" t="s">
        <v>91</v>
      </c>
      <c r="Q9" s="84">
        <v>2</v>
      </c>
      <c r="R9" s="83"/>
      <c r="S9" s="90">
        <v>11.49</v>
      </c>
      <c r="T9" s="90">
        <f>IFERROR(GroceryList2[[#This Row],[QTY]]*GroceryList2[[#This Row],[UNIT PRICE]],"")</f>
        <v>22.98</v>
      </c>
      <c r="U9" s="85"/>
      <c r="Y9" s="84"/>
      <c r="Z9" s="99" t="s">
        <v>94</v>
      </c>
      <c r="AA9" s="85"/>
      <c r="AB9" s="85" t="s">
        <v>91</v>
      </c>
      <c r="AC9" s="84"/>
      <c r="AD9" s="83"/>
      <c r="AE9" s="90">
        <v>11.49</v>
      </c>
      <c r="AF9" s="90">
        <f>IFERROR(GroceryList27[[#This Row],[QTY]]*GroceryList27[[#This Row],[UNIT PRICE]],"")</f>
        <v>0</v>
      </c>
      <c r="AG9" s="85"/>
      <c r="AM9" s="84"/>
      <c r="AN9" s="105" t="s">
        <v>94</v>
      </c>
      <c r="AO9" s="85"/>
      <c r="AP9" s="85" t="s">
        <v>91</v>
      </c>
      <c r="AQ9" s="84"/>
      <c r="AR9" s="83"/>
      <c r="AS9" s="109">
        <v>11.49</v>
      </c>
      <c r="AT9" s="109">
        <f>IFERROR(GroceryList274[[#This Row],[QTY]]*GroceryList274[[#This Row],[UNIT PRICE]],"")</f>
        <v>0</v>
      </c>
      <c r="AU9" s="85"/>
      <c r="AY9" s="84"/>
      <c r="AZ9" s="105" t="s">
        <v>94</v>
      </c>
      <c r="BA9" s="85"/>
      <c r="BB9" s="85" t="s">
        <v>91</v>
      </c>
      <c r="BC9" s="84">
        <v>0</v>
      </c>
      <c r="BD9" s="83"/>
      <c r="BE9" s="109">
        <v>11.49</v>
      </c>
      <c r="BF9" s="109">
        <f>IFERROR(GroceryList2745[[#This Row],[QTY]]*GroceryList2745[[#This Row],[UNIT PRICE]],"")</f>
        <v>0</v>
      </c>
      <c r="BG9" s="85"/>
      <c r="BJ9" s="84"/>
      <c r="BK9" s="105" t="s">
        <v>94</v>
      </c>
      <c r="BL9" s="85"/>
      <c r="BM9" s="85" t="s">
        <v>91</v>
      </c>
      <c r="BN9" s="84">
        <v>0</v>
      </c>
      <c r="BO9" s="83"/>
      <c r="BP9" s="109">
        <v>11.49</v>
      </c>
      <c r="BQ9" s="109">
        <f>IFERROR(GroceryList27456[[#This Row],[QTY]]*GroceryList27456[[#This Row],[UNIT PRICE]],"")</f>
        <v>0</v>
      </c>
      <c r="BR9" s="112" t="s">
        <v>169</v>
      </c>
      <c r="BS9" s="85"/>
      <c r="BV9" s="84"/>
      <c r="BW9" s="105" t="s">
        <v>94</v>
      </c>
      <c r="BX9" s="85"/>
      <c r="BY9" s="85" t="s">
        <v>91</v>
      </c>
      <c r="BZ9" s="84">
        <v>0</v>
      </c>
      <c r="CA9" s="83"/>
      <c r="CB9" s="109">
        <v>11.49</v>
      </c>
      <c r="CC9" s="109">
        <f>IFERROR(GroceryList2745614[[#This Row],[QTY]]*GroceryList2745614[[#This Row],[UNIT PRICE]],"")</f>
        <v>0</v>
      </c>
      <c r="CD9" s="112" t="s">
        <v>169</v>
      </c>
      <c r="CE9" s="85"/>
      <c r="CH9" s="84"/>
      <c r="CI9" s="105" t="s">
        <v>94</v>
      </c>
      <c r="CJ9" s="85"/>
      <c r="CK9" s="85" t="s">
        <v>91</v>
      </c>
      <c r="CL9" s="84">
        <v>0</v>
      </c>
      <c r="CM9" s="83"/>
      <c r="CN9" s="109">
        <v>11.49</v>
      </c>
      <c r="CO9" s="109">
        <f>IFERROR(GroceryList27456148[[#This Row],[QTY]]*GroceryList27456148[[#This Row],[UNIT PRICE]],"")</f>
        <v>0</v>
      </c>
      <c r="CP9" s="112" t="s">
        <v>169</v>
      </c>
      <c r="CQ9" s="85"/>
      <c r="CT9" s="84"/>
      <c r="CU9" s="105" t="s">
        <v>94</v>
      </c>
      <c r="CV9" s="85"/>
      <c r="CW9" s="85" t="s">
        <v>91</v>
      </c>
      <c r="CX9" s="84">
        <v>2</v>
      </c>
      <c r="CY9" s="83"/>
      <c r="CZ9" s="109">
        <f>18.38/2</f>
        <v>9.19</v>
      </c>
      <c r="DA9" s="109">
        <f>IFERROR(GroceryList2745614810[[#This Row],[QTY]]*GroceryList2745614810[[#This Row],[UNIT PRICE]],"")</f>
        <v>18.38</v>
      </c>
      <c r="DB9" s="112" t="s">
        <v>169</v>
      </c>
      <c r="DC9" s="85">
        <f>11.49</f>
        <v>11.49</v>
      </c>
      <c r="DF9" s="84"/>
      <c r="DG9" s="105" t="s">
        <v>94</v>
      </c>
      <c r="DH9" s="85"/>
      <c r="DI9" s="85" t="s">
        <v>91</v>
      </c>
      <c r="DJ9" s="84">
        <v>0</v>
      </c>
      <c r="DK9" s="83"/>
      <c r="DL9" s="109">
        <v>11.49</v>
      </c>
      <c r="DM9" s="109">
        <f>IFERROR(GroceryList27456148109[[#This Row],[QTY]]*GroceryList27456148109[[#This Row],[UNIT PRICE]],"")</f>
        <v>0</v>
      </c>
      <c r="DN9" s="112" t="s">
        <v>169</v>
      </c>
      <c r="DO9" s="85"/>
      <c r="DR9" s="84"/>
      <c r="DS9" s="105" t="s">
        <v>94</v>
      </c>
      <c r="DT9" s="85"/>
      <c r="DU9" s="85" t="s">
        <v>91</v>
      </c>
      <c r="DV9" s="84">
        <v>0</v>
      </c>
      <c r="DW9" s="83"/>
      <c r="DX9" s="109">
        <v>11.49</v>
      </c>
      <c r="DY9" s="109">
        <f>IFERROR(GroceryList2745614810911[[#This Row],[QTY]]*GroceryList2745614810911[[#This Row],[UNIT PRICE]],"")</f>
        <v>0</v>
      </c>
      <c r="DZ9" s="112" t="s">
        <v>169</v>
      </c>
      <c r="EA9" s="85"/>
      <c r="ED9" s="84"/>
      <c r="EE9" s="105" t="s">
        <v>94</v>
      </c>
      <c r="EF9" s="85"/>
      <c r="EG9" s="85" t="s">
        <v>91</v>
      </c>
      <c r="EH9" s="84">
        <v>1</v>
      </c>
      <c r="EI9" s="83"/>
      <c r="EJ9" s="109">
        <v>13.29</v>
      </c>
      <c r="EK9" s="109">
        <f>IFERROR(GroceryList274561481091112[[#This Row],[QTY]]*GroceryList274561481091112[[#This Row],[UNIT PRICE]],"")</f>
        <v>13.29</v>
      </c>
      <c r="EL9" s="112" t="s">
        <v>169</v>
      </c>
      <c r="EM9" s="85">
        <v>13.99</v>
      </c>
      <c r="EP9" s="84"/>
      <c r="EQ9" s="105" t="s">
        <v>94</v>
      </c>
      <c r="ER9" s="85"/>
      <c r="ES9" s="85" t="s">
        <v>91</v>
      </c>
      <c r="ET9" s="84">
        <v>0</v>
      </c>
      <c r="EU9" s="83"/>
      <c r="EV9" s="109">
        <v>11.49</v>
      </c>
      <c r="EW9" s="109">
        <f>IFERROR(GroceryList27456148109111213[[#This Row],[QTY]]*GroceryList27456148109111213[[#This Row],[UNIT PRICE]],"")</f>
        <v>0</v>
      </c>
      <c r="EX9" s="112" t="s">
        <v>169</v>
      </c>
      <c r="EY9" s="85"/>
      <c r="FB9" s="84"/>
      <c r="FC9" s="105" t="s">
        <v>94</v>
      </c>
      <c r="FD9" s="85"/>
      <c r="FE9" s="85" t="s">
        <v>91</v>
      </c>
      <c r="FF9" s="84">
        <v>0</v>
      </c>
      <c r="FG9" s="83"/>
      <c r="FH9" s="109">
        <v>11.49</v>
      </c>
      <c r="FI9" s="109">
        <f>IFERROR(GroceryList2745614810911121315[[#This Row],[QTY]]*GroceryList2745614810911121315[[#This Row],[UNIT PRICE]],"")</f>
        <v>0</v>
      </c>
      <c r="FJ9" s="112" t="s">
        <v>169</v>
      </c>
      <c r="FK9" s="85"/>
      <c r="FN9" s="84"/>
      <c r="FO9" s="105" t="s">
        <v>94</v>
      </c>
      <c r="FP9" s="85"/>
      <c r="FQ9" s="85" t="s">
        <v>91</v>
      </c>
      <c r="FR9" s="84">
        <v>0</v>
      </c>
      <c r="FS9" s="83"/>
      <c r="FT9" s="109">
        <v>11.49</v>
      </c>
      <c r="FU9" s="109">
        <f>IFERROR(GroceryList274561481091112131516[[#This Row],[QTY]]*GroceryList274561481091112131516[[#This Row],[UNIT PRICE]],"")</f>
        <v>0</v>
      </c>
      <c r="FV9" s="112" t="s">
        <v>169</v>
      </c>
      <c r="FW9" s="85"/>
      <c r="FZ9" s="84"/>
      <c r="GA9" s="105" t="s">
        <v>94</v>
      </c>
      <c r="GB9" s="85"/>
      <c r="GC9" s="85" t="s">
        <v>91</v>
      </c>
      <c r="GD9" s="84">
        <v>2</v>
      </c>
      <c r="GE9" s="83"/>
      <c r="GF9" s="109">
        <v>13.29</v>
      </c>
      <c r="GG9" s="109">
        <f>IFERROR(GroceryList274561481091112131517[[#This Row],[QTY]]*GroceryList274561481091112131517[[#This Row],[UNIT PRICE]],"")</f>
        <v>26.58</v>
      </c>
      <c r="GH9" s="112" t="s">
        <v>169</v>
      </c>
      <c r="GI9" s="85"/>
      <c r="GL9" s="84"/>
      <c r="GM9" s="105" t="s">
        <v>94</v>
      </c>
      <c r="GN9" s="85"/>
      <c r="GO9" s="85" t="s">
        <v>91</v>
      </c>
      <c r="GP9" s="84">
        <v>0</v>
      </c>
      <c r="GQ9" s="83"/>
      <c r="GR9" s="109">
        <v>13.29</v>
      </c>
      <c r="GS9" s="109">
        <f>IFERROR(GroceryList27456148109111213151718[[#This Row],[QTY]]*GroceryList27456148109111213151718[[#This Row],[UNIT PRICE]],"")</f>
        <v>0</v>
      </c>
      <c r="GT9" s="112" t="s">
        <v>169</v>
      </c>
      <c r="GU9" s="85"/>
    </row>
    <row r="10" spans="2:203" ht="30" customHeight="1" x14ac:dyDescent="0.2">
      <c r="B10" s="88"/>
      <c r="C10" s="99" t="s">
        <v>95</v>
      </c>
      <c r="D10" s="85" t="s">
        <v>134</v>
      </c>
      <c r="E10" s="85" t="s">
        <v>91</v>
      </c>
      <c r="F10" s="84">
        <v>1</v>
      </c>
      <c r="G10" s="83"/>
      <c r="H10" s="90">
        <v>15.67</v>
      </c>
      <c r="I10" s="90">
        <f>IFERROR(GroceryList[[#This Row],[QTY]]*GroceryList[[#This Row],[UNIT PRICE]],"")</f>
        <v>15.67</v>
      </c>
      <c r="J10" s="85"/>
      <c r="M10" s="88" t="s">
        <v>130</v>
      </c>
      <c r="N10" s="99" t="s">
        <v>95</v>
      </c>
      <c r="O10" s="85" t="s">
        <v>134</v>
      </c>
      <c r="P10" s="85" t="s">
        <v>91</v>
      </c>
      <c r="Q10" s="84">
        <v>1</v>
      </c>
      <c r="R10" s="83"/>
      <c r="S10" s="90">
        <v>31.99</v>
      </c>
      <c r="T10" s="90">
        <f>IFERROR(GroceryList2[[#This Row],[QTY]]*GroceryList2[[#This Row],[UNIT PRICE]],"")</f>
        <v>31.99</v>
      </c>
      <c r="U10" s="85"/>
      <c r="Y10" s="88" t="s">
        <v>130</v>
      </c>
      <c r="Z10" s="99" t="s">
        <v>95</v>
      </c>
      <c r="AA10" s="85" t="s">
        <v>134</v>
      </c>
      <c r="AB10" s="85" t="s">
        <v>91</v>
      </c>
      <c r="AC10" s="84">
        <v>0</v>
      </c>
      <c r="AD10" s="83"/>
      <c r="AE10" s="90">
        <v>31.99</v>
      </c>
      <c r="AF10" s="90">
        <f>IFERROR(GroceryList27[[#This Row],[QTY]]*GroceryList27[[#This Row],[UNIT PRICE]],"")</f>
        <v>0</v>
      </c>
      <c r="AG10" s="85"/>
      <c r="AM10" s="88" t="s">
        <v>130</v>
      </c>
      <c r="AN10" s="105" t="s">
        <v>95</v>
      </c>
      <c r="AO10" s="85" t="s">
        <v>134</v>
      </c>
      <c r="AP10" s="85" t="s">
        <v>91</v>
      </c>
      <c r="AQ10" s="84">
        <v>1</v>
      </c>
      <c r="AR10" s="83"/>
      <c r="AS10" s="109">
        <v>31.99</v>
      </c>
      <c r="AT10" s="109">
        <f>IFERROR(GroceryList274[[#This Row],[QTY]]*GroceryList274[[#This Row],[UNIT PRICE]],"")</f>
        <v>31.99</v>
      </c>
      <c r="AU10" s="85"/>
      <c r="AY10" s="88" t="s">
        <v>130</v>
      </c>
      <c r="AZ10" s="105" t="s">
        <v>95</v>
      </c>
      <c r="BA10" s="85" t="s">
        <v>134</v>
      </c>
      <c r="BB10" s="85" t="s">
        <v>91</v>
      </c>
      <c r="BC10" s="84">
        <v>0</v>
      </c>
      <c r="BD10" s="83"/>
      <c r="BE10" s="109">
        <v>31.99</v>
      </c>
      <c r="BF10" s="109">
        <f>IFERROR(GroceryList2745[[#This Row],[QTY]]*GroceryList2745[[#This Row],[UNIT PRICE]],"")</f>
        <v>0</v>
      </c>
      <c r="BG10" s="85"/>
      <c r="BJ10" s="88" t="s">
        <v>130</v>
      </c>
      <c r="BK10" s="105" t="s">
        <v>95</v>
      </c>
      <c r="BL10" s="85" t="s">
        <v>134</v>
      </c>
      <c r="BM10" s="85" t="s">
        <v>91</v>
      </c>
      <c r="BN10" s="84">
        <v>0</v>
      </c>
      <c r="BO10" s="83"/>
      <c r="BP10" s="109">
        <v>23</v>
      </c>
      <c r="BQ10" s="109">
        <f>IFERROR(GroceryList27456[[#This Row],[QTY]]*GroceryList27456[[#This Row],[UNIT PRICE]],"")</f>
        <v>0</v>
      </c>
      <c r="BR10" s="112" t="s">
        <v>130</v>
      </c>
      <c r="BS10" s="85"/>
      <c r="BV10" s="88" t="s">
        <v>130</v>
      </c>
      <c r="BW10" s="105" t="s">
        <v>95</v>
      </c>
      <c r="BX10" s="85" t="s">
        <v>134</v>
      </c>
      <c r="BY10" s="85" t="s">
        <v>91</v>
      </c>
      <c r="BZ10" s="84">
        <v>1</v>
      </c>
      <c r="CA10" s="83"/>
      <c r="CB10" s="109">
        <v>23</v>
      </c>
      <c r="CC10" s="109">
        <f>IFERROR(GroceryList2745614[[#This Row],[QTY]]*GroceryList2745614[[#This Row],[UNIT PRICE]],"")</f>
        <v>23</v>
      </c>
      <c r="CD10" s="112" t="s">
        <v>130</v>
      </c>
      <c r="CE10" s="85"/>
      <c r="CH10" s="88" t="s">
        <v>130</v>
      </c>
      <c r="CI10" s="105" t="s">
        <v>95</v>
      </c>
      <c r="CJ10" s="85" t="s">
        <v>134</v>
      </c>
      <c r="CK10" s="85" t="s">
        <v>91</v>
      </c>
      <c r="CL10" s="84">
        <v>1</v>
      </c>
      <c r="CM10" s="83"/>
      <c r="CN10" s="109">
        <v>23.19</v>
      </c>
      <c r="CO10" s="109">
        <f>IFERROR(GroceryList27456148[[#This Row],[QTY]]*GroceryList27456148[[#This Row],[UNIT PRICE]],"")</f>
        <v>23.19</v>
      </c>
      <c r="CP10" s="112" t="s">
        <v>130</v>
      </c>
      <c r="CQ10" s="85">
        <v>28.99</v>
      </c>
      <c r="CT10" s="88" t="s">
        <v>130</v>
      </c>
      <c r="CU10" s="105" t="s">
        <v>95</v>
      </c>
      <c r="CV10" s="85" t="s">
        <v>134</v>
      </c>
      <c r="CW10" s="85" t="s">
        <v>91</v>
      </c>
      <c r="CX10" s="84">
        <v>0</v>
      </c>
      <c r="CY10" s="83"/>
      <c r="CZ10" s="109">
        <v>23.19</v>
      </c>
      <c r="DA10" s="109">
        <f>IFERROR(GroceryList2745614810[[#This Row],[QTY]]*GroceryList2745614810[[#This Row],[UNIT PRICE]],"")</f>
        <v>0</v>
      </c>
      <c r="DB10" s="112" t="s">
        <v>130</v>
      </c>
      <c r="DC10" s="85">
        <v>28.99</v>
      </c>
      <c r="DF10" s="88" t="s">
        <v>130</v>
      </c>
      <c r="DG10" s="105" t="s">
        <v>95</v>
      </c>
      <c r="DH10" s="85" t="s">
        <v>134</v>
      </c>
      <c r="DI10" s="85" t="s">
        <v>91</v>
      </c>
      <c r="DJ10" s="84">
        <v>0</v>
      </c>
      <c r="DK10" s="83"/>
      <c r="DL10" s="109">
        <v>23.19</v>
      </c>
      <c r="DM10" s="109">
        <f>IFERROR(GroceryList27456148109[[#This Row],[QTY]]*GroceryList27456148109[[#This Row],[UNIT PRICE]],"")</f>
        <v>0</v>
      </c>
      <c r="DN10" s="112" t="s">
        <v>130</v>
      </c>
      <c r="DO10" s="85">
        <v>28.99</v>
      </c>
      <c r="DR10" s="88" t="s">
        <v>130</v>
      </c>
      <c r="DS10" s="105" t="s">
        <v>95</v>
      </c>
      <c r="DT10" s="85" t="s">
        <v>134</v>
      </c>
      <c r="DU10" s="85" t="s">
        <v>91</v>
      </c>
      <c r="DV10" s="84">
        <v>1</v>
      </c>
      <c r="DW10" s="83"/>
      <c r="DX10" s="109">
        <v>23.19</v>
      </c>
      <c r="DY10" s="109">
        <f>IFERROR(GroceryList2745614810911[[#This Row],[QTY]]*GroceryList2745614810911[[#This Row],[UNIT PRICE]],"")</f>
        <v>23.19</v>
      </c>
      <c r="DZ10" s="112" t="s">
        <v>130</v>
      </c>
      <c r="EA10" s="85">
        <v>28.99</v>
      </c>
      <c r="ED10" s="88" t="s">
        <v>130</v>
      </c>
      <c r="EE10" s="105" t="s">
        <v>95</v>
      </c>
      <c r="EF10" s="85" t="s">
        <v>134</v>
      </c>
      <c r="EG10" s="85" t="s">
        <v>91</v>
      </c>
      <c r="EH10" s="84">
        <v>1</v>
      </c>
      <c r="EI10" s="83"/>
      <c r="EJ10" s="109">
        <v>11.49</v>
      </c>
      <c r="EK10" s="109">
        <f>IFERROR(GroceryList274561481091112[[#This Row],[QTY]]*GroceryList274561481091112[[#This Row],[UNIT PRICE]],"")</f>
        <v>11.49</v>
      </c>
      <c r="EL10" s="112" t="s">
        <v>130</v>
      </c>
      <c r="EM10" s="85">
        <v>28.99</v>
      </c>
      <c r="EP10" s="88" t="s">
        <v>130</v>
      </c>
      <c r="EQ10" s="105" t="s">
        <v>95</v>
      </c>
      <c r="ER10" s="85" t="s">
        <v>134</v>
      </c>
      <c r="ES10" s="85" t="s">
        <v>91</v>
      </c>
      <c r="ET10" s="84">
        <v>0</v>
      </c>
      <c r="EU10" s="83"/>
      <c r="EV10" s="109">
        <v>23.19</v>
      </c>
      <c r="EW10" s="109">
        <f>IFERROR(GroceryList27456148109111213[[#This Row],[QTY]]*GroceryList27456148109111213[[#This Row],[UNIT PRICE]],"")</f>
        <v>0</v>
      </c>
      <c r="EX10" s="112" t="s">
        <v>130</v>
      </c>
      <c r="EY10" s="85">
        <v>28.99</v>
      </c>
      <c r="FB10" s="88" t="s">
        <v>130</v>
      </c>
      <c r="FC10" s="105" t="s">
        <v>95</v>
      </c>
      <c r="FD10" s="85" t="s">
        <v>134</v>
      </c>
      <c r="FE10" s="85" t="s">
        <v>91</v>
      </c>
      <c r="FF10" s="84">
        <v>1</v>
      </c>
      <c r="FG10" s="83"/>
      <c r="FH10" s="109">
        <v>14.44</v>
      </c>
      <c r="FI10" s="109">
        <f>IFERROR(GroceryList2745614810911121315[[#This Row],[QTY]]*GroceryList2745614810911121315[[#This Row],[UNIT PRICE]],"")</f>
        <v>14.44</v>
      </c>
      <c r="FJ10" s="112" t="s">
        <v>130</v>
      </c>
      <c r="FK10" s="85">
        <v>17</v>
      </c>
      <c r="FN10" s="88" t="s">
        <v>130</v>
      </c>
      <c r="FO10" s="105" t="s">
        <v>95</v>
      </c>
      <c r="FP10" s="85" t="s">
        <v>134</v>
      </c>
      <c r="FQ10" s="85" t="s">
        <v>91</v>
      </c>
      <c r="FR10" s="84">
        <v>0</v>
      </c>
      <c r="FS10" s="83"/>
      <c r="FT10" s="109">
        <v>23.19</v>
      </c>
      <c r="FU10" s="109">
        <f>IFERROR(GroceryList274561481091112131516[[#This Row],[QTY]]*GroceryList274561481091112131516[[#This Row],[UNIT PRICE]],"")</f>
        <v>0</v>
      </c>
      <c r="FV10" s="112" t="s">
        <v>130</v>
      </c>
      <c r="FW10" s="85">
        <v>28.99</v>
      </c>
      <c r="FZ10" s="88" t="s">
        <v>130</v>
      </c>
      <c r="GA10" s="105" t="s">
        <v>95</v>
      </c>
      <c r="GB10" s="85" t="s">
        <v>134</v>
      </c>
      <c r="GC10" s="85" t="s">
        <v>91</v>
      </c>
      <c r="GD10" s="84">
        <v>1</v>
      </c>
      <c r="GE10" s="83"/>
      <c r="GF10" s="109">
        <v>12.99</v>
      </c>
      <c r="GG10" s="109">
        <f>IFERROR(GroceryList274561481091112131517[[#This Row],[QTY]]*GroceryList274561481091112131517[[#This Row],[UNIT PRICE]],"")</f>
        <v>12.99</v>
      </c>
      <c r="GH10" s="112" t="s">
        <v>130</v>
      </c>
      <c r="GI10" s="85">
        <v>17</v>
      </c>
      <c r="GL10" s="88" t="s">
        <v>130</v>
      </c>
      <c r="GM10" s="105" t="s">
        <v>95</v>
      </c>
      <c r="GN10" s="85" t="s">
        <v>134</v>
      </c>
      <c r="GO10" s="85" t="s">
        <v>91</v>
      </c>
      <c r="GP10" s="84">
        <v>1</v>
      </c>
      <c r="GQ10" s="83"/>
      <c r="GR10" s="109">
        <v>12.99</v>
      </c>
      <c r="GS10" s="109">
        <f>IFERROR(GroceryList27456148109111213151718[[#This Row],[QTY]]*GroceryList27456148109111213151718[[#This Row],[UNIT PRICE]],"")</f>
        <v>12.99</v>
      </c>
      <c r="GT10" s="112" t="s">
        <v>130</v>
      </c>
      <c r="GU10" s="85">
        <v>17</v>
      </c>
    </row>
    <row r="11" spans="2:203" ht="30" customHeight="1" x14ac:dyDescent="0.2">
      <c r="B11" s="88" t="s">
        <v>130</v>
      </c>
      <c r="C11" s="99" t="s">
        <v>96</v>
      </c>
      <c r="D11" s="85"/>
      <c r="E11" s="85" t="s">
        <v>91</v>
      </c>
      <c r="F11" s="84">
        <v>2</v>
      </c>
      <c r="G11" s="83"/>
      <c r="H11" s="90">
        <v>12</v>
      </c>
      <c r="I11" s="90">
        <f>IFERROR(GroceryList[[#This Row],[QTY]]*GroceryList[[#This Row],[UNIT PRICE]],"")</f>
        <v>24</v>
      </c>
      <c r="J11" s="85"/>
      <c r="M11" s="88" t="s">
        <v>130</v>
      </c>
      <c r="N11" s="99" t="s">
        <v>96</v>
      </c>
      <c r="O11" s="85"/>
      <c r="P11" s="85" t="s">
        <v>91</v>
      </c>
      <c r="Q11" s="84">
        <v>1</v>
      </c>
      <c r="R11" s="83">
        <v>1</v>
      </c>
      <c r="S11" s="90">
        <v>15.49</v>
      </c>
      <c r="T11" s="90">
        <f>IFERROR(GroceryList2[[#This Row],[QTY]]*GroceryList2[[#This Row],[UNIT PRICE]],"")</f>
        <v>15.49</v>
      </c>
      <c r="U11" s="85"/>
      <c r="Y11" s="88" t="s">
        <v>130</v>
      </c>
      <c r="Z11" s="99" t="s">
        <v>96</v>
      </c>
      <c r="AA11" s="85"/>
      <c r="AB11" s="85" t="s">
        <v>91</v>
      </c>
      <c r="AC11" s="84">
        <v>2</v>
      </c>
      <c r="AD11" s="83">
        <v>1</v>
      </c>
      <c r="AE11" s="90">
        <v>15.49</v>
      </c>
      <c r="AF11" s="90">
        <f>IFERROR(GroceryList27[[#This Row],[QTY]]*GroceryList27[[#This Row],[UNIT PRICE]],"")</f>
        <v>30.98</v>
      </c>
      <c r="AG11" s="85"/>
      <c r="AM11" s="88" t="s">
        <v>130</v>
      </c>
      <c r="AN11" s="105" t="s">
        <v>96</v>
      </c>
      <c r="AO11" s="85"/>
      <c r="AP11" s="85" t="s">
        <v>91</v>
      </c>
      <c r="AQ11" s="84">
        <v>2</v>
      </c>
      <c r="AR11" s="83">
        <v>1</v>
      </c>
      <c r="AS11" s="109">
        <v>15.49</v>
      </c>
      <c r="AT11" s="109">
        <f>IFERROR(GroceryList274[[#This Row],[QTY]]*GroceryList274[[#This Row],[UNIT PRICE]],"")</f>
        <v>30.98</v>
      </c>
      <c r="AU11" s="85"/>
      <c r="AY11" s="88" t="s">
        <v>130</v>
      </c>
      <c r="AZ11" s="105" t="s">
        <v>96</v>
      </c>
      <c r="BA11" s="85"/>
      <c r="BB11" s="85" t="s">
        <v>91</v>
      </c>
      <c r="BC11" s="84">
        <v>2</v>
      </c>
      <c r="BD11" s="83">
        <v>1</v>
      </c>
      <c r="BE11" s="109">
        <v>15.49</v>
      </c>
      <c r="BF11" s="109">
        <f>IFERROR(GroceryList2745[[#This Row],[QTY]]*GroceryList2745[[#This Row],[UNIT PRICE]],"")</f>
        <v>30.98</v>
      </c>
      <c r="BG11" s="85"/>
      <c r="BJ11" s="88" t="s">
        <v>130</v>
      </c>
      <c r="BK11" s="105" t="s">
        <v>96</v>
      </c>
      <c r="BL11" s="85"/>
      <c r="BM11" s="85" t="s">
        <v>91</v>
      </c>
      <c r="BN11" s="84">
        <v>1</v>
      </c>
      <c r="BO11" s="83">
        <v>1</v>
      </c>
      <c r="BP11" s="109">
        <v>15.49</v>
      </c>
      <c r="BQ11" s="109">
        <f>IFERROR(GroceryList27456[[#This Row],[QTY]]*GroceryList27456[[#This Row],[UNIT PRICE]],"")</f>
        <v>15.49</v>
      </c>
      <c r="BR11" s="112" t="s">
        <v>130</v>
      </c>
      <c r="BS11" s="85"/>
      <c r="BV11" s="88" t="s">
        <v>130</v>
      </c>
      <c r="BW11" s="105" t="s">
        <v>96</v>
      </c>
      <c r="BX11" s="85"/>
      <c r="BY11" s="85" t="s">
        <v>91</v>
      </c>
      <c r="BZ11" s="84">
        <v>2</v>
      </c>
      <c r="CA11" s="83">
        <v>1</v>
      </c>
      <c r="CB11" s="109">
        <v>14.47</v>
      </c>
      <c r="CC11" s="109">
        <f>IFERROR(GroceryList2745614[[#This Row],[QTY]]*GroceryList2745614[[#This Row],[UNIT PRICE]],"")</f>
        <v>28.94</v>
      </c>
      <c r="CD11" s="112" t="s">
        <v>130</v>
      </c>
      <c r="CE11" s="85">
        <v>15.49</v>
      </c>
      <c r="CH11" s="88" t="s">
        <v>130</v>
      </c>
      <c r="CI11" s="105" t="s">
        <v>96</v>
      </c>
      <c r="CJ11" s="85"/>
      <c r="CK11" s="85" t="s">
        <v>91</v>
      </c>
      <c r="CL11" s="84">
        <v>2</v>
      </c>
      <c r="CM11" s="83">
        <v>1</v>
      </c>
      <c r="CN11" s="109">
        <v>12.39</v>
      </c>
      <c r="CO11" s="109">
        <f>IFERROR(GroceryList27456148[[#This Row],[QTY]]*GroceryList27456148[[#This Row],[UNIT PRICE]],"")</f>
        <v>24.78</v>
      </c>
      <c r="CP11" s="112" t="s">
        <v>130</v>
      </c>
      <c r="CQ11" s="85">
        <v>15.49</v>
      </c>
      <c r="CT11" s="88" t="s">
        <v>130</v>
      </c>
      <c r="CU11" s="105" t="s">
        <v>96</v>
      </c>
      <c r="CV11" s="85"/>
      <c r="CW11" s="85" t="s">
        <v>91</v>
      </c>
      <c r="CX11" s="84">
        <v>0</v>
      </c>
      <c r="CY11" s="83">
        <v>1</v>
      </c>
      <c r="CZ11" s="109">
        <v>12.39</v>
      </c>
      <c r="DA11" s="109">
        <f>IFERROR(GroceryList2745614810[[#This Row],[QTY]]*GroceryList2745614810[[#This Row],[UNIT PRICE]],"")</f>
        <v>0</v>
      </c>
      <c r="DB11" s="112" t="s">
        <v>130</v>
      </c>
      <c r="DC11" s="85">
        <v>15.49</v>
      </c>
      <c r="DF11" s="88" t="s">
        <v>130</v>
      </c>
      <c r="DG11" s="105" t="s">
        <v>96</v>
      </c>
      <c r="DH11" s="85"/>
      <c r="DI11" s="85" t="s">
        <v>91</v>
      </c>
      <c r="DJ11" s="84">
        <v>0</v>
      </c>
      <c r="DK11" s="83">
        <v>1</v>
      </c>
      <c r="DL11" s="109">
        <v>12.39</v>
      </c>
      <c r="DM11" s="109">
        <f>IFERROR(GroceryList27456148109[[#This Row],[QTY]]*GroceryList27456148109[[#This Row],[UNIT PRICE]],"")</f>
        <v>0</v>
      </c>
      <c r="DN11" s="112" t="s">
        <v>130</v>
      </c>
      <c r="DO11" s="85">
        <v>15.49</v>
      </c>
      <c r="DR11" s="88" t="s">
        <v>130</v>
      </c>
      <c r="DS11" s="105" t="s">
        <v>96</v>
      </c>
      <c r="DT11" s="85"/>
      <c r="DU11" s="85" t="s">
        <v>91</v>
      </c>
      <c r="DV11" s="84">
        <v>2</v>
      </c>
      <c r="DW11" s="83">
        <v>1</v>
      </c>
      <c r="DX11" s="109">
        <v>12.39</v>
      </c>
      <c r="DY11" s="109">
        <f>IFERROR(GroceryList2745614810911[[#This Row],[QTY]]*GroceryList2745614810911[[#This Row],[UNIT PRICE]],"")</f>
        <v>24.78</v>
      </c>
      <c r="DZ11" s="112" t="s">
        <v>130</v>
      </c>
      <c r="EA11" s="85">
        <v>15.49</v>
      </c>
      <c r="ED11" s="88" t="s">
        <v>130</v>
      </c>
      <c r="EE11" s="105" t="s">
        <v>96</v>
      </c>
      <c r="EF11" s="85"/>
      <c r="EG11" s="85" t="s">
        <v>91</v>
      </c>
      <c r="EH11" s="84">
        <v>1</v>
      </c>
      <c r="EI11" s="83">
        <v>1</v>
      </c>
      <c r="EJ11" s="109">
        <f>14.72+18.52</f>
        <v>33.24</v>
      </c>
      <c r="EK11" s="109">
        <f>IFERROR(GroceryList274561481091112[[#This Row],[QTY]]*GroceryList274561481091112[[#This Row],[UNIT PRICE]],"")</f>
        <v>33.24</v>
      </c>
      <c r="EL11" s="112" t="s">
        <v>130</v>
      </c>
      <c r="EM11" s="85">
        <v>15.49</v>
      </c>
      <c r="EP11" s="88" t="s">
        <v>130</v>
      </c>
      <c r="EQ11" s="105" t="s">
        <v>96</v>
      </c>
      <c r="ER11" s="85"/>
      <c r="ES11" s="85" t="s">
        <v>91</v>
      </c>
      <c r="ET11" s="84">
        <v>0</v>
      </c>
      <c r="EU11" s="83">
        <v>1</v>
      </c>
      <c r="EV11" s="109">
        <f>14.72+18.52</f>
        <v>33.24</v>
      </c>
      <c r="EW11" s="109">
        <f>IFERROR(GroceryList27456148109111213[[#This Row],[QTY]]*GroceryList27456148109111213[[#This Row],[UNIT PRICE]],"")</f>
        <v>0</v>
      </c>
      <c r="EX11" s="112" t="s">
        <v>130</v>
      </c>
      <c r="EY11" s="85">
        <v>15.49</v>
      </c>
      <c r="FB11" s="88" t="s">
        <v>130</v>
      </c>
      <c r="FC11" s="105" t="s">
        <v>96</v>
      </c>
      <c r="FD11" s="85"/>
      <c r="FE11" s="85" t="s">
        <v>91</v>
      </c>
      <c r="FF11" s="84">
        <v>1</v>
      </c>
      <c r="FG11" s="83">
        <v>1</v>
      </c>
      <c r="FH11" s="109">
        <f>13.17+10.49</f>
        <v>23.66</v>
      </c>
      <c r="FI11" s="109">
        <f>IFERROR(GroceryList2745614810911121315[[#This Row],[QTY]]*GroceryList2745614810911121315[[#This Row],[UNIT PRICE]],"")</f>
        <v>23.66</v>
      </c>
      <c r="FJ11" s="112" t="s">
        <v>130</v>
      </c>
      <c r="FK11" s="85" t="s">
        <v>226</v>
      </c>
      <c r="FN11" s="88" t="s">
        <v>130</v>
      </c>
      <c r="FO11" s="105" t="s">
        <v>96</v>
      </c>
      <c r="FP11" s="85"/>
      <c r="FQ11" s="85" t="s">
        <v>91</v>
      </c>
      <c r="FR11" s="84">
        <v>0</v>
      </c>
      <c r="FS11" s="83">
        <v>1</v>
      </c>
      <c r="FT11" s="109">
        <f>14.72+18.52</f>
        <v>33.24</v>
      </c>
      <c r="FU11" s="109">
        <f>IFERROR(GroceryList274561481091112131516[[#This Row],[QTY]]*GroceryList274561481091112131516[[#This Row],[UNIT PRICE]],"")</f>
        <v>0</v>
      </c>
      <c r="FV11" s="112" t="s">
        <v>130</v>
      </c>
      <c r="FW11" s="85">
        <v>15.49</v>
      </c>
      <c r="FZ11" s="88" t="s">
        <v>130</v>
      </c>
      <c r="GA11" s="105" t="s">
        <v>96</v>
      </c>
      <c r="GB11" s="85"/>
      <c r="GC11" s="85" t="s">
        <v>91</v>
      </c>
      <c r="GD11" s="84">
        <v>1</v>
      </c>
      <c r="GE11" s="83">
        <v>1</v>
      </c>
      <c r="GF11" s="109">
        <f>14.72+19.98</f>
        <v>34.700000000000003</v>
      </c>
      <c r="GG11" s="109">
        <f>IFERROR(GroceryList274561481091112131517[[#This Row],[QTY]]*GroceryList274561481091112131517[[#This Row],[UNIT PRICE]],"")</f>
        <v>34.700000000000003</v>
      </c>
      <c r="GH11" s="112" t="s">
        <v>130</v>
      </c>
      <c r="GI11" s="85" t="s">
        <v>226</v>
      </c>
      <c r="GL11" s="88" t="s">
        <v>130</v>
      </c>
      <c r="GM11" s="105" t="s">
        <v>96</v>
      </c>
      <c r="GN11" s="85"/>
      <c r="GO11" s="85" t="s">
        <v>91</v>
      </c>
      <c r="GP11" s="84">
        <v>1</v>
      </c>
      <c r="GQ11" s="83">
        <v>1</v>
      </c>
      <c r="GR11" s="109">
        <f>14.72+19.98</f>
        <v>34.700000000000003</v>
      </c>
      <c r="GS11" s="109">
        <f>IFERROR(GroceryList27456148109111213151718[[#This Row],[QTY]]*GroceryList27456148109111213151718[[#This Row],[UNIT PRICE]],"")</f>
        <v>34.700000000000003</v>
      </c>
      <c r="GT11" s="112" t="s">
        <v>130</v>
      </c>
      <c r="GU11" s="85" t="s">
        <v>226</v>
      </c>
    </row>
    <row r="12" spans="2:203" ht="30" customHeight="1" x14ac:dyDescent="0.2">
      <c r="B12" s="84"/>
      <c r="C12" s="102" t="s">
        <v>143</v>
      </c>
      <c r="D12" t="s">
        <v>134</v>
      </c>
      <c r="E12" t="s">
        <v>91</v>
      </c>
      <c r="F12" s="84">
        <v>2</v>
      </c>
      <c r="G12" s="83"/>
      <c r="H12" s="90">
        <v>15</v>
      </c>
      <c r="I12" s="90">
        <f>IFERROR(GroceryList[[#This Row],[QTY]]*GroceryList[[#This Row],[UNIT PRICE]],"")</f>
        <v>30</v>
      </c>
      <c r="J12"/>
      <c r="M12" s="84" t="s">
        <v>130</v>
      </c>
      <c r="N12" s="102" t="s">
        <v>143</v>
      </c>
      <c r="O12" t="s">
        <v>134</v>
      </c>
      <c r="P12" t="s">
        <v>91</v>
      </c>
      <c r="Q12" s="84">
        <v>1</v>
      </c>
      <c r="R12" s="83">
        <v>1</v>
      </c>
      <c r="S12" s="90">
        <v>14.29</v>
      </c>
      <c r="T12" s="90">
        <f>IFERROR(GroceryList2[[#This Row],[QTY]]*GroceryList2[[#This Row],[UNIT PRICE]],"")</f>
        <v>14.29</v>
      </c>
      <c r="U12"/>
      <c r="Y12" s="84" t="s">
        <v>130</v>
      </c>
      <c r="Z12" s="102" t="s">
        <v>143</v>
      </c>
      <c r="AA12" t="s">
        <v>134</v>
      </c>
      <c r="AB12" t="s">
        <v>91</v>
      </c>
      <c r="AC12" s="84">
        <v>0</v>
      </c>
      <c r="AD12" s="83">
        <v>1</v>
      </c>
      <c r="AE12" s="90">
        <v>14.29</v>
      </c>
      <c r="AF12" s="90">
        <f>IFERROR(GroceryList27[[#This Row],[QTY]]*GroceryList27[[#This Row],[UNIT PRICE]],"")</f>
        <v>0</v>
      </c>
      <c r="AG12"/>
      <c r="AM12" s="84" t="s">
        <v>130</v>
      </c>
      <c r="AN12" s="107" t="s">
        <v>143</v>
      </c>
      <c r="AO12" s="108" t="s">
        <v>134</v>
      </c>
      <c r="AP12" s="108" t="s">
        <v>91</v>
      </c>
      <c r="AQ12" s="84">
        <v>0</v>
      </c>
      <c r="AR12" s="83">
        <v>1</v>
      </c>
      <c r="AS12" s="109">
        <v>14.29</v>
      </c>
      <c r="AT12" s="109">
        <f>IFERROR(GroceryList274[[#This Row],[QTY]]*GroceryList274[[#This Row],[UNIT PRICE]],"")</f>
        <v>0</v>
      </c>
      <c r="AU12"/>
      <c r="AY12" s="84" t="s">
        <v>130</v>
      </c>
      <c r="AZ12" s="107" t="s">
        <v>143</v>
      </c>
      <c r="BA12" s="108" t="s">
        <v>134</v>
      </c>
      <c r="BB12" s="108" t="s">
        <v>91</v>
      </c>
      <c r="BC12" s="84">
        <v>0</v>
      </c>
      <c r="BD12" s="83">
        <v>1</v>
      </c>
      <c r="BE12" s="109">
        <v>14.29</v>
      </c>
      <c r="BF12" s="109">
        <f>IFERROR(GroceryList2745[[#This Row],[QTY]]*GroceryList2745[[#This Row],[UNIT PRICE]],"")</f>
        <v>0</v>
      </c>
      <c r="BG12"/>
      <c r="BJ12" s="84" t="s">
        <v>130</v>
      </c>
      <c r="BK12" s="107" t="s">
        <v>143</v>
      </c>
      <c r="BL12" s="108" t="s">
        <v>134</v>
      </c>
      <c r="BM12" s="108" t="s">
        <v>91</v>
      </c>
      <c r="BN12" s="84">
        <v>1</v>
      </c>
      <c r="BO12" s="83">
        <v>1</v>
      </c>
      <c r="BP12" s="109">
        <v>20</v>
      </c>
      <c r="BQ12" s="109">
        <f>IFERROR(GroceryList27456[[#This Row],[QTY]]*GroceryList27456[[#This Row],[UNIT PRICE]],"")</f>
        <v>20</v>
      </c>
      <c r="BR12" s="111" t="s">
        <v>130</v>
      </c>
      <c r="BS12"/>
      <c r="BV12" s="84" t="s">
        <v>130</v>
      </c>
      <c r="BW12" s="107" t="s">
        <v>143</v>
      </c>
      <c r="BX12" s="108" t="s">
        <v>134</v>
      </c>
      <c r="BY12" s="108" t="s">
        <v>91</v>
      </c>
      <c r="BZ12" s="84">
        <v>1</v>
      </c>
      <c r="CA12" s="83">
        <v>1</v>
      </c>
      <c r="CB12" s="109">
        <v>14.72</v>
      </c>
      <c r="CC12" s="109">
        <f>IFERROR(GroceryList2745614[[#This Row],[QTY]]*GroceryList2745614[[#This Row],[UNIT PRICE]],"")</f>
        <v>14.72</v>
      </c>
      <c r="CD12" s="111" t="s">
        <v>130</v>
      </c>
      <c r="CE12"/>
      <c r="CH12" s="84" t="s">
        <v>130</v>
      </c>
      <c r="CI12" s="111" t="s">
        <v>175</v>
      </c>
      <c r="CJ12" s="108" t="s">
        <v>134</v>
      </c>
      <c r="CK12" s="108" t="s">
        <v>91</v>
      </c>
      <c r="CL12" s="84">
        <v>1</v>
      </c>
      <c r="CM12" s="83">
        <v>1</v>
      </c>
      <c r="CN12" s="109">
        <v>15.19</v>
      </c>
      <c r="CO12" s="109">
        <f>IFERROR(GroceryList27456148[[#This Row],[QTY]]*GroceryList27456148[[#This Row],[UNIT PRICE]],"")</f>
        <v>15.19</v>
      </c>
      <c r="CP12" s="111" t="s">
        <v>130</v>
      </c>
      <c r="CQ12"/>
      <c r="CT12" s="84" t="s">
        <v>130</v>
      </c>
      <c r="CU12" s="111" t="s">
        <v>183</v>
      </c>
      <c r="CV12" s="108" t="s">
        <v>134</v>
      </c>
      <c r="CW12" s="108" t="s">
        <v>91</v>
      </c>
      <c r="CX12" s="84">
        <v>1</v>
      </c>
      <c r="CY12" s="83">
        <v>1</v>
      </c>
      <c r="CZ12" s="109">
        <v>15.19</v>
      </c>
      <c r="DA12" s="109">
        <f>IFERROR(GroceryList2745614810[[#This Row],[QTY]]*GroceryList2745614810[[#This Row],[UNIT PRICE]],"")</f>
        <v>15.19</v>
      </c>
      <c r="DB12" s="111" t="s">
        <v>130</v>
      </c>
      <c r="DC12">
        <v>18.989999999999998</v>
      </c>
      <c r="DF12" s="84" t="s">
        <v>130</v>
      </c>
      <c r="DG12" s="111" t="s">
        <v>175</v>
      </c>
      <c r="DH12" s="108" t="s">
        <v>134</v>
      </c>
      <c r="DI12" s="108" t="s">
        <v>91</v>
      </c>
      <c r="DJ12" s="84">
        <v>0</v>
      </c>
      <c r="DK12" s="83">
        <v>1</v>
      </c>
      <c r="DL12" s="109">
        <v>15.19</v>
      </c>
      <c r="DM12" s="109">
        <f>IFERROR(GroceryList27456148109[[#This Row],[QTY]]*GroceryList27456148109[[#This Row],[UNIT PRICE]],"")</f>
        <v>0</v>
      </c>
      <c r="DN12" s="111" t="s">
        <v>130</v>
      </c>
      <c r="DO12"/>
      <c r="DR12" s="84" t="s">
        <v>130</v>
      </c>
      <c r="DS12" s="111" t="s">
        <v>175</v>
      </c>
      <c r="DT12" s="108" t="s">
        <v>134</v>
      </c>
      <c r="DU12" s="108" t="s">
        <v>91</v>
      </c>
      <c r="DV12" s="84">
        <v>0</v>
      </c>
      <c r="DW12" s="83">
        <v>1</v>
      </c>
      <c r="DX12" s="109">
        <v>15.19</v>
      </c>
      <c r="DY12" s="109">
        <f>IFERROR(GroceryList2745614810911[[#This Row],[QTY]]*GroceryList2745614810911[[#This Row],[UNIT PRICE]],"")</f>
        <v>0</v>
      </c>
      <c r="DZ12" s="111" t="s">
        <v>130</v>
      </c>
      <c r="EA12"/>
      <c r="ED12" s="84" t="s">
        <v>130</v>
      </c>
      <c r="EE12" s="111" t="s">
        <v>175</v>
      </c>
      <c r="EF12" s="108" t="s">
        <v>134</v>
      </c>
      <c r="EG12" s="108" t="s">
        <v>91</v>
      </c>
      <c r="EH12" s="84">
        <v>1</v>
      </c>
      <c r="EI12" s="83">
        <v>1</v>
      </c>
      <c r="EJ12" s="109">
        <f>18.04</f>
        <v>18.04</v>
      </c>
      <c r="EK12" s="109">
        <f>IFERROR(GroceryList274561481091112[[#This Row],[QTY]]*GroceryList274561481091112[[#This Row],[UNIT PRICE]],"")</f>
        <v>18.04</v>
      </c>
      <c r="EL12" s="111" t="s">
        <v>130</v>
      </c>
      <c r="EM12"/>
      <c r="EP12" s="84" t="s">
        <v>130</v>
      </c>
      <c r="EQ12" s="111" t="s">
        <v>175</v>
      </c>
      <c r="ER12" s="108" t="s">
        <v>134</v>
      </c>
      <c r="ES12" s="108" t="s">
        <v>91</v>
      </c>
      <c r="ET12" s="84">
        <v>0</v>
      </c>
      <c r="EU12" s="83">
        <v>1</v>
      </c>
      <c r="EV12" s="109">
        <f>18.04</f>
        <v>18.04</v>
      </c>
      <c r="EW12" s="109">
        <f>IFERROR(GroceryList27456148109111213[[#This Row],[QTY]]*GroceryList27456148109111213[[#This Row],[UNIT PRICE]],"")</f>
        <v>0</v>
      </c>
      <c r="EX12" s="111" t="s">
        <v>130</v>
      </c>
      <c r="EY12"/>
      <c r="FB12" s="84" t="s">
        <v>130</v>
      </c>
      <c r="FC12" s="111" t="s">
        <v>175</v>
      </c>
      <c r="FD12" s="108" t="s">
        <v>134</v>
      </c>
      <c r="FE12" s="108" t="s">
        <v>91</v>
      </c>
      <c r="FF12" s="84">
        <v>1</v>
      </c>
      <c r="FG12" s="83">
        <v>1</v>
      </c>
      <c r="FH12" s="109">
        <v>11.88</v>
      </c>
      <c r="FI12" s="109">
        <f>IFERROR(GroceryList2745614810911121315[[#This Row],[QTY]]*GroceryList2745614810911121315[[#This Row],[UNIT PRICE]],"")</f>
        <v>11.88</v>
      </c>
      <c r="FJ12" s="111" t="s">
        <v>130</v>
      </c>
      <c r="FK12"/>
      <c r="FN12" s="84" t="s">
        <v>130</v>
      </c>
      <c r="FO12" s="111" t="s">
        <v>175</v>
      </c>
      <c r="FP12" s="108" t="s">
        <v>134</v>
      </c>
      <c r="FQ12" s="108" t="s">
        <v>91</v>
      </c>
      <c r="FR12" s="84">
        <v>0</v>
      </c>
      <c r="FS12" s="83">
        <v>1</v>
      </c>
      <c r="FT12" s="109">
        <f>18.04</f>
        <v>18.04</v>
      </c>
      <c r="FU12" s="109">
        <f>IFERROR(GroceryList274561481091112131516[[#This Row],[QTY]]*GroceryList274561481091112131516[[#This Row],[UNIT PRICE]],"")</f>
        <v>0</v>
      </c>
      <c r="FV12" s="111" t="s">
        <v>130</v>
      </c>
      <c r="FW12"/>
      <c r="FZ12" s="84" t="s">
        <v>130</v>
      </c>
      <c r="GA12" s="111" t="s">
        <v>175</v>
      </c>
      <c r="GB12" s="108" t="s">
        <v>134</v>
      </c>
      <c r="GC12" s="108" t="s">
        <v>91</v>
      </c>
      <c r="GD12" s="84">
        <v>1</v>
      </c>
      <c r="GE12" s="83">
        <v>1</v>
      </c>
      <c r="GF12" s="109">
        <v>6.29</v>
      </c>
      <c r="GG12" s="109">
        <f>IFERROR(GroceryList274561481091112131517[[#This Row],[QTY]]*GroceryList274561481091112131517[[#This Row],[UNIT PRICE]],"")</f>
        <v>6.29</v>
      </c>
      <c r="GH12" s="111" t="s">
        <v>130</v>
      </c>
      <c r="GI12"/>
      <c r="GL12" s="84" t="s">
        <v>130</v>
      </c>
      <c r="GM12" s="111" t="s">
        <v>175</v>
      </c>
      <c r="GN12" s="108" t="s">
        <v>134</v>
      </c>
      <c r="GO12" s="108" t="s">
        <v>91</v>
      </c>
      <c r="GP12" s="84">
        <v>1</v>
      </c>
      <c r="GQ12" s="83">
        <v>1</v>
      </c>
      <c r="GR12" s="109">
        <v>6.29</v>
      </c>
      <c r="GS12" s="109">
        <f>IFERROR(GroceryList27456148109111213151718[[#This Row],[QTY]]*GroceryList27456148109111213151718[[#This Row],[UNIT PRICE]],"")</f>
        <v>6.29</v>
      </c>
      <c r="GT12" s="111" t="s">
        <v>130</v>
      </c>
      <c r="GU12"/>
    </row>
    <row r="13" spans="2:203" ht="30" customHeight="1" x14ac:dyDescent="0.2">
      <c r="B13" s="84"/>
      <c r="C13" s="99" t="s">
        <v>97</v>
      </c>
      <c r="D13" s="85" t="s">
        <v>134</v>
      </c>
      <c r="E13" s="85" t="s">
        <v>91</v>
      </c>
      <c r="F13" s="84">
        <v>1</v>
      </c>
      <c r="G13" s="83"/>
      <c r="H13" s="90">
        <v>22.79</v>
      </c>
      <c r="I13" s="90">
        <f>IFERROR(GroceryList[[#This Row],[QTY]]*GroceryList[[#This Row],[UNIT PRICE]],"")</f>
        <v>22.79</v>
      </c>
      <c r="J13" s="85"/>
      <c r="M13" s="84"/>
      <c r="N13" s="99" t="s">
        <v>97</v>
      </c>
      <c r="O13" s="85" t="s">
        <v>134</v>
      </c>
      <c r="P13" s="85" t="s">
        <v>91</v>
      </c>
      <c r="Q13" s="84"/>
      <c r="R13" s="83"/>
      <c r="S13" s="90">
        <v>22.79</v>
      </c>
      <c r="T13" s="90">
        <f>IFERROR(GroceryList2[[#This Row],[QTY]]*GroceryList2[[#This Row],[UNIT PRICE]],"")</f>
        <v>0</v>
      </c>
      <c r="U13" s="85"/>
      <c r="Y13" s="84" t="s">
        <v>130</v>
      </c>
      <c r="Z13" s="99" t="s">
        <v>97</v>
      </c>
      <c r="AA13" s="85" t="s">
        <v>134</v>
      </c>
      <c r="AB13" s="85" t="s">
        <v>91</v>
      </c>
      <c r="AC13" s="84">
        <v>0</v>
      </c>
      <c r="AD13" s="83"/>
      <c r="AE13" s="90">
        <v>22.79</v>
      </c>
      <c r="AF13" s="90">
        <f>IFERROR(GroceryList27[[#This Row],[QTY]]*GroceryList27[[#This Row],[UNIT PRICE]],"")</f>
        <v>0</v>
      </c>
      <c r="AG13" s="85"/>
      <c r="AM13" s="84" t="s">
        <v>130</v>
      </c>
      <c r="AN13" s="105" t="s">
        <v>97</v>
      </c>
      <c r="AO13" s="85" t="s">
        <v>134</v>
      </c>
      <c r="AP13" s="85" t="s">
        <v>91</v>
      </c>
      <c r="AQ13" s="84">
        <v>1</v>
      </c>
      <c r="AR13" s="83"/>
      <c r="AS13" s="109">
        <v>22.79</v>
      </c>
      <c r="AT13" s="109">
        <f>IFERROR(GroceryList274[[#This Row],[QTY]]*GroceryList274[[#This Row],[UNIT PRICE]],"")</f>
        <v>22.79</v>
      </c>
      <c r="AU13" s="85"/>
      <c r="AY13" s="84" t="s">
        <v>130</v>
      </c>
      <c r="AZ13" s="105" t="s">
        <v>97</v>
      </c>
      <c r="BA13" s="85" t="s">
        <v>134</v>
      </c>
      <c r="BB13" s="85" t="s">
        <v>91</v>
      </c>
      <c r="BC13" s="84">
        <v>1</v>
      </c>
      <c r="BD13" s="83"/>
      <c r="BE13" s="109">
        <v>23.99</v>
      </c>
      <c r="BF13" s="109">
        <f>IFERROR(GroceryList2745[[#This Row],[QTY]]*GroceryList2745[[#This Row],[UNIT PRICE]],"")</f>
        <v>23.99</v>
      </c>
      <c r="BG13" s="85"/>
      <c r="BJ13" s="84" t="s">
        <v>130</v>
      </c>
      <c r="BK13" s="105" t="s">
        <v>97</v>
      </c>
      <c r="BL13" s="85" t="s">
        <v>134</v>
      </c>
      <c r="BM13" s="85" t="s">
        <v>91</v>
      </c>
      <c r="BN13" s="84">
        <v>0</v>
      </c>
      <c r="BO13" s="83"/>
      <c r="BP13" s="109">
        <v>23.99</v>
      </c>
      <c r="BQ13" s="109">
        <f>IFERROR(GroceryList27456[[#This Row],[QTY]]*GroceryList27456[[#This Row],[UNIT PRICE]],"")</f>
        <v>0</v>
      </c>
      <c r="BR13" s="112" t="s">
        <v>130</v>
      </c>
      <c r="BS13" s="85"/>
      <c r="BV13" s="84" t="s">
        <v>130</v>
      </c>
      <c r="BW13" s="105" t="s">
        <v>97</v>
      </c>
      <c r="BX13" s="85" t="s">
        <v>134</v>
      </c>
      <c r="BY13" s="85" t="s">
        <v>91</v>
      </c>
      <c r="BZ13" s="84">
        <v>1</v>
      </c>
      <c r="CA13" s="83"/>
      <c r="CB13" s="109">
        <v>22.79</v>
      </c>
      <c r="CC13" s="109">
        <f>IFERROR(GroceryList2745614[[#This Row],[QTY]]*GroceryList2745614[[#This Row],[UNIT PRICE]],"")</f>
        <v>22.79</v>
      </c>
      <c r="CD13" s="112" t="s">
        <v>130</v>
      </c>
      <c r="CE13" s="85">
        <v>23.99</v>
      </c>
      <c r="CH13" s="84" t="s">
        <v>130</v>
      </c>
      <c r="CI13" s="105" t="s">
        <v>97</v>
      </c>
      <c r="CJ13" s="85" t="s">
        <v>134</v>
      </c>
      <c r="CK13" s="85" t="s">
        <v>91</v>
      </c>
      <c r="CL13" s="84">
        <v>0</v>
      </c>
      <c r="CM13" s="83"/>
      <c r="CN13" s="109">
        <v>22.79</v>
      </c>
      <c r="CO13" s="109">
        <f>IFERROR(GroceryList27456148[[#This Row],[QTY]]*GroceryList27456148[[#This Row],[UNIT PRICE]],"")</f>
        <v>0</v>
      </c>
      <c r="CP13" s="112" t="s">
        <v>130</v>
      </c>
      <c r="CQ13" s="85">
        <v>23.99</v>
      </c>
      <c r="CT13" s="84" t="s">
        <v>130</v>
      </c>
      <c r="CU13" s="105" t="s">
        <v>97</v>
      </c>
      <c r="CV13" s="85" t="s">
        <v>134</v>
      </c>
      <c r="CW13" s="85" t="s">
        <v>91</v>
      </c>
      <c r="CX13" s="84">
        <v>1</v>
      </c>
      <c r="CY13" s="83"/>
      <c r="CZ13" s="109">
        <v>19.190000000000001</v>
      </c>
      <c r="DA13" s="109">
        <f>IFERROR(GroceryList2745614810[[#This Row],[QTY]]*GroceryList2745614810[[#This Row],[UNIT PRICE]],"")</f>
        <v>19.190000000000001</v>
      </c>
      <c r="DB13" s="112" t="s">
        <v>130</v>
      </c>
      <c r="DC13" s="85">
        <v>23.99</v>
      </c>
      <c r="DF13" s="84" t="s">
        <v>130</v>
      </c>
      <c r="DG13" s="105" t="s">
        <v>97</v>
      </c>
      <c r="DH13" s="85" t="s">
        <v>134</v>
      </c>
      <c r="DI13" s="85" t="s">
        <v>91</v>
      </c>
      <c r="DJ13" s="84">
        <v>0</v>
      </c>
      <c r="DK13" s="83"/>
      <c r="DL13" s="109">
        <v>22.79</v>
      </c>
      <c r="DM13" s="109">
        <f>IFERROR(GroceryList27456148109[[#This Row],[QTY]]*GroceryList27456148109[[#This Row],[UNIT PRICE]],"")</f>
        <v>0</v>
      </c>
      <c r="DN13" s="112" t="s">
        <v>130</v>
      </c>
      <c r="DO13" s="85">
        <v>23.99</v>
      </c>
      <c r="DR13" s="84" t="s">
        <v>130</v>
      </c>
      <c r="DS13" s="105" t="s">
        <v>97</v>
      </c>
      <c r="DT13" s="85" t="s">
        <v>134</v>
      </c>
      <c r="DU13" s="85" t="s">
        <v>91</v>
      </c>
      <c r="DV13" s="84">
        <v>1</v>
      </c>
      <c r="DW13" s="83"/>
      <c r="DX13" s="109">
        <v>22.79</v>
      </c>
      <c r="DY13" s="109">
        <f>IFERROR(GroceryList2745614810911[[#This Row],[QTY]]*GroceryList2745614810911[[#This Row],[UNIT PRICE]],"")</f>
        <v>22.79</v>
      </c>
      <c r="DZ13" s="112" t="s">
        <v>130</v>
      </c>
      <c r="EA13" s="85">
        <v>23.99</v>
      </c>
      <c r="ED13" s="84" t="s">
        <v>130</v>
      </c>
      <c r="EE13" s="105" t="s">
        <v>97</v>
      </c>
      <c r="EF13" s="85" t="s">
        <v>134</v>
      </c>
      <c r="EG13" s="85" t="s">
        <v>91</v>
      </c>
      <c r="EH13" s="84">
        <v>1</v>
      </c>
      <c r="EI13" s="83"/>
      <c r="EJ13" s="109">
        <v>20.49</v>
      </c>
      <c r="EK13" s="109">
        <f>IFERROR(GroceryList274561481091112[[#This Row],[QTY]]*GroceryList274561481091112[[#This Row],[UNIT PRICE]],"")</f>
        <v>20.49</v>
      </c>
      <c r="EL13" s="112" t="s">
        <v>130</v>
      </c>
      <c r="EM13" s="85">
        <v>23.99</v>
      </c>
      <c r="EP13" s="84" t="s">
        <v>130</v>
      </c>
      <c r="EQ13" s="105" t="s">
        <v>97</v>
      </c>
      <c r="ER13" s="85" t="s">
        <v>134</v>
      </c>
      <c r="ES13" s="85" t="s">
        <v>91</v>
      </c>
      <c r="ET13" s="84">
        <v>0</v>
      </c>
      <c r="EU13" s="83"/>
      <c r="EV13" s="109">
        <v>20.49</v>
      </c>
      <c r="EW13" s="109">
        <f>IFERROR(GroceryList27456148109111213[[#This Row],[QTY]]*GroceryList27456148109111213[[#This Row],[UNIT PRICE]],"")</f>
        <v>0</v>
      </c>
      <c r="EX13" s="112" t="s">
        <v>130</v>
      </c>
      <c r="EY13" s="85">
        <v>23.99</v>
      </c>
      <c r="FB13" s="84" t="s">
        <v>130</v>
      </c>
      <c r="FC13" s="105" t="s">
        <v>97</v>
      </c>
      <c r="FD13" s="85" t="s">
        <v>134</v>
      </c>
      <c r="FE13" s="85" t="s">
        <v>91</v>
      </c>
      <c r="FF13" s="84">
        <v>0</v>
      </c>
      <c r="FG13" s="83"/>
      <c r="FH13" s="109">
        <v>20.49</v>
      </c>
      <c r="FI13" s="109">
        <f>IFERROR(GroceryList2745614810911121315[[#This Row],[QTY]]*GroceryList2745614810911121315[[#This Row],[UNIT PRICE]],"")</f>
        <v>0</v>
      </c>
      <c r="FJ13" s="112" t="s">
        <v>130</v>
      </c>
      <c r="FK13" s="85">
        <v>23.99</v>
      </c>
      <c r="FN13" s="84" t="s">
        <v>130</v>
      </c>
      <c r="FO13" s="105" t="s">
        <v>97</v>
      </c>
      <c r="FP13" s="85" t="s">
        <v>134</v>
      </c>
      <c r="FQ13" s="85" t="s">
        <v>91</v>
      </c>
      <c r="FR13" s="84">
        <v>0</v>
      </c>
      <c r="FS13" s="83"/>
      <c r="FT13" s="109">
        <v>20.49</v>
      </c>
      <c r="FU13" s="109">
        <f>IFERROR(GroceryList274561481091112131516[[#This Row],[QTY]]*GroceryList274561481091112131516[[#This Row],[UNIT PRICE]],"")</f>
        <v>0</v>
      </c>
      <c r="FV13" s="112" t="s">
        <v>130</v>
      </c>
      <c r="FW13" s="85">
        <v>23.99</v>
      </c>
      <c r="FZ13" s="84" t="s">
        <v>130</v>
      </c>
      <c r="GA13" s="105" t="s">
        <v>97</v>
      </c>
      <c r="GB13" s="85" t="s">
        <v>134</v>
      </c>
      <c r="GC13" s="85" t="s">
        <v>91</v>
      </c>
      <c r="GD13" s="84">
        <v>1</v>
      </c>
      <c r="GE13" s="83"/>
      <c r="GF13" s="109">
        <v>19.989999999999998</v>
      </c>
      <c r="GG13" s="109">
        <f>IFERROR(GroceryList274561481091112131517[[#This Row],[QTY]]*GroceryList274561481091112131517[[#This Row],[UNIT PRICE]],"")</f>
        <v>19.989999999999998</v>
      </c>
      <c r="GH13" s="112" t="s">
        <v>130</v>
      </c>
      <c r="GI13" s="85">
        <v>22.99</v>
      </c>
      <c r="GL13" s="84" t="s">
        <v>130</v>
      </c>
      <c r="GM13" s="105" t="s">
        <v>97</v>
      </c>
      <c r="GN13" s="85" t="s">
        <v>134</v>
      </c>
      <c r="GO13" s="85" t="s">
        <v>91</v>
      </c>
      <c r="GP13" s="84">
        <v>1</v>
      </c>
      <c r="GQ13" s="83"/>
      <c r="GR13" s="109">
        <v>19.989999999999998</v>
      </c>
      <c r="GS13" s="109">
        <f>IFERROR(GroceryList27456148109111213151718[[#This Row],[QTY]]*GroceryList27456148109111213151718[[#This Row],[UNIT PRICE]],"")</f>
        <v>19.989999999999998</v>
      </c>
      <c r="GT13" s="112" t="s">
        <v>130</v>
      </c>
      <c r="GU13" s="85">
        <v>22.99</v>
      </c>
    </row>
    <row r="14" spans="2:203" ht="30" customHeight="1" x14ac:dyDescent="0.2">
      <c r="B14" s="84"/>
      <c r="C14" s="102" t="s">
        <v>144</v>
      </c>
      <c r="D14" t="s">
        <v>134</v>
      </c>
      <c r="E14" t="s">
        <v>91</v>
      </c>
      <c r="F14" s="84">
        <v>0.5</v>
      </c>
      <c r="G14" s="83"/>
      <c r="H14" s="90">
        <v>50.33</v>
      </c>
      <c r="I14" s="90">
        <f>IFERROR(GroceryList[[#This Row],[QTY]]*GroceryList[[#This Row],[UNIT PRICE]],"")</f>
        <v>25.164999999999999</v>
      </c>
      <c r="J14"/>
      <c r="M14" s="84"/>
      <c r="N14" s="102" t="s">
        <v>144</v>
      </c>
      <c r="O14" t="s">
        <v>134</v>
      </c>
      <c r="P14" t="s">
        <v>91</v>
      </c>
      <c r="Q14" s="84"/>
      <c r="R14" s="83"/>
      <c r="S14" s="90">
        <v>50.33</v>
      </c>
      <c r="T14" s="90">
        <f>IFERROR(GroceryList2[[#This Row],[QTY]]*GroceryList2[[#This Row],[UNIT PRICE]],"")</f>
        <v>0</v>
      </c>
      <c r="U14"/>
      <c r="Y14" s="84"/>
      <c r="Z14" s="102" t="s">
        <v>144</v>
      </c>
      <c r="AA14" t="s">
        <v>134</v>
      </c>
      <c r="AB14" t="s">
        <v>91</v>
      </c>
      <c r="AC14" s="84"/>
      <c r="AD14" s="83"/>
      <c r="AE14" s="90">
        <v>50.33</v>
      </c>
      <c r="AF14" s="90">
        <f>IFERROR(GroceryList27[[#This Row],[QTY]]*GroceryList27[[#This Row],[UNIT PRICE]],"")</f>
        <v>0</v>
      </c>
      <c r="AG14"/>
      <c r="AM14" s="84"/>
      <c r="AN14" s="107" t="s">
        <v>144</v>
      </c>
      <c r="AO14" s="108" t="s">
        <v>134</v>
      </c>
      <c r="AP14" s="108" t="s">
        <v>91</v>
      </c>
      <c r="AQ14" s="84"/>
      <c r="AR14" s="83"/>
      <c r="AS14" s="109">
        <v>50.33</v>
      </c>
      <c r="AT14" s="109">
        <f>IFERROR(GroceryList274[[#This Row],[QTY]]*GroceryList274[[#This Row],[UNIT PRICE]],"")</f>
        <v>0</v>
      </c>
      <c r="AU14"/>
      <c r="AY14" s="84"/>
      <c r="AZ14" s="107" t="s">
        <v>144</v>
      </c>
      <c r="BA14" s="108" t="s">
        <v>134</v>
      </c>
      <c r="BB14" s="108" t="s">
        <v>91</v>
      </c>
      <c r="BC14" s="84">
        <v>0</v>
      </c>
      <c r="BD14" s="83"/>
      <c r="BE14" s="109">
        <v>50.33</v>
      </c>
      <c r="BF14" s="109">
        <f>IFERROR(GroceryList2745[[#This Row],[QTY]]*GroceryList2745[[#This Row],[UNIT PRICE]],"")</f>
        <v>0</v>
      </c>
      <c r="BG14"/>
      <c r="BJ14" s="84"/>
      <c r="BK14" s="107" t="s">
        <v>144</v>
      </c>
      <c r="BL14" s="108" t="s">
        <v>134</v>
      </c>
      <c r="BM14" s="108" t="s">
        <v>91</v>
      </c>
      <c r="BN14" s="84">
        <v>0</v>
      </c>
      <c r="BO14" s="83"/>
      <c r="BP14" s="109">
        <v>50.33</v>
      </c>
      <c r="BQ14" s="109">
        <f>IFERROR(GroceryList27456[[#This Row],[QTY]]*GroceryList27456[[#This Row],[UNIT PRICE]],"")</f>
        <v>0</v>
      </c>
      <c r="BR14" s="111" t="s">
        <v>169</v>
      </c>
      <c r="BS14"/>
      <c r="BV14" s="84"/>
      <c r="BW14" s="107" t="s">
        <v>144</v>
      </c>
      <c r="BX14" s="108" t="s">
        <v>134</v>
      </c>
      <c r="BY14" s="108" t="s">
        <v>91</v>
      </c>
      <c r="BZ14" s="84">
        <v>0</v>
      </c>
      <c r="CA14" s="83"/>
      <c r="CB14" s="109">
        <v>50.33</v>
      </c>
      <c r="CC14" s="109">
        <f>IFERROR(GroceryList2745614[[#This Row],[QTY]]*GroceryList2745614[[#This Row],[UNIT PRICE]],"")</f>
        <v>0</v>
      </c>
      <c r="CD14" s="111" t="s">
        <v>169</v>
      </c>
      <c r="CE14"/>
      <c r="CH14" s="84"/>
      <c r="CI14" s="107" t="s">
        <v>144</v>
      </c>
      <c r="CJ14" s="108" t="s">
        <v>134</v>
      </c>
      <c r="CK14" s="108" t="s">
        <v>91</v>
      </c>
      <c r="CL14" s="84">
        <v>0</v>
      </c>
      <c r="CM14" s="83"/>
      <c r="CN14" s="109">
        <v>50.33</v>
      </c>
      <c r="CO14" s="109">
        <f>IFERROR(GroceryList27456148[[#This Row],[QTY]]*GroceryList27456148[[#This Row],[UNIT PRICE]],"")</f>
        <v>0</v>
      </c>
      <c r="CP14" s="111" t="s">
        <v>169</v>
      </c>
      <c r="CQ14"/>
      <c r="CT14" s="84"/>
      <c r="CU14" s="107" t="s">
        <v>144</v>
      </c>
      <c r="CV14" s="108" t="s">
        <v>134</v>
      </c>
      <c r="CW14" s="108" t="s">
        <v>91</v>
      </c>
      <c r="CX14" s="84">
        <v>0</v>
      </c>
      <c r="CY14" s="83"/>
      <c r="CZ14" s="109">
        <v>50.33</v>
      </c>
      <c r="DA14" s="109">
        <f>IFERROR(GroceryList2745614810[[#This Row],[QTY]]*GroceryList2745614810[[#This Row],[UNIT PRICE]],"")</f>
        <v>0</v>
      </c>
      <c r="DB14" s="111" t="s">
        <v>169</v>
      </c>
      <c r="DC14"/>
      <c r="DF14" s="84"/>
      <c r="DG14" s="107" t="s">
        <v>144</v>
      </c>
      <c r="DH14" s="108" t="s">
        <v>134</v>
      </c>
      <c r="DI14" s="108" t="s">
        <v>91</v>
      </c>
      <c r="DJ14" s="84">
        <v>0</v>
      </c>
      <c r="DK14" s="83"/>
      <c r="DL14" s="109">
        <v>50.33</v>
      </c>
      <c r="DM14" s="109">
        <f>IFERROR(GroceryList27456148109[[#This Row],[QTY]]*GroceryList27456148109[[#This Row],[UNIT PRICE]],"")</f>
        <v>0</v>
      </c>
      <c r="DN14" s="111" t="s">
        <v>169</v>
      </c>
      <c r="DO14"/>
      <c r="DR14" s="84"/>
      <c r="DS14" s="107" t="s">
        <v>144</v>
      </c>
      <c r="DT14" s="108" t="s">
        <v>134</v>
      </c>
      <c r="DU14" s="108" t="s">
        <v>91</v>
      </c>
      <c r="DV14" s="84">
        <v>0</v>
      </c>
      <c r="DW14" s="83"/>
      <c r="DX14" s="109">
        <v>50.33</v>
      </c>
      <c r="DY14" s="109">
        <f>IFERROR(GroceryList2745614810911[[#This Row],[QTY]]*GroceryList2745614810911[[#This Row],[UNIT PRICE]],"")</f>
        <v>0</v>
      </c>
      <c r="DZ14" s="111" t="s">
        <v>169</v>
      </c>
      <c r="EA14"/>
      <c r="ED14" s="84"/>
      <c r="EE14" s="107" t="s">
        <v>144</v>
      </c>
      <c r="EF14" s="108" t="s">
        <v>134</v>
      </c>
      <c r="EG14" s="108" t="s">
        <v>91</v>
      </c>
      <c r="EH14" s="84">
        <v>0</v>
      </c>
      <c r="EI14" s="83"/>
      <c r="EJ14" s="109">
        <v>50.33</v>
      </c>
      <c r="EK14" s="109">
        <f>IFERROR(GroceryList274561481091112[[#This Row],[QTY]]*GroceryList274561481091112[[#This Row],[UNIT PRICE]],"")</f>
        <v>0</v>
      </c>
      <c r="EL14" s="111" t="s">
        <v>169</v>
      </c>
      <c r="EM14"/>
      <c r="EP14" s="84"/>
      <c r="EQ14" s="107" t="s">
        <v>144</v>
      </c>
      <c r="ER14" s="108" t="s">
        <v>134</v>
      </c>
      <c r="ES14" s="108" t="s">
        <v>91</v>
      </c>
      <c r="ET14" s="84">
        <v>0</v>
      </c>
      <c r="EU14" s="83"/>
      <c r="EV14" s="109">
        <v>50.33</v>
      </c>
      <c r="EW14" s="109">
        <f>IFERROR(GroceryList27456148109111213[[#This Row],[QTY]]*GroceryList27456148109111213[[#This Row],[UNIT PRICE]],"")</f>
        <v>0</v>
      </c>
      <c r="EX14" s="111" t="s">
        <v>169</v>
      </c>
      <c r="EY14"/>
      <c r="FB14" s="84"/>
      <c r="FC14" s="107" t="s">
        <v>144</v>
      </c>
      <c r="FD14" s="108" t="s">
        <v>134</v>
      </c>
      <c r="FE14" s="108" t="s">
        <v>91</v>
      </c>
      <c r="FF14" s="84">
        <v>0</v>
      </c>
      <c r="FG14" s="83"/>
      <c r="FH14" s="109">
        <v>50.33</v>
      </c>
      <c r="FI14" s="109">
        <f>IFERROR(GroceryList2745614810911121315[[#This Row],[QTY]]*GroceryList2745614810911121315[[#This Row],[UNIT PRICE]],"")</f>
        <v>0</v>
      </c>
      <c r="FJ14" s="111" t="s">
        <v>169</v>
      </c>
      <c r="FK14"/>
      <c r="FN14" s="84"/>
      <c r="FO14" s="107" t="s">
        <v>144</v>
      </c>
      <c r="FP14" s="108" t="s">
        <v>134</v>
      </c>
      <c r="FQ14" s="108" t="s">
        <v>91</v>
      </c>
      <c r="FR14" s="84">
        <v>0</v>
      </c>
      <c r="FS14" s="83"/>
      <c r="FT14" s="109">
        <v>50.33</v>
      </c>
      <c r="FU14" s="109">
        <f>IFERROR(GroceryList274561481091112131516[[#This Row],[QTY]]*GroceryList274561481091112131516[[#This Row],[UNIT PRICE]],"")</f>
        <v>0</v>
      </c>
      <c r="FV14" s="111" t="s">
        <v>169</v>
      </c>
      <c r="FW14"/>
      <c r="FZ14" s="84"/>
      <c r="GA14" s="107" t="s">
        <v>144</v>
      </c>
      <c r="GB14" s="108" t="s">
        <v>134</v>
      </c>
      <c r="GC14" s="108" t="s">
        <v>91</v>
      </c>
      <c r="GD14" s="84">
        <v>1</v>
      </c>
      <c r="GE14" s="83"/>
      <c r="GF14" s="109">
        <v>25.64</v>
      </c>
      <c r="GG14" s="109">
        <f>IFERROR(GroceryList274561481091112131517[[#This Row],[QTY]]*GroceryList274561481091112131517[[#This Row],[UNIT PRICE]],"")</f>
        <v>25.64</v>
      </c>
      <c r="GH14" s="111" t="s">
        <v>169</v>
      </c>
      <c r="GI14">
        <v>27</v>
      </c>
      <c r="GL14" s="84"/>
      <c r="GM14" s="107" t="s">
        <v>144</v>
      </c>
      <c r="GN14" s="108" t="s">
        <v>134</v>
      </c>
      <c r="GO14" s="108" t="s">
        <v>91</v>
      </c>
      <c r="GP14" s="84"/>
      <c r="GQ14" s="83"/>
      <c r="GR14" s="109">
        <v>25.64</v>
      </c>
      <c r="GS14" s="109">
        <f>IFERROR(GroceryList27456148109111213151718[[#This Row],[QTY]]*GroceryList27456148109111213151718[[#This Row],[UNIT PRICE]],"")</f>
        <v>0</v>
      </c>
      <c r="GT14" s="111" t="s">
        <v>169</v>
      </c>
      <c r="GU14">
        <v>27</v>
      </c>
    </row>
    <row r="15" spans="2:203" ht="30" hidden="1" customHeight="1" x14ac:dyDescent="0.2">
      <c r="B15" s="84"/>
      <c r="C15" s="102" t="s">
        <v>145</v>
      </c>
      <c r="D15" t="s">
        <v>134</v>
      </c>
      <c r="E15" t="s">
        <v>91</v>
      </c>
      <c r="F15" s="84">
        <v>1</v>
      </c>
      <c r="G15" s="83"/>
      <c r="H15" s="90">
        <v>31.82</v>
      </c>
      <c r="I15" s="90">
        <f>IFERROR(GroceryList[[#This Row],[QTY]]*GroceryList[[#This Row],[UNIT PRICE]],"")</f>
        <v>31.82</v>
      </c>
      <c r="J15"/>
      <c r="M15" s="84"/>
      <c r="N15" s="102" t="s">
        <v>145</v>
      </c>
      <c r="O15" t="s">
        <v>134</v>
      </c>
      <c r="P15" t="s">
        <v>91</v>
      </c>
      <c r="Q15" s="84"/>
      <c r="R15" s="83"/>
      <c r="S15" s="90">
        <v>31.82</v>
      </c>
      <c r="T15" s="90">
        <f>IFERROR(GroceryList2[[#This Row],[QTY]]*GroceryList2[[#This Row],[UNIT PRICE]],"")</f>
        <v>0</v>
      </c>
      <c r="U15"/>
      <c r="Y15" s="84"/>
      <c r="Z15" s="102" t="s">
        <v>145</v>
      </c>
      <c r="AA15" t="s">
        <v>134</v>
      </c>
      <c r="AB15" t="s">
        <v>91</v>
      </c>
      <c r="AC15" s="84"/>
      <c r="AD15" s="83"/>
      <c r="AE15" s="90">
        <v>31.82</v>
      </c>
      <c r="AF15" s="90">
        <f>IFERROR(GroceryList27[[#This Row],[QTY]]*GroceryList27[[#This Row],[UNIT PRICE]],"")</f>
        <v>0</v>
      </c>
      <c r="AG15"/>
      <c r="AM15" s="84"/>
      <c r="AN15" s="107" t="s">
        <v>145</v>
      </c>
      <c r="AO15" s="108" t="s">
        <v>134</v>
      </c>
      <c r="AP15" s="108" t="s">
        <v>91</v>
      </c>
      <c r="AQ15" s="84"/>
      <c r="AR15" s="83"/>
      <c r="AS15" s="109">
        <v>31.82</v>
      </c>
      <c r="AT15" s="109">
        <f>IFERROR(GroceryList274[[#This Row],[QTY]]*GroceryList274[[#This Row],[UNIT PRICE]],"")</f>
        <v>0</v>
      </c>
      <c r="AU15"/>
      <c r="AY15" s="84"/>
      <c r="AZ15" s="107" t="s">
        <v>145</v>
      </c>
      <c r="BA15" s="108" t="s">
        <v>134</v>
      </c>
      <c r="BB15" s="108" t="s">
        <v>91</v>
      </c>
      <c r="BC15" s="84">
        <v>0</v>
      </c>
      <c r="BD15" s="83"/>
      <c r="BE15" s="109">
        <v>31.82</v>
      </c>
      <c r="BF15" s="109">
        <f>IFERROR(GroceryList2745[[#This Row],[QTY]]*GroceryList2745[[#This Row],[UNIT PRICE]],"")</f>
        <v>0</v>
      </c>
      <c r="BG15"/>
      <c r="BJ15" s="84"/>
      <c r="BK15" s="107" t="s">
        <v>145</v>
      </c>
      <c r="BL15" s="108" t="s">
        <v>134</v>
      </c>
      <c r="BM15" s="108" t="s">
        <v>91</v>
      </c>
      <c r="BN15" s="84">
        <v>0</v>
      </c>
      <c r="BO15" s="83"/>
      <c r="BP15" s="109">
        <v>31.82</v>
      </c>
      <c r="BQ15" s="109">
        <f>IFERROR(GroceryList27456[[#This Row],[QTY]]*GroceryList27456[[#This Row],[UNIT PRICE]],"")</f>
        <v>0</v>
      </c>
      <c r="BR15" s="111" t="s">
        <v>169</v>
      </c>
      <c r="BS15"/>
      <c r="BV15" s="84"/>
      <c r="BW15" s="107" t="s">
        <v>145</v>
      </c>
      <c r="BX15" s="108" t="s">
        <v>134</v>
      </c>
      <c r="BY15" s="108" t="s">
        <v>91</v>
      </c>
      <c r="BZ15" s="84">
        <v>0</v>
      </c>
      <c r="CA15" s="83"/>
      <c r="CB15" s="109">
        <v>31.82</v>
      </c>
      <c r="CC15" s="109">
        <f>IFERROR(GroceryList2745614[[#This Row],[QTY]]*GroceryList2745614[[#This Row],[UNIT PRICE]],"")</f>
        <v>0</v>
      </c>
      <c r="CD15" s="111" t="s">
        <v>169</v>
      </c>
      <c r="CE15"/>
      <c r="CH15" s="84"/>
      <c r="CI15" s="107" t="s">
        <v>145</v>
      </c>
      <c r="CJ15" s="108" t="s">
        <v>134</v>
      </c>
      <c r="CK15" s="108" t="s">
        <v>91</v>
      </c>
      <c r="CL15" s="84">
        <v>0</v>
      </c>
      <c r="CM15" s="83"/>
      <c r="CN15" s="109">
        <v>31.82</v>
      </c>
      <c r="CO15" s="109">
        <f>IFERROR(GroceryList27456148[[#This Row],[QTY]]*GroceryList27456148[[#This Row],[UNIT PRICE]],"")</f>
        <v>0</v>
      </c>
      <c r="CP15" s="111" t="s">
        <v>169</v>
      </c>
      <c r="CQ15"/>
      <c r="CT15" s="84"/>
      <c r="CU15" s="107" t="s">
        <v>145</v>
      </c>
      <c r="CV15" s="108" t="s">
        <v>134</v>
      </c>
      <c r="CW15" s="108" t="s">
        <v>91</v>
      </c>
      <c r="CX15" s="84">
        <v>0</v>
      </c>
      <c r="CY15" s="83"/>
      <c r="CZ15" s="109">
        <v>31.82</v>
      </c>
      <c r="DA15" s="109">
        <f>IFERROR(GroceryList2745614810[[#This Row],[QTY]]*GroceryList2745614810[[#This Row],[UNIT PRICE]],"")</f>
        <v>0</v>
      </c>
      <c r="DB15" s="111" t="s">
        <v>169</v>
      </c>
      <c r="DC15"/>
      <c r="DF15" s="84"/>
      <c r="DG15" s="107" t="s">
        <v>145</v>
      </c>
      <c r="DH15" s="108" t="s">
        <v>134</v>
      </c>
      <c r="DI15" s="108" t="s">
        <v>91</v>
      </c>
      <c r="DJ15" s="84">
        <v>0</v>
      </c>
      <c r="DK15" s="83"/>
      <c r="DL15" s="109">
        <v>31.82</v>
      </c>
      <c r="DM15" s="109">
        <f>IFERROR(GroceryList27456148109[[#This Row],[QTY]]*GroceryList27456148109[[#This Row],[UNIT PRICE]],"")</f>
        <v>0</v>
      </c>
      <c r="DN15" s="111" t="s">
        <v>169</v>
      </c>
      <c r="DO15"/>
      <c r="DR15" s="84"/>
      <c r="DS15" s="107" t="s">
        <v>145</v>
      </c>
      <c r="DT15" s="108" t="s">
        <v>134</v>
      </c>
      <c r="DU15" s="108" t="s">
        <v>91</v>
      </c>
      <c r="DV15" s="84">
        <v>0</v>
      </c>
      <c r="DW15" s="83"/>
      <c r="DX15" s="109">
        <v>31.82</v>
      </c>
      <c r="DY15" s="109">
        <f>IFERROR(GroceryList2745614810911[[#This Row],[QTY]]*GroceryList2745614810911[[#This Row],[UNIT PRICE]],"")</f>
        <v>0</v>
      </c>
      <c r="DZ15" s="111" t="s">
        <v>169</v>
      </c>
      <c r="EA15"/>
      <c r="ED15" s="84"/>
      <c r="EE15" s="107" t="s">
        <v>145</v>
      </c>
      <c r="EF15" s="108" t="s">
        <v>134</v>
      </c>
      <c r="EG15" s="108" t="s">
        <v>91</v>
      </c>
      <c r="EH15" s="84">
        <v>0</v>
      </c>
      <c r="EI15" s="83"/>
      <c r="EJ15" s="109">
        <v>31.82</v>
      </c>
      <c r="EK15" s="109">
        <f>IFERROR(GroceryList274561481091112[[#This Row],[QTY]]*GroceryList274561481091112[[#This Row],[UNIT PRICE]],"")</f>
        <v>0</v>
      </c>
      <c r="EL15" s="111" t="s">
        <v>169</v>
      </c>
      <c r="EM15"/>
      <c r="EP15" s="84"/>
      <c r="EQ15" s="107" t="s">
        <v>145</v>
      </c>
      <c r="ER15" s="108" t="s">
        <v>134</v>
      </c>
      <c r="ES15" s="108" t="s">
        <v>91</v>
      </c>
      <c r="ET15" s="84">
        <v>0</v>
      </c>
      <c r="EU15" s="83"/>
      <c r="EV15" s="109">
        <v>31.82</v>
      </c>
      <c r="EW15" s="109">
        <f>IFERROR(GroceryList27456148109111213[[#This Row],[QTY]]*GroceryList27456148109111213[[#This Row],[UNIT PRICE]],"")</f>
        <v>0</v>
      </c>
      <c r="EX15" s="111" t="s">
        <v>169</v>
      </c>
      <c r="EY15"/>
      <c r="FB15" s="84"/>
      <c r="FC15" s="107" t="s">
        <v>145</v>
      </c>
      <c r="FD15" s="108" t="s">
        <v>134</v>
      </c>
      <c r="FE15" s="108" t="s">
        <v>91</v>
      </c>
      <c r="FF15" s="84">
        <v>0</v>
      </c>
      <c r="FG15" s="83"/>
      <c r="FH15" s="109">
        <v>31.82</v>
      </c>
      <c r="FI15" s="109">
        <f>IFERROR(GroceryList2745614810911121315[[#This Row],[QTY]]*GroceryList2745614810911121315[[#This Row],[UNIT PRICE]],"")</f>
        <v>0</v>
      </c>
      <c r="FJ15" s="111" t="s">
        <v>169</v>
      </c>
      <c r="FK15"/>
      <c r="FN15" s="84"/>
      <c r="FO15" s="107" t="s">
        <v>145</v>
      </c>
      <c r="FP15" s="108" t="s">
        <v>134</v>
      </c>
      <c r="FQ15" s="108" t="s">
        <v>91</v>
      </c>
      <c r="FR15" s="84">
        <v>0</v>
      </c>
      <c r="FS15" s="83"/>
      <c r="FT15" s="109">
        <v>31.82</v>
      </c>
      <c r="FU15" s="109">
        <f>IFERROR(GroceryList274561481091112131516[[#This Row],[QTY]]*GroceryList274561481091112131516[[#This Row],[UNIT PRICE]],"")</f>
        <v>0</v>
      </c>
      <c r="FV15" s="111" t="s">
        <v>169</v>
      </c>
      <c r="FW15"/>
      <c r="FZ15" s="84"/>
      <c r="GA15" s="107" t="s">
        <v>145</v>
      </c>
      <c r="GB15" s="108" t="s">
        <v>134</v>
      </c>
      <c r="GC15" s="108" t="s">
        <v>91</v>
      </c>
      <c r="GD15" s="84">
        <v>0</v>
      </c>
      <c r="GE15" s="83"/>
      <c r="GF15" s="109">
        <v>31.82</v>
      </c>
      <c r="GG15" s="109">
        <f>IFERROR(GroceryList274561481091112131517[[#This Row],[QTY]]*GroceryList274561481091112131517[[#This Row],[UNIT PRICE]],"")</f>
        <v>0</v>
      </c>
      <c r="GH15" s="111" t="s">
        <v>169</v>
      </c>
      <c r="GI15"/>
      <c r="GL15" s="84"/>
      <c r="GM15" s="107" t="s">
        <v>145</v>
      </c>
      <c r="GN15" s="108" t="s">
        <v>134</v>
      </c>
      <c r="GO15" s="108" t="s">
        <v>91</v>
      </c>
      <c r="GP15" s="84">
        <v>1</v>
      </c>
      <c r="GQ15" s="83"/>
      <c r="GR15" s="109">
        <v>31.82</v>
      </c>
      <c r="GS15" s="109">
        <f>IFERROR(GroceryList27456148109111213151718[[#This Row],[QTY]]*GroceryList27456148109111213151718[[#This Row],[UNIT PRICE]],"")</f>
        <v>31.82</v>
      </c>
      <c r="GT15" s="111" t="s">
        <v>169</v>
      </c>
      <c r="GU15"/>
    </row>
    <row r="16" spans="2:203" ht="30" customHeight="1" x14ac:dyDescent="0.2">
      <c r="B16" s="84"/>
      <c r="C16" s="102" t="s">
        <v>146</v>
      </c>
      <c r="D16" t="s">
        <v>134</v>
      </c>
      <c r="E16" t="s">
        <v>91</v>
      </c>
      <c r="F16" s="84">
        <v>1</v>
      </c>
      <c r="G16" s="83"/>
      <c r="H16" s="90">
        <v>22.32</v>
      </c>
      <c r="I16" s="90">
        <f>IFERROR(GroceryList[[#This Row],[QTY]]*GroceryList[[#This Row],[UNIT PRICE]],"")</f>
        <v>22.32</v>
      </c>
      <c r="J16"/>
      <c r="M16" s="84"/>
      <c r="N16" s="102" t="s">
        <v>146</v>
      </c>
      <c r="O16" t="s">
        <v>134</v>
      </c>
      <c r="P16" t="s">
        <v>91</v>
      </c>
      <c r="Q16" s="84"/>
      <c r="R16" s="83"/>
      <c r="S16" s="90">
        <v>22.32</v>
      </c>
      <c r="T16" s="90">
        <f>IFERROR(GroceryList2[[#This Row],[QTY]]*GroceryList2[[#This Row],[UNIT PRICE]],"")</f>
        <v>0</v>
      </c>
      <c r="U16"/>
      <c r="Y16" s="84"/>
      <c r="Z16" s="102" t="s">
        <v>146</v>
      </c>
      <c r="AA16" t="s">
        <v>134</v>
      </c>
      <c r="AB16" t="s">
        <v>91</v>
      </c>
      <c r="AC16" s="84"/>
      <c r="AD16" s="83"/>
      <c r="AE16" s="90">
        <v>22.32</v>
      </c>
      <c r="AF16" s="90">
        <f>IFERROR(GroceryList27[[#This Row],[QTY]]*GroceryList27[[#This Row],[UNIT PRICE]],"")</f>
        <v>0</v>
      </c>
      <c r="AG16"/>
      <c r="AM16" s="84"/>
      <c r="AN16" s="107" t="s">
        <v>146</v>
      </c>
      <c r="AO16" s="108" t="s">
        <v>134</v>
      </c>
      <c r="AP16" s="108" t="s">
        <v>91</v>
      </c>
      <c r="AQ16" s="84"/>
      <c r="AR16" s="83"/>
      <c r="AS16" s="109">
        <v>22.32</v>
      </c>
      <c r="AT16" s="109">
        <f>IFERROR(GroceryList274[[#This Row],[QTY]]*GroceryList274[[#This Row],[UNIT PRICE]],"")</f>
        <v>0</v>
      </c>
      <c r="AU16"/>
      <c r="AY16" s="84" t="s">
        <v>130</v>
      </c>
      <c r="AZ16" s="107" t="s">
        <v>136</v>
      </c>
      <c r="BA16" s="108" t="s">
        <v>134</v>
      </c>
      <c r="BB16" s="108" t="s">
        <v>92</v>
      </c>
      <c r="BC16" s="84">
        <v>2</v>
      </c>
      <c r="BD16" s="83"/>
      <c r="BE16" s="109">
        <v>24.7</v>
      </c>
      <c r="BF16" s="109">
        <f>IFERROR(GroceryList2745[[#This Row],[QTY]]*GroceryList2745[[#This Row],[UNIT PRICE]],"")</f>
        <v>49.4</v>
      </c>
      <c r="BG16"/>
      <c r="BJ16" s="84" t="s">
        <v>130</v>
      </c>
      <c r="BK16" s="107" t="s">
        <v>136</v>
      </c>
      <c r="BL16" s="108" t="s">
        <v>134</v>
      </c>
      <c r="BM16" s="108" t="s">
        <v>92</v>
      </c>
      <c r="BN16" s="84">
        <v>2</v>
      </c>
      <c r="BO16" s="83"/>
      <c r="BP16" s="109">
        <v>25</v>
      </c>
      <c r="BQ16" s="109">
        <f>IFERROR(GroceryList27456[[#This Row],[QTY]]*GroceryList27456[[#This Row],[UNIT PRICE]],"")</f>
        <v>50</v>
      </c>
      <c r="BR16" s="111" t="s">
        <v>130</v>
      </c>
      <c r="BS16"/>
      <c r="BV16" s="84" t="s">
        <v>130</v>
      </c>
      <c r="BW16" s="107" t="s">
        <v>136</v>
      </c>
      <c r="BX16" s="108" t="s">
        <v>134</v>
      </c>
      <c r="BY16" s="108" t="s">
        <v>92</v>
      </c>
      <c r="BZ16" s="84">
        <v>2</v>
      </c>
      <c r="CA16" s="83"/>
      <c r="CB16" s="109">
        <v>26.59</v>
      </c>
      <c r="CC16" s="109">
        <f>IFERROR(GroceryList2745614[[#This Row],[QTY]]*GroceryList2745614[[#This Row],[UNIT PRICE]],"")</f>
        <v>53.18</v>
      </c>
      <c r="CD16" s="111" t="s">
        <v>130</v>
      </c>
      <c r="CE16">
        <v>27.99</v>
      </c>
      <c r="CH16" s="84" t="s">
        <v>130</v>
      </c>
      <c r="CI16" s="107" t="s">
        <v>136</v>
      </c>
      <c r="CJ16" s="108" t="s">
        <v>134</v>
      </c>
      <c r="CK16" s="108" t="s">
        <v>92</v>
      </c>
      <c r="CL16" s="84">
        <v>2</v>
      </c>
      <c r="CM16" s="83"/>
      <c r="CN16" s="109">
        <v>22.39</v>
      </c>
      <c r="CO16" s="109">
        <f>IFERROR(GroceryList27456148[[#This Row],[QTY]]*GroceryList27456148[[#This Row],[UNIT PRICE]],"")</f>
        <v>44.78</v>
      </c>
      <c r="CP16" s="111" t="s">
        <v>130</v>
      </c>
      <c r="CQ16">
        <v>27.99</v>
      </c>
      <c r="CT16" s="84" t="s">
        <v>130</v>
      </c>
      <c r="CU16" s="107" t="s">
        <v>136</v>
      </c>
      <c r="CV16" s="108" t="s">
        <v>134</v>
      </c>
      <c r="CW16" s="108" t="s">
        <v>92</v>
      </c>
      <c r="CX16" s="84">
        <v>1</v>
      </c>
      <c r="CY16" s="83"/>
      <c r="CZ16" s="109">
        <v>22.39</v>
      </c>
      <c r="DA16" s="109">
        <f>IFERROR(GroceryList2745614810[[#This Row],[QTY]]*GroceryList2745614810[[#This Row],[UNIT PRICE]],"")</f>
        <v>22.39</v>
      </c>
      <c r="DB16" s="111" t="s">
        <v>130</v>
      </c>
      <c r="DC16">
        <v>27.99</v>
      </c>
      <c r="DF16" s="84" t="s">
        <v>130</v>
      </c>
      <c r="DG16" s="107" t="s">
        <v>136</v>
      </c>
      <c r="DH16" s="108" t="s">
        <v>134</v>
      </c>
      <c r="DI16" s="108" t="s">
        <v>92</v>
      </c>
      <c r="DJ16" s="84">
        <v>0</v>
      </c>
      <c r="DK16" s="83"/>
      <c r="DL16" s="109">
        <v>22.39</v>
      </c>
      <c r="DM16" s="109">
        <f>IFERROR(GroceryList27456148109[[#This Row],[QTY]]*GroceryList27456148109[[#This Row],[UNIT PRICE]],"")</f>
        <v>0</v>
      </c>
      <c r="DN16" s="111" t="s">
        <v>130</v>
      </c>
      <c r="DO16">
        <v>27.99</v>
      </c>
      <c r="DR16" s="84" t="s">
        <v>130</v>
      </c>
      <c r="DS16" s="107" t="s">
        <v>136</v>
      </c>
      <c r="DT16" s="108" t="s">
        <v>134</v>
      </c>
      <c r="DU16" s="108" t="s">
        <v>92</v>
      </c>
      <c r="DV16" s="84">
        <v>2</v>
      </c>
      <c r="DW16" s="83"/>
      <c r="DX16" s="109">
        <v>22.39</v>
      </c>
      <c r="DY16" s="109">
        <f>IFERROR(GroceryList2745614810911[[#This Row],[QTY]]*GroceryList2745614810911[[#This Row],[UNIT PRICE]],"")</f>
        <v>44.78</v>
      </c>
      <c r="DZ16" s="111" t="s">
        <v>130</v>
      </c>
      <c r="EA16">
        <v>27.99</v>
      </c>
      <c r="ED16" s="84" t="s">
        <v>130</v>
      </c>
      <c r="EE16" s="107" t="s">
        <v>136</v>
      </c>
      <c r="EF16" s="108" t="s">
        <v>134</v>
      </c>
      <c r="EG16" s="108" t="s">
        <v>92</v>
      </c>
      <c r="EH16" s="84">
        <v>1</v>
      </c>
      <c r="EI16" s="83"/>
      <c r="EJ16" s="109">
        <f>23.27+26.59+16.14</f>
        <v>66</v>
      </c>
      <c r="EK16" s="109">
        <f>IFERROR(GroceryList274561481091112[[#This Row],[QTY]]*GroceryList274561481091112[[#This Row],[UNIT PRICE]],"")</f>
        <v>66</v>
      </c>
      <c r="EL16" s="111" t="s">
        <v>130</v>
      </c>
      <c r="EM16">
        <v>27.99</v>
      </c>
      <c r="EP16" s="84" t="s">
        <v>130</v>
      </c>
      <c r="EQ16" s="107" t="s">
        <v>136</v>
      </c>
      <c r="ER16" s="108" t="s">
        <v>134</v>
      </c>
      <c r="ES16" s="108" t="s">
        <v>92</v>
      </c>
      <c r="ET16" s="84">
        <v>0</v>
      </c>
      <c r="EU16" s="83"/>
      <c r="EV16" s="109">
        <f>23.27+26.59+16.14</f>
        <v>66</v>
      </c>
      <c r="EW16" s="109">
        <f>IFERROR(GroceryList27456148109111213[[#This Row],[QTY]]*GroceryList27456148109111213[[#This Row],[UNIT PRICE]],"")</f>
        <v>0</v>
      </c>
      <c r="EX16" s="111" t="s">
        <v>130</v>
      </c>
      <c r="EY16">
        <v>27.99</v>
      </c>
      <c r="FB16" s="84" t="s">
        <v>130</v>
      </c>
      <c r="FC16" s="107" t="s">
        <v>136</v>
      </c>
      <c r="FD16" s="108" t="s">
        <v>134</v>
      </c>
      <c r="FE16" s="108" t="s">
        <v>92</v>
      </c>
      <c r="FF16" s="84">
        <v>1</v>
      </c>
      <c r="FG16" s="83"/>
      <c r="FH16" s="109">
        <f>20.39+23.79</f>
        <v>44.18</v>
      </c>
      <c r="FI16" s="109">
        <f>IFERROR(GroceryList2745614810911121315[[#This Row],[QTY]]*GroceryList2745614810911121315[[#This Row],[UNIT PRICE]],"")</f>
        <v>44.18</v>
      </c>
      <c r="FJ16" s="111" t="s">
        <v>130</v>
      </c>
      <c r="FK16">
        <v>27.99</v>
      </c>
      <c r="FN16" s="84" t="s">
        <v>130</v>
      </c>
      <c r="FO16" s="107" t="s">
        <v>136</v>
      </c>
      <c r="FP16" s="108" t="s">
        <v>134</v>
      </c>
      <c r="FQ16" s="108" t="s">
        <v>92</v>
      </c>
      <c r="FR16" s="84">
        <v>0</v>
      </c>
      <c r="FS16" s="83"/>
      <c r="FT16" s="109">
        <f>26.59</f>
        <v>26.59</v>
      </c>
      <c r="FU16" s="109">
        <f>IFERROR(GroceryList274561481091112131516[[#This Row],[QTY]]*GroceryList274561481091112131516[[#This Row],[UNIT PRICE]],"")</f>
        <v>0</v>
      </c>
      <c r="FV16" s="111" t="s">
        <v>130</v>
      </c>
      <c r="FW16">
        <v>27.99</v>
      </c>
      <c r="FZ16" s="84" t="s">
        <v>130</v>
      </c>
      <c r="GA16" s="107" t="s">
        <v>136</v>
      </c>
      <c r="GB16" s="108" t="s">
        <v>134</v>
      </c>
      <c r="GC16" s="108" t="s">
        <v>92</v>
      </c>
      <c r="GD16" s="84">
        <v>1</v>
      </c>
      <c r="GE16" s="83"/>
      <c r="GF16" s="109">
        <f>20.99+22.79</f>
        <v>43.78</v>
      </c>
      <c r="GG16" s="109">
        <f>IFERROR(GroceryList274561481091112131517[[#This Row],[QTY]]*GroceryList274561481091112131517[[#This Row],[UNIT PRICE]],"")</f>
        <v>43.78</v>
      </c>
      <c r="GH16" s="111" t="s">
        <v>130</v>
      </c>
      <c r="GI16">
        <v>27.99</v>
      </c>
      <c r="GL16" s="84" t="s">
        <v>130</v>
      </c>
      <c r="GM16" s="107" t="s">
        <v>136</v>
      </c>
      <c r="GN16" s="108" t="s">
        <v>134</v>
      </c>
      <c r="GO16" s="108" t="s">
        <v>92</v>
      </c>
      <c r="GP16" s="84">
        <v>1</v>
      </c>
      <c r="GQ16" s="83"/>
      <c r="GR16" s="109">
        <f>20.99+22.79</f>
        <v>43.78</v>
      </c>
      <c r="GS16" s="109">
        <f>IFERROR(GroceryList27456148109111213151718[[#This Row],[QTY]]*GroceryList27456148109111213151718[[#This Row],[UNIT PRICE]],"")</f>
        <v>43.78</v>
      </c>
      <c r="GT16" s="111" t="s">
        <v>130</v>
      </c>
      <c r="GU16">
        <v>27.99</v>
      </c>
    </row>
    <row r="17" spans="2:203" ht="30" customHeight="1" x14ac:dyDescent="0.2">
      <c r="B17" s="84"/>
      <c r="C17" s="102" t="s">
        <v>139</v>
      </c>
      <c r="D17" t="s">
        <v>134</v>
      </c>
      <c r="E17" t="s">
        <v>91</v>
      </c>
      <c r="F17" s="84">
        <v>1</v>
      </c>
      <c r="G17" s="83"/>
      <c r="H17" s="90"/>
      <c r="I17" s="90">
        <f>IFERROR(GroceryList[[#This Row],[QTY]]*GroceryList[[#This Row],[UNIT PRICE]],"")</f>
        <v>0</v>
      </c>
      <c r="J17"/>
      <c r="M17" s="84"/>
      <c r="N17" s="102" t="s">
        <v>139</v>
      </c>
      <c r="O17" t="s">
        <v>134</v>
      </c>
      <c r="P17" t="s">
        <v>91</v>
      </c>
      <c r="Q17" s="84"/>
      <c r="R17" s="83"/>
      <c r="S17" s="90"/>
      <c r="T17" s="90">
        <f>IFERROR(GroceryList2[[#This Row],[QTY]]*GroceryList2[[#This Row],[UNIT PRICE]],"")</f>
        <v>0</v>
      </c>
      <c r="U17"/>
      <c r="Y17" s="84"/>
      <c r="Z17" s="102" t="s">
        <v>139</v>
      </c>
      <c r="AA17" t="s">
        <v>134</v>
      </c>
      <c r="AB17" t="s">
        <v>91</v>
      </c>
      <c r="AC17" s="84"/>
      <c r="AD17" s="83"/>
      <c r="AE17" s="90"/>
      <c r="AF17" s="90">
        <f>IFERROR(GroceryList27[[#This Row],[QTY]]*GroceryList27[[#This Row],[UNIT PRICE]],"")</f>
        <v>0</v>
      </c>
      <c r="AG17"/>
      <c r="AM17" s="84"/>
      <c r="AN17" s="107" t="s">
        <v>139</v>
      </c>
      <c r="AO17" s="108" t="s">
        <v>134</v>
      </c>
      <c r="AP17" s="108" t="s">
        <v>91</v>
      </c>
      <c r="AQ17" s="84"/>
      <c r="AR17" s="83"/>
      <c r="AS17" s="109"/>
      <c r="AT17" s="109">
        <f>IFERROR(GroceryList274[[#This Row],[QTY]]*GroceryList274[[#This Row],[UNIT PRICE]],"")</f>
        <v>0</v>
      </c>
      <c r="AU17"/>
      <c r="AY17" s="84"/>
      <c r="AZ17" s="107" t="s">
        <v>146</v>
      </c>
      <c r="BA17" s="108" t="s">
        <v>134</v>
      </c>
      <c r="BB17" s="108" t="s">
        <v>91</v>
      </c>
      <c r="BC17" s="84">
        <v>0</v>
      </c>
      <c r="BD17" s="83"/>
      <c r="BE17" s="109">
        <v>22.32</v>
      </c>
      <c r="BF17" s="109">
        <f>IFERROR(GroceryList2745[[#This Row],[QTY]]*GroceryList2745[[#This Row],[UNIT PRICE]],"")</f>
        <v>0</v>
      </c>
      <c r="BG17"/>
      <c r="BJ17" s="84"/>
      <c r="BK17" s="107" t="s">
        <v>146</v>
      </c>
      <c r="BL17" s="108" t="s">
        <v>134</v>
      </c>
      <c r="BM17" s="108" t="s">
        <v>91</v>
      </c>
      <c r="BN17" s="84">
        <v>0</v>
      </c>
      <c r="BO17" s="83"/>
      <c r="BP17" s="109">
        <v>22.32</v>
      </c>
      <c r="BQ17" s="109">
        <f>IFERROR(GroceryList27456[[#This Row],[QTY]]*GroceryList27456[[#This Row],[UNIT PRICE]],"")</f>
        <v>0</v>
      </c>
      <c r="BR17" s="111" t="s">
        <v>169</v>
      </c>
      <c r="BS17"/>
      <c r="BV17" s="84"/>
      <c r="BW17" s="107" t="s">
        <v>146</v>
      </c>
      <c r="BX17" s="108" t="s">
        <v>134</v>
      </c>
      <c r="BY17" s="108" t="s">
        <v>91</v>
      </c>
      <c r="BZ17" s="84">
        <v>0</v>
      </c>
      <c r="CA17" s="83"/>
      <c r="CB17" s="109">
        <v>22.32</v>
      </c>
      <c r="CC17" s="109">
        <f>IFERROR(GroceryList2745614[[#This Row],[QTY]]*GroceryList2745614[[#This Row],[UNIT PRICE]],"")</f>
        <v>0</v>
      </c>
      <c r="CD17" s="111" t="s">
        <v>169</v>
      </c>
      <c r="CE17"/>
      <c r="CH17" s="84"/>
      <c r="CI17" s="107" t="s">
        <v>146</v>
      </c>
      <c r="CJ17" s="108" t="s">
        <v>134</v>
      </c>
      <c r="CK17" s="108" t="s">
        <v>91</v>
      </c>
      <c r="CL17" s="84">
        <v>1</v>
      </c>
      <c r="CM17" s="83"/>
      <c r="CN17" s="109">
        <v>24.79</v>
      </c>
      <c r="CO17" s="109">
        <f>IFERROR(GroceryList27456148[[#This Row],[QTY]]*GroceryList27456148[[#This Row],[UNIT PRICE]],"")</f>
        <v>24.79</v>
      </c>
      <c r="CP17" s="111" t="s">
        <v>169</v>
      </c>
      <c r="CQ17">
        <v>30.99</v>
      </c>
      <c r="CT17" s="84"/>
      <c r="CU17" s="107" t="s">
        <v>146</v>
      </c>
      <c r="CV17" s="108" t="s">
        <v>134</v>
      </c>
      <c r="CW17" s="108" t="s">
        <v>91</v>
      </c>
      <c r="CX17" s="84">
        <v>1</v>
      </c>
      <c r="CY17" s="83"/>
      <c r="CZ17" s="109">
        <v>4.79</v>
      </c>
      <c r="DA17" s="109">
        <f>IFERROR(GroceryList2745614810[[#This Row],[QTY]]*GroceryList2745614810[[#This Row],[UNIT PRICE]],"")</f>
        <v>4.79</v>
      </c>
      <c r="DB17" s="111" t="s">
        <v>169</v>
      </c>
      <c r="DC17">
        <v>5.99</v>
      </c>
      <c r="DF17" s="84"/>
      <c r="DG17" s="107" t="s">
        <v>146</v>
      </c>
      <c r="DH17" s="108" t="s">
        <v>134</v>
      </c>
      <c r="DI17" s="108" t="s">
        <v>91</v>
      </c>
      <c r="DJ17" s="84">
        <v>0</v>
      </c>
      <c r="DK17" s="83"/>
      <c r="DL17" s="109">
        <v>24.79</v>
      </c>
      <c r="DM17" s="109">
        <f>IFERROR(GroceryList27456148109[[#This Row],[QTY]]*GroceryList27456148109[[#This Row],[UNIT PRICE]],"")</f>
        <v>0</v>
      </c>
      <c r="DN17" s="111" t="s">
        <v>169</v>
      </c>
      <c r="DO17">
        <v>30.99</v>
      </c>
      <c r="DR17" s="84"/>
      <c r="DS17" s="107" t="s">
        <v>146</v>
      </c>
      <c r="DT17" s="108" t="s">
        <v>134</v>
      </c>
      <c r="DU17" s="108" t="s">
        <v>91</v>
      </c>
      <c r="DV17" s="84">
        <v>0</v>
      </c>
      <c r="DW17" s="83"/>
      <c r="DX17" s="109">
        <v>24.79</v>
      </c>
      <c r="DY17" s="109">
        <f>IFERROR(GroceryList2745614810911[[#This Row],[QTY]]*GroceryList2745614810911[[#This Row],[UNIT PRICE]],"")</f>
        <v>0</v>
      </c>
      <c r="DZ17" s="111" t="s">
        <v>169</v>
      </c>
      <c r="EA17">
        <v>30.99</v>
      </c>
      <c r="ED17" s="84"/>
      <c r="EE17" s="107" t="s">
        <v>146</v>
      </c>
      <c r="EF17" s="108" t="s">
        <v>134</v>
      </c>
      <c r="EG17" s="108" t="s">
        <v>91</v>
      </c>
      <c r="EH17" s="84">
        <v>1</v>
      </c>
      <c r="EI17" s="83"/>
      <c r="EJ17" s="109">
        <v>36.090000000000003</v>
      </c>
      <c r="EK17" s="109">
        <f>IFERROR(GroceryList274561481091112[[#This Row],[QTY]]*GroceryList274561481091112[[#This Row],[UNIT PRICE]],"")</f>
        <v>36.090000000000003</v>
      </c>
      <c r="EL17" s="111" t="s">
        <v>169</v>
      </c>
      <c r="EM17">
        <v>38</v>
      </c>
      <c r="EP17" s="84"/>
      <c r="EQ17" s="107" t="s">
        <v>146</v>
      </c>
      <c r="ER17" s="108" t="s">
        <v>134</v>
      </c>
      <c r="ES17" s="108" t="s">
        <v>91</v>
      </c>
      <c r="ET17" s="84">
        <v>0</v>
      </c>
      <c r="EU17" s="83"/>
      <c r="EV17" s="109">
        <v>24.79</v>
      </c>
      <c r="EW17" s="109">
        <f>IFERROR(GroceryList27456148109111213[[#This Row],[QTY]]*GroceryList27456148109111213[[#This Row],[UNIT PRICE]],"")</f>
        <v>0</v>
      </c>
      <c r="EX17" s="111" t="s">
        <v>169</v>
      </c>
      <c r="EY17">
        <v>30.99</v>
      </c>
      <c r="FB17" s="84"/>
      <c r="FC17" s="107" t="s">
        <v>146</v>
      </c>
      <c r="FD17" s="108" t="s">
        <v>134</v>
      </c>
      <c r="FE17" s="108" t="s">
        <v>91</v>
      </c>
      <c r="FF17" s="84">
        <v>0</v>
      </c>
      <c r="FG17" s="83"/>
      <c r="FH17" s="109">
        <v>24.79</v>
      </c>
      <c r="FI17" s="109">
        <f>IFERROR(GroceryList2745614810911121315[[#This Row],[QTY]]*GroceryList2745614810911121315[[#This Row],[UNIT PRICE]],"")</f>
        <v>0</v>
      </c>
      <c r="FJ17" s="111" t="s">
        <v>169</v>
      </c>
      <c r="FK17">
        <v>30.99</v>
      </c>
      <c r="FN17" s="84"/>
      <c r="FO17" s="107" t="s">
        <v>146</v>
      </c>
      <c r="FP17" s="108" t="s">
        <v>134</v>
      </c>
      <c r="FQ17" s="108" t="s">
        <v>91</v>
      </c>
      <c r="FR17" s="84">
        <v>0</v>
      </c>
      <c r="FS17" s="83"/>
      <c r="FT17" s="109">
        <v>24.79</v>
      </c>
      <c r="FU17" s="109">
        <f>IFERROR(GroceryList274561481091112131516[[#This Row],[QTY]]*GroceryList274561481091112131516[[#This Row],[UNIT PRICE]],"")</f>
        <v>0</v>
      </c>
      <c r="FV17" s="111" t="s">
        <v>169</v>
      </c>
      <c r="FW17">
        <v>30.99</v>
      </c>
      <c r="FZ17" s="84"/>
      <c r="GA17" s="107" t="s">
        <v>146</v>
      </c>
      <c r="GB17" s="108" t="s">
        <v>134</v>
      </c>
      <c r="GC17" s="108" t="s">
        <v>91</v>
      </c>
      <c r="GD17" s="84">
        <v>1</v>
      </c>
      <c r="GE17" s="83"/>
      <c r="GF17" s="109">
        <v>29.44</v>
      </c>
      <c r="GG17" s="109">
        <f>IFERROR(GroceryList274561481091112131517[[#This Row],[QTY]]*GroceryList274561481091112131517[[#This Row],[UNIT PRICE]],"")</f>
        <v>29.44</v>
      </c>
      <c r="GH17" s="111" t="s">
        <v>169</v>
      </c>
      <c r="GI17">
        <v>30.99</v>
      </c>
      <c r="GL17" s="84"/>
      <c r="GM17" s="107" t="s">
        <v>146</v>
      </c>
      <c r="GN17" s="108" t="s">
        <v>134</v>
      </c>
      <c r="GO17" s="108" t="s">
        <v>91</v>
      </c>
      <c r="GP17" s="84">
        <v>1</v>
      </c>
      <c r="GQ17" s="83"/>
      <c r="GR17" s="109">
        <v>29.44</v>
      </c>
      <c r="GS17" s="109">
        <f>IFERROR(GroceryList27456148109111213151718[[#This Row],[QTY]]*GroceryList27456148109111213151718[[#This Row],[UNIT PRICE]],"")</f>
        <v>29.44</v>
      </c>
      <c r="GT17" s="111" t="s">
        <v>169</v>
      </c>
      <c r="GU17">
        <v>30.99</v>
      </c>
    </row>
    <row r="18" spans="2:203" ht="30" customHeight="1" x14ac:dyDescent="0.2">
      <c r="B18" s="84"/>
      <c r="C18" s="99" t="s">
        <v>98</v>
      </c>
      <c r="D18" s="85"/>
      <c r="E18" s="85"/>
      <c r="F18" s="84"/>
      <c r="G18" s="83"/>
      <c r="H18" s="90"/>
      <c r="I18" s="90">
        <f>IFERROR(GroceryList[[#This Row],[QTY]]*GroceryList[[#This Row],[UNIT PRICE]],"")</f>
        <v>0</v>
      </c>
      <c r="J18" s="85"/>
      <c r="M18" s="84"/>
      <c r="N18" s="99" t="s">
        <v>98</v>
      </c>
      <c r="O18" s="85"/>
      <c r="P18" s="85"/>
      <c r="Q18" s="84"/>
      <c r="R18" s="83"/>
      <c r="S18" s="90"/>
      <c r="T18" s="90">
        <f>IFERROR(GroceryList2[[#This Row],[QTY]]*GroceryList2[[#This Row],[UNIT PRICE]],"")</f>
        <v>0</v>
      </c>
      <c r="U18" s="85"/>
      <c r="Y18" s="84"/>
      <c r="Z18" s="99" t="s">
        <v>98</v>
      </c>
      <c r="AA18" s="85"/>
      <c r="AB18" s="85"/>
      <c r="AC18" s="84"/>
      <c r="AD18" s="83"/>
      <c r="AE18" s="90"/>
      <c r="AF18" s="90">
        <f>IFERROR(GroceryList27[[#This Row],[QTY]]*GroceryList27[[#This Row],[UNIT PRICE]],"")</f>
        <v>0</v>
      </c>
      <c r="AG18" s="85"/>
      <c r="AM18" s="84" t="s">
        <v>130</v>
      </c>
      <c r="AN18" s="105" t="s">
        <v>98</v>
      </c>
      <c r="AO18" s="85"/>
      <c r="AP18" s="85" t="s">
        <v>90</v>
      </c>
      <c r="AQ18" s="84">
        <v>0</v>
      </c>
      <c r="AR18" s="83"/>
      <c r="AS18" s="109">
        <v>45</v>
      </c>
      <c r="AT18" s="109">
        <f>IFERROR(GroceryList274[[#This Row],[QTY]]*GroceryList274[[#This Row],[UNIT PRICE]],"")</f>
        <v>0</v>
      </c>
      <c r="AU18" s="85"/>
      <c r="AY18" s="84"/>
      <c r="AZ18" s="107" t="s">
        <v>139</v>
      </c>
      <c r="BA18" s="108" t="s">
        <v>134</v>
      </c>
      <c r="BB18" s="108" t="s">
        <v>91</v>
      </c>
      <c r="BC18" s="84">
        <v>0</v>
      </c>
      <c r="BD18" s="83"/>
      <c r="BE18" s="109"/>
      <c r="BF18" s="109">
        <f>IFERROR(GroceryList2745[[#This Row],[QTY]]*GroceryList2745[[#This Row],[UNIT PRICE]],"")</f>
        <v>0</v>
      </c>
      <c r="BG18"/>
      <c r="BJ18" s="84"/>
      <c r="BK18" s="107" t="s">
        <v>139</v>
      </c>
      <c r="BL18" s="108" t="s">
        <v>134</v>
      </c>
      <c r="BM18" s="108" t="s">
        <v>91</v>
      </c>
      <c r="BN18" s="84">
        <v>0</v>
      </c>
      <c r="BO18" s="83"/>
      <c r="BP18" s="109"/>
      <c r="BQ18" s="109">
        <f>IFERROR(GroceryList27456[[#This Row],[QTY]]*GroceryList27456[[#This Row],[UNIT PRICE]],"")</f>
        <v>0</v>
      </c>
      <c r="BR18" s="111" t="s">
        <v>169</v>
      </c>
      <c r="BS18"/>
      <c r="BV18" s="84"/>
      <c r="BW18" s="107" t="s">
        <v>139</v>
      </c>
      <c r="BX18" s="108" t="s">
        <v>134</v>
      </c>
      <c r="BY18" s="108" t="s">
        <v>91</v>
      </c>
      <c r="BZ18" s="84">
        <v>0</v>
      </c>
      <c r="CA18" s="83"/>
      <c r="CB18" s="109"/>
      <c r="CC18" s="109">
        <f>IFERROR(GroceryList2745614[[#This Row],[QTY]]*GroceryList2745614[[#This Row],[UNIT PRICE]],"")</f>
        <v>0</v>
      </c>
      <c r="CD18" s="111" t="s">
        <v>169</v>
      </c>
      <c r="CE18"/>
      <c r="CH18" s="84"/>
      <c r="CI18" s="111" t="s">
        <v>173</v>
      </c>
      <c r="CJ18" s="108" t="s">
        <v>134</v>
      </c>
      <c r="CK18" s="113" t="s">
        <v>91</v>
      </c>
      <c r="CL18" s="84">
        <v>1</v>
      </c>
      <c r="CM18" s="83"/>
      <c r="CN18" s="109">
        <v>8.49</v>
      </c>
      <c r="CO18" s="109">
        <f>IFERROR(GroceryList27456148[[#This Row],[QTY]]*GroceryList27456148[[#This Row],[UNIT PRICE]],"")</f>
        <v>8.49</v>
      </c>
      <c r="CP18" s="111" t="s">
        <v>169</v>
      </c>
      <c r="CQ18">
        <v>10.99</v>
      </c>
      <c r="CT18" s="84"/>
      <c r="CU18" s="111" t="s">
        <v>173</v>
      </c>
      <c r="CV18" s="108" t="s">
        <v>134</v>
      </c>
      <c r="CW18" s="113" t="s">
        <v>91</v>
      </c>
      <c r="CX18" s="84">
        <v>1</v>
      </c>
      <c r="CY18" s="83"/>
      <c r="CZ18" s="109">
        <v>2.15</v>
      </c>
      <c r="DA18" s="109">
        <f>IFERROR(GroceryList2745614810[[#This Row],[QTY]]*GroceryList2745614810[[#This Row],[UNIT PRICE]],"")</f>
        <v>2.15</v>
      </c>
      <c r="DB18" s="111" t="s">
        <v>169</v>
      </c>
      <c r="DC18">
        <v>2.69</v>
      </c>
      <c r="DF18" s="84"/>
      <c r="DG18" s="111" t="s">
        <v>173</v>
      </c>
      <c r="DH18" s="108" t="s">
        <v>134</v>
      </c>
      <c r="DI18" s="113" t="s">
        <v>91</v>
      </c>
      <c r="DJ18" s="84">
        <v>0</v>
      </c>
      <c r="DK18" s="83"/>
      <c r="DL18" s="109">
        <v>8.49</v>
      </c>
      <c r="DM18" s="109">
        <f>IFERROR(GroceryList27456148109[[#This Row],[QTY]]*GroceryList27456148109[[#This Row],[UNIT PRICE]],"")</f>
        <v>0</v>
      </c>
      <c r="DN18" s="111" t="s">
        <v>169</v>
      </c>
      <c r="DO18">
        <v>10.99</v>
      </c>
      <c r="DR18" s="84"/>
      <c r="DS18" s="111" t="s">
        <v>173</v>
      </c>
      <c r="DT18" s="108" t="s">
        <v>134</v>
      </c>
      <c r="DU18" s="113" t="s">
        <v>91</v>
      </c>
      <c r="DV18" s="84">
        <v>0</v>
      </c>
      <c r="DW18" s="83"/>
      <c r="DX18" s="109">
        <v>8.49</v>
      </c>
      <c r="DY18" s="109">
        <f>IFERROR(GroceryList2745614810911[[#This Row],[QTY]]*GroceryList2745614810911[[#This Row],[UNIT PRICE]],"")</f>
        <v>0</v>
      </c>
      <c r="DZ18" s="111" t="s">
        <v>169</v>
      </c>
      <c r="EA18">
        <v>10.99</v>
      </c>
      <c r="ED18" s="84"/>
      <c r="EE18" s="111" t="s">
        <v>173</v>
      </c>
      <c r="EF18" s="108" t="s">
        <v>134</v>
      </c>
      <c r="EG18" s="113" t="s">
        <v>91</v>
      </c>
      <c r="EH18" s="84">
        <v>0</v>
      </c>
      <c r="EI18" s="83"/>
      <c r="EJ18" s="109">
        <v>8.49</v>
      </c>
      <c r="EK18" s="109">
        <f>IFERROR(GroceryList274561481091112[[#This Row],[QTY]]*GroceryList274561481091112[[#This Row],[UNIT PRICE]],"")</f>
        <v>0</v>
      </c>
      <c r="EL18" s="111" t="s">
        <v>169</v>
      </c>
      <c r="EM18">
        <v>10.99</v>
      </c>
      <c r="EP18" s="84"/>
      <c r="EQ18" s="111" t="s">
        <v>173</v>
      </c>
      <c r="ER18" s="108" t="s">
        <v>134</v>
      </c>
      <c r="ES18" s="113" t="s">
        <v>91</v>
      </c>
      <c r="ET18" s="84">
        <v>0</v>
      </c>
      <c r="EU18" s="83"/>
      <c r="EV18" s="109">
        <v>8.49</v>
      </c>
      <c r="EW18" s="109">
        <f>IFERROR(GroceryList27456148109111213[[#This Row],[QTY]]*GroceryList27456148109111213[[#This Row],[UNIT PRICE]],"")</f>
        <v>0</v>
      </c>
      <c r="EX18" s="111" t="s">
        <v>169</v>
      </c>
      <c r="EY18">
        <v>10.99</v>
      </c>
      <c r="FB18" s="84"/>
      <c r="FC18" s="111" t="s">
        <v>173</v>
      </c>
      <c r="FD18" s="108" t="s">
        <v>134</v>
      </c>
      <c r="FE18" s="113" t="s">
        <v>91</v>
      </c>
      <c r="FF18" s="84">
        <v>0</v>
      </c>
      <c r="FG18" s="83"/>
      <c r="FH18" s="109">
        <v>8.49</v>
      </c>
      <c r="FI18" s="109">
        <f>IFERROR(GroceryList2745614810911121315[[#This Row],[QTY]]*GroceryList2745614810911121315[[#This Row],[UNIT PRICE]],"")</f>
        <v>0</v>
      </c>
      <c r="FJ18" s="111" t="s">
        <v>169</v>
      </c>
      <c r="FK18">
        <v>10.99</v>
      </c>
      <c r="FN18" s="84"/>
      <c r="FO18" s="111" t="s">
        <v>173</v>
      </c>
      <c r="FP18" s="108" t="s">
        <v>134</v>
      </c>
      <c r="FQ18" s="113" t="s">
        <v>91</v>
      </c>
      <c r="FR18" s="84">
        <v>0</v>
      </c>
      <c r="FS18" s="83"/>
      <c r="FT18" s="109">
        <v>8.49</v>
      </c>
      <c r="FU18" s="109">
        <f>IFERROR(GroceryList274561481091112131516[[#This Row],[QTY]]*GroceryList274561481091112131516[[#This Row],[UNIT PRICE]],"")</f>
        <v>0</v>
      </c>
      <c r="FV18" s="111" t="s">
        <v>169</v>
      </c>
      <c r="FW18">
        <v>10.99</v>
      </c>
      <c r="FZ18" s="84"/>
      <c r="GA18" s="111" t="s">
        <v>173</v>
      </c>
      <c r="GB18" s="108" t="s">
        <v>134</v>
      </c>
      <c r="GC18" s="113" t="s">
        <v>91</v>
      </c>
      <c r="GD18" s="84">
        <v>1</v>
      </c>
      <c r="GE18" s="83"/>
      <c r="GF18" s="109">
        <f>22.15+13.99</f>
        <v>36.14</v>
      </c>
      <c r="GG18" s="109">
        <f>IFERROR(GroceryList274561481091112131517[[#This Row],[QTY]]*GroceryList274561481091112131517[[#This Row],[UNIT PRICE]],"")</f>
        <v>36.14</v>
      </c>
      <c r="GH18" s="111" t="s">
        <v>169</v>
      </c>
      <c r="GI18">
        <v>10.99</v>
      </c>
      <c r="GL18" s="84"/>
      <c r="GM18" s="111" t="s">
        <v>173</v>
      </c>
      <c r="GN18" s="108" t="s">
        <v>134</v>
      </c>
      <c r="GO18" s="113" t="s">
        <v>91</v>
      </c>
      <c r="GP18" s="84">
        <v>1</v>
      </c>
      <c r="GQ18" s="83"/>
      <c r="GR18" s="109">
        <f>22.15+13.99</f>
        <v>36.14</v>
      </c>
      <c r="GS18" s="109">
        <f>IFERROR(GroceryList27456148109111213151718[[#This Row],[QTY]]*GroceryList27456148109111213151718[[#This Row],[UNIT PRICE]],"")</f>
        <v>36.14</v>
      </c>
      <c r="GT18" s="111" t="s">
        <v>169</v>
      </c>
      <c r="GU18">
        <v>10.99</v>
      </c>
    </row>
    <row r="19" spans="2:203" ht="30" customHeight="1" x14ac:dyDescent="0.2">
      <c r="B19" s="84"/>
      <c r="C19" s="102" t="s">
        <v>135</v>
      </c>
      <c r="D19" t="s">
        <v>134</v>
      </c>
      <c r="E19" t="s">
        <v>92</v>
      </c>
      <c r="F19" s="84">
        <v>1</v>
      </c>
      <c r="G19" s="83"/>
      <c r="H19" s="90">
        <v>16.63</v>
      </c>
      <c r="I19" s="90">
        <f>IFERROR(GroceryList[[#This Row],[QTY]]*GroceryList[[#This Row],[UNIT PRICE]],"")</f>
        <v>16.63</v>
      </c>
      <c r="J19"/>
      <c r="M19" s="84"/>
      <c r="N19" s="102" t="s">
        <v>135</v>
      </c>
      <c r="O19" t="s">
        <v>134</v>
      </c>
      <c r="P19" t="s">
        <v>92</v>
      </c>
      <c r="Q19" s="84"/>
      <c r="R19" s="83"/>
      <c r="S19" s="90">
        <v>16.63</v>
      </c>
      <c r="T19" s="90">
        <f>IFERROR(GroceryList2[[#This Row],[QTY]]*GroceryList2[[#This Row],[UNIT PRICE]],"")</f>
        <v>0</v>
      </c>
      <c r="U19"/>
      <c r="Y19" s="84"/>
      <c r="Z19" s="102" t="s">
        <v>135</v>
      </c>
      <c r="AA19" t="s">
        <v>134</v>
      </c>
      <c r="AB19" t="s">
        <v>92</v>
      </c>
      <c r="AC19" s="84"/>
      <c r="AD19" s="83"/>
      <c r="AE19" s="90">
        <v>16.63</v>
      </c>
      <c r="AF19" s="90">
        <f>IFERROR(GroceryList27[[#This Row],[QTY]]*GroceryList27[[#This Row],[UNIT PRICE]],"")</f>
        <v>0</v>
      </c>
      <c r="AG19"/>
      <c r="AM19" s="84"/>
      <c r="AN19" s="107" t="s">
        <v>135</v>
      </c>
      <c r="AO19" s="108" t="s">
        <v>134</v>
      </c>
      <c r="AP19" s="108" t="s">
        <v>92</v>
      </c>
      <c r="AQ19" s="84"/>
      <c r="AR19" s="83"/>
      <c r="AS19" s="109">
        <v>16.63</v>
      </c>
      <c r="AT19" s="109">
        <f>IFERROR(GroceryList274[[#This Row],[QTY]]*GroceryList274[[#This Row],[UNIT PRICE]],"")</f>
        <v>0</v>
      </c>
      <c r="AU19"/>
      <c r="AY19" s="84" t="s">
        <v>130</v>
      </c>
      <c r="AZ19" s="105" t="s">
        <v>98</v>
      </c>
      <c r="BA19" s="85"/>
      <c r="BB19" s="85" t="s">
        <v>90</v>
      </c>
      <c r="BC19" s="84">
        <v>0</v>
      </c>
      <c r="BD19" s="83"/>
      <c r="BE19" s="109">
        <v>45</v>
      </c>
      <c r="BF19" s="109">
        <f>IFERROR(GroceryList2745[[#This Row],[QTY]]*GroceryList2745[[#This Row],[UNIT PRICE]],"")</f>
        <v>0</v>
      </c>
      <c r="BG19" s="85"/>
      <c r="BJ19" s="84" t="s">
        <v>130</v>
      </c>
      <c r="BK19" s="105" t="s">
        <v>98</v>
      </c>
      <c r="BL19" s="85"/>
      <c r="BM19" s="85" t="s">
        <v>90</v>
      </c>
      <c r="BN19" s="84">
        <v>0</v>
      </c>
      <c r="BO19" s="83"/>
      <c r="BP19" s="109">
        <v>45</v>
      </c>
      <c r="BQ19" s="109">
        <f>IFERROR(GroceryList27456[[#This Row],[QTY]]*GroceryList27456[[#This Row],[UNIT PRICE]],"")</f>
        <v>0</v>
      </c>
      <c r="BR19" s="112" t="s">
        <v>169</v>
      </c>
      <c r="BS19" s="85"/>
      <c r="BV19" s="84" t="s">
        <v>130</v>
      </c>
      <c r="BW19" s="105" t="s">
        <v>98</v>
      </c>
      <c r="BX19" s="85"/>
      <c r="BY19" s="85" t="s">
        <v>90</v>
      </c>
      <c r="BZ19" s="84">
        <v>0</v>
      </c>
      <c r="CA19" s="83"/>
      <c r="CB19" s="109">
        <v>45</v>
      </c>
      <c r="CC19" s="109">
        <f>IFERROR(GroceryList2745614[[#This Row],[QTY]]*GroceryList2745614[[#This Row],[UNIT PRICE]],"")</f>
        <v>0</v>
      </c>
      <c r="CD19" s="112" t="s">
        <v>169</v>
      </c>
      <c r="CE19" s="85"/>
      <c r="CH19" s="84" t="s">
        <v>130</v>
      </c>
      <c r="CI19" s="105" t="s">
        <v>98</v>
      </c>
      <c r="CJ19" s="85"/>
      <c r="CK19" s="85" t="s">
        <v>90</v>
      </c>
      <c r="CL19" s="84">
        <v>0</v>
      </c>
      <c r="CM19" s="83"/>
      <c r="CN19" s="109">
        <v>45</v>
      </c>
      <c r="CO19" s="109">
        <f>IFERROR(GroceryList27456148[[#This Row],[QTY]]*GroceryList27456148[[#This Row],[UNIT PRICE]],"")</f>
        <v>0</v>
      </c>
      <c r="CP19" s="112" t="s">
        <v>169</v>
      </c>
      <c r="CQ19" s="85"/>
      <c r="CT19" s="84" t="s">
        <v>130</v>
      </c>
      <c r="CU19" s="105" t="s">
        <v>98</v>
      </c>
      <c r="CV19" s="85"/>
      <c r="CW19" s="85" t="s">
        <v>90</v>
      </c>
      <c r="CX19" s="84">
        <v>1</v>
      </c>
      <c r="CY19" s="83"/>
      <c r="CZ19" s="109">
        <v>23.19</v>
      </c>
      <c r="DA19" s="109">
        <f>IFERROR(GroceryList2745614810[[#This Row],[QTY]]*GroceryList2745614810[[#This Row],[UNIT PRICE]],"")</f>
        <v>23.19</v>
      </c>
      <c r="DB19" s="112" t="s">
        <v>169</v>
      </c>
      <c r="DC19" s="85">
        <v>28.99</v>
      </c>
      <c r="DF19" s="84" t="s">
        <v>130</v>
      </c>
      <c r="DG19" s="105" t="s">
        <v>98</v>
      </c>
      <c r="DH19" s="85"/>
      <c r="DI19" s="85" t="s">
        <v>90</v>
      </c>
      <c r="DJ19" s="84">
        <v>0</v>
      </c>
      <c r="DK19" s="83"/>
      <c r="DL19" s="109">
        <v>45</v>
      </c>
      <c r="DM19" s="109">
        <f>IFERROR(GroceryList27456148109[[#This Row],[QTY]]*GroceryList27456148109[[#This Row],[UNIT PRICE]],"")</f>
        <v>0</v>
      </c>
      <c r="DN19" s="112" t="s">
        <v>169</v>
      </c>
      <c r="DO19" s="85"/>
      <c r="DR19" s="84" t="s">
        <v>130</v>
      </c>
      <c r="DS19" s="105" t="s">
        <v>98</v>
      </c>
      <c r="DT19" s="85"/>
      <c r="DU19" s="85" t="s">
        <v>90</v>
      </c>
      <c r="DV19" s="84">
        <v>0</v>
      </c>
      <c r="DW19" s="83"/>
      <c r="DX19" s="109">
        <v>45</v>
      </c>
      <c r="DY19" s="109">
        <f>IFERROR(GroceryList2745614810911[[#This Row],[QTY]]*GroceryList2745614810911[[#This Row],[UNIT PRICE]],"")</f>
        <v>0</v>
      </c>
      <c r="DZ19" s="112" t="s">
        <v>169</v>
      </c>
      <c r="EA19" s="85"/>
      <c r="ED19" s="84" t="s">
        <v>130</v>
      </c>
      <c r="EE19" s="105" t="s">
        <v>98</v>
      </c>
      <c r="EF19" s="85"/>
      <c r="EG19" s="85" t="s">
        <v>90</v>
      </c>
      <c r="EH19" s="84">
        <v>0</v>
      </c>
      <c r="EI19" s="83"/>
      <c r="EJ19" s="109">
        <v>45</v>
      </c>
      <c r="EK19" s="109">
        <f>IFERROR(GroceryList274561481091112[[#This Row],[QTY]]*GroceryList274561481091112[[#This Row],[UNIT PRICE]],"")</f>
        <v>0</v>
      </c>
      <c r="EL19" s="112" t="s">
        <v>169</v>
      </c>
      <c r="EM19" s="85"/>
      <c r="EP19" s="84" t="s">
        <v>130</v>
      </c>
      <c r="EQ19" s="105" t="s">
        <v>98</v>
      </c>
      <c r="ER19" s="85"/>
      <c r="ES19" s="85" t="s">
        <v>90</v>
      </c>
      <c r="ET19" s="84">
        <v>0</v>
      </c>
      <c r="EU19" s="83"/>
      <c r="EV19" s="109">
        <v>45</v>
      </c>
      <c r="EW19" s="109">
        <f>IFERROR(GroceryList27456148109111213[[#This Row],[QTY]]*GroceryList27456148109111213[[#This Row],[UNIT PRICE]],"")</f>
        <v>0</v>
      </c>
      <c r="EX19" s="112" t="s">
        <v>169</v>
      </c>
      <c r="EY19" s="85"/>
      <c r="FB19" s="84" t="s">
        <v>130</v>
      </c>
      <c r="FC19" s="105" t="s">
        <v>98</v>
      </c>
      <c r="FD19" s="85"/>
      <c r="FE19" s="85" t="s">
        <v>90</v>
      </c>
      <c r="FF19" s="84">
        <v>0</v>
      </c>
      <c r="FG19" s="83"/>
      <c r="FH19" s="109">
        <v>45</v>
      </c>
      <c r="FI19" s="109">
        <f>IFERROR(GroceryList2745614810911121315[[#This Row],[QTY]]*GroceryList2745614810911121315[[#This Row],[UNIT PRICE]],"")</f>
        <v>0</v>
      </c>
      <c r="FJ19" s="112" t="s">
        <v>169</v>
      </c>
      <c r="FK19" s="85"/>
      <c r="FN19" s="84" t="s">
        <v>130</v>
      </c>
      <c r="FO19" s="105" t="s">
        <v>98</v>
      </c>
      <c r="FP19" s="85"/>
      <c r="FQ19" s="85" t="s">
        <v>90</v>
      </c>
      <c r="FR19" s="84">
        <v>0</v>
      </c>
      <c r="FS19" s="83"/>
      <c r="FT19" s="109">
        <v>45</v>
      </c>
      <c r="FU19" s="109">
        <f>IFERROR(GroceryList274561481091112131516[[#This Row],[QTY]]*GroceryList274561481091112131516[[#This Row],[UNIT PRICE]],"")</f>
        <v>0</v>
      </c>
      <c r="FV19" s="112" t="s">
        <v>169</v>
      </c>
      <c r="FW19" s="85"/>
      <c r="FZ19" s="84" t="s">
        <v>130</v>
      </c>
      <c r="GA19" s="105" t="s">
        <v>337</v>
      </c>
      <c r="GB19" s="85"/>
      <c r="GC19" s="85" t="s">
        <v>90</v>
      </c>
      <c r="GD19" s="84">
        <v>2</v>
      </c>
      <c r="GE19" s="83"/>
      <c r="GF19" s="109">
        <v>27.54</v>
      </c>
      <c r="GG19" s="109">
        <f>IFERROR(GroceryList274561481091112131517[[#This Row],[QTY]]*GroceryList274561481091112131517[[#This Row],[UNIT PRICE]],"")</f>
        <v>55.08</v>
      </c>
      <c r="GH19" s="112" t="s">
        <v>169</v>
      </c>
      <c r="GI19" s="85">
        <v>29</v>
      </c>
      <c r="GL19" s="84" t="s">
        <v>130</v>
      </c>
      <c r="GM19" s="105" t="s">
        <v>337</v>
      </c>
      <c r="GN19" s="85"/>
      <c r="GO19" s="85" t="s">
        <v>90</v>
      </c>
      <c r="GP19" s="84">
        <v>2</v>
      </c>
      <c r="GQ19" s="83"/>
      <c r="GR19" s="109">
        <v>27.54</v>
      </c>
      <c r="GS19" s="109">
        <f>IFERROR(GroceryList27456148109111213151718[[#This Row],[QTY]]*GroceryList27456148109111213151718[[#This Row],[UNIT PRICE]],"")</f>
        <v>55.08</v>
      </c>
      <c r="GT19" s="112" t="s">
        <v>169</v>
      </c>
      <c r="GU19" s="85">
        <v>29</v>
      </c>
    </row>
    <row r="20" spans="2:203" ht="30" hidden="1" customHeight="1" x14ac:dyDescent="0.2">
      <c r="B20" s="84"/>
      <c r="C20" s="99" t="s">
        <v>99</v>
      </c>
      <c r="D20" s="85" t="s">
        <v>134</v>
      </c>
      <c r="E20" s="85" t="s">
        <v>92</v>
      </c>
      <c r="F20" s="87">
        <v>1</v>
      </c>
      <c r="G20" s="83"/>
      <c r="H20" s="103">
        <v>51.5</v>
      </c>
      <c r="I20" s="90">
        <f>IFERROR(GroceryList[[#This Row],[QTY]]*GroceryList[[#This Row],[UNIT PRICE]],"")</f>
        <v>51.5</v>
      </c>
      <c r="J20" s="85"/>
      <c r="M20" s="84"/>
      <c r="N20" s="99" t="s">
        <v>99</v>
      </c>
      <c r="O20" s="85" t="s">
        <v>134</v>
      </c>
      <c r="P20" s="85" t="s">
        <v>92</v>
      </c>
      <c r="Q20" s="87"/>
      <c r="R20" s="83"/>
      <c r="S20" s="103">
        <v>51.5</v>
      </c>
      <c r="T20" s="90">
        <f>IFERROR(GroceryList2[[#This Row],[QTY]]*GroceryList2[[#This Row],[UNIT PRICE]],"")</f>
        <v>0</v>
      </c>
      <c r="U20" s="85"/>
      <c r="Y20" s="84"/>
      <c r="Z20" s="99" t="s">
        <v>99</v>
      </c>
      <c r="AA20" s="85" t="s">
        <v>134</v>
      </c>
      <c r="AB20" s="85" t="s">
        <v>92</v>
      </c>
      <c r="AC20" s="87"/>
      <c r="AD20" s="83"/>
      <c r="AE20" s="103">
        <v>51.5</v>
      </c>
      <c r="AF20" s="90">
        <f>IFERROR(GroceryList27[[#This Row],[QTY]]*GroceryList27[[#This Row],[UNIT PRICE]],"")</f>
        <v>0</v>
      </c>
      <c r="AG20" s="85"/>
      <c r="AM20" s="84"/>
      <c r="AN20" s="105" t="s">
        <v>99</v>
      </c>
      <c r="AO20" s="85" t="s">
        <v>134</v>
      </c>
      <c r="AP20" s="85" t="s">
        <v>92</v>
      </c>
      <c r="AQ20" s="87"/>
      <c r="AR20" s="83"/>
      <c r="AS20" s="103">
        <v>51.5</v>
      </c>
      <c r="AT20" s="109">
        <f>IFERROR(GroceryList274[[#This Row],[QTY]]*GroceryList274[[#This Row],[UNIT PRICE]],"")</f>
        <v>0</v>
      </c>
      <c r="AU20" s="85"/>
      <c r="AY20" s="84"/>
      <c r="AZ20" s="107" t="s">
        <v>135</v>
      </c>
      <c r="BA20" s="108" t="s">
        <v>134</v>
      </c>
      <c r="BB20" s="108" t="s">
        <v>92</v>
      </c>
      <c r="BC20" s="84">
        <v>0</v>
      </c>
      <c r="BD20" s="83"/>
      <c r="BE20" s="109">
        <v>16.63</v>
      </c>
      <c r="BF20" s="109">
        <f>IFERROR(GroceryList2745[[#This Row],[QTY]]*GroceryList2745[[#This Row],[UNIT PRICE]],"")</f>
        <v>0</v>
      </c>
      <c r="BG20"/>
      <c r="BJ20" s="84"/>
      <c r="BK20" s="107" t="s">
        <v>135</v>
      </c>
      <c r="BL20" s="108" t="s">
        <v>134</v>
      </c>
      <c r="BM20" s="108" t="s">
        <v>92</v>
      </c>
      <c r="BN20" s="84">
        <v>0</v>
      </c>
      <c r="BO20" s="83"/>
      <c r="BP20" s="109">
        <v>16.63</v>
      </c>
      <c r="BQ20" s="109">
        <f>IFERROR(GroceryList27456[[#This Row],[QTY]]*GroceryList27456[[#This Row],[UNIT PRICE]],"")</f>
        <v>0</v>
      </c>
      <c r="BR20" s="111" t="s">
        <v>169</v>
      </c>
      <c r="BS20"/>
      <c r="BV20" s="84"/>
      <c r="BW20" s="107" t="s">
        <v>135</v>
      </c>
      <c r="BX20" s="108" t="s">
        <v>134</v>
      </c>
      <c r="BY20" s="108" t="s">
        <v>92</v>
      </c>
      <c r="BZ20" s="84">
        <v>0</v>
      </c>
      <c r="CA20" s="83"/>
      <c r="CB20" s="109">
        <v>16.63</v>
      </c>
      <c r="CC20" s="109">
        <f>IFERROR(GroceryList2745614[[#This Row],[QTY]]*GroceryList2745614[[#This Row],[UNIT PRICE]],"")</f>
        <v>0</v>
      </c>
      <c r="CD20" s="111" t="s">
        <v>169</v>
      </c>
      <c r="CE20"/>
      <c r="CH20" s="84"/>
      <c r="CI20" s="111" t="s">
        <v>174</v>
      </c>
      <c r="CJ20" s="108" t="s">
        <v>134</v>
      </c>
      <c r="CK20" s="108" t="s">
        <v>92</v>
      </c>
      <c r="CL20" s="84">
        <v>1</v>
      </c>
      <c r="CM20" s="83"/>
      <c r="CN20" s="109">
        <v>15.99</v>
      </c>
      <c r="CO20" s="109">
        <f>IFERROR(GroceryList27456148[[#This Row],[QTY]]*GroceryList27456148[[#This Row],[UNIT PRICE]],"")</f>
        <v>15.99</v>
      </c>
      <c r="CP20" s="111" t="s">
        <v>169</v>
      </c>
      <c r="CQ20">
        <v>18.989999999999998</v>
      </c>
      <c r="CT20" s="84"/>
      <c r="CU20" s="111" t="s">
        <v>174</v>
      </c>
      <c r="CV20" s="108" t="s">
        <v>134</v>
      </c>
      <c r="CW20" s="108" t="s">
        <v>92</v>
      </c>
      <c r="CX20" s="84">
        <v>0</v>
      </c>
      <c r="CY20" s="83"/>
      <c r="CZ20" s="109">
        <v>15.99</v>
      </c>
      <c r="DA20" s="109">
        <f>IFERROR(GroceryList2745614810[[#This Row],[QTY]]*GroceryList2745614810[[#This Row],[UNIT PRICE]],"")</f>
        <v>0</v>
      </c>
      <c r="DB20" s="111" t="s">
        <v>169</v>
      </c>
      <c r="DC20">
        <v>18.989999999999998</v>
      </c>
      <c r="DF20" s="84"/>
      <c r="DG20" s="111" t="s">
        <v>174</v>
      </c>
      <c r="DH20" s="108" t="s">
        <v>134</v>
      </c>
      <c r="DI20" s="108" t="s">
        <v>92</v>
      </c>
      <c r="DJ20" s="84">
        <v>0</v>
      </c>
      <c r="DK20" s="83"/>
      <c r="DL20" s="109">
        <v>15.99</v>
      </c>
      <c r="DM20" s="109">
        <f>IFERROR(GroceryList27456148109[[#This Row],[QTY]]*GroceryList27456148109[[#This Row],[UNIT PRICE]],"")</f>
        <v>0</v>
      </c>
      <c r="DN20" s="111" t="s">
        <v>169</v>
      </c>
      <c r="DO20">
        <v>18.989999999999998</v>
      </c>
      <c r="DR20" s="84"/>
      <c r="DS20" s="111" t="s">
        <v>174</v>
      </c>
      <c r="DT20" s="108" t="s">
        <v>134</v>
      </c>
      <c r="DU20" s="108" t="s">
        <v>92</v>
      </c>
      <c r="DV20" s="84">
        <v>0</v>
      </c>
      <c r="DW20" s="83"/>
      <c r="DX20" s="109">
        <v>15.99</v>
      </c>
      <c r="DY20" s="109">
        <f>IFERROR(GroceryList2745614810911[[#This Row],[QTY]]*GroceryList2745614810911[[#This Row],[UNIT PRICE]],"")</f>
        <v>0</v>
      </c>
      <c r="DZ20" s="111" t="s">
        <v>169</v>
      </c>
      <c r="EA20">
        <v>18.989999999999998</v>
      </c>
      <c r="ED20" s="84"/>
      <c r="EE20" s="111" t="s">
        <v>174</v>
      </c>
      <c r="EF20" s="108" t="s">
        <v>134</v>
      </c>
      <c r="EG20" s="108" t="s">
        <v>92</v>
      </c>
      <c r="EH20" s="84">
        <v>1</v>
      </c>
      <c r="EI20" s="83"/>
      <c r="EJ20" s="109">
        <v>18.989999999999998</v>
      </c>
      <c r="EK20" s="109">
        <f>IFERROR(GroceryList274561481091112[[#This Row],[QTY]]*GroceryList274561481091112[[#This Row],[UNIT PRICE]],"")</f>
        <v>18.989999999999998</v>
      </c>
      <c r="EL20" s="111" t="s">
        <v>169</v>
      </c>
      <c r="EM20">
        <v>18.989999999999998</v>
      </c>
      <c r="EP20" s="84"/>
      <c r="EQ20" s="111" t="s">
        <v>174</v>
      </c>
      <c r="ER20" s="108" t="s">
        <v>134</v>
      </c>
      <c r="ES20" s="108" t="s">
        <v>92</v>
      </c>
      <c r="ET20" s="84">
        <v>0</v>
      </c>
      <c r="EU20" s="83"/>
      <c r="EV20" s="109">
        <v>18.989999999999998</v>
      </c>
      <c r="EW20" s="109">
        <f>IFERROR(GroceryList27456148109111213[[#This Row],[QTY]]*GroceryList27456148109111213[[#This Row],[UNIT PRICE]],"")</f>
        <v>0</v>
      </c>
      <c r="EX20" s="111" t="s">
        <v>169</v>
      </c>
      <c r="EY20">
        <v>18.989999999999998</v>
      </c>
      <c r="FB20" s="84"/>
      <c r="FC20" s="111" t="s">
        <v>174</v>
      </c>
      <c r="FD20" s="108" t="s">
        <v>134</v>
      </c>
      <c r="FE20" s="108" t="s">
        <v>92</v>
      </c>
      <c r="FF20" s="84">
        <v>0</v>
      </c>
      <c r="FG20" s="83"/>
      <c r="FH20" s="109">
        <v>18.989999999999998</v>
      </c>
      <c r="FI20" s="109">
        <f>IFERROR(GroceryList2745614810911121315[[#This Row],[QTY]]*GroceryList2745614810911121315[[#This Row],[UNIT PRICE]],"")</f>
        <v>0</v>
      </c>
      <c r="FJ20" s="111" t="s">
        <v>169</v>
      </c>
      <c r="FK20">
        <v>18.989999999999998</v>
      </c>
      <c r="FN20" s="84"/>
      <c r="FO20" s="111" t="s">
        <v>174</v>
      </c>
      <c r="FP20" s="108" t="s">
        <v>134</v>
      </c>
      <c r="FQ20" s="108" t="s">
        <v>92</v>
      </c>
      <c r="FR20" s="84">
        <v>0</v>
      </c>
      <c r="FS20" s="83"/>
      <c r="FT20" s="109">
        <v>18.989999999999998</v>
      </c>
      <c r="FU20" s="109">
        <f>IFERROR(GroceryList274561481091112131516[[#This Row],[QTY]]*GroceryList274561481091112131516[[#This Row],[UNIT PRICE]],"")</f>
        <v>0</v>
      </c>
      <c r="FV20" s="111" t="s">
        <v>169</v>
      </c>
      <c r="FW20">
        <v>18.989999999999998</v>
      </c>
      <c r="FZ20" s="84"/>
      <c r="GA20" s="111" t="s">
        <v>174</v>
      </c>
      <c r="GB20" s="108" t="s">
        <v>134</v>
      </c>
      <c r="GC20" s="108" t="s">
        <v>92</v>
      </c>
      <c r="GD20" s="84">
        <v>0</v>
      </c>
      <c r="GE20" s="83"/>
      <c r="GF20" s="109">
        <v>18.989999999999998</v>
      </c>
      <c r="GG20" s="109">
        <f>IFERROR(GroceryList274561481091112131517[[#This Row],[QTY]]*GroceryList274561481091112131517[[#This Row],[UNIT PRICE]],"")</f>
        <v>0</v>
      </c>
      <c r="GH20" s="111" t="s">
        <v>169</v>
      </c>
      <c r="GI20">
        <v>18.989999999999998</v>
      </c>
      <c r="GL20" s="84"/>
      <c r="GM20" s="111" t="s">
        <v>174</v>
      </c>
      <c r="GN20" s="108" t="s">
        <v>134</v>
      </c>
      <c r="GO20" s="108" t="s">
        <v>92</v>
      </c>
      <c r="GP20" s="84">
        <v>1</v>
      </c>
      <c r="GQ20" s="83"/>
      <c r="GR20" s="109">
        <v>18.989999999999998</v>
      </c>
      <c r="GS20" s="109">
        <f>IFERROR(GroceryList27456148109111213151718[[#This Row],[QTY]]*GroceryList27456148109111213151718[[#This Row],[UNIT PRICE]],"")</f>
        <v>18.989999999999998</v>
      </c>
      <c r="GT20" s="111" t="s">
        <v>169</v>
      </c>
      <c r="GU20">
        <v>18.989999999999998</v>
      </c>
    </row>
    <row r="21" spans="2:203" ht="30" hidden="1" customHeight="1" x14ac:dyDescent="0.2">
      <c r="B21" s="84"/>
      <c r="C21" s="102" t="s">
        <v>140</v>
      </c>
      <c r="D21" t="s">
        <v>134</v>
      </c>
      <c r="E21" t="s">
        <v>89</v>
      </c>
      <c r="F21" s="87">
        <v>0.5</v>
      </c>
      <c r="G21" s="83"/>
      <c r="H21" s="84">
        <v>31.34</v>
      </c>
      <c r="I21" s="90">
        <f>IFERROR(GroceryList[[#This Row],[QTY]]*GroceryList[[#This Row],[UNIT PRICE]],"")</f>
        <v>15.67</v>
      </c>
      <c r="J21"/>
      <c r="M21" s="84"/>
      <c r="N21" s="102" t="s">
        <v>140</v>
      </c>
      <c r="O21" t="s">
        <v>134</v>
      </c>
      <c r="P21" t="s">
        <v>89</v>
      </c>
      <c r="Q21" s="87"/>
      <c r="R21" s="83"/>
      <c r="S21" s="84">
        <v>31.34</v>
      </c>
      <c r="T21" s="90">
        <f>IFERROR(GroceryList2[[#This Row],[QTY]]*GroceryList2[[#This Row],[UNIT PRICE]],"")</f>
        <v>0</v>
      </c>
      <c r="U21"/>
      <c r="Y21" s="84"/>
      <c r="Z21" s="102" t="s">
        <v>140</v>
      </c>
      <c r="AA21" t="s">
        <v>134</v>
      </c>
      <c r="AB21" t="s">
        <v>89</v>
      </c>
      <c r="AC21" s="87"/>
      <c r="AD21" s="83"/>
      <c r="AE21" s="84">
        <v>31.34</v>
      </c>
      <c r="AF21" s="90">
        <f>IFERROR(GroceryList27[[#This Row],[QTY]]*GroceryList27[[#This Row],[UNIT PRICE]],"")</f>
        <v>0</v>
      </c>
      <c r="AG21"/>
      <c r="AM21" s="84"/>
      <c r="AN21" s="107" t="s">
        <v>140</v>
      </c>
      <c r="AO21" s="108" t="s">
        <v>134</v>
      </c>
      <c r="AP21" s="108" t="s">
        <v>89</v>
      </c>
      <c r="AQ21" s="87"/>
      <c r="AR21" s="83"/>
      <c r="AS21" s="84">
        <v>31.34</v>
      </c>
      <c r="AT21" s="109">
        <f>IFERROR(GroceryList274[[#This Row],[QTY]]*GroceryList274[[#This Row],[UNIT PRICE]],"")</f>
        <v>0</v>
      </c>
      <c r="AU21"/>
      <c r="AY21" s="84"/>
      <c r="AZ21" s="105" t="s">
        <v>99</v>
      </c>
      <c r="BA21" s="85" t="s">
        <v>134</v>
      </c>
      <c r="BB21" s="85" t="s">
        <v>92</v>
      </c>
      <c r="BC21" s="84">
        <v>0</v>
      </c>
      <c r="BD21" s="83"/>
      <c r="BE21" s="103">
        <v>51.5</v>
      </c>
      <c r="BF21" s="109">
        <f>IFERROR(GroceryList2745[[#This Row],[QTY]]*GroceryList2745[[#This Row],[UNIT PRICE]],"")</f>
        <v>0</v>
      </c>
      <c r="BG21" s="85"/>
      <c r="BJ21" s="84"/>
      <c r="BK21" s="105" t="s">
        <v>99</v>
      </c>
      <c r="BL21" s="85" t="s">
        <v>134</v>
      </c>
      <c r="BM21" s="85" t="s">
        <v>92</v>
      </c>
      <c r="BN21" s="84">
        <v>0</v>
      </c>
      <c r="BO21" s="83"/>
      <c r="BP21" s="103">
        <v>51.5</v>
      </c>
      <c r="BQ21" s="109">
        <f>IFERROR(GroceryList27456[[#This Row],[QTY]]*GroceryList27456[[#This Row],[UNIT PRICE]],"")</f>
        <v>0</v>
      </c>
      <c r="BR21" s="112" t="s">
        <v>169</v>
      </c>
      <c r="BS21" s="85"/>
      <c r="BV21" s="84"/>
      <c r="BW21" s="105" t="s">
        <v>99</v>
      </c>
      <c r="BX21" s="85" t="s">
        <v>134</v>
      </c>
      <c r="BY21" s="85" t="s">
        <v>92</v>
      </c>
      <c r="BZ21" s="84">
        <v>0</v>
      </c>
      <c r="CA21" s="83"/>
      <c r="CB21" s="103">
        <v>51.5</v>
      </c>
      <c r="CC21" s="109">
        <f>IFERROR(GroceryList2745614[[#This Row],[QTY]]*GroceryList2745614[[#This Row],[UNIT PRICE]],"")</f>
        <v>0</v>
      </c>
      <c r="CD21" s="112" t="s">
        <v>169</v>
      </c>
      <c r="CE21" s="85"/>
      <c r="CH21" s="84"/>
      <c r="CI21" s="105" t="s">
        <v>99</v>
      </c>
      <c r="CJ21" s="85" t="s">
        <v>134</v>
      </c>
      <c r="CK21" s="85" t="s">
        <v>92</v>
      </c>
      <c r="CL21" s="84">
        <v>0</v>
      </c>
      <c r="CM21" s="83"/>
      <c r="CN21" s="103">
        <v>51.5</v>
      </c>
      <c r="CO21" s="109">
        <f>IFERROR(GroceryList27456148[[#This Row],[QTY]]*GroceryList27456148[[#This Row],[UNIT PRICE]],"")</f>
        <v>0</v>
      </c>
      <c r="CP21" s="112" t="s">
        <v>169</v>
      </c>
      <c r="CQ21" s="85"/>
      <c r="CT21" s="84"/>
      <c r="CU21" s="105" t="s">
        <v>99</v>
      </c>
      <c r="CV21" s="85" t="s">
        <v>134</v>
      </c>
      <c r="CW21" s="85" t="s">
        <v>92</v>
      </c>
      <c r="CX21" s="84">
        <v>0</v>
      </c>
      <c r="CY21" s="83"/>
      <c r="CZ21" s="103">
        <v>51.5</v>
      </c>
      <c r="DA21" s="109">
        <f>IFERROR(GroceryList2745614810[[#This Row],[QTY]]*GroceryList2745614810[[#This Row],[UNIT PRICE]],"")</f>
        <v>0</v>
      </c>
      <c r="DB21" s="112" t="s">
        <v>169</v>
      </c>
      <c r="DC21" s="85"/>
      <c r="DF21" s="84"/>
      <c r="DG21" s="105" t="s">
        <v>99</v>
      </c>
      <c r="DH21" s="85" t="s">
        <v>134</v>
      </c>
      <c r="DI21" s="85" t="s">
        <v>92</v>
      </c>
      <c r="DJ21" s="84">
        <v>0</v>
      </c>
      <c r="DK21" s="83"/>
      <c r="DL21" s="103">
        <v>51.5</v>
      </c>
      <c r="DM21" s="109">
        <f>IFERROR(GroceryList27456148109[[#This Row],[QTY]]*GroceryList27456148109[[#This Row],[UNIT PRICE]],"")</f>
        <v>0</v>
      </c>
      <c r="DN21" s="112" t="s">
        <v>169</v>
      </c>
      <c r="DO21" s="85"/>
      <c r="DR21" s="84"/>
      <c r="DS21" s="105" t="s">
        <v>99</v>
      </c>
      <c r="DT21" s="85" t="s">
        <v>134</v>
      </c>
      <c r="DU21" s="85" t="s">
        <v>92</v>
      </c>
      <c r="DV21" s="84">
        <v>0</v>
      </c>
      <c r="DW21" s="83"/>
      <c r="DX21" s="103">
        <v>51.5</v>
      </c>
      <c r="DY21" s="109">
        <f>IFERROR(GroceryList2745614810911[[#This Row],[QTY]]*GroceryList2745614810911[[#This Row],[UNIT PRICE]],"")</f>
        <v>0</v>
      </c>
      <c r="DZ21" s="112" t="s">
        <v>169</v>
      </c>
      <c r="EA21" s="85"/>
      <c r="ED21" s="84"/>
      <c r="EE21" s="105" t="s">
        <v>218</v>
      </c>
      <c r="EF21" s="85" t="s">
        <v>134</v>
      </c>
      <c r="EG21" s="85" t="s">
        <v>92</v>
      </c>
      <c r="EH21" s="84">
        <v>1</v>
      </c>
      <c r="EI21" s="83"/>
      <c r="EJ21" s="103">
        <v>8.07</v>
      </c>
      <c r="EK21" s="109">
        <f>IFERROR(GroceryList274561481091112[[#This Row],[QTY]]*GroceryList274561481091112[[#This Row],[UNIT PRICE]],"")</f>
        <v>8.07</v>
      </c>
      <c r="EL21" s="112" t="s">
        <v>169</v>
      </c>
      <c r="EM21" s="85">
        <v>8.49</v>
      </c>
      <c r="EP21" s="84"/>
      <c r="EQ21" s="105" t="s">
        <v>218</v>
      </c>
      <c r="ER21" s="85" t="s">
        <v>134</v>
      </c>
      <c r="ES21" s="85" t="s">
        <v>92</v>
      </c>
      <c r="ET21" s="84">
        <v>0</v>
      </c>
      <c r="EU21" s="83"/>
      <c r="EV21" s="103">
        <v>8.07</v>
      </c>
      <c r="EW21" s="109">
        <f>IFERROR(GroceryList27456148109111213[[#This Row],[QTY]]*GroceryList27456148109111213[[#This Row],[UNIT PRICE]],"")</f>
        <v>0</v>
      </c>
      <c r="EX21" s="112" t="s">
        <v>169</v>
      </c>
      <c r="EY21" s="85">
        <v>8.49</v>
      </c>
      <c r="FB21" s="84"/>
      <c r="FC21" s="105" t="s">
        <v>218</v>
      </c>
      <c r="FD21" s="85" t="s">
        <v>134</v>
      </c>
      <c r="FE21" s="85" t="s">
        <v>92</v>
      </c>
      <c r="FF21" s="84">
        <v>0</v>
      </c>
      <c r="FG21" s="83"/>
      <c r="FH21" s="103">
        <v>8.07</v>
      </c>
      <c r="FI21" s="109">
        <f>IFERROR(GroceryList2745614810911121315[[#This Row],[QTY]]*GroceryList2745614810911121315[[#This Row],[UNIT PRICE]],"")</f>
        <v>0</v>
      </c>
      <c r="FJ21" s="112" t="s">
        <v>169</v>
      </c>
      <c r="FK21" s="85">
        <v>8.49</v>
      </c>
      <c r="FN21" s="84"/>
      <c r="FO21" s="105" t="s">
        <v>218</v>
      </c>
      <c r="FP21" s="85" t="s">
        <v>134</v>
      </c>
      <c r="FQ21" s="85" t="s">
        <v>92</v>
      </c>
      <c r="FR21" s="84">
        <v>0</v>
      </c>
      <c r="FS21" s="83"/>
      <c r="FT21" s="103">
        <v>8.07</v>
      </c>
      <c r="FU21" s="109">
        <f>IFERROR(GroceryList274561481091112131516[[#This Row],[QTY]]*GroceryList274561481091112131516[[#This Row],[UNIT PRICE]],"")</f>
        <v>0</v>
      </c>
      <c r="FV21" s="112" t="s">
        <v>169</v>
      </c>
      <c r="FW21" s="85">
        <v>8.49</v>
      </c>
      <c r="FZ21" s="84"/>
      <c r="GA21" s="105" t="s">
        <v>218</v>
      </c>
      <c r="GB21" s="85" t="s">
        <v>134</v>
      </c>
      <c r="GC21" s="85" t="s">
        <v>92</v>
      </c>
      <c r="GD21" s="84">
        <v>0</v>
      </c>
      <c r="GE21" s="83"/>
      <c r="GF21" s="103">
        <v>8.07</v>
      </c>
      <c r="GG21" s="109">
        <f>IFERROR(GroceryList274561481091112131517[[#This Row],[QTY]]*GroceryList274561481091112131517[[#This Row],[UNIT PRICE]],"")</f>
        <v>0</v>
      </c>
      <c r="GH21" s="112" t="s">
        <v>169</v>
      </c>
      <c r="GI21" s="85">
        <v>8.49</v>
      </c>
      <c r="GL21" s="84"/>
      <c r="GM21" s="105" t="s">
        <v>218</v>
      </c>
      <c r="GN21" s="85" t="s">
        <v>134</v>
      </c>
      <c r="GO21" s="85" t="s">
        <v>92</v>
      </c>
      <c r="GP21" s="84">
        <v>0</v>
      </c>
      <c r="GQ21" s="83"/>
      <c r="GR21" s="103">
        <v>8.07</v>
      </c>
      <c r="GS21" s="109">
        <f>IFERROR(GroceryList27456148109111213151718[[#This Row],[QTY]]*GroceryList27456148109111213151718[[#This Row],[UNIT PRICE]],"")</f>
        <v>0</v>
      </c>
      <c r="GT21" s="112" t="s">
        <v>169</v>
      </c>
      <c r="GU21" s="85">
        <v>8.49</v>
      </c>
    </row>
    <row r="22" spans="2:203" ht="30" customHeight="1" x14ac:dyDescent="0.2">
      <c r="B22" s="84"/>
      <c r="C22" s="99" t="s">
        <v>100</v>
      </c>
      <c r="D22" s="85"/>
      <c r="E22" s="85"/>
      <c r="F22" s="84"/>
      <c r="G22" s="83"/>
      <c r="H22" s="90"/>
      <c r="I22" s="90">
        <f>IFERROR(GroceryList[[#This Row],[QTY]]*GroceryList[[#This Row],[UNIT PRICE]],"")</f>
        <v>0</v>
      </c>
      <c r="J22" s="85"/>
      <c r="M22" s="84"/>
      <c r="N22" s="99" t="s">
        <v>100</v>
      </c>
      <c r="O22" s="85"/>
      <c r="P22" s="85"/>
      <c r="Q22" s="84"/>
      <c r="R22" s="83"/>
      <c r="S22" s="90"/>
      <c r="T22" s="90">
        <f>IFERROR(GroceryList2[[#This Row],[QTY]]*GroceryList2[[#This Row],[UNIT PRICE]],"")</f>
        <v>0</v>
      </c>
      <c r="U22" s="85"/>
      <c r="Y22" s="84" t="s">
        <v>130</v>
      </c>
      <c r="Z22" s="99" t="s">
        <v>100</v>
      </c>
      <c r="AA22" s="85"/>
      <c r="AB22" s="85"/>
      <c r="AC22" s="84"/>
      <c r="AD22" s="83"/>
      <c r="AE22" s="90"/>
      <c r="AF22" s="90">
        <f>IFERROR(GroceryList27[[#This Row],[QTY]]*GroceryList27[[#This Row],[UNIT PRICE]],"")</f>
        <v>0</v>
      </c>
      <c r="AG22" s="85"/>
      <c r="AM22" s="84" t="s">
        <v>130</v>
      </c>
      <c r="AN22" s="105" t="s">
        <v>100</v>
      </c>
      <c r="AO22" s="85"/>
      <c r="AP22" s="85" t="s">
        <v>92</v>
      </c>
      <c r="AQ22" s="84">
        <v>0</v>
      </c>
      <c r="AR22" s="83"/>
      <c r="AS22" s="109"/>
      <c r="AT22" s="109">
        <f>IFERROR(GroceryList274[[#This Row],[QTY]]*GroceryList274[[#This Row],[UNIT PRICE]],"")</f>
        <v>0</v>
      </c>
      <c r="AU22" s="85"/>
      <c r="AY22" s="84"/>
      <c r="AZ22" s="107" t="s">
        <v>140</v>
      </c>
      <c r="BA22" s="108" t="s">
        <v>134</v>
      </c>
      <c r="BB22" s="108" t="s">
        <v>89</v>
      </c>
      <c r="BC22" s="84">
        <v>0</v>
      </c>
      <c r="BD22" s="83"/>
      <c r="BE22" s="84">
        <v>31.34</v>
      </c>
      <c r="BF22" s="109">
        <f>IFERROR(GroceryList2745[[#This Row],[QTY]]*GroceryList2745[[#This Row],[UNIT PRICE]],"")</f>
        <v>0</v>
      </c>
      <c r="BG22"/>
      <c r="BJ22" s="84"/>
      <c r="BK22" s="107" t="s">
        <v>140</v>
      </c>
      <c r="BL22" s="108" t="s">
        <v>134</v>
      </c>
      <c r="BM22" s="108" t="s">
        <v>89</v>
      </c>
      <c r="BN22" s="84">
        <v>0</v>
      </c>
      <c r="BO22" s="83"/>
      <c r="BP22" s="84">
        <v>31.34</v>
      </c>
      <c r="BQ22" s="109">
        <f>IFERROR(GroceryList27456[[#This Row],[QTY]]*GroceryList27456[[#This Row],[UNIT PRICE]],"")</f>
        <v>0</v>
      </c>
      <c r="BR22" s="111" t="s">
        <v>169</v>
      </c>
      <c r="BS22"/>
      <c r="BV22" s="84"/>
      <c r="BW22" s="107" t="s">
        <v>140</v>
      </c>
      <c r="BX22" s="108" t="s">
        <v>134</v>
      </c>
      <c r="BY22" s="108" t="s">
        <v>89</v>
      </c>
      <c r="BZ22" s="84">
        <v>0</v>
      </c>
      <c r="CA22" s="83"/>
      <c r="CB22" s="84">
        <v>31.34</v>
      </c>
      <c r="CC22" s="109">
        <f>IFERROR(GroceryList2745614[[#This Row],[QTY]]*GroceryList2745614[[#This Row],[UNIT PRICE]],"")</f>
        <v>0</v>
      </c>
      <c r="CD22" s="111" t="s">
        <v>169</v>
      </c>
      <c r="CE22"/>
      <c r="CH22" s="84"/>
      <c r="CI22" s="111" t="s">
        <v>140</v>
      </c>
      <c r="CJ22" s="108" t="s">
        <v>134</v>
      </c>
      <c r="CK22" s="108" t="s">
        <v>89</v>
      </c>
      <c r="CL22" s="84">
        <v>0</v>
      </c>
      <c r="CM22" s="83"/>
      <c r="CN22" s="84">
        <v>31.34</v>
      </c>
      <c r="CO22" s="109">
        <f>IFERROR(GroceryList27456148[[#This Row],[QTY]]*GroceryList27456148[[#This Row],[UNIT PRICE]],"")</f>
        <v>0</v>
      </c>
      <c r="CP22" s="111" t="s">
        <v>169</v>
      </c>
      <c r="CQ22"/>
      <c r="CT22" s="84"/>
      <c r="CU22" s="111" t="s">
        <v>140</v>
      </c>
      <c r="CV22" s="108" t="s">
        <v>134</v>
      </c>
      <c r="CW22" s="108" t="s">
        <v>89</v>
      </c>
      <c r="CX22" s="84">
        <v>0</v>
      </c>
      <c r="CY22" s="83"/>
      <c r="CZ22" s="84">
        <v>31.34</v>
      </c>
      <c r="DA22" s="109">
        <f>IFERROR(GroceryList2745614810[[#This Row],[QTY]]*GroceryList2745614810[[#This Row],[UNIT PRICE]],"")</f>
        <v>0</v>
      </c>
      <c r="DB22" s="111" t="s">
        <v>169</v>
      </c>
      <c r="DC22"/>
      <c r="DF22" s="84"/>
      <c r="DG22" s="111" t="s">
        <v>140</v>
      </c>
      <c r="DH22" s="108" t="s">
        <v>134</v>
      </c>
      <c r="DI22" s="108" t="s">
        <v>89</v>
      </c>
      <c r="DJ22" s="84">
        <v>0</v>
      </c>
      <c r="DK22" s="83"/>
      <c r="DL22" s="84">
        <v>31.34</v>
      </c>
      <c r="DM22" s="109">
        <f>IFERROR(GroceryList27456148109[[#This Row],[QTY]]*GroceryList27456148109[[#This Row],[UNIT PRICE]],"")</f>
        <v>0</v>
      </c>
      <c r="DN22" s="111" t="s">
        <v>169</v>
      </c>
      <c r="DO22"/>
      <c r="DR22" s="84"/>
      <c r="DS22" s="111" t="s">
        <v>140</v>
      </c>
      <c r="DT22" s="108" t="s">
        <v>134</v>
      </c>
      <c r="DU22" s="108" t="s">
        <v>89</v>
      </c>
      <c r="DV22" s="84">
        <v>0</v>
      </c>
      <c r="DW22" s="83"/>
      <c r="DX22" s="84">
        <v>31.34</v>
      </c>
      <c r="DY22" s="109">
        <f>IFERROR(GroceryList2745614810911[[#This Row],[QTY]]*GroceryList2745614810911[[#This Row],[UNIT PRICE]],"")</f>
        <v>0</v>
      </c>
      <c r="DZ22" s="111" t="s">
        <v>169</v>
      </c>
      <c r="EA22"/>
      <c r="ED22" s="84"/>
      <c r="EE22" s="111" t="s">
        <v>140</v>
      </c>
      <c r="EF22" s="108" t="s">
        <v>134</v>
      </c>
      <c r="EG22" s="108" t="s">
        <v>89</v>
      </c>
      <c r="EH22" s="84">
        <v>0</v>
      </c>
      <c r="EI22" s="83"/>
      <c r="EJ22" s="84">
        <v>31.34</v>
      </c>
      <c r="EK22" s="109">
        <f>IFERROR(GroceryList274561481091112[[#This Row],[QTY]]*GroceryList274561481091112[[#This Row],[UNIT PRICE]],"")</f>
        <v>0</v>
      </c>
      <c r="EL22" s="111" t="s">
        <v>169</v>
      </c>
      <c r="EM22"/>
      <c r="EP22" s="84"/>
      <c r="EQ22" s="111" t="s">
        <v>140</v>
      </c>
      <c r="ER22" s="108" t="s">
        <v>134</v>
      </c>
      <c r="ES22" s="108" t="s">
        <v>89</v>
      </c>
      <c r="ET22" s="84">
        <v>0</v>
      </c>
      <c r="EU22" s="83"/>
      <c r="EV22" s="84">
        <v>31.34</v>
      </c>
      <c r="EW22" s="109">
        <f>IFERROR(GroceryList27456148109111213[[#This Row],[QTY]]*GroceryList27456148109111213[[#This Row],[UNIT PRICE]],"")</f>
        <v>0</v>
      </c>
      <c r="EX22" s="111" t="s">
        <v>169</v>
      </c>
      <c r="EY22"/>
      <c r="FB22" s="84"/>
      <c r="FC22" s="111" t="s">
        <v>140</v>
      </c>
      <c r="FD22" s="108" t="s">
        <v>134</v>
      </c>
      <c r="FE22" s="108" t="s">
        <v>89</v>
      </c>
      <c r="FF22" s="84">
        <v>0</v>
      </c>
      <c r="FG22" s="83"/>
      <c r="FH22" s="84">
        <v>31.34</v>
      </c>
      <c r="FI22" s="109">
        <f>IFERROR(GroceryList2745614810911121315[[#This Row],[QTY]]*GroceryList2745614810911121315[[#This Row],[UNIT PRICE]],"")</f>
        <v>0</v>
      </c>
      <c r="FJ22" s="111" t="s">
        <v>169</v>
      </c>
      <c r="FK22"/>
      <c r="FN22" s="84"/>
      <c r="FO22" s="111" t="s">
        <v>140</v>
      </c>
      <c r="FP22" s="108" t="s">
        <v>134</v>
      </c>
      <c r="FQ22" s="108" t="s">
        <v>89</v>
      </c>
      <c r="FR22" s="84">
        <v>0</v>
      </c>
      <c r="FS22" s="83"/>
      <c r="FT22" s="84">
        <v>31.34</v>
      </c>
      <c r="FU22" s="109">
        <f>IFERROR(GroceryList274561481091112131516[[#This Row],[QTY]]*GroceryList274561481091112131516[[#This Row],[UNIT PRICE]],"")</f>
        <v>0</v>
      </c>
      <c r="FV22" s="111" t="s">
        <v>169</v>
      </c>
      <c r="FW22"/>
      <c r="FZ22" s="84"/>
      <c r="GA22" s="111" t="s">
        <v>334</v>
      </c>
      <c r="GB22" s="108" t="s">
        <v>134</v>
      </c>
      <c r="GC22" s="108" t="s">
        <v>89</v>
      </c>
      <c r="GD22" s="84">
        <v>1</v>
      </c>
      <c r="GE22" s="83"/>
      <c r="GF22" s="84">
        <v>25</v>
      </c>
      <c r="GG22" s="109">
        <f>IFERROR(GroceryList274561481091112131517[[#This Row],[QTY]]*GroceryList274561481091112131517[[#This Row],[UNIT PRICE]],"")</f>
        <v>25</v>
      </c>
      <c r="GH22" s="111" t="s">
        <v>169</v>
      </c>
      <c r="GI22"/>
      <c r="GL22" s="84"/>
      <c r="GM22" s="111" t="s">
        <v>334</v>
      </c>
      <c r="GN22" s="108" t="s">
        <v>134</v>
      </c>
      <c r="GO22" s="108" t="s">
        <v>89</v>
      </c>
      <c r="GP22" s="84">
        <v>1</v>
      </c>
      <c r="GQ22" s="83"/>
      <c r="GR22" s="84">
        <v>25</v>
      </c>
      <c r="GS22" s="109">
        <f>IFERROR(GroceryList27456148109111213151718[[#This Row],[QTY]]*GroceryList27456148109111213151718[[#This Row],[UNIT PRICE]],"")</f>
        <v>25</v>
      </c>
      <c r="GT22" s="111" t="s">
        <v>169</v>
      </c>
      <c r="GU22"/>
    </row>
    <row r="23" spans="2:203" ht="30" customHeight="1" x14ac:dyDescent="0.2">
      <c r="B23" s="84"/>
      <c r="C23" s="102" t="s">
        <v>136</v>
      </c>
      <c r="D23" t="s">
        <v>134</v>
      </c>
      <c r="E23" t="s">
        <v>92</v>
      </c>
      <c r="F23" s="84">
        <v>1</v>
      </c>
      <c r="G23" s="83"/>
      <c r="H23" s="90">
        <v>45.6</v>
      </c>
      <c r="I23" s="90">
        <f>IFERROR(GroceryList[[#This Row],[QTY]]*GroceryList[[#This Row],[UNIT PRICE]],"")</f>
        <v>45.6</v>
      </c>
      <c r="J23"/>
      <c r="M23" s="84"/>
      <c r="N23" s="102" t="s">
        <v>136</v>
      </c>
      <c r="O23" t="s">
        <v>134</v>
      </c>
      <c r="P23" t="s">
        <v>92</v>
      </c>
      <c r="Q23" s="84"/>
      <c r="R23" s="83"/>
      <c r="S23" s="90">
        <v>45.6</v>
      </c>
      <c r="T23" s="90">
        <f>IFERROR(GroceryList2[[#This Row],[QTY]]*GroceryList2[[#This Row],[UNIT PRICE]],"")</f>
        <v>0</v>
      </c>
      <c r="U23"/>
      <c r="Y23" s="84" t="s">
        <v>130</v>
      </c>
      <c r="Z23" s="102" t="s">
        <v>136</v>
      </c>
      <c r="AA23" t="s">
        <v>134</v>
      </c>
      <c r="AB23" t="s">
        <v>92</v>
      </c>
      <c r="AC23" s="84">
        <v>0</v>
      </c>
      <c r="AD23" s="83"/>
      <c r="AE23" s="90">
        <v>45.6</v>
      </c>
      <c r="AF23" s="90">
        <f>IFERROR(GroceryList27[[#This Row],[QTY]]*GroceryList27[[#This Row],[UNIT PRICE]],"")</f>
        <v>0</v>
      </c>
      <c r="AG23"/>
      <c r="AM23" s="84" t="s">
        <v>130</v>
      </c>
      <c r="AN23" s="107" t="s">
        <v>136</v>
      </c>
      <c r="AO23" s="108" t="s">
        <v>134</v>
      </c>
      <c r="AP23" s="108" t="s">
        <v>92</v>
      </c>
      <c r="AQ23" s="84">
        <v>0</v>
      </c>
      <c r="AR23" s="83"/>
      <c r="AS23" s="109">
        <v>45.6</v>
      </c>
      <c r="AT23" s="109">
        <f>IFERROR(GroceryList274[[#This Row],[QTY]]*GroceryList274[[#This Row],[UNIT PRICE]],"")</f>
        <v>0</v>
      </c>
      <c r="AU23"/>
      <c r="AY23" s="84" t="s">
        <v>130</v>
      </c>
      <c r="AZ23" s="105" t="s">
        <v>100</v>
      </c>
      <c r="BA23" s="85"/>
      <c r="BB23" s="85" t="s">
        <v>92</v>
      </c>
      <c r="BC23" s="84">
        <v>0</v>
      </c>
      <c r="BD23" s="83"/>
      <c r="BE23" s="109"/>
      <c r="BF23" s="109">
        <f>IFERROR(GroceryList2745[[#This Row],[QTY]]*GroceryList2745[[#This Row],[UNIT PRICE]],"")</f>
        <v>0</v>
      </c>
      <c r="BG23" s="85"/>
      <c r="BJ23" s="84" t="s">
        <v>130</v>
      </c>
      <c r="BK23" s="105" t="s">
        <v>100</v>
      </c>
      <c r="BL23" s="85"/>
      <c r="BM23" s="85" t="s">
        <v>92</v>
      </c>
      <c r="BN23" s="84">
        <v>0</v>
      </c>
      <c r="BO23" s="83"/>
      <c r="BP23" s="109"/>
      <c r="BQ23" s="109">
        <f>IFERROR(GroceryList27456[[#This Row],[QTY]]*GroceryList27456[[#This Row],[UNIT PRICE]],"")</f>
        <v>0</v>
      </c>
      <c r="BR23" s="112" t="s">
        <v>130</v>
      </c>
      <c r="BS23" s="85"/>
      <c r="BV23" s="84" t="s">
        <v>130</v>
      </c>
      <c r="BW23" s="105" t="s">
        <v>100</v>
      </c>
      <c r="BX23" s="85"/>
      <c r="BY23" s="85" t="s">
        <v>92</v>
      </c>
      <c r="BZ23" s="84">
        <v>2</v>
      </c>
      <c r="CA23" s="83"/>
      <c r="CB23" s="109">
        <v>12.99</v>
      </c>
      <c r="CC23" s="109">
        <f>IFERROR(GroceryList2745614[[#This Row],[QTY]]*GroceryList2745614[[#This Row],[UNIT PRICE]],"")</f>
        <v>25.98</v>
      </c>
      <c r="CD23" s="112" t="s">
        <v>130</v>
      </c>
      <c r="CE23" s="85">
        <v>18.989999999999998</v>
      </c>
      <c r="CH23" s="84" t="s">
        <v>130</v>
      </c>
      <c r="CI23" s="105" t="s">
        <v>100</v>
      </c>
      <c r="CJ23" s="85"/>
      <c r="CK23" s="85" t="s">
        <v>92</v>
      </c>
      <c r="CL23" s="84">
        <v>2</v>
      </c>
      <c r="CM23" s="83"/>
      <c r="CN23" s="109">
        <v>12.99</v>
      </c>
      <c r="CO23" s="109">
        <f>IFERROR(GroceryList27456148[[#This Row],[QTY]]*GroceryList27456148[[#This Row],[UNIT PRICE]],"")</f>
        <v>25.98</v>
      </c>
      <c r="CP23" s="112" t="s">
        <v>130</v>
      </c>
      <c r="CQ23" s="85">
        <v>18.989999999999998</v>
      </c>
      <c r="CT23" s="84" t="s">
        <v>130</v>
      </c>
      <c r="CU23" s="105" t="s">
        <v>100</v>
      </c>
      <c r="CV23" s="85"/>
      <c r="CW23" s="85" t="s">
        <v>92</v>
      </c>
      <c r="CX23" s="84">
        <v>0</v>
      </c>
      <c r="CY23" s="83"/>
      <c r="CZ23" s="109">
        <v>12.99</v>
      </c>
      <c r="DA23" s="109">
        <f>IFERROR(GroceryList2745614810[[#This Row],[QTY]]*GroceryList2745614810[[#This Row],[UNIT PRICE]],"")</f>
        <v>0</v>
      </c>
      <c r="DB23" s="112" t="s">
        <v>130</v>
      </c>
      <c r="DC23" s="85">
        <v>18.989999999999998</v>
      </c>
      <c r="DF23" s="84" t="s">
        <v>130</v>
      </c>
      <c r="DG23" s="105" t="s">
        <v>100</v>
      </c>
      <c r="DH23" s="85"/>
      <c r="DI23" s="85" t="s">
        <v>92</v>
      </c>
      <c r="DJ23" s="84">
        <v>0</v>
      </c>
      <c r="DK23" s="83"/>
      <c r="DL23" s="109">
        <v>12.99</v>
      </c>
      <c r="DM23" s="109">
        <f>IFERROR(GroceryList27456148109[[#This Row],[QTY]]*GroceryList27456148109[[#This Row],[UNIT PRICE]],"")</f>
        <v>0</v>
      </c>
      <c r="DN23" s="112" t="s">
        <v>130</v>
      </c>
      <c r="DO23" s="85">
        <v>18.989999999999998</v>
      </c>
      <c r="DR23" s="84" t="s">
        <v>130</v>
      </c>
      <c r="DS23" s="105" t="s">
        <v>100</v>
      </c>
      <c r="DT23" s="85"/>
      <c r="DU23" s="85" t="s">
        <v>92</v>
      </c>
      <c r="DV23" s="84">
        <v>2</v>
      </c>
      <c r="DW23" s="83"/>
      <c r="DX23" s="109">
        <v>12.99</v>
      </c>
      <c r="DY23" s="109">
        <f>IFERROR(GroceryList2745614810911[[#This Row],[QTY]]*GroceryList2745614810911[[#This Row],[UNIT PRICE]],"")</f>
        <v>25.98</v>
      </c>
      <c r="DZ23" s="112" t="s">
        <v>130</v>
      </c>
      <c r="EA23" s="85">
        <v>18.989999999999998</v>
      </c>
      <c r="ED23" s="84" t="s">
        <v>130</v>
      </c>
      <c r="EE23" s="105" t="s">
        <v>100</v>
      </c>
      <c r="EF23" s="85"/>
      <c r="EG23" s="85" t="s">
        <v>92</v>
      </c>
      <c r="EH23" s="84">
        <v>0</v>
      </c>
      <c r="EI23" s="83"/>
      <c r="EJ23" s="109">
        <v>12.99</v>
      </c>
      <c r="EK23" s="109">
        <f>IFERROR(GroceryList274561481091112[[#This Row],[QTY]]*GroceryList274561481091112[[#This Row],[UNIT PRICE]],"")</f>
        <v>0</v>
      </c>
      <c r="EL23" s="112" t="s">
        <v>130</v>
      </c>
      <c r="EM23" s="85">
        <v>18.989999999999998</v>
      </c>
      <c r="EP23" s="84" t="s">
        <v>130</v>
      </c>
      <c r="EQ23" s="105" t="s">
        <v>100</v>
      </c>
      <c r="ER23" s="85"/>
      <c r="ES23" s="85" t="s">
        <v>92</v>
      </c>
      <c r="ET23" s="84">
        <v>0</v>
      </c>
      <c r="EU23" s="83"/>
      <c r="EV23" s="109">
        <v>12.99</v>
      </c>
      <c r="EW23" s="109">
        <f>IFERROR(GroceryList27456148109111213[[#This Row],[QTY]]*GroceryList27456148109111213[[#This Row],[UNIT PRICE]],"")</f>
        <v>0</v>
      </c>
      <c r="EX23" s="112" t="s">
        <v>130</v>
      </c>
      <c r="EY23" s="85">
        <v>18.989999999999998</v>
      </c>
      <c r="FB23" s="84" t="s">
        <v>130</v>
      </c>
      <c r="FC23" s="105" t="s">
        <v>100</v>
      </c>
      <c r="FD23" s="85"/>
      <c r="FE23" s="85" t="s">
        <v>92</v>
      </c>
      <c r="FF23" s="84">
        <v>0</v>
      </c>
      <c r="FG23" s="83"/>
      <c r="FH23" s="109">
        <v>12.99</v>
      </c>
      <c r="FI23" s="109">
        <f>IFERROR(GroceryList2745614810911121315[[#This Row],[QTY]]*GroceryList2745614810911121315[[#This Row],[UNIT PRICE]],"")</f>
        <v>0</v>
      </c>
      <c r="FJ23" s="112" t="s">
        <v>130</v>
      </c>
      <c r="FK23" s="85">
        <v>18.989999999999998</v>
      </c>
      <c r="FN23" s="84" t="s">
        <v>130</v>
      </c>
      <c r="FO23" s="105" t="s">
        <v>100</v>
      </c>
      <c r="FP23" s="85"/>
      <c r="FQ23" s="85" t="s">
        <v>92</v>
      </c>
      <c r="FR23" s="84">
        <v>0</v>
      </c>
      <c r="FS23" s="83"/>
      <c r="FT23" s="109">
        <v>12.99</v>
      </c>
      <c r="FU23" s="109">
        <f>IFERROR(GroceryList274561481091112131516[[#This Row],[QTY]]*GroceryList274561481091112131516[[#This Row],[UNIT PRICE]],"")</f>
        <v>0</v>
      </c>
      <c r="FV23" s="112" t="s">
        <v>130</v>
      </c>
      <c r="FW23" s="85">
        <v>18.989999999999998</v>
      </c>
      <c r="FZ23" s="84" t="s">
        <v>130</v>
      </c>
      <c r="GA23" s="105" t="s">
        <v>100</v>
      </c>
      <c r="GB23" s="85"/>
      <c r="GC23" s="85" t="s">
        <v>92</v>
      </c>
      <c r="GD23" s="84">
        <v>1</v>
      </c>
      <c r="GE23" s="83"/>
      <c r="GF23" s="109">
        <v>16.989999999999998</v>
      </c>
      <c r="GG23" s="109">
        <f>IFERROR(GroceryList274561481091112131517[[#This Row],[QTY]]*GroceryList274561481091112131517[[#This Row],[UNIT PRICE]],"")</f>
        <v>16.989999999999998</v>
      </c>
      <c r="GH23" s="112" t="s">
        <v>130</v>
      </c>
      <c r="GI23" s="85">
        <v>18.989999999999998</v>
      </c>
      <c r="GL23" s="84" t="s">
        <v>130</v>
      </c>
      <c r="GM23" s="105" t="s">
        <v>100</v>
      </c>
      <c r="GN23" s="85"/>
      <c r="GO23" s="85" t="s">
        <v>92</v>
      </c>
      <c r="GP23" s="84">
        <v>1</v>
      </c>
      <c r="GQ23" s="83"/>
      <c r="GR23" s="109">
        <v>16.989999999999998</v>
      </c>
      <c r="GS23" s="109">
        <f>IFERROR(GroceryList27456148109111213151718[[#This Row],[QTY]]*GroceryList27456148109111213151718[[#This Row],[UNIT PRICE]],"")</f>
        <v>16.989999999999998</v>
      </c>
      <c r="GT23" s="112" t="s">
        <v>130</v>
      </c>
      <c r="GU23" s="85">
        <v>18.989999999999998</v>
      </c>
    </row>
    <row r="24" spans="2:203" ht="30" customHeight="1" x14ac:dyDescent="0.2">
      <c r="B24" s="84"/>
      <c r="C24" s="102" t="s">
        <v>137</v>
      </c>
      <c r="D24" t="s">
        <v>134</v>
      </c>
      <c r="E24" t="s">
        <v>92</v>
      </c>
      <c r="F24" s="84">
        <v>1</v>
      </c>
      <c r="G24" s="83"/>
      <c r="H24" s="90">
        <v>27.55</v>
      </c>
      <c r="I24" s="90">
        <f>IFERROR(GroceryList[[#This Row],[QTY]]*GroceryList[[#This Row],[UNIT PRICE]],"")</f>
        <v>27.55</v>
      </c>
      <c r="J24"/>
      <c r="M24" s="84"/>
      <c r="N24" s="102" t="s">
        <v>137</v>
      </c>
      <c r="O24" t="s">
        <v>134</v>
      </c>
      <c r="P24" t="s">
        <v>92</v>
      </c>
      <c r="Q24" s="84"/>
      <c r="R24" s="83"/>
      <c r="S24" s="90">
        <v>27.55</v>
      </c>
      <c r="T24" s="90">
        <f>IFERROR(GroceryList2[[#This Row],[QTY]]*GroceryList2[[#This Row],[UNIT PRICE]],"")</f>
        <v>0</v>
      </c>
      <c r="U24"/>
      <c r="Y24" s="84"/>
      <c r="Z24" s="102" t="s">
        <v>137</v>
      </c>
      <c r="AA24" t="s">
        <v>134</v>
      </c>
      <c r="AB24" t="s">
        <v>92</v>
      </c>
      <c r="AC24" s="84"/>
      <c r="AD24" s="83"/>
      <c r="AE24" s="90">
        <v>27.55</v>
      </c>
      <c r="AF24" s="90">
        <f>IFERROR(GroceryList27[[#This Row],[QTY]]*GroceryList27[[#This Row],[UNIT PRICE]],"")</f>
        <v>0</v>
      </c>
      <c r="AG24"/>
      <c r="AM24" s="84"/>
      <c r="AN24" s="107" t="s">
        <v>137</v>
      </c>
      <c r="AO24" s="108" t="s">
        <v>134</v>
      </c>
      <c r="AP24" s="108" t="s">
        <v>92</v>
      </c>
      <c r="AQ24" s="84"/>
      <c r="AR24" s="83"/>
      <c r="AS24" s="109">
        <v>27.55</v>
      </c>
      <c r="AT24" s="109">
        <f>IFERROR(GroceryList274[[#This Row],[QTY]]*GroceryList274[[#This Row],[UNIT PRICE]],"")</f>
        <v>0</v>
      </c>
      <c r="AU24"/>
      <c r="AY24" s="87" t="s">
        <v>130</v>
      </c>
      <c r="AZ24" s="105" t="s">
        <v>111</v>
      </c>
      <c r="BA24" s="110" t="s">
        <v>150</v>
      </c>
      <c r="BB24" s="110" t="s">
        <v>92</v>
      </c>
      <c r="BC24" s="84">
        <v>1</v>
      </c>
      <c r="BE24" s="109">
        <v>39</v>
      </c>
      <c r="BF24" s="109">
        <f>IFERROR(GroceryList2745[[#This Row],[QTY]]*GroceryList2745[[#This Row],[UNIT PRICE]],"")</f>
        <v>39</v>
      </c>
      <c r="BG24" s="89"/>
      <c r="BJ24" s="87" t="s">
        <v>130</v>
      </c>
      <c r="BK24" s="105" t="s">
        <v>111</v>
      </c>
      <c r="BL24" s="110" t="s">
        <v>150</v>
      </c>
      <c r="BM24" s="110" t="s">
        <v>92</v>
      </c>
      <c r="BN24" s="84">
        <v>0</v>
      </c>
      <c r="BP24" s="109">
        <v>39</v>
      </c>
      <c r="BQ24" s="109">
        <f>IFERROR(GroceryList27456[[#This Row],[QTY]]*GroceryList27456[[#This Row],[UNIT PRICE]],"")</f>
        <v>0</v>
      </c>
      <c r="BR24" s="105" t="s">
        <v>130</v>
      </c>
      <c r="BS24" s="89"/>
      <c r="BV24" s="87" t="s">
        <v>130</v>
      </c>
      <c r="BW24" s="105" t="s">
        <v>111</v>
      </c>
      <c r="BX24" s="110" t="s">
        <v>150</v>
      </c>
      <c r="BY24" s="110" t="s">
        <v>92</v>
      </c>
      <c r="BZ24" s="84">
        <v>1</v>
      </c>
      <c r="CB24" s="109">
        <v>40</v>
      </c>
      <c r="CC24" s="109">
        <f>IFERROR(GroceryList2745614[[#This Row],[QTY]]*GroceryList2745614[[#This Row],[UNIT PRICE]],"")</f>
        <v>40</v>
      </c>
      <c r="CD24" s="105" t="s">
        <v>130</v>
      </c>
      <c r="CE24" s="89"/>
      <c r="CH24" s="87" t="s">
        <v>130</v>
      </c>
      <c r="CI24" s="105" t="s">
        <v>111</v>
      </c>
      <c r="CJ24" s="110" t="s">
        <v>150</v>
      </c>
      <c r="CK24" s="110" t="s">
        <v>92</v>
      </c>
      <c r="CL24" s="84">
        <v>1</v>
      </c>
      <c r="CN24" s="109">
        <v>40</v>
      </c>
      <c r="CO24" s="109">
        <f>IFERROR(GroceryList27456148[[#This Row],[QTY]]*GroceryList27456148[[#This Row],[UNIT PRICE]],"")</f>
        <v>40</v>
      </c>
      <c r="CP24" s="105" t="s">
        <v>130</v>
      </c>
      <c r="CQ24" s="89"/>
      <c r="CT24" s="87" t="s">
        <v>130</v>
      </c>
      <c r="CU24" s="105" t="s">
        <v>111</v>
      </c>
      <c r="CV24" s="110" t="s">
        <v>150</v>
      </c>
      <c r="CW24" s="110" t="s">
        <v>92</v>
      </c>
      <c r="CX24" s="84">
        <v>0</v>
      </c>
      <c r="CZ24" s="109">
        <v>40</v>
      </c>
      <c r="DA24" s="109">
        <f>IFERROR(GroceryList2745614810[[#This Row],[QTY]]*GroceryList2745614810[[#This Row],[UNIT PRICE]],"")</f>
        <v>0</v>
      </c>
      <c r="DB24" s="105" t="s">
        <v>130</v>
      </c>
      <c r="DC24" s="89"/>
      <c r="DF24" s="87" t="s">
        <v>130</v>
      </c>
      <c r="DG24" s="105" t="s">
        <v>111</v>
      </c>
      <c r="DH24" s="110" t="s">
        <v>150</v>
      </c>
      <c r="DI24" s="110" t="s">
        <v>92</v>
      </c>
      <c r="DJ24" s="84">
        <v>1</v>
      </c>
      <c r="DL24" s="109">
        <v>40</v>
      </c>
      <c r="DM24" s="109">
        <f>IFERROR(GroceryList27456148109[[#This Row],[QTY]]*GroceryList27456148109[[#This Row],[UNIT PRICE]],"")</f>
        <v>40</v>
      </c>
      <c r="DN24" s="105" t="s">
        <v>130</v>
      </c>
      <c r="DO24" s="89"/>
      <c r="DR24" s="87" t="s">
        <v>130</v>
      </c>
      <c r="DS24" s="105" t="s">
        <v>111</v>
      </c>
      <c r="DT24" s="110" t="s">
        <v>150</v>
      </c>
      <c r="DU24" s="110" t="s">
        <v>92</v>
      </c>
      <c r="DV24" s="84">
        <v>1</v>
      </c>
      <c r="DX24" s="109">
        <v>40</v>
      </c>
      <c r="DY24" s="109">
        <f>IFERROR(GroceryList2745614810911[[#This Row],[QTY]]*GroceryList2745614810911[[#This Row],[UNIT PRICE]],"")</f>
        <v>40</v>
      </c>
      <c r="DZ24" s="105" t="s">
        <v>130</v>
      </c>
      <c r="EA24" s="89"/>
      <c r="ED24" s="87" t="s">
        <v>130</v>
      </c>
      <c r="EE24" s="105" t="s">
        <v>111</v>
      </c>
      <c r="EF24" s="110" t="s">
        <v>150</v>
      </c>
      <c r="EG24" s="110" t="s">
        <v>92</v>
      </c>
      <c r="EH24" s="84">
        <v>1</v>
      </c>
      <c r="EJ24" s="109">
        <v>40</v>
      </c>
      <c r="EK24" s="109">
        <f>IFERROR(GroceryList274561481091112[[#This Row],[QTY]]*GroceryList274561481091112[[#This Row],[UNIT PRICE]],"")</f>
        <v>40</v>
      </c>
      <c r="EL24" s="105" t="s">
        <v>130</v>
      </c>
      <c r="EM24" s="89"/>
      <c r="EP24" s="87" t="s">
        <v>130</v>
      </c>
      <c r="EQ24" s="105" t="s">
        <v>111</v>
      </c>
      <c r="ER24" s="110" t="s">
        <v>150</v>
      </c>
      <c r="ES24" s="110" t="s">
        <v>92</v>
      </c>
      <c r="ET24" s="84">
        <v>1</v>
      </c>
      <c r="EV24" s="109">
        <v>40</v>
      </c>
      <c r="EW24" s="109">
        <f>IFERROR(GroceryList27456148109111213[[#This Row],[QTY]]*GroceryList27456148109111213[[#This Row],[UNIT PRICE]],"")</f>
        <v>40</v>
      </c>
      <c r="EX24" s="105" t="s">
        <v>130</v>
      </c>
      <c r="EY24" s="89"/>
      <c r="FB24" s="87" t="s">
        <v>130</v>
      </c>
      <c r="FC24" s="105" t="s">
        <v>111</v>
      </c>
      <c r="FD24" s="110" t="s">
        <v>150</v>
      </c>
      <c r="FE24" s="110" t="s">
        <v>92</v>
      </c>
      <c r="FF24" s="84">
        <v>0</v>
      </c>
      <c r="FH24" s="109">
        <v>40</v>
      </c>
      <c r="FI24" s="109">
        <f>IFERROR(GroceryList2745614810911121315[[#This Row],[QTY]]*GroceryList2745614810911121315[[#This Row],[UNIT PRICE]],"")</f>
        <v>0</v>
      </c>
      <c r="FJ24" s="105" t="s">
        <v>130</v>
      </c>
      <c r="FK24" s="89"/>
      <c r="FN24" s="87" t="s">
        <v>130</v>
      </c>
      <c r="FO24" s="105" t="s">
        <v>111</v>
      </c>
      <c r="FP24" s="110" t="s">
        <v>150</v>
      </c>
      <c r="FQ24" s="110" t="s">
        <v>92</v>
      </c>
      <c r="FR24" s="84">
        <v>1</v>
      </c>
      <c r="FT24" s="109">
        <v>40</v>
      </c>
      <c r="FU24" s="109">
        <f>IFERROR(GroceryList274561481091112131516[[#This Row],[QTY]]*GroceryList274561481091112131516[[#This Row],[UNIT PRICE]],"")</f>
        <v>40</v>
      </c>
      <c r="FV24" s="105" t="s">
        <v>130</v>
      </c>
      <c r="FW24" s="89"/>
      <c r="FZ24" s="87" t="s">
        <v>130</v>
      </c>
      <c r="GA24" s="105" t="s">
        <v>111</v>
      </c>
      <c r="GB24" s="110" t="s">
        <v>150</v>
      </c>
      <c r="GC24" s="110" t="s">
        <v>92</v>
      </c>
      <c r="GD24" s="84">
        <v>1</v>
      </c>
      <c r="GF24" s="109">
        <v>47</v>
      </c>
      <c r="GG24" s="109">
        <f>IFERROR(GroceryList274561481091112131517[[#This Row],[QTY]]*GroceryList274561481091112131517[[#This Row],[UNIT PRICE]],"")</f>
        <v>47</v>
      </c>
      <c r="GH24" s="105" t="s">
        <v>130</v>
      </c>
      <c r="GI24" s="89"/>
      <c r="GL24" s="87" t="s">
        <v>130</v>
      </c>
      <c r="GM24" s="105" t="s">
        <v>111</v>
      </c>
      <c r="GN24" s="110" t="s">
        <v>150</v>
      </c>
      <c r="GO24" s="110" t="s">
        <v>92</v>
      </c>
      <c r="GP24" s="84">
        <v>1</v>
      </c>
      <c r="GR24" s="109">
        <v>47</v>
      </c>
      <c r="GS24" s="109">
        <f>IFERROR(GroceryList27456148109111213151718[[#This Row],[QTY]]*GroceryList27456148109111213151718[[#This Row],[UNIT PRICE]],"")</f>
        <v>47</v>
      </c>
      <c r="GT24" s="105" t="s">
        <v>130</v>
      </c>
      <c r="GU24" s="89"/>
    </row>
    <row r="25" spans="2:203" ht="30" customHeight="1" x14ac:dyDescent="0.2">
      <c r="B25" s="84"/>
      <c r="C25" s="99" t="s">
        <v>101</v>
      </c>
      <c r="D25" s="85"/>
      <c r="E25" s="85"/>
      <c r="F25" s="84"/>
      <c r="G25" s="83"/>
      <c r="H25" s="90"/>
      <c r="I25" s="90">
        <f>IFERROR(GroceryList[[#This Row],[QTY]]*GroceryList[[#This Row],[UNIT PRICE]],"")</f>
        <v>0</v>
      </c>
      <c r="J25" s="85"/>
      <c r="M25" s="84"/>
      <c r="N25" s="99" t="s">
        <v>101</v>
      </c>
      <c r="O25" s="85"/>
      <c r="P25" s="85"/>
      <c r="Q25" s="84"/>
      <c r="R25" s="83"/>
      <c r="S25" s="90"/>
      <c r="T25" s="90">
        <f>IFERROR(GroceryList2[[#This Row],[QTY]]*GroceryList2[[#This Row],[UNIT PRICE]],"")</f>
        <v>0</v>
      </c>
      <c r="U25" s="85"/>
      <c r="Y25" s="84"/>
      <c r="Z25" s="99" t="s">
        <v>101</v>
      </c>
      <c r="AA25" s="85"/>
      <c r="AB25" s="85"/>
      <c r="AC25" s="84"/>
      <c r="AD25" s="83"/>
      <c r="AE25" s="90"/>
      <c r="AF25" s="90">
        <f>IFERROR(GroceryList27[[#This Row],[QTY]]*GroceryList27[[#This Row],[UNIT PRICE]],"")</f>
        <v>0</v>
      </c>
      <c r="AG25" s="85"/>
      <c r="AM25" s="84"/>
      <c r="AN25" s="105" t="s">
        <v>101</v>
      </c>
      <c r="AO25" s="85"/>
      <c r="AP25" s="85"/>
      <c r="AQ25" s="84"/>
      <c r="AR25" s="83"/>
      <c r="AS25" s="109"/>
      <c r="AT25" s="109">
        <f>IFERROR(GroceryList274[[#This Row],[QTY]]*GroceryList274[[#This Row],[UNIT PRICE]],"")</f>
        <v>0</v>
      </c>
      <c r="AU25" s="85"/>
      <c r="AY25" s="84"/>
      <c r="AZ25" s="107" t="s">
        <v>137</v>
      </c>
      <c r="BA25" s="108" t="s">
        <v>134</v>
      </c>
      <c r="BB25" s="108" t="s">
        <v>92</v>
      </c>
      <c r="BC25" s="84">
        <v>0</v>
      </c>
      <c r="BD25" s="83"/>
      <c r="BE25" s="109">
        <v>27.55</v>
      </c>
      <c r="BF25" s="109">
        <f>IFERROR(GroceryList2745[[#This Row],[QTY]]*GroceryList2745[[#This Row],[UNIT PRICE]],"")</f>
        <v>0</v>
      </c>
      <c r="BG25"/>
      <c r="BJ25" s="84"/>
      <c r="BK25" s="107" t="s">
        <v>137</v>
      </c>
      <c r="BL25" s="108" t="s">
        <v>134</v>
      </c>
      <c r="BM25" s="108" t="s">
        <v>92</v>
      </c>
      <c r="BN25" s="84">
        <v>0</v>
      </c>
      <c r="BO25" s="83"/>
      <c r="BP25" s="109">
        <v>27.55</v>
      </c>
      <c r="BQ25" s="109">
        <f>IFERROR(GroceryList27456[[#This Row],[QTY]]*GroceryList27456[[#This Row],[UNIT PRICE]],"")</f>
        <v>0</v>
      </c>
      <c r="BR25" s="111" t="s">
        <v>169</v>
      </c>
      <c r="BS25"/>
      <c r="BV25" s="84"/>
      <c r="BW25" s="107" t="s">
        <v>137</v>
      </c>
      <c r="BX25" s="108" t="s">
        <v>134</v>
      </c>
      <c r="BY25" s="108" t="s">
        <v>92</v>
      </c>
      <c r="BZ25" s="84">
        <v>0</v>
      </c>
      <c r="CA25" s="83"/>
      <c r="CB25" s="109">
        <v>27.55</v>
      </c>
      <c r="CC25" s="109">
        <f>IFERROR(GroceryList2745614[[#This Row],[QTY]]*GroceryList2745614[[#This Row],[UNIT PRICE]],"")</f>
        <v>0</v>
      </c>
      <c r="CD25" s="111" t="s">
        <v>169</v>
      </c>
      <c r="CE25"/>
      <c r="CH25" s="84"/>
      <c r="CI25" s="107" t="s">
        <v>137</v>
      </c>
      <c r="CJ25" s="108" t="s">
        <v>134</v>
      </c>
      <c r="CK25" s="108" t="s">
        <v>92</v>
      </c>
      <c r="CL25" s="84">
        <v>0</v>
      </c>
      <c r="CM25" s="83"/>
      <c r="CN25" s="109">
        <v>27.55</v>
      </c>
      <c r="CO25" s="109">
        <f>IFERROR(GroceryList27456148[[#This Row],[QTY]]*GroceryList27456148[[#This Row],[UNIT PRICE]],"")</f>
        <v>0</v>
      </c>
      <c r="CP25" s="111" t="s">
        <v>169</v>
      </c>
      <c r="CQ25"/>
      <c r="CT25" s="84"/>
      <c r="CU25" s="107" t="s">
        <v>137</v>
      </c>
      <c r="CV25" s="108" t="s">
        <v>134</v>
      </c>
      <c r="CW25" s="108" t="s">
        <v>92</v>
      </c>
      <c r="CX25" s="84">
        <v>0</v>
      </c>
      <c r="CY25" s="83"/>
      <c r="CZ25" s="109">
        <v>27.55</v>
      </c>
      <c r="DA25" s="109">
        <f>IFERROR(GroceryList2745614810[[#This Row],[QTY]]*GroceryList2745614810[[#This Row],[UNIT PRICE]],"")</f>
        <v>0</v>
      </c>
      <c r="DB25" s="111" t="s">
        <v>169</v>
      </c>
      <c r="DC25"/>
      <c r="DF25" s="84"/>
      <c r="DG25" s="107" t="s">
        <v>137</v>
      </c>
      <c r="DH25" s="108" t="s">
        <v>134</v>
      </c>
      <c r="DI25" s="108" t="s">
        <v>92</v>
      </c>
      <c r="DJ25" s="84">
        <v>0</v>
      </c>
      <c r="DK25" s="83"/>
      <c r="DL25" s="109">
        <v>27.55</v>
      </c>
      <c r="DM25" s="109">
        <f>IFERROR(GroceryList27456148109[[#This Row],[QTY]]*GroceryList27456148109[[#This Row],[UNIT PRICE]],"")</f>
        <v>0</v>
      </c>
      <c r="DN25" s="111" t="s">
        <v>169</v>
      </c>
      <c r="DO25"/>
      <c r="DR25" s="84"/>
      <c r="DS25" s="107" t="s">
        <v>137</v>
      </c>
      <c r="DT25" s="108" t="s">
        <v>134</v>
      </c>
      <c r="DU25" s="108" t="s">
        <v>92</v>
      </c>
      <c r="DV25" s="84">
        <v>0</v>
      </c>
      <c r="DW25" s="83"/>
      <c r="DX25" s="109">
        <v>27.55</v>
      </c>
      <c r="DY25" s="109">
        <f>IFERROR(GroceryList2745614810911[[#This Row],[QTY]]*GroceryList2745614810911[[#This Row],[UNIT PRICE]],"")</f>
        <v>0</v>
      </c>
      <c r="DZ25" s="111" t="s">
        <v>169</v>
      </c>
      <c r="EA25"/>
      <c r="ED25" s="84"/>
      <c r="EE25" s="107" t="s">
        <v>137</v>
      </c>
      <c r="EF25" s="108" t="s">
        <v>134</v>
      </c>
      <c r="EG25" s="108" t="s">
        <v>92</v>
      </c>
      <c r="EH25" s="84">
        <v>0</v>
      </c>
      <c r="EI25" s="83"/>
      <c r="EJ25" s="109">
        <v>27.55</v>
      </c>
      <c r="EK25" s="109">
        <f>IFERROR(GroceryList274561481091112[[#This Row],[QTY]]*GroceryList274561481091112[[#This Row],[UNIT PRICE]],"")</f>
        <v>0</v>
      </c>
      <c r="EL25" s="111" t="s">
        <v>169</v>
      </c>
      <c r="EM25"/>
      <c r="EP25" s="84"/>
      <c r="EQ25" s="107" t="s">
        <v>137</v>
      </c>
      <c r="ER25" s="108" t="s">
        <v>134</v>
      </c>
      <c r="ES25" s="108" t="s">
        <v>92</v>
      </c>
      <c r="ET25" s="84">
        <v>0</v>
      </c>
      <c r="EU25" s="83"/>
      <c r="EV25" s="109">
        <v>27.55</v>
      </c>
      <c r="EW25" s="109">
        <f>IFERROR(GroceryList27456148109111213[[#This Row],[QTY]]*GroceryList27456148109111213[[#This Row],[UNIT PRICE]],"")</f>
        <v>0</v>
      </c>
      <c r="EX25" s="111" t="s">
        <v>169</v>
      </c>
      <c r="EY25"/>
      <c r="FB25" s="84"/>
      <c r="FC25" s="111" t="s">
        <v>225</v>
      </c>
      <c r="FD25" s="108" t="s">
        <v>134</v>
      </c>
      <c r="FE25" s="108" t="s">
        <v>91</v>
      </c>
      <c r="FF25" s="84">
        <v>1</v>
      </c>
      <c r="FG25" s="83"/>
      <c r="FH25" s="109">
        <v>17.84</v>
      </c>
      <c r="FI25" s="109">
        <f>IFERROR(GroceryList2745614810911121315[[#This Row],[QTY]]*GroceryList2745614810911121315[[#This Row],[UNIT PRICE]],"")</f>
        <v>17.84</v>
      </c>
      <c r="FJ25" s="111" t="s">
        <v>169</v>
      </c>
      <c r="FK25">
        <v>21</v>
      </c>
      <c r="FN25" s="84"/>
      <c r="FO25" s="107" t="s">
        <v>137</v>
      </c>
      <c r="FP25" s="108" t="s">
        <v>134</v>
      </c>
      <c r="FQ25" s="108" t="s">
        <v>92</v>
      </c>
      <c r="FR25" s="84">
        <v>0</v>
      </c>
      <c r="FS25" s="83"/>
      <c r="FT25" s="109">
        <v>27.55</v>
      </c>
      <c r="FU25" s="109">
        <f>IFERROR(GroceryList274561481091112131516[[#This Row],[QTY]]*GroceryList274561481091112131516[[#This Row],[UNIT PRICE]],"")</f>
        <v>0</v>
      </c>
      <c r="FV25" s="111" t="s">
        <v>169</v>
      </c>
      <c r="FW25"/>
      <c r="FZ25" s="84"/>
      <c r="GA25" s="111" t="s">
        <v>335</v>
      </c>
      <c r="GB25" s="108" t="s">
        <v>134</v>
      </c>
      <c r="GC25" s="108" t="s">
        <v>91</v>
      </c>
      <c r="GD25" s="84">
        <v>1</v>
      </c>
      <c r="GE25" s="83"/>
      <c r="GF25" s="109">
        <v>26.59</v>
      </c>
      <c r="GG25" s="109">
        <f>IFERROR(GroceryList274561481091112131517[[#This Row],[QTY]]*GroceryList274561481091112131517[[#This Row],[UNIT PRICE]],"")</f>
        <v>26.59</v>
      </c>
      <c r="GH25" s="111" t="s">
        <v>169</v>
      </c>
      <c r="GI25">
        <v>21</v>
      </c>
      <c r="GL25" s="84"/>
      <c r="GM25" s="111" t="s">
        <v>335</v>
      </c>
      <c r="GN25" s="108" t="s">
        <v>134</v>
      </c>
      <c r="GO25" s="108" t="s">
        <v>91</v>
      </c>
      <c r="GP25" s="84">
        <v>1</v>
      </c>
      <c r="GQ25" s="83"/>
      <c r="GR25" s="109">
        <v>26.59</v>
      </c>
      <c r="GS25" s="109">
        <f>IFERROR(GroceryList27456148109111213151718[[#This Row],[QTY]]*GroceryList27456148109111213151718[[#This Row],[UNIT PRICE]],"")</f>
        <v>26.59</v>
      </c>
      <c r="GT25" s="111" t="s">
        <v>169</v>
      </c>
      <c r="GU25">
        <v>21</v>
      </c>
    </row>
    <row r="26" spans="2:203" ht="30" hidden="1" customHeight="1" x14ac:dyDescent="0.2">
      <c r="B26" s="84"/>
      <c r="C26" s="99" t="s">
        <v>102</v>
      </c>
      <c r="D26" s="85" t="s">
        <v>134</v>
      </c>
      <c r="E26" s="85" t="s">
        <v>90</v>
      </c>
      <c r="F26" s="84">
        <v>1</v>
      </c>
      <c r="G26" s="83"/>
      <c r="H26" s="90">
        <v>29.44</v>
      </c>
      <c r="I26" s="90">
        <f>IFERROR(GroceryList[[#This Row],[QTY]]*GroceryList[[#This Row],[UNIT PRICE]],"")</f>
        <v>29.44</v>
      </c>
      <c r="J26" s="85"/>
      <c r="M26" s="84"/>
      <c r="N26" s="99" t="s">
        <v>102</v>
      </c>
      <c r="O26" s="85" t="s">
        <v>134</v>
      </c>
      <c r="P26" s="85" t="s">
        <v>90</v>
      </c>
      <c r="Q26" s="84"/>
      <c r="R26" s="83"/>
      <c r="S26" s="90">
        <v>29.44</v>
      </c>
      <c r="T26" s="90">
        <f>IFERROR(GroceryList2[[#This Row],[QTY]]*GroceryList2[[#This Row],[UNIT PRICE]],"")</f>
        <v>0</v>
      </c>
      <c r="U26" s="85"/>
      <c r="Y26" s="84"/>
      <c r="Z26" s="99" t="s">
        <v>102</v>
      </c>
      <c r="AA26" s="85" t="s">
        <v>134</v>
      </c>
      <c r="AB26" s="85" t="s">
        <v>90</v>
      </c>
      <c r="AC26" s="84"/>
      <c r="AD26" s="83"/>
      <c r="AE26" s="90">
        <v>29.44</v>
      </c>
      <c r="AF26" s="90">
        <f>IFERROR(GroceryList27[[#This Row],[QTY]]*GroceryList27[[#This Row],[UNIT PRICE]],"")</f>
        <v>0</v>
      </c>
      <c r="AG26" s="85"/>
      <c r="AM26" s="84"/>
      <c r="AN26" s="105" t="s">
        <v>102</v>
      </c>
      <c r="AO26" s="85" t="s">
        <v>134</v>
      </c>
      <c r="AP26" s="85" t="s">
        <v>90</v>
      </c>
      <c r="AQ26" s="84"/>
      <c r="AR26" s="83"/>
      <c r="AS26" s="109">
        <v>29.44</v>
      </c>
      <c r="AT26" s="109">
        <f>IFERROR(GroceryList274[[#This Row],[QTY]]*GroceryList274[[#This Row],[UNIT PRICE]],"")</f>
        <v>0</v>
      </c>
      <c r="AU26" s="85"/>
      <c r="AY26" s="84"/>
      <c r="AZ26" s="105" t="s">
        <v>101</v>
      </c>
      <c r="BA26" s="85"/>
      <c r="BB26" s="85"/>
      <c r="BC26" s="84">
        <v>0</v>
      </c>
      <c r="BD26" s="83"/>
      <c r="BE26" s="109"/>
      <c r="BF26" s="109">
        <f>IFERROR(GroceryList2745[[#This Row],[QTY]]*GroceryList2745[[#This Row],[UNIT PRICE]],"")</f>
        <v>0</v>
      </c>
      <c r="BG26" s="85"/>
      <c r="BJ26" s="84"/>
      <c r="BK26" s="105" t="s">
        <v>101</v>
      </c>
      <c r="BL26" s="85"/>
      <c r="BM26" s="85"/>
      <c r="BN26" s="84">
        <v>0</v>
      </c>
      <c r="BO26" s="83"/>
      <c r="BP26" s="109"/>
      <c r="BQ26" s="109">
        <f>IFERROR(GroceryList27456[[#This Row],[QTY]]*GroceryList27456[[#This Row],[UNIT PRICE]],"")</f>
        <v>0</v>
      </c>
      <c r="BR26" s="112" t="s">
        <v>169</v>
      </c>
      <c r="BS26" s="85"/>
      <c r="BV26" s="84"/>
      <c r="BW26" s="105" t="s">
        <v>101</v>
      </c>
      <c r="BX26" s="85"/>
      <c r="BY26" s="85"/>
      <c r="BZ26" s="84">
        <v>0</v>
      </c>
      <c r="CA26" s="83"/>
      <c r="CB26" s="109"/>
      <c r="CC26" s="109">
        <f>IFERROR(GroceryList2745614[[#This Row],[QTY]]*GroceryList2745614[[#This Row],[UNIT PRICE]],"")</f>
        <v>0</v>
      </c>
      <c r="CD26" s="112" t="s">
        <v>169</v>
      </c>
      <c r="CE26" s="85"/>
      <c r="CH26" s="84"/>
      <c r="CI26" s="105" t="s">
        <v>101</v>
      </c>
      <c r="CJ26" s="85"/>
      <c r="CK26" s="85"/>
      <c r="CL26" s="84">
        <v>0</v>
      </c>
      <c r="CM26" s="83"/>
      <c r="CN26" s="109"/>
      <c r="CO26" s="109">
        <f>IFERROR(GroceryList27456148[[#This Row],[QTY]]*GroceryList27456148[[#This Row],[UNIT PRICE]],"")</f>
        <v>0</v>
      </c>
      <c r="CP26" s="112" t="s">
        <v>169</v>
      </c>
      <c r="CQ26" s="85"/>
      <c r="CT26" s="84"/>
      <c r="CU26" s="105" t="s">
        <v>101</v>
      </c>
      <c r="CV26" s="85"/>
      <c r="CW26" s="85"/>
      <c r="CX26" s="84">
        <v>0</v>
      </c>
      <c r="CY26" s="83"/>
      <c r="CZ26" s="109"/>
      <c r="DA26" s="109">
        <f>IFERROR(GroceryList2745614810[[#This Row],[QTY]]*GroceryList2745614810[[#This Row],[UNIT PRICE]],"")</f>
        <v>0</v>
      </c>
      <c r="DB26" s="112" t="s">
        <v>169</v>
      </c>
      <c r="DC26" s="85"/>
      <c r="DF26" s="84"/>
      <c r="DG26" s="105" t="s">
        <v>101</v>
      </c>
      <c r="DH26" s="85"/>
      <c r="DI26" s="85"/>
      <c r="DJ26" s="84">
        <v>0</v>
      </c>
      <c r="DK26" s="83"/>
      <c r="DL26" s="109"/>
      <c r="DM26" s="109">
        <f>IFERROR(GroceryList27456148109[[#This Row],[QTY]]*GroceryList27456148109[[#This Row],[UNIT PRICE]],"")</f>
        <v>0</v>
      </c>
      <c r="DN26" s="112" t="s">
        <v>169</v>
      </c>
      <c r="DO26" s="85"/>
      <c r="DR26" s="84"/>
      <c r="DS26" s="105" t="s">
        <v>101</v>
      </c>
      <c r="DT26" s="85"/>
      <c r="DU26" s="85"/>
      <c r="DV26" s="84">
        <v>0</v>
      </c>
      <c r="DW26" s="83"/>
      <c r="DX26" s="109"/>
      <c r="DY26" s="109">
        <f>IFERROR(GroceryList2745614810911[[#This Row],[QTY]]*GroceryList2745614810911[[#This Row],[UNIT PRICE]],"")</f>
        <v>0</v>
      </c>
      <c r="DZ26" s="112" t="s">
        <v>169</v>
      </c>
      <c r="EA26" s="85"/>
      <c r="ED26" s="84"/>
      <c r="EE26" s="105" t="s">
        <v>216</v>
      </c>
      <c r="EF26" s="85" t="s">
        <v>134</v>
      </c>
      <c r="EG26" s="85" t="s">
        <v>92</v>
      </c>
      <c r="EH26" s="84">
        <v>1</v>
      </c>
      <c r="EI26" s="83"/>
      <c r="EJ26" s="109">
        <v>10.44</v>
      </c>
      <c r="EK26" s="109">
        <f>IFERROR(GroceryList274561481091112[[#This Row],[QTY]]*GroceryList274561481091112[[#This Row],[UNIT PRICE]],"")</f>
        <v>10.44</v>
      </c>
      <c r="EL26" s="112" t="s">
        <v>169</v>
      </c>
      <c r="EM26" s="85" t="s">
        <v>217</v>
      </c>
      <c r="EP26" s="84"/>
      <c r="EQ26" s="105" t="s">
        <v>216</v>
      </c>
      <c r="ER26" s="85" t="s">
        <v>134</v>
      </c>
      <c r="ES26" s="85" t="s">
        <v>92</v>
      </c>
      <c r="ET26" s="84">
        <v>0</v>
      </c>
      <c r="EU26" s="83"/>
      <c r="EV26" s="109">
        <v>10.44</v>
      </c>
      <c r="EW26" s="109">
        <f>IFERROR(GroceryList27456148109111213[[#This Row],[QTY]]*GroceryList27456148109111213[[#This Row],[UNIT PRICE]],"")</f>
        <v>0</v>
      </c>
      <c r="EX26" s="112" t="s">
        <v>169</v>
      </c>
      <c r="EY26" s="85" t="s">
        <v>217</v>
      </c>
      <c r="FB26" s="84"/>
      <c r="FC26" s="105" t="s">
        <v>216</v>
      </c>
      <c r="FD26" s="85" t="s">
        <v>134</v>
      </c>
      <c r="FE26" s="85" t="s">
        <v>92</v>
      </c>
      <c r="FF26" s="84">
        <v>0</v>
      </c>
      <c r="FG26" s="83"/>
      <c r="FH26" s="109">
        <v>10.44</v>
      </c>
      <c r="FI26" s="109">
        <f>IFERROR(GroceryList2745614810911121315[[#This Row],[QTY]]*GroceryList2745614810911121315[[#This Row],[UNIT PRICE]],"")</f>
        <v>0</v>
      </c>
      <c r="FJ26" s="112" t="s">
        <v>169</v>
      </c>
      <c r="FK26" s="85" t="s">
        <v>217</v>
      </c>
      <c r="FN26" s="84"/>
      <c r="FO26" s="105" t="s">
        <v>216</v>
      </c>
      <c r="FP26" s="85" t="s">
        <v>134</v>
      </c>
      <c r="FQ26" s="85" t="s">
        <v>92</v>
      </c>
      <c r="FR26" s="84">
        <v>0</v>
      </c>
      <c r="FS26" s="83"/>
      <c r="FT26" s="109">
        <v>10.44</v>
      </c>
      <c r="FU26" s="109">
        <f>IFERROR(GroceryList274561481091112131516[[#This Row],[QTY]]*GroceryList274561481091112131516[[#This Row],[UNIT PRICE]],"")</f>
        <v>0</v>
      </c>
      <c r="FV26" s="112" t="s">
        <v>169</v>
      </c>
      <c r="FW26" s="85" t="s">
        <v>217</v>
      </c>
      <c r="FZ26" s="84"/>
      <c r="GA26" s="105" t="s">
        <v>216</v>
      </c>
      <c r="GB26" s="85" t="s">
        <v>134</v>
      </c>
      <c r="GC26" s="85" t="s">
        <v>92</v>
      </c>
      <c r="GD26" s="84">
        <v>0</v>
      </c>
      <c r="GE26" s="83"/>
      <c r="GF26" s="109">
        <v>10.44</v>
      </c>
      <c r="GG26" s="109">
        <f>IFERROR(GroceryList274561481091112131517[[#This Row],[QTY]]*GroceryList274561481091112131517[[#This Row],[UNIT PRICE]],"")</f>
        <v>0</v>
      </c>
      <c r="GH26" s="112" t="s">
        <v>169</v>
      </c>
      <c r="GI26" s="85" t="s">
        <v>217</v>
      </c>
      <c r="GL26" s="84"/>
      <c r="GM26" s="105" t="s">
        <v>216</v>
      </c>
      <c r="GN26" s="85" t="s">
        <v>134</v>
      </c>
      <c r="GO26" s="85" t="s">
        <v>92</v>
      </c>
      <c r="GP26" s="84">
        <v>0</v>
      </c>
      <c r="GQ26" s="83"/>
      <c r="GR26" s="109">
        <v>10.44</v>
      </c>
      <c r="GS26" s="109">
        <f>IFERROR(GroceryList27456148109111213151718[[#This Row],[QTY]]*GroceryList27456148109111213151718[[#This Row],[UNIT PRICE]],"")</f>
        <v>0</v>
      </c>
      <c r="GT26" s="112" t="s">
        <v>169</v>
      </c>
      <c r="GU26" s="85" t="s">
        <v>217</v>
      </c>
    </row>
    <row r="27" spans="2:203" ht="30" hidden="1" customHeight="1" x14ac:dyDescent="0.2">
      <c r="B27" s="84"/>
      <c r="C27" s="99" t="s">
        <v>103</v>
      </c>
      <c r="D27" s="85"/>
      <c r="E27" s="85"/>
      <c r="F27" s="84"/>
      <c r="G27" s="83"/>
      <c r="H27" s="90"/>
      <c r="I27" s="90">
        <f>IFERROR(GroceryList[[#This Row],[QTY]]*GroceryList[[#This Row],[UNIT PRICE]],"")</f>
        <v>0</v>
      </c>
      <c r="J27" s="85"/>
      <c r="M27" s="84"/>
      <c r="N27" s="99" t="s">
        <v>103</v>
      </c>
      <c r="O27" s="85"/>
      <c r="P27" s="85"/>
      <c r="Q27" s="84"/>
      <c r="R27" s="83"/>
      <c r="S27" s="90"/>
      <c r="T27" s="90">
        <f>IFERROR(GroceryList2[[#This Row],[QTY]]*GroceryList2[[#This Row],[UNIT PRICE]],"")</f>
        <v>0</v>
      </c>
      <c r="U27" s="85"/>
      <c r="Y27" s="84"/>
      <c r="Z27" s="99" t="s">
        <v>103</v>
      </c>
      <c r="AA27" s="85"/>
      <c r="AB27" s="85"/>
      <c r="AC27" s="84"/>
      <c r="AD27" s="83"/>
      <c r="AE27" s="90"/>
      <c r="AF27" s="90">
        <f>IFERROR(GroceryList27[[#This Row],[QTY]]*GroceryList27[[#This Row],[UNIT PRICE]],"")</f>
        <v>0</v>
      </c>
      <c r="AG27" s="85"/>
      <c r="AM27" s="84"/>
      <c r="AN27" s="105" t="s">
        <v>103</v>
      </c>
      <c r="AO27" s="85"/>
      <c r="AP27" s="85"/>
      <c r="AQ27" s="84"/>
      <c r="AR27" s="83"/>
      <c r="AS27" s="109"/>
      <c r="AT27" s="109">
        <f>IFERROR(GroceryList274[[#This Row],[QTY]]*GroceryList274[[#This Row],[UNIT PRICE]],"")</f>
        <v>0</v>
      </c>
      <c r="AU27" s="85"/>
      <c r="AY27" s="84"/>
      <c r="AZ27" s="105" t="s">
        <v>102</v>
      </c>
      <c r="BA27" s="85" t="s">
        <v>134</v>
      </c>
      <c r="BB27" s="85" t="s">
        <v>90</v>
      </c>
      <c r="BC27" s="84">
        <v>0</v>
      </c>
      <c r="BD27" s="83"/>
      <c r="BE27" s="109">
        <v>29.44</v>
      </c>
      <c r="BF27" s="109">
        <f>IFERROR(GroceryList2745[[#This Row],[QTY]]*GroceryList2745[[#This Row],[UNIT PRICE]],"")</f>
        <v>0</v>
      </c>
      <c r="BG27" s="85"/>
      <c r="BJ27" s="84"/>
      <c r="BK27" s="105" t="s">
        <v>102</v>
      </c>
      <c r="BL27" s="85" t="s">
        <v>134</v>
      </c>
      <c r="BM27" s="85" t="s">
        <v>90</v>
      </c>
      <c r="BN27" s="84">
        <v>0</v>
      </c>
      <c r="BO27" s="83"/>
      <c r="BP27" s="109">
        <v>29.44</v>
      </c>
      <c r="BQ27" s="109">
        <f>IFERROR(GroceryList27456[[#This Row],[QTY]]*GroceryList27456[[#This Row],[UNIT PRICE]],"")</f>
        <v>0</v>
      </c>
      <c r="BR27" s="112" t="s">
        <v>169</v>
      </c>
      <c r="BS27" s="85"/>
      <c r="BV27" s="84"/>
      <c r="BW27" s="105" t="s">
        <v>102</v>
      </c>
      <c r="BX27" s="85" t="s">
        <v>134</v>
      </c>
      <c r="BY27" s="85" t="s">
        <v>90</v>
      </c>
      <c r="BZ27" s="84">
        <v>0</v>
      </c>
      <c r="CA27" s="83"/>
      <c r="CB27" s="109">
        <v>29.44</v>
      </c>
      <c r="CC27" s="109">
        <f>IFERROR(GroceryList2745614[[#This Row],[QTY]]*GroceryList2745614[[#This Row],[UNIT PRICE]],"")</f>
        <v>0</v>
      </c>
      <c r="CD27" s="112" t="s">
        <v>169</v>
      </c>
      <c r="CE27" s="85"/>
      <c r="CH27" s="84"/>
      <c r="CI27" s="105" t="s">
        <v>102</v>
      </c>
      <c r="CJ27" s="85" t="s">
        <v>134</v>
      </c>
      <c r="CK27" s="85" t="s">
        <v>90</v>
      </c>
      <c r="CL27" s="84">
        <v>0</v>
      </c>
      <c r="CM27" s="83"/>
      <c r="CN27" s="109">
        <v>29.44</v>
      </c>
      <c r="CO27" s="109">
        <f>IFERROR(GroceryList27456148[[#This Row],[QTY]]*GroceryList27456148[[#This Row],[UNIT PRICE]],"")</f>
        <v>0</v>
      </c>
      <c r="CP27" s="112" t="s">
        <v>169</v>
      </c>
      <c r="CQ27" s="85"/>
      <c r="CT27" s="84"/>
      <c r="CU27" s="105" t="s">
        <v>180</v>
      </c>
      <c r="CV27" s="85" t="s">
        <v>134</v>
      </c>
      <c r="CW27" s="85" t="s">
        <v>90</v>
      </c>
      <c r="CX27" s="84">
        <v>1</v>
      </c>
      <c r="CY27" s="83"/>
      <c r="CZ27" s="109">
        <v>4.49</v>
      </c>
      <c r="DA27" s="109">
        <f>IFERROR(GroceryList2745614810[[#This Row],[QTY]]*GroceryList2745614810[[#This Row],[UNIT PRICE]],"")</f>
        <v>4.49</v>
      </c>
      <c r="DB27" s="112" t="s">
        <v>169</v>
      </c>
      <c r="DC27" s="85">
        <v>4.99</v>
      </c>
      <c r="DF27" s="84"/>
      <c r="DG27" s="105" t="s">
        <v>102</v>
      </c>
      <c r="DH27" s="85" t="s">
        <v>134</v>
      </c>
      <c r="DI27" s="85" t="s">
        <v>90</v>
      </c>
      <c r="DJ27" s="84">
        <v>0</v>
      </c>
      <c r="DK27" s="83"/>
      <c r="DL27" s="109">
        <v>29.44</v>
      </c>
      <c r="DM27" s="109">
        <f>IFERROR(GroceryList27456148109[[#This Row],[QTY]]*GroceryList27456148109[[#This Row],[UNIT PRICE]],"")</f>
        <v>0</v>
      </c>
      <c r="DN27" s="112" t="s">
        <v>169</v>
      </c>
      <c r="DO27" s="85"/>
      <c r="DR27" s="84"/>
      <c r="DS27" s="105" t="s">
        <v>102</v>
      </c>
      <c r="DT27" s="85" t="s">
        <v>134</v>
      </c>
      <c r="DU27" s="85" t="s">
        <v>90</v>
      </c>
      <c r="DV27" s="84">
        <v>0</v>
      </c>
      <c r="DW27" s="83"/>
      <c r="DX27" s="109">
        <v>29.44</v>
      </c>
      <c r="DY27" s="109">
        <f>IFERROR(GroceryList2745614810911[[#This Row],[QTY]]*GroceryList2745614810911[[#This Row],[UNIT PRICE]],"")</f>
        <v>0</v>
      </c>
      <c r="DZ27" s="112" t="s">
        <v>169</v>
      </c>
      <c r="EA27" s="85"/>
      <c r="ED27" s="84"/>
      <c r="EE27" s="105" t="s">
        <v>221</v>
      </c>
      <c r="EF27" s="85" t="s">
        <v>134</v>
      </c>
      <c r="EG27" s="85" t="s">
        <v>90</v>
      </c>
      <c r="EH27" s="84">
        <v>1</v>
      </c>
      <c r="EI27" s="83"/>
      <c r="EJ27" s="109">
        <v>18.04</v>
      </c>
      <c r="EK27" s="109">
        <f>IFERROR(GroceryList274561481091112[[#This Row],[QTY]]*GroceryList274561481091112[[#This Row],[UNIT PRICE]],"")</f>
        <v>18.04</v>
      </c>
      <c r="EL27" s="112" t="s">
        <v>169</v>
      </c>
      <c r="EM27" s="85">
        <v>19</v>
      </c>
      <c r="EP27" s="84"/>
      <c r="EQ27" s="105" t="s">
        <v>221</v>
      </c>
      <c r="ER27" s="85" t="s">
        <v>134</v>
      </c>
      <c r="ES27" s="85" t="s">
        <v>90</v>
      </c>
      <c r="ET27" s="84">
        <v>0</v>
      </c>
      <c r="EU27" s="83"/>
      <c r="EV27" s="109">
        <v>18.04</v>
      </c>
      <c r="EW27" s="109">
        <f>IFERROR(GroceryList27456148109111213[[#This Row],[QTY]]*GroceryList27456148109111213[[#This Row],[UNIT PRICE]],"")</f>
        <v>0</v>
      </c>
      <c r="EX27" s="112" t="s">
        <v>169</v>
      </c>
      <c r="EY27" s="85">
        <v>19</v>
      </c>
      <c r="FB27" s="84"/>
      <c r="FC27" s="105" t="s">
        <v>221</v>
      </c>
      <c r="FD27" s="85" t="s">
        <v>134</v>
      </c>
      <c r="FE27" s="85" t="s">
        <v>90</v>
      </c>
      <c r="FF27" s="84">
        <v>1</v>
      </c>
      <c r="FG27" s="83"/>
      <c r="FH27" s="109">
        <v>16.14</v>
      </c>
      <c r="FI27" s="109">
        <f>IFERROR(GroceryList2745614810911121315[[#This Row],[QTY]]*GroceryList2745614810911121315[[#This Row],[UNIT PRICE]],"")</f>
        <v>16.14</v>
      </c>
      <c r="FJ27" s="112" t="s">
        <v>169</v>
      </c>
      <c r="FK27" s="85">
        <v>19</v>
      </c>
      <c r="FN27" s="84"/>
      <c r="FO27" s="105" t="s">
        <v>221</v>
      </c>
      <c r="FP27" s="85" t="s">
        <v>134</v>
      </c>
      <c r="FQ27" s="85" t="s">
        <v>90</v>
      </c>
      <c r="FR27" s="84">
        <v>0</v>
      </c>
      <c r="FS27" s="83"/>
      <c r="FT27" s="109">
        <v>18.04</v>
      </c>
      <c r="FU27" s="109">
        <f>IFERROR(GroceryList274561481091112131516[[#This Row],[QTY]]*GroceryList274561481091112131516[[#This Row],[UNIT PRICE]],"")</f>
        <v>0</v>
      </c>
      <c r="FV27" s="112" t="s">
        <v>169</v>
      </c>
      <c r="FW27" s="85">
        <v>19</v>
      </c>
      <c r="FZ27" s="84"/>
      <c r="GA27" s="105" t="s">
        <v>221</v>
      </c>
      <c r="GB27" s="85" t="s">
        <v>134</v>
      </c>
      <c r="GC27" s="85" t="s">
        <v>90</v>
      </c>
      <c r="GD27" s="84">
        <v>0</v>
      </c>
      <c r="GE27" s="83"/>
      <c r="GF27" s="109">
        <v>16.14</v>
      </c>
      <c r="GG27" s="109">
        <f>IFERROR(GroceryList274561481091112131517[[#This Row],[QTY]]*GroceryList274561481091112131517[[#This Row],[UNIT PRICE]],"")</f>
        <v>0</v>
      </c>
      <c r="GH27" s="112" t="s">
        <v>169</v>
      </c>
      <c r="GI27" s="85">
        <v>19</v>
      </c>
      <c r="GL27" s="84"/>
      <c r="GM27" s="105" t="s">
        <v>221</v>
      </c>
      <c r="GN27" s="85" t="s">
        <v>134</v>
      </c>
      <c r="GO27" s="85" t="s">
        <v>90</v>
      </c>
      <c r="GP27" s="84">
        <v>1</v>
      </c>
      <c r="GQ27" s="83"/>
      <c r="GR27" s="109">
        <v>16.14</v>
      </c>
      <c r="GS27" s="109">
        <f>IFERROR(GroceryList27456148109111213151718[[#This Row],[QTY]]*GroceryList27456148109111213151718[[#This Row],[UNIT PRICE]],"")</f>
        <v>16.14</v>
      </c>
      <c r="GT27" s="112" t="s">
        <v>169</v>
      </c>
      <c r="GU27" s="85">
        <v>19</v>
      </c>
    </row>
    <row r="28" spans="2:203" ht="30" customHeight="1" x14ac:dyDescent="0.2">
      <c r="B28" s="84"/>
      <c r="C28" s="102" t="s">
        <v>147</v>
      </c>
      <c r="D28" t="s">
        <v>134</v>
      </c>
      <c r="E28" t="s">
        <v>92</v>
      </c>
      <c r="F28" s="84">
        <v>1</v>
      </c>
      <c r="G28" s="83"/>
      <c r="H28" s="90">
        <v>13.49</v>
      </c>
      <c r="I28" s="90">
        <f>IFERROR(GroceryList[[#This Row],[QTY]]*GroceryList[[#This Row],[UNIT PRICE]],"")</f>
        <v>13.49</v>
      </c>
      <c r="J28"/>
      <c r="M28" s="84"/>
      <c r="N28" s="102" t="s">
        <v>147</v>
      </c>
      <c r="O28" t="s">
        <v>134</v>
      </c>
      <c r="P28" t="s">
        <v>92</v>
      </c>
      <c r="Q28" s="84"/>
      <c r="R28" s="83"/>
      <c r="S28" s="90">
        <v>13.49</v>
      </c>
      <c r="T28" s="90">
        <f>IFERROR(GroceryList2[[#This Row],[QTY]]*GroceryList2[[#This Row],[UNIT PRICE]],"")</f>
        <v>0</v>
      </c>
      <c r="U28"/>
      <c r="Y28" s="84"/>
      <c r="Z28" s="102" t="s">
        <v>147</v>
      </c>
      <c r="AA28" t="s">
        <v>134</v>
      </c>
      <c r="AB28" t="s">
        <v>92</v>
      </c>
      <c r="AC28" s="84"/>
      <c r="AD28" s="83"/>
      <c r="AE28" s="90">
        <v>13.49</v>
      </c>
      <c r="AF28" s="90">
        <f>IFERROR(GroceryList27[[#This Row],[QTY]]*GroceryList27[[#This Row],[UNIT PRICE]],"")</f>
        <v>0</v>
      </c>
      <c r="AG28"/>
      <c r="AM28" s="84"/>
      <c r="AN28" s="107" t="s">
        <v>147</v>
      </c>
      <c r="AO28" s="108" t="s">
        <v>134</v>
      </c>
      <c r="AP28" s="108" t="s">
        <v>92</v>
      </c>
      <c r="AQ28" s="84"/>
      <c r="AR28" s="83"/>
      <c r="AS28" s="109">
        <v>13.49</v>
      </c>
      <c r="AT28" s="109">
        <f>IFERROR(GroceryList274[[#This Row],[QTY]]*GroceryList274[[#This Row],[UNIT PRICE]],"")</f>
        <v>0</v>
      </c>
      <c r="AU28"/>
      <c r="AY28" s="84"/>
      <c r="AZ28" s="105" t="s">
        <v>103</v>
      </c>
      <c r="BA28" s="85"/>
      <c r="BB28" s="85"/>
      <c r="BC28" s="84">
        <v>0</v>
      </c>
      <c r="BD28" s="83"/>
      <c r="BE28" s="109"/>
      <c r="BF28" s="109">
        <f>IFERROR(GroceryList2745[[#This Row],[QTY]]*GroceryList2745[[#This Row],[UNIT PRICE]],"")</f>
        <v>0</v>
      </c>
      <c r="BG28" s="85"/>
      <c r="BJ28" s="84"/>
      <c r="BK28" s="105" t="s">
        <v>103</v>
      </c>
      <c r="BL28" s="85"/>
      <c r="BM28" s="85"/>
      <c r="BN28" s="84">
        <v>0</v>
      </c>
      <c r="BO28" s="83"/>
      <c r="BP28" s="109"/>
      <c r="BQ28" s="109">
        <f>IFERROR(GroceryList27456[[#This Row],[QTY]]*GroceryList27456[[#This Row],[UNIT PRICE]],"")</f>
        <v>0</v>
      </c>
      <c r="BR28" s="112" t="s">
        <v>169</v>
      </c>
      <c r="BS28" s="85"/>
      <c r="BV28" s="84"/>
      <c r="BW28" s="105" t="s">
        <v>103</v>
      </c>
      <c r="BX28" s="85"/>
      <c r="BY28" s="85"/>
      <c r="BZ28" s="84">
        <v>0</v>
      </c>
      <c r="CA28" s="83"/>
      <c r="CB28" s="109"/>
      <c r="CC28" s="109">
        <f>IFERROR(GroceryList2745614[[#This Row],[QTY]]*GroceryList2745614[[#This Row],[UNIT PRICE]],"")</f>
        <v>0</v>
      </c>
      <c r="CD28" s="112" t="s">
        <v>169</v>
      </c>
      <c r="CE28" s="85"/>
      <c r="CH28" s="84"/>
      <c r="CI28" s="105" t="s">
        <v>103</v>
      </c>
      <c r="CJ28" s="85"/>
      <c r="CK28" s="85"/>
      <c r="CL28" s="84">
        <v>0</v>
      </c>
      <c r="CM28" s="83"/>
      <c r="CN28" s="109"/>
      <c r="CO28" s="109">
        <f>IFERROR(GroceryList27456148[[#This Row],[QTY]]*GroceryList27456148[[#This Row],[UNIT PRICE]],"")</f>
        <v>0</v>
      </c>
      <c r="CP28" s="112" t="s">
        <v>169</v>
      </c>
      <c r="CQ28" s="85"/>
      <c r="CT28" s="84"/>
      <c r="CU28" s="105" t="s">
        <v>181</v>
      </c>
      <c r="CV28" s="85"/>
      <c r="CW28" s="85"/>
      <c r="CX28" s="84">
        <v>1</v>
      </c>
      <c r="CY28" s="83"/>
      <c r="CZ28" s="109">
        <v>22.39</v>
      </c>
      <c r="DA28" s="109">
        <f>IFERROR(GroceryList2745614810[[#This Row],[QTY]]*GroceryList2745614810[[#This Row],[UNIT PRICE]],"")</f>
        <v>22.39</v>
      </c>
      <c r="DB28" s="112" t="s">
        <v>169</v>
      </c>
      <c r="DC28" s="85">
        <v>27.99</v>
      </c>
      <c r="DF28" s="84"/>
      <c r="DG28" s="105" t="s">
        <v>103</v>
      </c>
      <c r="DH28" s="85"/>
      <c r="DI28" s="85"/>
      <c r="DJ28" s="84">
        <v>0</v>
      </c>
      <c r="DK28" s="83"/>
      <c r="DL28" s="109"/>
      <c r="DM28" s="109">
        <f>IFERROR(GroceryList27456148109[[#This Row],[QTY]]*GroceryList27456148109[[#This Row],[UNIT PRICE]],"")</f>
        <v>0</v>
      </c>
      <c r="DN28" s="112" t="s">
        <v>169</v>
      </c>
      <c r="DO28" s="85"/>
      <c r="DR28" s="84"/>
      <c r="DS28" s="105" t="s">
        <v>103</v>
      </c>
      <c r="DT28" s="85"/>
      <c r="DU28" s="85"/>
      <c r="DV28" s="84">
        <v>0</v>
      </c>
      <c r="DW28" s="83"/>
      <c r="DX28" s="109"/>
      <c r="DY28" s="109">
        <f>IFERROR(GroceryList2745614810911[[#This Row],[QTY]]*GroceryList2745614810911[[#This Row],[UNIT PRICE]],"")</f>
        <v>0</v>
      </c>
      <c r="DZ28" s="112" t="s">
        <v>169</v>
      </c>
      <c r="EA28" s="85"/>
      <c r="ED28" s="84"/>
      <c r="EE28" s="105" t="s">
        <v>215</v>
      </c>
      <c r="EF28" s="85" t="s">
        <v>134</v>
      </c>
      <c r="EG28" s="85" t="s">
        <v>92</v>
      </c>
      <c r="EH28" s="84">
        <v>1</v>
      </c>
      <c r="EI28" s="83"/>
      <c r="EJ28" s="109">
        <v>34.19</v>
      </c>
      <c r="EK28" s="109">
        <f>IFERROR(GroceryList274561481091112[[#This Row],[QTY]]*GroceryList274561481091112[[#This Row],[UNIT PRICE]],"")</f>
        <v>34.19</v>
      </c>
      <c r="EL28" s="112" t="s">
        <v>169</v>
      </c>
      <c r="EM28" s="85">
        <v>36</v>
      </c>
      <c r="EP28" s="84"/>
      <c r="EQ28" s="105" t="s">
        <v>215</v>
      </c>
      <c r="ER28" s="85" t="s">
        <v>134</v>
      </c>
      <c r="ES28" s="85" t="s">
        <v>92</v>
      </c>
      <c r="ET28" s="84">
        <v>0</v>
      </c>
      <c r="EU28" s="83"/>
      <c r="EV28" s="109">
        <v>34.19</v>
      </c>
      <c r="EW28" s="109">
        <f>IFERROR(GroceryList27456148109111213[[#This Row],[QTY]]*GroceryList27456148109111213[[#This Row],[UNIT PRICE]],"")</f>
        <v>0</v>
      </c>
      <c r="EX28" s="112" t="s">
        <v>169</v>
      </c>
      <c r="EY28" s="85">
        <v>36</v>
      </c>
      <c r="FB28" s="84"/>
      <c r="FC28" s="105" t="s">
        <v>215</v>
      </c>
      <c r="FD28" s="85" t="s">
        <v>134</v>
      </c>
      <c r="FE28" s="85" t="s">
        <v>92</v>
      </c>
      <c r="FF28" s="84">
        <v>0</v>
      </c>
      <c r="FG28" s="83"/>
      <c r="FH28" s="109">
        <v>34.19</v>
      </c>
      <c r="FI28" s="109">
        <f>IFERROR(GroceryList2745614810911121315[[#This Row],[QTY]]*GroceryList2745614810911121315[[#This Row],[UNIT PRICE]],"")</f>
        <v>0</v>
      </c>
      <c r="FJ28" s="112" t="s">
        <v>169</v>
      </c>
      <c r="FK28" s="85">
        <v>36</v>
      </c>
      <c r="FN28" s="84"/>
      <c r="FO28" s="105" t="s">
        <v>215</v>
      </c>
      <c r="FP28" s="85" t="s">
        <v>134</v>
      </c>
      <c r="FQ28" s="85" t="s">
        <v>92</v>
      </c>
      <c r="FR28" s="84">
        <v>0</v>
      </c>
      <c r="FS28" s="83"/>
      <c r="FT28" s="109">
        <v>34.19</v>
      </c>
      <c r="FU28" s="109">
        <f>IFERROR(GroceryList274561481091112131516[[#This Row],[QTY]]*GroceryList274561481091112131516[[#This Row],[UNIT PRICE]],"")</f>
        <v>0</v>
      </c>
      <c r="FV28" s="112" t="s">
        <v>169</v>
      </c>
      <c r="FW28" s="85">
        <v>36</v>
      </c>
      <c r="FZ28" s="84"/>
      <c r="GA28" s="105" t="s">
        <v>338</v>
      </c>
      <c r="GB28" s="85" t="s">
        <v>134</v>
      </c>
      <c r="GC28" s="85" t="s">
        <v>92</v>
      </c>
      <c r="GD28" s="84">
        <v>2</v>
      </c>
      <c r="GE28" s="83"/>
      <c r="GF28" s="109">
        <v>8.99</v>
      </c>
      <c r="GG28" s="109">
        <f>IFERROR(GroceryList274561481091112131517[[#This Row],[QTY]]*GroceryList274561481091112131517[[#This Row],[UNIT PRICE]],"")</f>
        <v>17.98</v>
      </c>
      <c r="GH28" s="112" t="s">
        <v>169</v>
      </c>
      <c r="GI28" s="85">
        <v>10.29</v>
      </c>
      <c r="GL28" s="84"/>
      <c r="GM28" s="105" t="s">
        <v>338</v>
      </c>
      <c r="GN28" s="85" t="s">
        <v>134</v>
      </c>
      <c r="GO28" s="85" t="s">
        <v>92</v>
      </c>
      <c r="GP28" s="84">
        <v>2</v>
      </c>
      <c r="GQ28" s="83"/>
      <c r="GR28" s="109">
        <v>8.99</v>
      </c>
      <c r="GS28" s="109">
        <f>IFERROR(GroceryList27456148109111213151718[[#This Row],[QTY]]*GroceryList27456148109111213151718[[#This Row],[UNIT PRICE]],"")</f>
        <v>17.98</v>
      </c>
      <c r="GT28" s="112" t="s">
        <v>169</v>
      </c>
      <c r="GU28" s="85">
        <v>10.29</v>
      </c>
    </row>
    <row r="29" spans="2:203" ht="30" hidden="1" customHeight="1" x14ac:dyDescent="0.2">
      <c r="B29" s="84"/>
      <c r="C29" s="99" t="s">
        <v>104</v>
      </c>
      <c r="D29" s="85"/>
      <c r="E29" s="85"/>
      <c r="F29" s="84"/>
      <c r="G29" s="83"/>
      <c r="H29" s="90"/>
      <c r="I29" s="90">
        <f>IFERROR(GroceryList[[#This Row],[QTY]]*GroceryList[[#This Row],[UNIT PRICE]],"")</f>
        <v>0</v>
      </c>
      <c r="J29" s="85"/>
      <c r="M29" s="84"/>
      <c r="N29" s="99" t="s">
        <v>104</v>
      </c>
      <c r="O29" s="85"/>
      <c r="P29" s="85"/>
      <c r="Q29" s="84"/>
      <c r="R29" s="83"/>
      <c r="S29" s="90"/>
      <c r="T29" s="90">
        <f>IFERROR(GroceryList2[[#This Row],[QTY]]*GroceryList2[[#This Row],[UNIT PRICE]],"")</f>
        <v>0</v>
      </c>
      <c r="U29" s="85"/>
      <c r="Y29" s="84"/>
      <c r="Z29" s="99" t="s">
        <v>104</v>
      </c>
      <c r="AA29" s="85"/>
      <c r="AB29" s="85"/>
      <c r="AC29" s="84"/>
      <c r="AD29" s="83"/>
      <c r="AE29" s="90"/>
      <c r="AF29" s="90">
        <f>IFERROR(GroceryList27[[#This Row],[QTY]]*GroceryList27[[#This Row],[UNIT PRICE]],"")</f>
        <v>0</v>
      </c>
      <c r="AG29" s="85"/>
      <c r="AM29" s="84"/>
      <c r="AN29" s="105" t="s">
        <v>104</v>
      </c>
      <c r="AO29" s="85"/>
      <c r="AP29" s="85"/>
      <c r="AQ29" s="84"/>
      <c r="AR29" s="83"/>
      <c r="AS29" s="109"/>
      <c r="AT29" s="109">
        <f>IFERROR(GroceryList274[[#This Row],[QTY]]*GroceryList274[[#This Row],[UNIT PRICE]],"")</f>
        <v>0</v>
      </c>
      <c r="AU29" s="85"/>
      <c r="AY29" s="84"/>
      <c r="AZ29" s="107" t="s">
        <v>147</v>
      </c>
      <c r="BA29" s="108" t="s">
        <v>134</v>
      </c>
      <c r="BB29" s="108" t="s">
        <v>92</v>
      </c>
      <c r="BC29" s="84">
        <v>0</v>
      </c>
      <c r="BD29" s="83"/>
      <c r="BE29" s="109">
        <v>13.49</v>
      </c>
      <c r="BF29" s="109">
        <f>IFERROR(GroceryList2745[[#This Row],[QTY]]*GroceryList2745[[#This Row],[UNIT PRICE]],"")</f>
        <v>0</v>
      </c>
      <c r="BG29"/>
      <c r="BJ29" s="84"/>
      <c r="BK29" s="107" t="s">
        <v>147</v>
      </c>
      <c r="BL29" s="108" t="s">
        <v>134</v>
      </c>
      <c r="BM29" s="108" t="s">
        <v>92</v>
      </c>
      <c r="BN29" s="84">
        <v>0</v>
      </c>
      <c r="BO29" s="83"/>
      <c r="BP29" s="109">
        <v>13.49</v>
      </c>
      <c r="BQ29" s="109">
        <f>IFERROR(GroceryList27456[[#This Row],[QTY]]*GroceryList27456[[#This Row],[UNIT PRICE]],"")</f>
        <v>0</v>
      </c>
      <c r="BR29" s="111" t="s">
        <v>169</v>
      </c>
      <c r="BS29"/>
      <c r="BV29" s="84"/>
      <c r="BW29" s="107" t="s">
        <v>147</v>
      </c>
      <c r="BX29" s="108" t="s">
        <v>134</v>
      </c>
      <c r="BY29" s="108" t="s">
        <v>92</v>
      </c>
      <c r="BZ29" s="84">
        <v>0</v>
      </c>
      <c r="CA29" s="83"/>
      <c r="CB29" s="109">
        <v>13.49</v>
      </c>
      <c r="CC29" s="109">
        <f>IFERROR(GroceryList2745614[[#This Row],[QTY]]*GroceryList2745614[[#This Row],[UNIT PRICE]],"")</f>
        <v>0</v>
      </c>
      <c r="CD29" s="111" t="s">
        <v>169</v>
      </c>
      <c r="CE29"/>
      <c r="CH29" s="84"/>
      <c r="CI29" s="107" t="s">
        <v>147</v>
      </c>
      <c r="CJ29" s="108" t="s">
        <v>134</v>
      </c>
      <c r="CK29" s="108" t="s">
        <v>92</v>
      </c>
      <c r="CL29" s="84">
        <v>0</v>
      </c>
      <c r="CM29" s="83"/>
      <c r="CN29" s="109">
        <v>13.49</v>
      </c>
      <c r="CO29" s="109">
        <f>IFERROR(GroceryList27456148[[#This Row],[QTY]]*GroceryList27456148[[#This Row],[UNIT PRICE]],"")</f>
        <v>0</v>
      </c>
      <c r="CP29" s="111" t="s">
        <v>169</v>
      </c>
      <c r="CQ29"/>
      <c r="CT29" s="84"/>
      <c r="CU29" s="107" t="s">
        <v>147</v>
      </c>
      <c r="CV29" s="108" t="s">
        <v>134</v>
      </c>
      <c r="CW29" s="108" t="s">
        <v>92</v>
      </c>
      <c r="CX29" s="84">
        <v>1</v>
      </c>
      <c r="CY29" s="83"/>
      <c r="CZ29" s="109">
        <v>15.49</v>
      </c>
      <c r="DA29" s="109">
        <f>IFERROR(GroceryList2745614810[[#This Row],[QTY]]*GroceryList2745614810[[#This Row],[UNIT PRICE]],"")</f>
        <v>15.49</v>
      </c>
      <c r="DB29" s="111" t="s">
        <v>169</v>
      </c>
      <c r="DC29">
        <v>16.989999999999998</v>
      </c>
      <c r="DF29" s="84"/>
      <c r="DG29" s="107" t="s">
        <v>147</v>
      </c>
      <c r="DH29" s="108" t="s">
        <v>134</v>
      </c>
      <c r="DI29" s="108" t="s">
        <v>92</v>
      </c>
      <c r="DJ29" s="84">
        <v>0</v>
      </c>
      <c r="DK29" s="83"/>
      <c r="DL29" s="109">
        <v>13.49</v>
      </c>
      <c r="DM29" s="109">
        <f>IFERROR(GroceryList27456148109[[#This Row],[QTY]]*GroceryList27456148109[[#This Row],[UNIT PRICE]],"")</f>
        <v>0</v>
      </c>
      <c r="DN29" s="111" t="s">
        <v>169</v>
      </c>
      <c r="DO29"/>
      <c r="DR29" s="84"/>
      <c r="DS29" s="107" t="s">
        <v>147</v>
      </c>
      <c r="DT29" s="108" t="s">
        <v>134</v>
      </c>
      <c r="DU29" s="108" t="s">
        <v>92</v>
      </c>
      <c r="DV29" s="84">
        <v>0</v>
      </c>
      <c r="DW29" s="83"/>
      <c r="DX29" s="109">
        <v>13.49</v>
      </c>
      <c r="DY29" s="109">
        <f>IFERROR(GroceryList2745614810911[[#This Row],[QTY]]*GroceryList2745614810911[[#This Row],[UNIT PRICE]],"")</f>
        <v>0</v>
      </c>
      <c r="DZ29" s="111" t="s">
        <v>169</v>
      </c>
      <c r="EA29"/>
      <c r="ED29" s="84"/>
      <c r="EE29" s="107" t="s">
        <v>147</v>
      </c>
      <c r="EF29" s="108" t="s">
        <v>134</v>
      </c>
      <c r="EG29" s="108" t="s">
        <v>92</v>
      </c>
      <c r="EH29" s="84">
        <v>0</v>
      </c>
      <c r="EI29" s="83"/>
      <c r="EJ29" s="109">
        <v>13.49</v>
      </c>
      <c r="EK29" s="109">
        <f>IFERROR(GroceryList274561481091112[[#This Row],[QTY]]*GroceryList274561481091112[[#This Row],[UNIT PRICE]],"")</f>
        <v>0</v>
      </c>
      <c r="EL29" s="111" t="s">
        <v>169</v>
      </c>
      <c r="EM29"/>
      <c r="EP29" s="84"/>
      <c r="EQ29" s="107" t="s">
        <v>147</v>
      </c>
      <c r="ER29" s="108" t="s">
        <v>134</v>
      </c>
      <c r="ES29" s="108" t="s">
        <v>92</v>
      </c>
      <c r="ET29" s="84">
        <v>0</v>
      </c>
      <c r="EU29" s="83"/>
      <c r="EV29" s="109">
        <v>13.49</v>
      </c>
      <c r="EW29" s="109">
        <f>IFERROR(GroceryList27456148109111213[[#This Row],[QTY]]*GroceryList27456148109111213[[#This Row],[UNIT PRICE]],"")</f>
        <v>0</v>
      </c>
      <c r="EX29" s="111" t="s">
        <v>169</v>
      </c>
      <c r="EY29"/>
      <c r="FB29" s="84"/>
      <c r="FC29" s="107" t="s">
        <v>147</v>
      </c>
      <c r="FD29" s="108" t="s">
        <v>134</v>
      </c>
      <c r="FE29" s="108" t="s">
        <v>92</v>
      </c>
      <c r="FF29" s="84">
        <v>0</v>
      </c>
      <c r="FG29" s="83"/>
      <c r="FH29" s="109">
        <v>13.49</v>
      </c>
      <c r="FI29" s="109">
        <f>IFERROR(GroceryList2745614810911121315[[#This Row],[QTY]]*GroceryList2745614810911121315[[#This Row],[UNIT PRICE]],"")</f>
        <v>0</v>
      </c>
      <c r="FJ29" s="111" t="s">
        <v>169</v>
      </c>
      <c r="FK29"/>
      <c r="FN29" s="84"/>
      <c r="FO29" s="107" t="s">
        <v>147</v>
      </c>
      <c r="FP29" s="108" t="s">
        <v>134</v>
      </c>
      <c r="FQ29" s="108" t="s">
        <v>92</v>
      </c>
      <c r="FR29" s="84">
        <v>0</v>
      </c>
      <c r="FS29" s="83"/>
      <c r="FT29" s="109">
        <v>13.49</v>
      </c>
      <c r="FU29" s="109">
        <f>IFERROR(GroceryList274561481091112131516[[#This Row],[QTY]]*GroceryList274561481091112131516[[#This Row],[UNIT PRICE]],"")</f>
        <v>0</v>
      </c>
      <c r="FV29" s="111" t="s">
        <v>169</v>
      </c>
      <c r="FW29"/>
      <c r="FZ29" s="84"/>
      <c r="GA29" s="107" t="s">
        <v>147</v>
      </c>
      <c r="GB29" s="108" t="s">
        <v>134</v>
      </c>
      <c r="GC29" s="108" t="s">
        <v>92</v>
      </c>
      <c r="GD29" s="84">
        <v>0</v>
      </c>
      <c r="GE29" s="83"/>
      <c r="GF29" s="109">
        <v>13.49</v>
      </c>
      <c r="GG29" s="109">
        <f>IFERROR(GroceryList274561481091112131517[[#This Row],[QTY]]*GroceryList274561481091112131517[[#This Row],[UNIT PRICE]],"")</f>
        <v>0</v>
      </c>
      <c r="GH29" s="111" t="s">
        <v>169</v>
      </c>
      <c r="GI29"/>
      <c r="GL29" s="84"/>
      <c r="GM29" s="107" t="s">
        <v>147</v>
      </c>
      <c r="GN29" s="108" t="s">
        <v>134</v>
      </c>
      <c r="GO29" s="108" t="s">
        <v>92</v>
      </c>
      <c r="GP29" s="84">
        <v>0</v>
      </c>
      <c r="GQ29" s="83"/>
      <c r="GR29" s="109">
        <v>13.49</v>
      </c>
      <c r="GS29" s="109">
        <f>IFERROR(GroceryList27456148109111213151718[[#This Row],[QTY]]*GroceryList27456148109111213151718[[#This Row],[UNIT PRICE]],"")</f>
        <v>0</v>
      </c>
      <c r="GT29" s="111" t="s">
        <v>169</v>
      </c>
      <c r="GU29"/>
    </row>
    <row r="30" spans="2:203" ht="30" hidden="1" customHeight="1" x14ac:dyDescent="0.2">
      <c r="B30" s="84"/>
      <c r="C30" s="99" t="s">
        <v>105</v>
      </c>
      <c r="D30" s="85"/>
      <c r="E30" s="85"/>
      <c r="F30" s="84"/>
      <c r="G30" s="83"/>
      <c r="H30" s="90"/>
      <c r="I30" s="90">
        <f>IFERROR(GroceryList[[#This Row],[QTY]]*GroceryList[[#This Row],[UNIT PRICE]],"")</f>
        <v>0</v>
      </c>
      <c r="J30" s="85"/>
      <c r="M30" s="84"/>
      <c r="N30" s="99" t="s">
        <v>105</v>
      </c>
      <c r="O30" s="85"/>
      <c r="P30" s="85"/>
      <c r="Q30" s="84"/>
      <c r="R30" s="83"/>
      <c r="S30" s="90"/>
      <c r="T30" s="90">
        <f>IFERROR(GroceryList2[[#This Row],[QTY]]*GroceryList2[[#This Row],[UNIT PRICE]],"")</f>
        <v>0</v>
      </c>
      <c r="U30" s="85"/>
      <c r="Y30" s="84"/>
      <c r="Z30" s="99" t="s">
        <v>105</v>
      </c>
      <c r="AA30" s="85"/>
      <c r="AB30" s="85"/>
      <c r="AC30" s="84"/>
      <c r="AD30" s="83"/>
      <c r="AE30" s="90"/>
      <c r="AF30" s="90">
        <f>IFERROR(GroceryList27[[#This Row],[QTY]]*GroceryList27[[#This Row],[UNIT PRICE]],"")</f>
        <v>0</v>
      </c>
      <c r="AG30" s="85"/>
      <c r="AM30" s="84"/>
      <c r="AN30" s="105" t="s">
        <v>105</v>
      </c>
      <c r="AO30" s="85"/>
      <c r="AP30" s="85"/>
      <c r="AQ30" s="84"/>
      <c r="AR30" s="83"/>
      <c r="AS30" s="109"/>
      <c r="AT30" s="109">
        <f>IFERROR(GroceryList274[[#This Row],[QTY]]*GroceryList274[[#This Row],[UNIT PRICE]],"")</f>
        <v>0</v>
      </c>
      <c r="AU30" s="85"/>
      <c r="AY30" s="84"/>
      <c r="AZ30" s="105" t="s">
        <v>104</v>
      </c>
      <c r="BA30" s="85"/>
      <c r="BB30" s="85"/>
      <c r="BC30" s="84">
        <v>0</v>
      </c>
      <c r="BD30" s="83"/>
      <c r="BE30" s="109"/>
      <c r="BF30" s="109">
        <f>IFERROR(GroceryList2745[[#This Row],[QTY]]*GroceryList2745[[#This Row],[UNIT PRICE]],"")</f>
        <v>0</v>
      </c>
      <c r="BG30" s="85"/>
      <c r="BJ30" s="84"/>
      <c r="BK30" s="105" t="s">
        <v>104</v>
      </c>
      <c r="BL30" s="85"/>
      <c r="BM30" s="85"/>
      <c r="BN30" s="84">
        <v>0</v>
      </c>
      <c r="BO30" s="83"/>
      <c r="BP30" s="109"/>
      <c r="BQ30" s="109">
        <f>IFERROR(GroceryList27456[[#This Row],[QTY]]*GroceryList27456[[#This Row],[UNIT PRICE]],"")</f>
        <v>0</v>
      </c>
      <c r="BR30" s="112" t="s">
        <v>169</v>
      </c>
      <c r="BS30" s="85"/>
      <c r="BV30" s="84"/>
      <c r="BW30" s="105" t="s">
        <v>104</v>
      </c>
      <c r="BX30" s="85"/>
      <c r="BY30" s="85"/>
      <c r="BZ30" s="84">
        <v>0</v>
      </c>
      <c r="CA30" s="83"/>
      <c r="CB30" s="109"/>
      <c r="CC30" s="109">
        <f>IFERROR(GroceryList2745614[[#This Row],[QTY]]*GroceryList2745614[[#This Row],[UNIT PRICE]],"")</f>
        <v>0</v>
      </c>
      <c r="CD30" s="112" t="s">
        <v>169</v>
      </c>
      <c r="CE30" s="85"/>
      <c r="CH30" s="84"/>
      <c r="CI30" s="105" t="s">
        <v>176</v>
      </c>
      <c r="CJ30" s="85" t="s">
        <v>134</v>
      </c>
      <c r="CK30" s="85" t="s">
        <v>92</v>
      </c>
      <c r="CL30" s="84">
        <v>1</v>
      </c>
      <c r="CM30" s="83"/>
      <c r="CN30" s="109">
        <v>17.03</v>
      </c>
      <c r="CO30" s="109">
        <f>IFERROR(GroceryList27456148[[#This Row],[QTY]]*GroceryList27456148[[#This Row],[UNIT PRICE]],"")</f>
        <v>17.03</v>
      </c>
      <c r="CP30" s="112" t="s">
        <v>169</v>
      </c>
      <c r="CQ30" s="85">
        <v>21.29</v>
      </c>
      <c r="CT30" s="84"/>
      <c r="CU30" s="105" t="s">
        <v>176</v>
      </c>
      <c r="CV30" s="85" t="s">
        <v>134</v>
      </c>
      <c r="CW30" s="85" t="s">
        <v>92</v>
      </c>
      <c r="CX30" s="84">
        <v>0</v>
      </c>
      <c r="CY30" s="83"/>
      <c r="CZ30" s="109">
        <v>17.03</v>
      </c>
      <c r="DA30" s="109">
        <f>IFERROR(GroceryList2745614810[[#This Row],[QTY]]*GroceryList2745614810[[#This Row],[UNIT PRICE]],"")</f>
        <v>0</v>
      </c>
      <c r="DB30" s="112" t="s">
        <v>169</v>
      </c>
      <c r="DC30" s="85">
        <v>21.29</v>
      </c>
      <c r="DF30" s="84"/>
      <c r="DG30" s="105" t="s">
        <v>176</v>
      </c>
      <c r="DH30" s="85" t="s">
        <v>134</v>
      </c>
      <c r="DI30" s="85" t="s">
        <v>92</v>
      </c>
      <c r="DJ30" s="84">
        <v>0</v>
      </c>
      <c r="DK30" s="83"/>
      <c r="DL30" s="109">
        <v>17.03</v>
      </c>
      <c r="DM30" s="109">
        <f>IFERROR(GroceryList27456148109[[#This Row],[QTY]]*GroceryList27456148109[[#This Row],[UNIT PRICE]],"")</f>
        <v>0</v>
      </c>
      <c r="DN30" s="112" t="s">
        <v>169</v>
      </c>
      <c r="DO30" s="85">
        <v>21.29</v>
      </c>
      <c r="DR30" s="84"/>
      <c r="DS30" s="105" t="s">
        <v>176</v>
      </c>
      <c r="DT30" s="85" t="s">
        <v>134</v>
      </c>
      <c r="DU30" s="85" t="s">
        <v>92</v>
      </c>
      <c r="DV30" s="84">
        <v>0</v>
      </c>
      <c r="DW30" s="83"/>
      <c r="DX30" s="109">
        <v>17.03</v>
      </c>
      <c r="DY30" s="109">
        <f>IFERROR(GroceryList2745614810911[[#This Row],[QTY]]*GroceryList2745614810911[[#This Row],[UNIT PRICE]],"")</f>
        <v>0</v>
      </c>
      <c r="DZ30" s="112" t="s">
        <v>169</v>
      </c>
      <c r="EA30" s="85">
        <v>21.29</v>
      </c>
      <c r="ED30" s="84"/>
      <c r="EE30" s="105" t="s">
        <v>176</v>
      </c>
      <c r="EF30" s="85" t="s">
        <v>134</v>
      </c>
      <c r="EG30" s="85" t="s">
        <v>92</v>
      </c>
      <c r="EH30" s="84">
        <v>0</v>
      </c>
      <c r="EI30" s="83"/>
      <c r="EJ30" s="109">
        <v>17.03</v>
      </c>
      <c r="EK30" s="109">
        <f>IFERROR(GroceryList274561481091112[[#This Row],[QTY]]*GroceryList274561481091112[[#This Row],[UNIT PRICE]],"")</f>
        <v>0</v>
      </c>
      <c r="EL30" s="112" t="s">
        <v>169</v>
      </c>
      <c r="EM30" s="85">
        <v>21.29</v>
      </c>
      <c r="EP30" s="84"/>
      <c r="EQ30" s="105" t="s">
        <v>176</v>
      </c>
      <c r="ER30" s="85" t="s">
        <v>134</v>
      </c>
      <c r="ES30" s="85" t="s">
        <v>92</v>
      </c>
      <c r="ET30" s="84">
        <v>0</v>
      </c>
      <c r="EU30" s="83"/>
      <c r="EV30" s="109">
        <v>17.03</v>
      </c>
      <c r="EW30" s="109">
        <f>IFERROR(GroceryList27456148109111213[[#This Row],[QTY]]*GroceryList27456148109111213[[#This Row],[UNIT PRICE]],"")</f>
        <v>0</v>
      </c>
      <c r="EX30" s="112" t="s">
        <v>169</v>
      </c>
      <c r="EY30" s="85">
        <v>21.29</v>
      </c>
      <c r="FB30" s="84"/>
      <c r="FC30" s="105" t="s">
        <v>176</v>
      </c>
      <c r="FD30" s="85" t="s">
        <v>134</v>
      </c>
      <c r="FE30" s="85" t="s">
        <v>92</v>
      </c>
      <c r="FF30" s="84">
        <v>1</v>
      </c>
      <c r="FG30" s="83"/>
      <c r="FH30" s="109">
        <v>18.27</v>
      </c>
      <c r="FI30" s="109">
        <f>IFERROR(GroceryList2745614810911121315[[#This Row],[QTY]]*GroceryList2745614810911121315[[#This Row],[UNIT PRICE]],"")</f>
        <v>18.27</v>
      </c>
      <c r="FJ30" s="112" t="s">
        <v>169</v>
      </c>
      <c r="FK30" s="85">
        <v>21.49</v>
      </c>
      <c r="FN30" s="84"/>
      <c r="FO30" s="105" t="s">
        <v>176</v>
      </c>
      <c r="FP30" s="85" t="s">
        <v>134</v>
      </c>
      <c r="FQ30" s="85" t="s">
        <v>92</v>
      </c>
      <c r="FR30" s="84">
        <v>0</v>
      </c>
      <c r="FS30" s="83"/>
      <c r="FT30" s="109">
        <v>17.03</v>
      </c>
      <c r="FU30" s="109">
        <f>IFERROR(GroceryList274561481091112131516[[#This Row],[QTY]]*GroceryList274561481091112131516[[#This Row],[UNIT PRICE]],"")</f>
        <v>0</v>
      </c>
      <c r="FV30" s="112" t="s">
        <v>169</v>
      </c>
      <c r="FW30" s="85">
        <v>21.29</v>
      </c>
      <c r="FZ30" s="84"/>
      <c r="GA30" s="105" t="s">
        <v>176</v>
      </c>
      <c r="GB30" s="85" t="s">
        <v>134</v>
      </c>
      <c r="GC30" s="85" t="s">
        <v>92</v>
      </c>
      <c r="GD30" s="84">
        <v>0</v>
      </c>
      <c r="GE30" s="83"/>
      <c r="GF30" s="109">
        <v>18.27</v>
      </c>
      <c r="GG30" s="109">
        <f>IFERROR(GroceryList274561481091112131517[[#This Row],[QTY]]*GroceryList274561481091112131517[[#This Row],[UNIT PRICE]],"")</f>
        <v>0</v>
      </c>
      <c r="GH30" s="112" t="s">
        <v>169</v>
      </c>
      <c r="GI30" s="85">
        <v>21.49</v>
      </c>
      <c r="GL30" s="84"/>
      <c r="GM30" s="105" t="s">
        <v>176</v>
      </c>
      <c r="GN30" s="85" t="s">
        <v>134</v>
      </c>
      <c r="GO30" s="85" t="s">
        <v>92</v>
      </c>
      <c r="GP30" s="84">
        <v>0</v>
      </c>
      <c r="GQ30" s="83"/>
      <c r="GR30" s="109">
        <v>18.27</v>
      </c>
      <c r="GS30" s="109">
        <f>IFERROR(GroceryList27456148109111213151718[[#This Row],[QTY]]*GroceryList27456148109111213151718[[#This Row],[UNIT PRICE]],"")</f>
        <v>0</v>
      </c>
      <c r="GT30" s="112" t="s">
        <v>169</v>
      </c>
      <c r="GU30" s="85">
        <v>21.49</v>
      </c>
    </row>
    <row r="31" spans="2:203" ht="30" hidden="1" customHeight="1" x14ac:dyDescent="0.2">
      <c r="B31" s="84"/>
      <c r="C31" s="99" t="s">
        <v>106</v>
      </c>
      <c r="D31" s="85" t="s">
        <v>134</v>
      </c>
      <c r="E31" s="85" t="s">
        <v>92</v>
      </c>
      <c r="F31" s="84">
        <v>1</v>
      </c>
      <c r="G31" s="83"/>
      <c r="H31" s="90">
        <v>28.49</v>
      </c>
      <c r="I31" s="90">
        <f>IFERROR(GroceryList[[#This Row],[QTY]]*GroceryList[[#This Row],[UNIT PRICE]],"")</f>
        <v>28.49</v>
      </c>
      <c r="J31" s="85"/>
      <c r="M31" s="84"/>
      <c r="N31" s="99" t="s">
        <v>106</v>
      </c>
      <c r="O31" s="85" t="s">
        <v>134</v>
      </c>
      <c r="P31" s="85" t="s">
        <v>92</v>
      </c>
      <c r="Q31" s="84"/>
      <c r="R31" s="83"/>
      <c r="S31" s="90">
        <v>28.49</v>
      </c>
      <c r="T31" s="90">
        <f>IFERROR(GroceryList2[[#This Row],[QTY]]*GroceryList2[[#This Row],[UNIT PRICE]],"")</f>
        <v>0</v>
      </c>
      <c r="U31" s="85"/>
      <c r="Y31" s="84"/>
      <c r="Z31" s="99" t="s">
        <v>106</v>
      </c>
      <c r="AA31" s="85" t="s">
        <v>134</v>
      </c>
      <c r="AB31" s="85" t="s">
        <v>92</v>
      </c>
      <c r="AC31" s="84"/>
      <c r="AD31" s="83"/>
      <c r="AE31" s="90">
        <v>28.49</v>
      </c>
      <c r="AF31" s="90">
        <f>IFERROR(GroceryList27[[#This Row],[QTY]]*GroceryList27[[#This Row],[UNIT PRICE]],"")</f>
        <v>0</v>
      </c>
      <c r="AG31" s="85"/>
      <c r="AM31" s="84"/>
      <c r="AN31" s="105" t="s">
        <v>106</v>
      </c>
      <c r="AO31" s="85" t="s">
        <v>134</v>
      </c>
      <c r="AP31" s="85" t="s">
        <v>92</v>
      </c>
      <c r="AQ31" s="84"/>
      <c r="AR31" s="83"/>
      <c r="AS31" s="109">
        <v>28.49</v>
      </c>
      <c r="AT31" s="109">
        <f>IFERROR(GroceryList274[[#This Row],[QTY]]*GroceryList274[[#This Row],[UNIT PRICE]],"")</f>
        <v>0</v>
      </c>
      <c r="AU31" s="85"/>
      <c r="AY31" s="84"/>
      <c r="AZ31" s="105" t="s">
        <v>105</v>
      </c>
      <c r="BA31" s="85"/>
      <c r="BB31" s="85"/>
      <c r="BC31" s="84">
        <v>0</v>
      </c>
      <c r="BD31" s="83"/>
      <c r="BE31" s="109"/>
      <c r="BF31" s="109">
        <f>IFERROR(GroceryList2745[[#This Row],[QTY]]*GroceryList2745[[#This Row],[UNIT PRICE]],"")</f>
        <v>0</v>
      </c>
      <c r="BG31" s="85"/>
      <c r="BJ31" s="84"/>
      <c r="BK31" s="105" t="s">
        <v>105</v>
      </c>
      <c r="BL31" s="85"/>
      <c r="BM31" s="85"/>
      <c r="BN31" s="84">
        <v>0</v>
      </c>
      <c r="BO31" s="83"/>
      <c r="BP31" s="109"/>
      <c r="BQ31" s="109">
        <f>IFERROR(GroceryList27456[[#This Row],[QTY]]*GroceryList27456[[#This Row],[UNIT PRICE]],"")</f>
        <v>0</v>
      </c>
      <c r="BR31" s="112" t="s">
        <v>169</v>
      </c>
      <c r="BS31" s="85"/>
      <c r="BV31" s="84"/>
      <c r="BW31" s="105" t="s">
        <v>105</v>
      </c>
      <c r="BX31" s="85"/>
      <c r="BY31" s="85"/>
      <c r="BZ31" s="84">
        <v>0</v>
      </c>
      <c r="CA31" s="83"/>
      <c r="CB31" s="109"/>
      <c r="CC31" s="109">
        <f>IFERROR(GroceryList2745614[[#This Row],[QTY]]*GroceryList2745614[[#This Row],[UNIT PRICE]],"")</f>
        <v>0</v>
      </c>
      <c r="CD31" s="112" t="s">
        <v>169</v>
      </c>
      <c r="CE31" s="85"/>
      <c r="CH31" s="84"/>
      <c r="CI31" s="105" t="s">
        <v>105</v>
      </c>
      <c r="CJ31" s="85"/>
      <c r="CK31" s="85"/>
      <c r="CL31" s="84">
        <v>0</v>
      </c>
      <c r="CM31" s="83"/>
      <c r="CN31" s="109"/>
      <c r="CO31" s="109">
        <f>IFERROR(GroceryList27456148[[#This Row],[QTY]]*GroceryList27456148[[#This Row],[UNIT PRICE]],"")</f>
        <v>0</v>
      </c>
      <c r="CP31" s="112" t="s">
        <v>169</v>
      </c>
      <c r="CQ31" s="85"/>
      <c r="CT31" s="84"/>
      <c r="CU31" s="105" t="s">
        <v>179</v>
      </c>
      <c r="CV31" s="85"/>
      <c r="CW31" s="85"/>
      <c r="CX31" s="84">
        <v>1</v>
      </c>
      <c r="CY31" s="83"/>
      <c r="CZ31" s="109">
        <v>42.99</v>
      </c>
      <c r="DA31" s="109">
        <f>IFERROR(GroceryList2745614810[[#This Row],[QTY]]*GroceryList2745614810[[#This Row],[UNIT PRICE]],"")</f>
        <v>42.99</v>
      </c>
      <c r="DB31" s="112" t="s">
        <v>169</v>
      </c>
      <c r="DC31" s="85">
        <v>48.99</v>
      </c>
      <c r="DF31" s="84"/>
      <c r="DG31" s="105" t="s">
        <v>105</v>
      </c>
      <c r="DH31" s="85"/>
      <c r="DI31" s="85"/>
      <c r="DJ31" s="84">
        <v>0</v>
      </c>
      <c r="DK31" s="83"/>
      <c r="DL31" s="109"/>
      <c r="DM31" s="109">
        <f>IFERROR(GroceryList27456148109[[#This Row],[QTY]]*GroceryList27456148109[[#This Row],[UNIT PRICE]],"")</f>
        <v>0</v>
      </c>
      <c r="DN31" s="112" t="s">
        <v>169</v>
      </c>
      <c r="DO31" s="85"/>
      <c r="DR31" s="84"/>
      <c r="DS31" s="105" t="s">
        <v>105</v>
      </c>
      <c r="DT31" s="85"/>
      <c r="DU31" s="85"/>
      <c r="DV31" s="84">
        <v>0</v>
      </c>
      <c r="DW31" s="83"/>
      <c r="DX31" s="109"/>
      <c r="DY31" s="109">
        <f>IFERROR(GroceryList2745614810911[[#This Row],[QTY]]*GroceryList2745614810911[[#This Row],[UNIT PRICE]],"")</f>
        <v>0</v>
      </c>
      <c r="DZ31" s="112" t="s">
        <v>169</v>
      </c>
      <c r="EA31" s="85"/>
      <c r="ED31" s="84"/>
      <c r="EE31" s="105" t="s">
        <v>179</v>
      </c>
      <c r="EF31" s="85" t="s">
        <v>134</v>
      </c>
      <c r="EG31" s="85" t="s">
        <v>92</v>
      </c>
      <c r="EH31" s="84">
        <v>1</v>
      </c>
      <c r="EI31" s="83"/>
      <c r="EJ31" s="109">
        <v>42.99</v>
      </c>
      <c r="EK31" s="109">
        <f>IFERROR(GroceryList274561481091112[[#This Row],[QTY]]*GroceryList274561481091112[[#This Row],[UNIT PRICE]],"")</f>
        <v>42.99</v>
      </c>
      <c r="EL31" s="112" t="s">
        <v>169</v>
      </c>
      <c r="EM31" s="85">
        <v>48.99</v>
      </c>
      <c r="EP31" s="84"/>
      <c r="EQ31" s="105" t="s">
        <v>179</v>
      </c>
      <c r="ER31" s="85" t="s">
        <v>134</v>
      </c>
      <c r="ES31" s="85" t="s">
        <v>92</v>
      </c>
      <c r="ET31" s="84">
        <v>0</v>
      </c>
      <c r="EU31" s="83"/>
      <c r="EV31" s="109">
        <v>42.99</v>
      </c>
      <c r="EW31" s="109">
        <f>IFERROR(GroceryList27456148109111213[[#This Row],[QTY]]*GroceryList27456148109111213[[#This Row],[UNIT PRICE]],"")</f>
        <v>0</v>
      </c>
      <c r="EX31" s="112" t="s">
        <v>169</v>
      </c>
      <c r="EY31" s="85">
        <v>48.99</v>
      </c>
      <c r="FB31" s="84"/>
      <c r="FC31" s="105" t="s">
        <v>179</v>
      </c>
      <c r="FD31" s="85" t="s">
        <v>134</v>
      </c>
      <c r="FE31" s="85" t="s">
        <v>92</v>
      </c>
      <c r="FF31" s="84">
        <v>0</v>
      </c>
      <c r="FG31" s="83"/>
      <c r="FH31" s="109">
        <v>42.99</v>
      </c>
      <c r="FI31" s="109">
        <f>IFERROR(GroceryList2745614810911121315[[#This Row],[QTY]]*GroceryList2745614810911121315[[#This Row],[UNIT PRICE]],"")</f>
        <v>0</v>
      </c>
      <c r="FJ31" s="112" t="s">
        <v>169</v>
      </c>
      <c r="FK31" s="85">
        <v>48.99</v>
      </c>
      <c r="FN31" s="84"/>
      <c r="FO31" s="105" t="s">
        <v>179</v>
      </c>
      <c r="FP31" s="85" t="s">
        <v>134</v>
      </c>
      <c r="FQ31" s="85" t="s">
        <v>92</v>
      </c>
      <c r="FR31" s="84">
        <v>0</v>
      </c>
      <c r="FS31" s="83"/>
      <c r="FT31" s="109">
        <v>42.99</v>
      </c>
      <c r="FU31" s="109">
        <f>IFERROR(GroceryList274561481091112131516[[#This Row],[QTY]]*GroceryList274561481091112131516[[#This Row],[UNIT PRICE]],"")</f>
        <v>0</v>
      </c>
      <c r="FV31" s="112" t="s">
        <v>169</v>
      </c>
      <c r="FW31" s="85">
        <v>48.99</v>
      </c>
      <c r="FZ31" s="84"/>
      <c r="GA31" s="105" t="s">
        <v>179</v>
      </c>
      <c r="GB31" s="85" t="s">
        <v>134</v>
      </c>
      <c r="GC31" s="85" t="s">
        <v>92</v>
      </c>
      <c r="GD31" s="84">
        <v>0</v>
      </c>
      <c r="GE31" s="83"/>
      <c r="GF31" s="109">
        <v>42.99</v>
      </c>
      <c r="GG31" s="109">
        <f>IFERROR(GroceryList274561481091112131517[[#This Row],[QTY]]*GroceryList274561481091112131517[[#This Row],[UNIT PRICE]],"")</f>
        <v>0</v>
      </c>
      <c r="GH31" s="112" t="s">
        <v>169</v>
      </c>
      <c r="GI31" s="85">
        <v>48.99</v>
      </c>
      <c r="GL31" s="84"/>
      <c r="GM31" s="105" t="s">
        <v>179</v>
      </c>
      <c r="GN31" s="85" t="s">
        <v>134</v>
      </c>
      <c r="GO31" s="85" t="s">
        <v>92</v>
      </c>
      <c r="GP31" s="84">
        <v>0</v>
      </c>
      <c r="GQ31" s="83"/>
      <c r="GR31" s="109">
        <v>42.99</v>
      </c>
      <c r="GS31" s="109">
        <f>IFERROR(GroceryList27456148109111213151718[[#This Row],[QTY]]*GroceryList27456148109111213151718[[#This Row],[UNIT PRICE]],"")</f>
        <v>0</v>
      </c>
      <c r="GT31" s="112" t="s">
        <v>169</v>
      </c>
      <c r="GU31" s="85">
        <v>48.99</v>
      </c>
    </row>
    <row r="32" spans="2:203" ht="30" hidden="1" customHeight="1" x14ac:dyDescent="0.2">
      <c r="B32" s="84"/>
      <c r="C32" s="99" t="s">
        <v>107</v>
      </c>
      <c r="D32" s="85" t="s">
        <v>134</v>
      </c>
      <c r="E32" s="85" t="s">
        <v>91</v>
      </c>
      <c r="F32" s="84"/>
      <c r="G32" s="83"/>
      <c r="H32" s="90">
        <v>22.79</v>
      </c>
      <c r="I32" s="90">
        <f>IFERROR(GroceryList[[#This Row],[QTY]]*GroceryList[[#This Row],[UNIT PRICE]],"")</f>
        <v>0</v>
      </c>
      <c r="J32" s="85"/>
      <c r="M32" s="84"/>
      <c r="N32" s="99" t="s">
        <v>107</v>
      </c>
      <c r="O32" s="85" t="s">
        <v>134</v>
      </c>
      <c r="P32" s="85" t="s">
        <v>91</v>
      </c>
      <c r="Q32" s="84"/>
      <c r="R32" s="83"/>
      <c r="S32" s="90">
        <v>22.79</v>
      </c>
      <c r="T32" s="90">
        <f>IFERROR(GroceryList2[[#This Row],[QTY]]*GroceryList2[[#This Row],[UNIT PRICE]],"")</f>
        <v>0</v>
      </c>
      <c r="U32" s="85"/>
      <c r="Y32" s="84" t="s">
        <v>130</v>
      </c>
      <c r="Z32" s="99" t="s">
        <v>107</v>
      </c>
      <c r="AA32" s="85" t="s">
        <v>134</v>
      </c>
      <c r="AB32" s="85" t="s">
        <v>91</v>
      </c>
      <c r="AC32" s="84">
        <v>1</v>
      </c>
      <c r="AD32" s="83"/>
      <c r="AE32" s="90">
        <v>22.79</v>
      </c>
      <c r="AF32" s="90">
        <f>IFERROR(GroceryList27[[#This Row],[QTY]]*GroceryList27[[#This Row],[UNIT PRICE]],"")</f>
        <v>22.79</v>
      </c>
      <c r="AG32" s="85"/>
      <c r="AM32" s="84" t="s">
        <v>130</v>
      </c>
      <c r="AN32" s="105" t="s">
        <v>107</v>
      </c>
      <c r="AO32" s="85" t="s">
        <v>134</v>
      </c>
      <c r="AP32" s="85" t="s">
        <v>91</v>
      </c>
      <c r="AQ32" s="84">
        <v>1</v>
      </c>
      <c r="AR32" s="83"/>
      <c r="AS32" s="109">
        <v>22.79</v>
      </c>
      <c r="AT32" s="109">
        <f>IFERROR(GroceryList274[[#This Row],[QTY]]*GroceryList274[[#This Row],[UNIT PRICE]],"")</f>
        <v>22.79</v>
      </c>
      <c r="AU32" s="85"/>
      <c r="AY32" s="84"/>
      <c r="AZ32" s="105" t="s">
        <v>106</v>
      </c>
      <c r="BA32" s="85" t="s">
        <v>134</v>
      </c>
      <c r="BB32" s="85" t="s">
        <v>92</v>
      </c>
      <c r="BC32" s="84">
        <v>0</v>
      </c>
      <c r="BD32" s="83"/>
      <c r="BE32" s="109">
        <v>28.49</v>
      </c>
      <c r="BF32" s="109">
        <f>IFERROR(GroceryList2745[[#This Row],[QTY]]*GroceryList2745[[#This Row],[UNIT PRICE]],"")</f>
        <v>0</v>
      </c>
      <c r="BG32" s="85"/>
      <c r="BJ32" s="84"/>
      <c r="BK32" s="105" t="s">
        <v>106</v>
      </c>
      <c r="BL32" s="85" t="s">
        <v>134</v>
      </c>
      <c r="BM32" s="85" t="s">
        <v>92</v>
      </c>
      <c r="BN32" s="84">
        <v>0</v>
      </c>
      <c r="BO32" s="83"/>
      <c r="BP32" s="109">
        <v>28.49</v>
      </c>
      <c r="BQ32" s="109">
        <f>IFERROR(GroceryList27456[[#This Row],[QTY]]*GroceryList27456[[#This Row],[UNIT PRICE]],"")</f>
        <v>0</v>
      </c>
      <c r="BR32" s="112" t="s">
        <v>169</v>
      </c>
      <c r="BS32" s="85"/>
      <c r="BV32" s="84"/>
      <c r="BW32" s="105" t="s">
        <v>106</v>
      </c>
      <c r="BX32" s="85" t="s">
        <v>134</v>
      </c>
      <c r="BY32" s="85" t="s">
        <v>92</v>
      </c>
      <c r="BZ32" s="84">
        <v>0</v>
      </c>
      <c r="CA32" s="83"/>
      <c r="CB32" s="109">
        <v>28.49</v>
      </c>
      <c r="CC32" s="109">
        <f>IFERROR(GroceryList2745614[[#This Row],[QTY]]*GroceryList2745614[[#This Row],[UNIT PRICE]],"")</f>
        <v>0</v>
      </c>
      <c r="CD32" s="112" t="s">
        <v>169</v>
      </c>
      <c r="CE32" s="85"/>
      <c r="CH32" s="84"/>
      <c r="CI32" s="105" t="s">
        <v>106</v>
      </c>
      <c r="CJ32" s="85" t="s">
        <v>134</v>
      </c>
      <c r="CK32" s="85" t="s">
        <v>92</v>
      </c>
      <c r="CL32" s="84">
        <v>0</v>
      </c>
      <c r="CM32" s="83"/>
      <c r="CN32" s="109">
        <v>28.49</v>
      </c>
      <c r="CO32" s="109">
        <f>IFERROR(GroceryList27456148[[#This Row],[QTY]]*GroceryList27456148[[#This Row],[UNIT PRICE]],"")</f>
        <v>0</v>
      </c>
      <c r="CP32" s="112" t="s">
        <v>169</v>
      </c>
      <c r="CQ32" s="85"/>
      <c r="CT32" s="84"/>
      <c r="CU32" s="105" t="s">
        <v>106</v>
      </c>
      <c r="CV32" s="85" t="s">
        <v>134</v>
      </c>
      <c r="CW32" s="85" t="s">
        <v>92</v>
      </c>
      <c r="CX32" s="84">
        <v>0</v>
      </c>
      <c r="CY32" s="83"/>
      <c r="CZ32" s="109">
        <v>28.49</v>
      </c>
      <c r="DA32" s="109">
        <f>IFERROR(GroceryList2745614810[[#This Row],[QTY]]*GroceryList2745614810[[#This Row],[UNIT PRICE]],"")</f>
        <v>0</v>
      </c>
      <c r="DB32" s="112" t="s">
        <v>169</v>
      </c>
      <c r="DC32" s="85"/>
      <c r="DF32" s="84"/>
      <c r="DG32" s="105" t="s">
        <v>106</v>
      </c>
      <c r="DH32" s="85" t="s">
        <v>134</v>
      </c>
      <c r="DI32" s="85" t="s">
        <v>92</v>
      </c>
      <c r="DJ32" s="84">
        <v>0</v>
      </c>
      <c r="DK32" s="83"/>
      <c r="DL32" s="109">
        <v>28.49</v>
      </c>
      <c r="DM32" s="109">
        <f>IFERROR(GroceryList27456148109[[#This Row],[QTY]]*GroceryList27456148109[[#This Row],[UNIT PRICE]],"")</f>
        <v>0</v>
      </c>
      <c r="DN32" s="112" t="s">
        <v>169</v>
      </c>
      <c r="DO32" s="85"/>
      <c r="DR32" s="84"/>
      <c r="DS32" s="105" t="s">
        <v>106</v>
      </c>
      <c r="DT32" s="85" t="s">
        <v>134</v>
      </c>
      <c r="DU32" s="85" t="s">
        <v>92</v>
      </c>
      <c r="DV32" s="84">
        <v>0</v>
      </c>
      <c r="DW32" s="83"/>
      <c r="DX32" s="109">
        <v>28.49</v>
      </c>
      <c r="DY32" s="109">
        <f>IFERROR(GroceryList2745614810911[[#This Row],[QTY]]*GroceryList2745614810911[[#This Row],[UNIT PRICE]],"")</f>
        <v>0</v>
      </c>
      <c r="DZ32" s="112" t="s">
        <v>169</v>
      </c>
      <c r="EA32" s="85"/>
      <c r="ED32" s="84"/>
      <c r="EE32" s="105" t="s">
        <v>106</v>
      </c>
      <c r="EF32" s="85" t="s">
        <v>134</v>
      </c>
      <c r="EG32" s="85" t="s">
        <v>92</v>
      </c>
      <c r="EH32" s="84">
        <v>0</v>
      </c>
      <c r="EI32" s="83"/>
      <c r="EJ32" s="109">
        <v>28.49</v>
      </c>
      <c r="EK32" s="109">
        <f>IFERROR(GroceryList274561481091112[[#This Row],[QTY]]*GroceryList274561481091112[[#This Row],[UNIT PRICE]],"")</f>
        <v>0</v>
      </c>
      <c r="EL32" s="112" t="s">
        <v>169</v>
      </c>
      <c r="EM32" s="85"/>
      <c r="EP32" s="84"/>
      <c r="EQ32" s="105" t="s">
        <v>106</v>
      </c>
      <c r="ER32" s="85" t="s">
        <v>134</v>
      </c>
      <c r="ES32" s="85" t="s">
        <v>92</v>
      </c>
      <c r="ET32" s="84">
        <v>0</v>
      </c>
      <c r="EU32" s="83"/>
      <c r="EV32" s="109">
        <v>28.49</v>
      </c>
      <c r="EW32" s="109">
        <f>IFERROR(GroceryList27456148109111213[[#This Row],[QTY]]*GroceryList27456148109111213[[#This Row],[UNIT PRICE]],"")</f>
        <v>0</v>
      </c>
      <c r="EX32" s="112" t="s">
        <v>169</v>
      </c>
      <c r="EY32" s="85"/>
      <c r="FB32" s="84"/>
      <c r="FC32" s="105" t="s">
        <v>106</v>
      </c>
      <c r="FD32" s="85" t="s">
        <v>134</v>
      </c>
      <c r="FE32" s="85" t="s">
        <v>92</v>
      </c>
      <c r="FF32" s="84">
        <v>0</v>
      </c>
      <c r="FG32" s="83"/>
      <c r="FH32" s="109">
        <v>28.49</v>
      </c>
      <c r="FI32" s="109">
        <f>IFERROR(GroceryList2745614810911121315[[#This Row],[QTY]]*GroceryList2745614810911121315[[#This Row],[UNIT PRICE]],"")</f>
        <v>0</v>
      </c>
      <c r="FJ32" s="112" t="s">
        <v>169</v>
      </c>
      <c r="FK32" s="85"/>
      <c r="FN32" s="84"/>
      <c r="FO32" s="105" t="s">
        <v>106</v>
      </c>
      <c r="FP32" s="85" t="s">
        <v>134</v>
      </c>
      <c r="FQ32" s="85" t="s">
        <v>92</v>
      </c>
      <c r="FR32" s="84">
        <v>0</v>
      </c>
      <c r="FS32" s="83"/>
      <c r="FT32" s="109">
        <v>28.49</v>
      </c>
      <c r="FU32" s="109">
        <f>IFERROR(GroceryList274561481091112131516[[#This Row],[QTY]]*GroceryList274561481091112131516[[#This Row],[UNIT PRICE]],"")</f>
        <v>0</v>
      </c>
      <c r="FV32" s="112" t="s">
        <v>169</v>
      </c>
      <c r="FW32" s="85"/>
      <c r="FZ32" s="84"/>
      <c r="GA32" s="105" t="s">
        <v>106</v>
      </c>
      <c r="GB32" s="85" t="s">
        <v>134</v>
      </c>
      <c r="GC32" s="85" t="s">
        <v>92</v>
      </c>
      <c r="GD32" s="84">
        <v>0</v>
      </c>
      <c r="GE32" s="83"/>
      <c r="GF32" s="109">
        <v>28.49</v>
      </c>
      <c r="GG32" s="109">
        <f>IFERROR(GroceryList274561481091112131517[[#This Row],[QTY]]*GroceryList274561481091112131517[[#This Row],[UNIT PRICE]],"")</f>
        <v>0</v>
      </c>
      <c r="GH32" s="112" t="s">
        <v>169</v>
      </c>
      <c r="GI32" s="85"/>
      <c r="GL32" s="84"/>
      <c r="GM32" s="105" t="s">
        <v>106</v>
      </c>
      <c r="GN32" s="85" t="s">
        <v>134</v>
      </c>
      <c r="GO32" s="85" t="s">
        <v>92</v>
      </c>
      <c r="GP32" s="84">
        <v>0</v>
      </c>
      <c r="GQ32" s="83"/>
      <c r="GR32" s="109">
        <v>28.49</v>
      </c>
      <c r="GS32" s="109">
        <f>IFERROR(GroceryList27456148109111213151718[[#This Row],[QTY]]*GroceryList27456148109111213151718[[#This Row],[UNIT PRICE]],"")</f>
        <v>0</v>
      </c>
      <c r="GT32" s="112" t="s">
        <v>169</v>
      </c>
      <c r="GU32" s="85"/>
    </row>
    <row r="33" spans="2:203" ht="30" customHeight="1" x14ac:dyDescent="0.2">
      <c r="B33" s="84"/>
      <c r="C33" s="102" t="s">
        <v>142</v>
      </c>
      <c r="D33" t="s">
        <v>134</v>
      </c>
      <c r="E33" t="s">
        <v>91</v>
      </c>
      <c r="F33" s="84">
        <v>1</v>
      </c>
      <c r="G33" s="83"/>
      <c r="H33" s="90">
        <v>16.14</v>
      </c>
      <c r="I33" s="90">
        <f>IFERROR(GroceryList[[#This Row],[QTY]]*GroceryList[[#This Row],[UNIT PRICE]],"")</f>
        <v>16.14</v>
      </c>
      <c r="J33"/>
      <c r="M33" s="84"/>
      <c r="N33" s="102" t="s">
        <v>142</v>
      </c>
      <c r="O33" t="s">
        <v>134</v>
      </c>
      <c r="P33" t="s">
        <v>91</v>
      </c>
      <c r="Q33" s="84"/>
      <c r="R33" s="83"/>
      <c r="S33" s="90">
        <v>16.14</v>
      </c>
      <c r="T33" s="90">
        <f>IFERROR(GroceryList2[[#This Row],[QTY]]*GroceryList2[[#This Row],[UNIT PRICE]],"")</f>
        <v>0</v>
      </c>
      <c r="U33"/>
      <c r="Y33" s="84" t="s">
        <v>130</v>
      </c>
      <c r="Z33" s="102" t="s">
        <v>142</v>
      </c>
      <c r="AA33" t="s">
        <v>134</v>
      </c>
      <c r="AB33" t="s">
        <v>91</v>
      </c>
      <c r="AC33" s="84">
        <v>1</v>
      </c>
      <c r="AD33" s="83"/>
      <c r="AE33" s="90">
        <v>16.14</v>
      </c>
      <c r="AF33" s="90">
        <f>IFERROR(GroceryList27[[#This Row],[QTY]]*GroceryList27[[#This Row],[UNIT PRICE]],"")</f>
        <v>16.14</v>
      </c>
      <c r="AG33"/>
      <c r="AM33" s="84" t="s">
        <v>130</v>
      </c>
      <c r="AN33" s="107" t="s">
        <v>142</v>
      </c>
      <c r="AO33" s="108" t="s">
        <v>134</v>
      </c>
      <c r="AP33" s="108" t="s">
        <v>91</v>
      </c>
      <c r="AQ33" s="84">
        <v>0</v>
      </c>
      <c r="AR33" s="83"/>
      <c r="AS33" s="109">
        <v>16.14</v>
      </c>
      <c r="AT33" s="109">
        <f>IFERROR(GroceryList274[[#This Row],[QTY]]*GroceryList274[[#This Row],[UNIT PRICE]],"")</f>
        <v>0</v>
      </c>
      <c r="AU33"/>
      <c r="AY33" s="84" t="s">
        <v>130</v>
      </c>
      <c r="AZ33" s="105" t="s">
        <v>107</v>
      </c>
      <c r="BA33" s="85" t="s">
        <v>134</v>
      </c>
      <c r="BB33" s="85" t="s">
        <v>91</v>
      </c>
      <c r="BC33" s="84">
        <v>0</v>
      </c>
      <c r="BD33" s="83"/>
      <c r="BE33" s="109">
        <v>22.79</v>
      </c>
      <c r="BF33" s="109">
        <f>IFERROR(GroceryList2745[[#This Row],[QTY]]*GroceryList2745[[#This Row],[UNIT PRICE]],"")</f>
        <v>0</v>
      </c>
      <c r="BG33" s="85"/>
      <c r="BJ33" s="84" t="s">
        <v>130</v>
      </c>
      <c r="BK33" s="105" t="s">
        <v>107</v>
      </c>
      <c r="BL33" s="85" t="s">
        <v>134</v>
      </c>
      <c r="BM33" s="85" t="s">
        <v>91</v>
      </c>
      <c r="BN33" s="84">
        <v>1</v>
      </c>
      <c r="BO33" s="83"/>
      <c r="BP33" s="109">
        <v>20</v>
      </c>
      <c r="BQ33" s="109">
        <f>IFERROR(GroceryList27456[[#This Row],[QTY]]*GroceryList27456[[#This Row],[UNIT PRICE]],"")</f>
        <v>20</v>
      </c>
      <c r="BR33" s="112" t="s">
        <v>130</v>
      </c>
      <c r="BS33" s="85"/>
      <c r="BV33" s="84" t="s">
        <v>130</v>
      </c>
      <c r="BW33" s="105" t="s">
        <v>107</v>
      </c>
      <c r="BX33" s="85" t="s">
        <v>134</v>
      </c>
      <c r="BY33" s="85" t="s">
        <v>91</v>
      </c>
      <c r="BZ33" s="84">
        <v>1</v>
      </c>
      <c r="CA33" s="83"/>
      <c r="CB33" s="109">
        <v>19.47</v>
      </c>
      <c r="CC33" s="109">
        <f>IFERROR(GroceryList2745614[[#This Row],[QTY]]*GroceryList2745614[[#This Row],[UNIT PRICE]],"")</f>
        <v>19.47</v>
      </c>
      <c r="CD33" s="112" t="s">
        <v>130</v>
      </c>
      <c r="CE33" s="85">
        <v>20.49</v>
      </c>
      <c r="CH33" s="84" t="s">
        <v>130</v>
      </c>
      <c r="CI33" s="105" t="s">
        <v>107</v>
      </c>
      <c r="CJ33" s="85" t="s">
        <v>134</v>
      </c>
      <c r="CK33" s="85" t="s">
        <v>91</v>
      </c>
      <c r="CL33" s="84">
        <v>1</v>
      </c>
      <c r="CM33" s="83"/>
      <c r="CN33" s="109">
        <v>18.39</v>
      </c>
      <c r="CO33" s="109">
        <f>IFERROR(GroceryList27456148[[#This Row],[QTY]]*GroceryList27456148[[#This Row],[UNIT PRICE]],"")</f>
        <v>18.39</v>
      </c>
      <c r="CP33" s="112" t="s">
        <v>130</v>
      </c>
      <c r="CQ33" s="85">
        <v>22.99</v>
      </c>
      <c r="CT33" s="84" t="s">
        <v>130</v>
      </c>
      <c r="CU33" s="105" t="s">
        <v>107</v>
      </c>
      <c r="CV33" s="85" t="s">
        <v>134</v>
      </c>
      <c r="CW33" s="85" t="s">
        <v>91</v>
      </c>
      <c r="CX33" s="84">
        <v>1</v>
      </c>
      <c r="CY33" s="83"/>
      <c r="CZ33" s="109">
        <v>18.39</v>
      </c>
      <c r="DA33" s="109">
        <f>IFERROR(GroceryList2745614810[[#This Row],[QTY]]*GroceryList2745614810[[#This Row],[UNIT PRICE]],"")</f>
        <v>18.39</v>
      </c>
      <c r="DB33" s="112" t="s">
        <v>130</v>
      </c>
      <c r="DC33" s="85">
        <v>22.99</v>
      </c>
      <c r="DF33" s="84" t="s">
        <v>130</v>
      </c>
      <c r="DG33" s="105" t="s">
        <v>107</v>
      </c>
      <c r="DH33" s="85" t="s">
        <v>134</v>
      </c>
      <c r="DI33" s="85" t="s">
        <v>91</v>
      </c>
      <c r="DJ33" s="84">
        <v>0</v>
      </c>
      <c r="DK33" s="83"/>
      <c r="DL33" s="109">
        <v>18.39</v>
      </c>
      <c r="DM33" s="109">
        <f>IFERROR(GroceryList27456148109[[#This Row],[QTY]]*GroceryList27456148109[[#This Row],[UNIT PRICE]],"")</f>
        <v>0</v>
      </c>
      <c r="DN33" s="112" t="s">
        <v>130</v>
      </c>
      <c r="DO33" s="85">
        <v>22.99</v>
      </c>
      <c r="DR33" s="84" t="s">
        <v>130</v>
      </c>
      <c r="DS33" s="105" t="s">
        <v>107</v>
      </c>
      <c r="DT33" s="85" t="s">
        <v>134</v>
      </c>
      <c r="DU33" s="85" t="s">
        <v>91</v>
      </c>
      <c r="DV33" s="84">
        <v>1</v>
      </c>
      <c r="DW33" s="83"/>
      <c r="DX33" s="109">
        <v>18.39</v>
      </c>
      <c r="DY33" s="109">
        <f>IFERROR(GroceryList2745614810911[[#This Row],[QTY]]*GroceryList2745614810911[[#This Row],[UNIT PRICE]],"")</f>
        <v>18.39</v>
      </c>
      <c r="DZ33" s="112" t="s">
        <v>130</v>
      </c>
      <c r="EA33" s="85">
        <v>22.99</v>
      </c>
      <c r="ED33" s="84" t="s">
        <v>130</v>
      </c>
      <c r="EE33" s="105" t="s">
        <v>107</v>
      </c>
      <c r="EF33" s="85" t="s">
        <v>134</v>
      </c>
      <c r="EG33" s="85" t="s">
        <v>91</v>
      </c>
      <c r="EH33" s="84">
        <v>1</v>
      </c>
      <c r="EI33" s="83"/>
      <c r="EJ33" s="109">
        <v>20.89</v>
      </c>
      <c r="EK33" s="109">
        <f>IFERROR(GroceryList274561481091112[[#This Row],[QTY]]*GroceryList274561481091112[[#This Row],[UNIT PRICE]],"")</f>
        <v>20.89</v>
      </c>
      <c r="EL33" s="112" t="s">
        <v>130</v>
      </c>
      <c r="EM33" s="85">
        <v>22.99</v>
      </c>
      <c r="EP33" s="84" t="s">
        <v>130</v>
      </c>
      <c r="EQ33" s="105" t="s">
        <v>107</v>
      </c>
      <c r="ER33" s="85" t="s">
        <v>134</v>
      </c>
      <c r="ES33" s="85" t="s">
        <v>91</v>
      </c>
      <c r="ET33" s="84">
        <v>0</v>
      </c>
      <c r="EU33" s="83"/>
      <c r="EV33" s="109">
        <v>20.89</v>
      </c>
      <c r="EW33" s="109">
        <f>IFERROR(GroceryList27456148109111213[[#This Row],[QTY]]*GroceryList27456148109111213[[#This Row],[UNIT PRICE]],"")</f>
        <v>0</v>
      </c>
      <c r="EX33" s="112" t="s">
        <v>130</v>
      </c>
      <c r="EY33" s="85">
        <v>22.99</v>
      </c>
      <c r="FB33" s="84" t="s">
        <v>130</v>
      </c>
      <c r="FC33" s="105" t="s">
        <v>107</v>
      </c>
      <c r="FD33" s="85" t="s">
        <v>134</v>
      </c>
      <c r="FE33" s="85" t="s">
        <v>91</v>
      </c>
      <c r="FF33" s="84">
        <v>1</v>
      </c>
      <c r="FG33" s="83"/>
      <c r="FH33" s="109">
        <v>18.27</v>
      </c>
      <c r="FI33" s="109">
        <f>IFERROR(GroceryList2745614810911121315[[#This Row],[QTY]]*GroceryList2745614810911121315[[#This Row],[UNIT PRICE]],"")</f>
        <v>18.27</v>
      </c>
      <c r="FJ33" s="112" t="s">
        <v>130</v>
      </c>
      <c r="FK33" s="85">
        <v>21.49</v>
      </c>
      <c r="FN33" s="84" t="s">
        <v>130</v>
      </c>
      <c r="FO33" s="105" t="s">
        <v>107</v>
      </c>
      <c r="FP33" s="85" t="s">
        <v>134</v>
      </c>
      <c r="FQ33" s="85" t="s">
        <v>91</v>
      </c>
      <c r="FR33" s="84">
        <v>0</v>
      </c>
      <c r="FS33" s="83"/>
      <c r="FT33" s="109">
        <v>20.89</v>
      </c>
      <c r="FU33" s="109">
        <f>IFERROR(GroceryList274561481091112131516[[#This Row],[QTY]]*GroceryList274561481091112131516[[#This Row],[UNIT PRICE]],"")</f>
        <v>0</v>
      </c>
      <c r="FV33" s="112" t="s">
        <v>130</v>
      </c>
      <c r="FW33" s="85">
        <v>22.99</v>
      </c>
      <c r="FZ33" s="84" t="s">
        <v>130</v>
      </c>
      <c r="GA33" s="105" t="s">
        <v>107</v>
      </c>
      <c r="GB33" s="85" t="s">
        <v>134</v>
      </c>
      <c r="GC33" s="85" t="s">
        <v>91</v>
      </c>
      <c r="GD33" s="84">
        <v>1</v>
      </c>
      <c r="GE33" s="83"/>
      <c r="GF33" s="109">
        <v>20.49</v>
      </c>
      <c r="GG33" s="109">
        <f>IFERROR(GroceryList274561481091112131517[[#This Row],[QTY]]*GroceryList274561481091112131517[[#This Row],[UNIT PRICE]],"")</f>
        <v>20.49</v>
      </c>
      <c r="GH33" s="112" t="s">
        <v>130</v>
      </c>
      <c r="GI33" s="85">
        <v>21.49</v>
      </c>
      <c r="GL33" s="84" t="s">
        <v>130</v>
      </c>
      <c r="GM33" s="105" t="s">
        <v>107</v>
      </c>
      <c r="GN33" s="85" t="s">
        <v>134</v>
      </c>
      <c r="GO33" s="85" t="s">
        <v>91</v>
      </c>
      <c r="GP33" s="84">
        <v>1</v>
      </c>
      <c r="GQ33" s="83"/>
      <c r="GR33" s="109">
        <v>20.49</v>
      </c>
      <c r="GS33" s="109">
        <f>IFERROR(GroceryList27456148109111213151718[[#This Row],[QTY]]*GroceryList27456148109111213151718[[#This Row],[UNIT PRICE]],"")</f>
        <v>20.49</v>
      </c>
      <c r="GT33" s="112" t="s">
        <v>130</v>
      </c>
      <c r="GU33" s="85">
        <v>21.49</v>
      </c>
    </row>
    <row r="34" spans="2:203" ht="30" customHeight="1" x14ac:dyDescent="0.2">
      <c r="B34" s="84"/>
      <c r="C34" s="99" t="s">
        <v>108</v>
      </c>
      <c r="D34" s="85"/>
      <c r="E34" s="85"/>
      <c r="F34" s="84"/>
      <c r="G34" s="83"/>
      <c r="H34" s="90"/>
      <c r="I34" s="90">
        <f>IFERROR(GroceryList[[#This Row],[QTY]]*GroceryList[[#This Row],[UNIT PRICE]],"")</f>
        <v>0</v>
      </c>
      <c r="J34" s="85"/>
      <c r="M34" s="84"/>
      <c r="N34" s="99" t="s">
        <v>108</v>
      </c>
      <c r="O34" s="85"/>
      <c r="P34" s="85"/>
      <c r="Q34" s="84"/>
      <c r="R34" s="83"/>
      <c r="S34" s="90"/>
      <c r="T34" s="90">
        <f>IFERROR(GroceryList2[[#This Row],[QTY]]*GroceryList2[[#This Row],[UNIT PRICE]],"")</f>
        <v>0</v>
      </c>
      <c r="U34" s="85"/>
      <c r="Y34" s="84"/>
      <c r="Z34" s="99" t="s">
        <v>108</v>
      </c>
      <c r="AA34" s="85"/>
      <c r="AB34" s="85"/>
      <c r="AC34" s="84"/>
      <c r="AD34" s="83"/>
      <c r="AE34" s="90"/>
      <c r="AF34" s="90">
        <f>IFERROR(GroceryList27[[#This Row],[QTY]]*GroceryList27[[#This Row],[UNIT PRICE]],"")</f>
        <v>0</v>
      </c>
      <c r="AG34" s="85"/>
      <c r="AM34" s="84"/>
      <c r="AN34" s="105" t="s">
        <v>108</v>
      </c>
      <c r="AO34" s="85"/>
      <c r="AP34" s="85"/>
      <c r="AQ34" s="84"/>
      <c r="AR34" s="83"/>
      <c r="AS34" s="109"/>
      <c r="AT34" s="109">
        <f>IFERROR(GroceryList274[[#This Row],[QTY]]*GroceryList274[[#This Row],[UNIT PRICE]],"")</f>
        <v>0</v>
      </c>
      <c r="AU34" s="85"/>
      <c r="AY34" s="84" t="s">
        <v>130</v>
      </c>
      <c r="AZ34" s="107" t="s">
        <v>142</v>
      </c>
      <c r="BA34" s="108" t="s">
        <v>134</v>
      </c>
      <c r="BB34" s="108" t="s">
        <v>91</v>
      </c>
      <c r="BC34" s="84">
        <v>0</v>
      </c>
      <c r="BD34" s="83"/>
      <c r="BE34" s="109">
        <v>16.14</v>
      </c>
      <c r="BF34" s="109">
        <f>IFERROR(GroceryList2745[[#This Row],[QTY]]*GroceryList2745[[#This Row],[UNIT PRICE]],"")</f>
        <v>0</v>
      </c>
      <c r="BG34"/>
      <c r="BJ34" s="84" t="s">
        <v>130</v>
      </c>
      <c r="BK34" s="107" t="s">
        <v>142</v>
      </c>
      <c r="BL34" s="108" t="s">
        <v>134</v>
      </c>
      <c r="BM34" s="108" t="s">
        <v>91</v>
      </c>
      <c r="BN34" s="84">
        <v>1</v>
      </c>
      <c r="BO34" s="83"/>
      <c r="BP34" s="109">
        <v>45</v>
      </c>
      <c r="BQ34" s="109">
        <f>IFERROR(GroceryList27456[[#This Row],[QTY]]*GroceryList27456[[#This Row],[UNIT PRICE]],"")</f>
        <v>45</v>
      </c>
      <c r="BR34" s="111" t="s">
        <v>130</v>
      </c>
      <c r="BS34"/>
      <c r="BV34" s="84" t="s">
        <v>130</v>
      </c>
      <c r="BW34" s="107" t="s">
        <v>142</v>
      </c>
      <c r="BX34" s="108" t="s">
        <v>134</v>
      </c>
      <c r="BY34" s="108" t="s">
        <v>91</v>
      </c>
      <c r="BZ34" s="84">
        <v>0</v>
      </c>
      <c r="CA34" s="83"/>
      <c r="CB34" s="109">
        <v>45</v>
      </c>
      <c r="CC34" s="109">
        <f>IFERROR(GroceryList2745614[[#This Row],[QTY]]*GroceryList2745614[[#This Row],[UNIT PRICE]],"")</f>
        <v>0</v>
      </c>
      <c r="CD34" s="111" t="s">
        <v>130</v>
      </c>
      <c r="CE34"/>
      <c r="CH34" s="84" t="s">
        <v>130</v>
      </c>
      <c r="CI34" s="107" t="s">
        <v>142</v>
      </c>
      <c r="CJ34" s="108" t="s">
        <v>134</v>
      </c>
      <c r="CK34" s="108" t="s">
        <v>91</v>
      </c>
      <c r="CL34" s="84">
        <v>1</v>
      </c>
      <c r="CM34" s="83"/>
      <c r="CN34" s="109">
        <v>34.39</v>
      </c>
      <c r="CO34" s="109">
        <f>IFERROR(GroceryList27456148[[#This Row],[QTY]]*GroceryList27456148[[#This Row],[UNIT PRICE]],"")</f>
        <v>34.39</v>
      </c>
      <c r="CP34" s="111" t="s">
        <v>130</v>
      </c>
      <c r="CQ34">
        <v>42.99</v>
      </c>
      <c r="CT34" s="84" t="s">
        <v>130</v>
      </c>
      <c r="CU34" s="107" t="s">
        <v>142</v>
      </c>
      <c r="CV34" s="108" t="s">
        <v>134</v>
      </c>
      <c r="CW34" s="108" t="s">
        <v>91</v>
      </c>
      <c r="CX34" s="84">
        <v>0</v>
      </c>
      <c r="CY34" s="83"/>
      <c r="CZ34" s="109">
        <v>34.39</v>
      </c>
      <c r="DA34" s="109">
        <f>IFERROR(GroceryList2745614810[[#This Row],[QTY]]*GroceryList2745614810[[#This Row],[UNIT PRICE]],"")</f>
        <v>0</v>
      </c>
      <c r="DB34" s="111" t="s">
        <v>130</v>
      </c>
      <c r="DC34">
        <v>42.99</v>
      </c>
      <c r="DF34" s="84" t="s">
        <v>130</v>
      </c>
      <c r="DG34" s="107" t="s">
        <v>142</v>
      </c>
      <c r="DH34" s="108" t="s">
        <v>134</v>
      </c>
      <c r="DI34" s="108" t="s">
        <v>91</v>
      </c>
      <c r="DJ34" s="84">
        <v>0</v>
      </c>
      <c r="DK34" s="83"/>
      <c r="DL34" s="109">
        <v>34.39</v>
      </c>
      <c r="DM34" s="109">
        <f>IFERROR(GroceryList27456148109[[#This Row],[QTY]]*GroceryList27456148109[[#This Row],[UNIT PRICE]],"")</f>
        <v>0</v>
      </c>
      <c r="DN34" s="111" t="s">
        <v>130</v>
      </c>
      <c r="DO34">
        <v>42.99</v>
      </c>
      <c r="DR34" s="84" t="s">
        <v>130</v>
      </c>
      <c r="DS34" s="107" t="s">
        <v>142</v>
      </c>
      <c r="DT34" s="108" t="s">
        <v>134</v>
      </c>
      <c r="DU34" s="108" t="s">
        <v>91</v>
      </c>
      <c r="DV34" s="84">
        <v>0</v>
      </c>
      <c r="DW34" s="83"/>
      <c r="DX34" s="109">
        <v>34.39</v>
      </c>
      <c r="DY34" s="109">
        <f>IFERROR(GroceryList2745614810911[[#This Row],[QTY]]*GroceryList2745614810911[[#This Row],[UNIT PRICE]],"")</f>
        <v>0</v>
      </c>
      <c r="DZ34" s="111" t="s">
        <v>130</v>
      </c>
      <c r="EA34">
        <v>42.99</v>
      </c>
      <c r="ED34" s="84" t="s">
        <v>130</v>
      </c>
      <c r="EE34" s="107" t="s">
        <v>142</v>
      </c>
      <c r="EF34" s="108" t="s">
        <v>134</v>
      </c>
      <c r="EG34" s="108" t="s">
        <v>91</v>
      </c>
      <c r="EH34" s="84">
        <v>1</v>
      </c>
      <c r="EI34" s="83"/>
      <c r="EJ34" s="109">
        <v>34.93</v>
      </c>
      <c r="EK34" s="109">
        <f>IFERROR(GroceryList274561481091112[[#This Row],[QTY]]*GroceryList274561481091112[[#This Row],[UNIT PRICE]],"")</f>
        <v>34.93</v>
      </c>
      <c r="EL34" s="111" t="s">
        <v>130</v>
      </c>
      <c r="EM34">
        <v>40</v>
      </c>
      <c r="EP34" s="84" t="s">
        <v>130</v>
      </c>
      <c r="EQ34" s="107" t="s">
        <v>142</v>
      </c>
      <c r="ER34" s="108" t="s">
        <v>134</v>
      </c>
      <c r="ES34" s="108" t="s">
        <v>91</v>
      </c>
      <c r="ET34" s="84">
        <v>0</v>
      </c>
      <c r="EU34" s="83"/>
      <c r="EV34" s="109">
        <v>34.93</v>
      </c>
      <c r="EW34" s="109">
        <f>IFERROR(GroceryList27456148109111213[[#This Row],[QTY]]*GroceryList27456148109111213[[#This Row],[UNIT PRICE]],"")</f>
        <v>0</v>
      </c>
      <c r="EX34" s="111" t="s">
        <v>130</v>
      </c>
      <c r="EY34">
        <v>40</v>
      </c>
      <c r="FB34" s="84" t="s">
        <v>130</v>
      </c>
      <c r="FC34" s="107" t="s">
        <v>142</v>
      </c>
      <c r="FD34" s="108" t="s">
        <v>134</v>
      </c>
      <c r="FE34" s="108" t="s">
        <v>91</v>
      </c>
      <c r="FF34" s="84">
        <v>0</v>
      </c>
      <c r="FG34" s="83"/>
      <c r="FH34" s="109">
        <v>34.93</v>
      </c>
      <c r="FI34" s="109">
        <f>IFERROR(GroceryList2745614810911121315[[#This Row],[QTY]]*GroceryList2745614810911121315[[#This Row],[UNIT PRICE]],"")</f>
        <v>0</v>
      </c>
      <c r="FJ34" s="111" t="s">
        <v>130</v>
      </c>
      <c r="FK34">
        <v>40</v>
      </c>
      <c r="FN34" s="84" t="s">
        <v>130</v>
      </c>
      <c r="FO34" s="107" t="s">
        <v>142</v>
      </c>
      <c r="FP34" s="108" t="s">
        <v>134</v>
      </c>
      <c r="FQ34" s="108" t="s">
        <v>91</v>
      </c>
      <c r="FR34" s="84">
        <v>0</v>
      </c>
      <c r="FS34" s="83"/>
      <c r="FT34" s="109">
        <v>34.93</v>
      </c>
      <c r="FU34" s="109">
        <f>IFERROR(GroceryList274561481091112131516[[#This Row],[QTY]]*GroceryList274561481091112131516[[#This Row],[UNIT PRICE]],"")</f>
        <v>0</v>
      </c>
      <c r="FV34" s="111" t="s">
        <v>130</v>
      </c>
      <c r="FW34">
        <v>40</v>
      </c>
      <c r="FZ34" s="84" t="s">
        <v>130</v>
      </c>
      <c r="GA34" s="107" t="s">
        <v>142</v>
      </c>
      <c r="GB34" s="108" t="s">
        <v>134</v>
      </c>
      <c r="GC34" s="108" t="s">
        <v>91</v>
      </c>
      <c r="GD34" s="84">
        <v>1</v>
      </c>
      <c r="GE34" s="83"/>
      <c r="GF34" s="109">
        <v>31.49</v>
      </c>
      <c r="GG34" s="109">
        <f>IFERROR(GroceryList274561481091112131517[[#This Row],[QTY]]*GroceryList274561481091112131517[[#This Row],[UNIT PRICE]],"")</f>
        <v>31.49</v>
      </c>
      <c r="GH34" s="111" t="s">
        <v>130</v>
      </c>
      <c r="GI34">
        <v>40</v>
      </c>
      <c r="GL34" s="84" t="s">
        <v>130</v>
      </c>
      <c r="GM34" s="107" t="s">
        <v>142</v>
      </c>
      <c r="GN34" s="108" t="s">
        <v>134</v>
      </c>
      <c r="GO34" s="108" t="s">
        <v>91</v>
      </c>
      <c r="GP34" s="84">
        <v>1</v>
      </c>
      <c r="GQ34" s="83"/>
      <c r="GR34" s="109">
        <v>31.49</v>
      </c>
      <c r="GS34" s="109">
        <f>IFERROR(GroceryList27456148109111213151718[[#This Row],[QTY]]*GroceryList27456148109111213151718[[#This Row],[UNIT PRICE]],"")</f>
        <v>31.49</v>
      </c>
      <c r="GT34" s="111" t="s">
        <v>130</v>
      </c>
      <c r="GU34">
        <v>40</v>
      </c>
    </row>
    <row r="35" spans="2:203" ht="30" customHeight="1" x14ac:dyDescent="0.2">
      <c r="B35" s="84"/>
      <c r="C35" s="99" t="s">
        <v>125</v>
      </c>
      <c r="D35" s="85"/>
      <c r="E35" s="85"/>
      <c r="F35" s="84"/>
      <c r="G35" s="83"/>
      <c r="H35" s="90"/>
      <c r="I35" s="90">
        <f>IFERROR(GroceryList[[#This Row],[QTY]]*GroceryList[[#This Row],[UNIT PRICE]],"")</f>
        <v>0</v>
      </c>
      <c r="J35" s="85"/>
      <c r="M35" s="84"/>
      <c r="N35" s="99" t="s">
        <v>125</v>
      </c>
      <c r="O35" s="85"/>
      <c r="P35" s="85"/>
      <c r="Q35" s="84"/>
      <c r="R35" s="83"/>
      <c r="S35" s="90"/>
      <c r="T35" s="90">
        <f>IFERROR(GroceryList2[[#This Row],[QTY]]*GroceryList2[[#This Row],[UNIT PRICE]],"")</f>
        <v>0</v>
      </c>
      <c r="U35" s="85"/>
      <c r="Y35" s="84"/>
      <c r="Z35" s="99" t="s">
        <v>125</v>
      </c>
      <c r="AA35" s="85"/>
      <c r="AB35" s="85"/>
      <c r="AC35" s="84"/>
      <c r="AD35" s="83"/>
      <c r="AE35" s="90"/>
      <c r="AF35" s="90">
        <f>IFERROR(GroceryList27[[#This Row],[QTY]]*GroceryList27[[#This Row],[UNIT PRICE]],"")</f>
        <v>0</v>
      </c>
      <c r="AG35" s="85"/>
      <c r="AM35" s="84"/>
      <c r="AN35" s="105" t="s">
        <v>125</v>
      </c>
      <c r="AO35" s="85"/>
      <c r="AP35" s="85"/>
      <c r="AQ35" s="84"/>
      <c r="AR35" s="83"/>
      <c r="AS35" s="109"/>
      <c r="AT35" s="109">
        <f>IFERROR(GroceryList274[[#This Row],[QTY]]*GroceryList274[[#This Row],[UNIT PRICE]],"")</f>
        <v>0</v>
      </c>
      <c r="AU35" s="85"/>
      <c r="AY35" s="84"/>
      <c r="AZ35" s="105" t="s">
        <v>108</v>
      </c>
      <c r="BA35" s="85"/>
      <c r="BB35" s="85"/>
      <c r="BC35" s="84">
        <v>0</v>
      </c>
      <c r="BD35" s="83"/>
      <c r="BE35" s="109"/>
      <c r="BF35" s="109">
        <f>IFERROR(GroceryList2745[[#This Row],[QTY]]*GroceryList2745[[#This Row],[UNIT PRICE]],"")</f>
        <v>0</v>
      </c>
      <c r="BG35" s="85"/>
      <c r="BJ35" s="84"/>
      <c r="BK35" s="105" t="s">
        <v>108</v>
      </c>
      <c r="BL35" s="85"/>
      <c r="BM35" s="85"/>
      <c r="BN35" s="84">
        <v>0</v>
      </c>
      <c r="BO35" s="83"/>
      <c r="BP35" s="109">
        <v>35</v>
      </c>
      <c r="BQ35" s="109">
        <f>IFERROR(GroceryList27456[[#This Row],[QTY]]*GroceryList27456[[#This Row],[UNIT PRICE]],"")</f>
        <v>0</v>
      </c>
      <c r="BR35" s="112" t="s">
        <v>130</v>
      </c>
      <c r="BS35" s="85"/>
      <c r="BV35" s="84"/>
      <c r="BW35" s="105" t="s">
        <v>108</v>
      </c>
      <c r="BX35" s="85"/>
      <c r="BY35" s="85" t="s">
        <v>90</v>
      </c>
      <c r="BZ35" s="84">
        <v>2</v>
      </c>
      <c r="CA35" s="83"/>
      <c r="CB35" s="109">
        <v>35</v>
      </c>
      <c r="CC35" s="109">
        <f>IFERROR(GroceryList2745614[[#This Row],[QTY]]*GroceryList2745614[[#This Row],[UNIT PRICE]],"")</f>
        <v>70</v>
      </c>
      <c r="CD35" s="112" t="s">
        <v>130</v>
      </c>
      <c r="CE35" s="85"/>
      <c r="CH35" s="84"/>
      <c r="CI35" s="105" t="s">
        <v>108</v>
      </c>
      <c r="CJ35" s="85"/>
      <c r="CK35" s="85" t="s">
        <v>90</v>
      </c>
      <c r="CL35" s="84">
        <v>0</v>
      </c>
      <c r="CM35" s="83"/>
      <c r="CN35" s="109">
        <v>35</v>
      </c>
      <c r="CO35" s="109">
        <f>IFERROR(GroceryList27456148[[#This Row],[QTY]]*GroceryList27456148[[#This Row],[UNIT PRICE]],"")</f>
        <v>0</v>
      </c>
      <c r="CP35" s="112" t="s">
        <v>130</v>
      </c>
      <c r="CQ35" s="85"/>
      <c r="CT35" s="84"/>
      <c r="CU35" s="105" t="s">
        <v>108</v>
      </c>
      <c r="CV35" s="85"/>
      <c r="CW35" s="85" t="s">
        <v>90</v>
      </c>
      <c r="CX35" s="84">
        <v>0</v>
      </c>
      <c r="CY35" s="83"/>
      <c r="CZ35" s="109">
        <v>35</v>
      </c>
      <c r="DA35" s="109">
        <f>IFERROR(GroceryList2745614810[[#This Row],[QTY]]*GroceryList2745614810[[#This Row],[UNIT PRICE]],"")</f>
        <v>0</v>
      </c>
      <c r="DB35" s="112" t="s">
        <v>130</v>
      </c>
      <c r="DC35" s="85"/>
      <c r="DF35" s="84"/>
      <c r="DG35" s="105" t="s">
        <v>108</v>
      </c>
      <c r="DH35" s="85"/>
      <c r="DI35" s="85" t="s">
        <v>90</v>
      </c>
      <c r="DJ35" s="84">
        <v>2</v>
      </c>
      <c r="DK35" s="83"/>
      <c r="DL35" s="109">
        <v>35</v>
      </c>
      <c r="DM35" s="109">
        <f>IFERROR(GroceryList27456148109[[#This Row],[QTY]]*GroceryList27456148109[[#This Row],[UNIT PRICE]],"")</f>
        <v>70</v>
      </c>
      <c r="DN35" s="112" t="s">
        <v>130</v>
      </c>
      <c r="DO35" s="85"/>
      <c r="DR35" s="84"/>
      <c r="DS35" s="105" t="s">
        <v>108</v>
      </c>
      <c r="DT35" s="85"/>
      <c r="DU35" s="85" t="s">
        <v>90</v>
      </c>
      <c r="DV35" s="84">
        <v>2</v>
      </c>
      <c r="DW35" s="83"/>
      <c r="DX35" s="109">
        <v>35</v>
      </c>
      <c r="DY35" s="109">
        <f>IFERROR(GroceryList2745614810911[[#This Row],[QTY]]*GroceryList2745614810911[[#This Row],[UNIT PRICE]],"")</f>
        <v>70</v>
      </c>
      <c r="DZ35" s="112" t="s">
        <v>130</v>
      </c>
      <c r="EA35" s="85"/>
      <c r="ED35" s="84"/>
      <c r="EE35" s="105" t="s">
        <v>108</v>
      </c>
      <c r="EF35" s="85"/>
      <c r="EG35" s="85" t="s">
        <v>90</v>
      </c>
      <c r="EH35" s="84">
        <v>1</v>
      </c>
      <c r="EI35" s="83"/>
      <c r="EJ35" s="109">
        <v>35</v>
      </c>
      <c r="EK35" s="109">
        <f>IFERROR(GroceryList274561481091112[[#This Row],[QTY]]*GroceryList274561481091112[[#This Row],[UNIT PRICE]],"")</f>
        <v>35</v>
      </c>
      <c r="EL35" s="112" t="s">
        <v>130</v>
      </c>
      <c r="EM35" s="85"/>
      <c r="EP35" s="84"/>
      <c r="EQ35" s="105" t="s">
        <v>108</v>
      </c>
      <c r="ER35" s="85"/>
      <c r="ES35" s="85" t="s">
        <v>90</v>
      </c>
      <c r="ET35" s="84">
        <v>0</v>
      </c>
      <c r="EU35" s="83"/>
      <c r="EV35" s="109">
        <v>35</v>
      </c>
      <c r="EW35" s="109">
        <f>IFERROR(GroceryList27456148109111213[[#This Row],[QTY]]*GroceryList27456148109111213[[#This Row],[UNIT PRICE]],"")</f>
        <v>0</v>
      </c>
      <c r="EX35" s="112" t="s">
        <v>130</v>
      </c>
      <c r="EY35" s="85"/>
      <c r="FB35" s="84"/>
      <c r="FC35" s="105" t="s">
        <v>108</v>
      </c>
      <c r="FD35" s="85"/>
      <c r="FE35" s="85" t="s">
        <v>90</v>
      </c>
      <c r="FF35" s="84">
        <v>0</v>
      </c>
      <c r="FG35" s="83"/>
      <c r="FH35" s="109">
        <v>35</v>
      </c>
      <c r="FI35" s="109">
        <f>IFERROR(GroceryList2745614810911121315[[#This Row],[QTY]]*GroceryList2745614810911121315[[#This Row],[UNIT PRICE]],"")</f>
        <v>0</v>
      </c>
      <c r="FJ35" s="112" t="s">
        <v>130</v>
      </c>
      <c r="FK35" s="85"/>
      <c r="FN35" s="84"/>
      <c r="FO35" s="105" t="s">
        <v>108</v>
      </c>
      <c r="FP35" s="85"/>
      <c r="FQ35" s="85" t="s">
        <v>90</v>
      </c>
      <c r="FR35" s="84">
        <v>0</v>
      </c>
      <c r="FS35" s="83"/>
      <c r="FT35" s="109">
        <v>35</v>
      </c>
      <c r="FU35" s="109">
        <f>IFERROR(GroceryList274561481091112131516[[#This Row],[QTY]]*GroceryList274561481091112131516[[#This Row],[UNIT PRICE]],"")</f>
        <v>0</v>
      </c>
      <c r="FV35" s="112" t="s">
        <v>130</v>
      </c>
      <c r="FW35" s="85"/>
      <c r="FZ35" s="84"/>
      <c r="GA35" s="105" t="s">
        <v>108</v>
      </c>
      <c r="GB35" s="85"/>
      <c r="GC35" s="85" t="s">
        <v>90</v>
      </c>
      <c r="GD35" s="84">
        <v>2</v>
      </c>
      <c r="GE35" s="83"/>
      <c r="GF35" s="109">
        <v>35</v>
      </c>
      <c r="GG35" s="109">
        <f>IFERROR(GroceryList274561481091112131517[[#This Row],[QTY]]*GroceryList274561481091112131517[[#This Row],[UNIT PRICE]],"")</f>
        <v>70</v>
      </c>
      <c r="GH35" s="112" t="s">
        <v>130</v>
      </c>
      <c r="GI35" s="85"/>
      <c r="GL35" s="84"/>
      <c r="GM35" s="105" t="s">
        <v>108</v>
      </c>
      <c r="GN35" s="85"/>
      <c r="GO35" s="85" t="s">
        <v>90</v>
      </c>
      <c r="GP35" s="84">
        <v>2</v>
      </c>
      <c r="GQ35" s="83"/>
      <c r="GR35" s="109">
        <v>35</v>
      </c>
      <c r="GS35" s="109">
        <f>IFERROR(GroceryList27456148109111213151718[[#This Row],[QTY]]*GroceryList27456148109111213151718[[#This Row],[UNIT PRICE]],"")</f>
        <v>70</v>
      </c>
      <c r="GT35" s="112" t="s">
        <v>130</v>
      </c>
      <c r="GU35" s="85"/>
    </row>
    <row r="36" spans="2:203" ht="30" customHeight="1" x14ac:dyDescent="0.2">
      <c r="B36" s="84"/>
      <c r="C36" s="99" t="s">
        <v>109</v>
      </c>
      <c r="D36" s="85"/>
      <c r="E36" s="85"/>
      <c r="F36" s="84"/>
      <c r="G36" s="83"/>
      <c r="H36" s="90"/>
      <c r="I36" s="90">
        <f>IFERROR(GroceryList[[#This Row],[QTY]]*GroceryList[[#This Row],[UNIT PRICE]],"")</f>
        <v>0</v>
      </c>
      <c r="J36" s="85"/>
      <c r="M36" s="84"/>
      <c r="N36" s="99" t="s">
        <v>109</v>
      </c>
      <c r="O36" s="85"/>
      <c r="P36" s="85"/>
      <c r="Q36" s="84"/>
      <c r="R36" s="83"/>
      <c r="S36" s="90"/>
      <c r="T36" s="90">
        <f>IFERROR(GroceryList2[[#This Row],[QTY]]*GroceryList2[[#This Row],[UNIT PRICE]],"")</f>
        <v>0</v>
      </c>
      <c r="U36" s="85"/>
      <c r="Y36" s="84"/>
      <c r="Z36" s="99" t="s">
        <v>109</v>
      </c>
      <c r="AA36" s="85"/>
      <c r="AB36" s="85"/>
      <c r="AC36" s="84"/>
      <c r="AD36" s="83"/>
      <c r="AE36" s="90"/>
      <c r="AF36" s="90">
        <f>IFERROR(GroceryList27[[#This Row],[QTY]]*GroceryList27[[#This Row],[UNIT PRICE]],"")</f>
        <v>0</v>
      </c>
      <c r="AG36" s="85"/>
      <c r="AM36" s="84"/>
      <c r="AN36" s="105" t="s">
        <v>109</v>
      </c>
      <c r="AO36" s="85"/>
      <c r="AP36" s="85"/>
      <c r="AQ36" s="84"/>
      <c r="AR36" s="83"/>
      <c r="AS36" s="109"/>
      <c r="AT36" s="109">
        <f>IFERROR(GroceryList274[[#This Row],[QTY]]*GroceryList274[[#This Row],[UNIT PRICE]],"")</f>
        <v>0</v>
      </c>
      <c r="AU36" s="85"/>
      <c r="AY36" s="84"/>
      <c r="AZ36" s="105" t="s">
        <v>125</v>
      </c>
      <c r="BA36" s="85"/>
      <c r="BB36" s="85"/>
      <c r="BC36" s="84">
        <v>0</v>
      </c>
      <c r="BD36" s="83"/>
      <c r="BE36" s="109"/>
      <c r="BF36" s="109">
        <f>IFERROR(GroceryList2745[[#This Row],[QTY]]*GroceryList2745[[#This Row],[UNIT PRICE]],"")</f>
        <v>0</v>
      </c>
      <c r="BG36" s="85"/>
      <c r="BJ36" s="84"/>
      <c r="BK36" s="105" t="s">
        <v>125</v>
      </c>
      <c r="BL36" s="85"/>
      <c r="BM36" s="85"/>
      <c r="BN36" s="84">
        <v>0</v>
      </c>
      <c r="BO36" s="83"/>
      <c r="BP36" s="109">
        <v>32</v>
      </c>
      <c r="BQ36" s="109">
        <f>IFERROR(GroceryList27456[[#This Row],[QTY]]*GroceryList27456[[#This Row],[UNIT PRICE]],"")</f>
        <v>0</v>
      </c>
      <c r="BR36" s="112" t="s">
        <v>130</v>
      </c>
      <c r="BS36" s="85"/>
      <c r="BV36" s="84"/>
      <c r="BW36" s="105" t="s">
        <v>125</v>
      </c>
      <c r="BX36" s="85"/>
      <c r="BY36" s="85" t="s">
        <v>90</v>
      </c>
      <c r="BZ36" s="84">
        <v>2.5</v>
      </c>
      <c r="CA36" s="83"/>
      <c r="CB36" s="109">
        <v>30</v>
      </c>
      <c r="CC36" s="109">
        <f>IFERROR(GroceryList2745614[[#This Row],[QTY]]*GroceryList2745614[[#This Row],[UNIT PRICE]],"")</f>
        <v>75</v>
      </c>
      <c r="CD36" s="112" t="s">
        <v>130</v>
      </c>
      <c r="CE36" s="85"/>
      <c r="CH36" s="84"/>
      <c r="CI36" s="105" t="s">
        <v>125</v>
      </c>
      <c r="CJ36" s="85"/>
      <c r="CK36" s="85" t="s">
        <v>90</v>
      </c>
      <c r="CL36" s="84">
        <v>2</v>
      </c>
      <c r="CM36" s="83"/>
      <c r="CN36" s="109">
        <v>30</v>
      </c>
      <c r="CO36" s="109">
        <f>IFERROR(GroceryList27456148[[#This Row],[QTY]]*GroceryList27456148[[#This Row],[UNIT PRICE]],"")</f>
        <v>60</v>
      </c>
      <c r="CP36" s="112" t="s">
        <v>130</v>
      </c>
      <c r="CQ36" s="85"/>
      <c r="CT36" s="84"/>
      <c r="CU36" s="105" t="s">
        <v>125</v>
      </c>
      <c r="CV36" s="85"/>
      <c r="CW36" s="85" t="s">
        <v>90</v>
      </c>
      <c r="CX36" s="84">
        <v>0</v>
      </c>
      <c r="CY36" s="83"/>
      <c r="CZ36" s="109">
        <v>30</v>
      </c>
      <c r="DA36" s="109">
        <f>IFERROR(GroceryList2745614810[[#This Row],[QTY]]*GroceryList2745614810[[#This Row],[UNIT PRICE]],"")</f>
        <v>0</v>
      </c>
      <c r="DB36" s="112" t="s">
        <v>130</v>
      </c>
      <c r="DC36" s="85"/>
      <c r="DF36" s="84"/>
      <c r="DG36" s="105" t="s">
        <v>125</v>
      </c>
      <c r="DH36" s="85"/>
      <c r="DI36" s="85" t="s">
        <v>90</v>
      </c>
      <c r="DJ36" s="84">
        <v>2</v>
      </c>
      <c r="DK36" s="83"/>
      <c r="DL36" s="109">
        <v>30</v>
      </c>
      <c r="DM36" s="109">
        <f>IFERROR(GroceryList27456148109[[#This Row],[QTY]]*GroceryList27456148109[[#This Row],[UNIT PRICE]],"")</f>
        <v>60</v>
      </c>
      <c r="DN36" s="112" t="s">
        <v>130</v>
      </c>
      <c r="DO36" s="85"/>
      <c r="DR36" s="84"/>
      <c r="DS36" s="105" t="s">
        <v>125</v>
      </c>
      <c r="DT36" s="85"/>
      <c r="DU36" s="85" t="s">
        <v>90</v>
      </c>
      <c r="DV36" s="84">
        <v>2</v>
      </c>
      <c r="DW36" s="83"/>
      <c r="DX36" s="109">
        <v>30</v>
      </c>
      <c r="DY36" s="109">
        <f>IFERROR(GroceryList2745614810911[[#This Row],[QTY]]*GroceryList2745614810911[[#This Row],[UNIT PRICE]],"")</f>
        <v>60</v>
      </c>
      <c r="DZ36" s="112" t="s">
        <v>130</v>
      </c>
      <c r="EA36" s="85"/>
      <c r="ED36" s="84"/>
      <c r="EE36" s="105" t="s">
        <v>125</v>
      </c>
      <c r="EF36" s="85"/>
      <c r="EG36" s="85" t="s">
        <v>90</v>
      </c>
      <c r="EH36" s="84">
        <v>3</v>
      </c>
      <c r="EI36" s="83"/>
      <c r="EJ36" s="109">
        <v>30</v>
      </c>
      <c r="EK36" s="109">
        <f>IFERROR(GroceryList274561481091112[[#This Row],[QTY]]*GroceryList274561481091112[[#This Row],[UNIT PRICE]],"")</f>
        <v>90</v>
      </c>
      <c r="EL36" s="112" t="s">
        <v>130</v>
      </c>
      <c r="EM36" s="85"/>
      <c r="EP36" s="84"/>
      <c r="EQ36" s="105" t="s">
        <v>125</v>
      </c>
      <c r="ER36" s="85"/>
      <c r="ES36" s="85" t="s">
        <v>90</v>
      </c>
      <c r="ET36" s="84">
        <v>0</v>
      </c>
      <c r="EU36" s="83"/>
      <c r="EV36" s="109">
        <v>30</v>
      </c>
      <c r="EW36" s="109">
        <f>IFERROR(GroceryList27456148109111213[[#This Row],[QTY]]*GroceryList27456148109111213[[#This Row],[UNIT PRICE]],"")</f>
        <v>0</v>
      </c>
      <c r="EX36" s="112" t="s">
        <v>130</v>
      </c>
      <c r="EY36" s="85"/>
      <c r="FB36" s="84"/>
      <c r="FC36" s="105" t="s">
        <v>125</v>
      </c>
      <c r="FD36" s="85"/>
      <c r="FE36" s="85" t="s">
        <v>90</v>
      </c>
      <c r="FF36" s="84">
        <v>0</v>
      </c>
      <c r="FG36" s="83"/>
      <c r="FH36" s="109">
        <v>30</v>
      </c>
      <c r="FI36" s="109">
        <f>IFERROR(GroceryList2745614810911121315[[#This Row],[QTY]]*GroceryList2745614810911121315[[#This Row],[UNIT PRICE]],"")</f>
        <v>0</v>
      </c>
      <c r="FJ36" s="112" t="s">
        <v>130</v>
      </c>
      <c r="FK36" s="85"/>
      <c r="FN36" s="84"/>
      <c r="FO36" s="105" t="s">
        <v>125</v>
      </c>
      <c r="FP36" s="85"/>
      <c r="FQ36" s="85" t="s">
        <v>90</v>
      </c>
      <c r="FR36" s="84">
        <v>4</v>
      </c>
      <c r="FS36" s="83"/>
      <c r="FT36" s="109">
        <v>30</v>
      </c>
      <c r="FU36" s="109">
        <f>IFERROR(GroceryList274561481091112131516[[#This Row],[QTY]]*GroceryList274561481091112131516[[#This Row],[UNIT PRICE]],"")</f>
        <v>120</v>
      </c>
      <c r="FV36" s="112" t="s">
        <v>130</v>
      </c>
      <c r="FW36" s="85"/>
      <c r="FZ36" s="84"/>
      <c r="GA36" s="105" t="s">
        <v>125</v>
      </c>
      <c r="GB36" s="85"/>
      <c r="GC36" s="85" t="s">
        <v>90</v>
      </c>
      <c r="GD36" s="84">
        <v>2</v>
      </c>
      <c r="GE36" s="83"/>
      <c r="GF36" s="109">
        <v>30</v>
      </c>
      <c r="GG36" s="109">
        <f>IFERROR(GroceryList274561481091112131517[[#This Row],[QTY]]*GroceryList274561481091112131517[[#This Row],[UNIT PRICE]],"")</f>
        <v>60</v>
      </c>
      <c r="GH36" s="112" t="s">
        <v>130</v>
      </c>
      <c r="GI36" s="85"/>
      <c r="GL36" s="84"/>
      <c r="GM36" s="105" t="s">
        <v>125</v>
      </c>
      <c r="GN36" s="85"/>
      <c r="GO36" s="85" t="s">
        <v>90</v>
      </c>
      <c r="GP36" s="84">
        <v>2</v>
      </c>
      <c r="GQ36" s="83"/>
      <c r="GR36" s="109">
        <v>30</v>
      </c>
      <c r="GS36" s="109">
        <f>IFERROR(GroceryList27456148109111213151718[[#This Row],[QTY]]*GroceryList27456148109111213151718[[#This Row],[UNIT PRICE]],"")</f>
        <v>60</v>
      </c>
      <c r="GT36" s="112" t="s">
        <v>130</v>
      </c>
      <c r="GU36" s="85"/>
    </row>
    <row r="37" spans="2:203" ht="30" customHeight="1" x14ac:dyDescent="0.2">
      <c r="B37" s="87"/>
      <c r="C37" s="99" t="s">
        <v>110</v>
      </c>
      <c r="D37" s="89"/>
      <c r="E37" s="89"/>
      <c r="F37" s="87"/>
      <c r="H37" s="90"/>
      <c r="I37" s="90">
        <f>IFERROR(GroceryList[[#This Row],[QTY]]*GroceryList[[#This Row],[UNIT PRICE]],"")</f>
        <v>0</v>
      </c>
      <c r="J37" s="89"/>
      <c r="M37" s="87"/>
      <c r="N37" s="99" t="s">
        <v>110</v>
      </c>
      <c r="O37" s="89"/>
      <c r="P37" s="89"/>
      <c r="Q37" s="87"/>
      <c r="S37" s="90"/>
      <c r="T37" s="90">
        <f>IFERROR(GroceryList2[[#This Row],[QTY]]*GroceryList2[[#This Row],[UNIT PRICE]],"")</f>
        <v>0</v>
      </c>
      <c r="U37" s="89"/>
      <c r="Y37" s="87"/>
      <c r="Z37" s="99" t="s">
        <v>110</v>
      </c>
      <c r="AA37" s="89"/>
      <c r="AB37" s="89"/>
      <c r="AC37" s="87"/>
      <c r="AE37" s="90"/>
      <c r="AF37" s="90">
        <f>IFERROR(GroceryList27[[#This Row],[QTY]]*GroceryList27[[#This Row],[UNIT PRICE]],"")</f>
        <v>0</v>
      </c>
      <c r="AG37" s="89"/>
      <c r="AM37" s="87"/>
      <c r="AN37" s="105" t="s">
        <v>110</v>
      </c>
      <c r="AO37" s="110"/>
      <c r="AP37" s="110"/>
      <c r="AQ37" s="87"/>
      <c r="AS37" s="109"/>
      <c r="AT37" s="109">
        <f>IFERROR(GroceryList274[[#This Row],[QTY]]*GroceryList274[[#This Row],[UNIT PRICE]],"")</f>
        <v>0</v>
      </c>
      <c r="AU37" s="89"/>
      <c r="AY37" s="84"/>
      <c r="AZ37" s="105" t="s">
        <v>109</v>
      </c>
      <c r="BA37" s="85"/>
      <c r="BB37" s="85"/>
      <c r="BC37" s="84">
        <v>0</v>
      </c>
      <c r="BD37" s="83"/>
      <c r="BE37" s="109"/>
      <c r="BF37" s="109">
        <f>IFERROR(GroceryList2745[[#This Row],[QTY]]*GroceryList2745[[#This Row],[UNIT PRICE]],"")</f>
        <v>0</v>
      </c>
      <c r="BG37" s="85"/>
      <c r="BJ37" s="84"/>
      <c r="BK37" s="105" t="s">
        <v>109</v>
      </c>
      <c r="BL37" s="85"/>
      <c r="BM37" s="85"/>
      <c r="BN37" s="84">
        <v>0</v>
      </c>
      <c r="BO37" s="83"/>
      <c r="BP37" s="109"/>
      <c r="BQ37" s="109">
        <f>IFERROR(GroceryList27456[[#This Row],[QTY]]*GroceryList27456[[#This Row],[UNIT PRICE]],"")</f>
        <v>0</v>
      </c>
      <c r="BR37" s="112" t="s">
        <v>169</v>
      </c>
      <c r="BS37" s="85"/>
      <c r="BV37" s="84"/>
      <c r="BW37" s="105" t="s">
        <v>109</v>
      </c>
      <c r="BX37" s="85"/>
      <c r="BY37" s="85"/>
      <c r="BZ37" s="84">
        <v>0</v>
      </c>
      <c r="CA37" s="83"/>
      <c r="CB37" s="109"/>
      <c r="CC37" s="109">
        <f>IFERROR(GroceryList2745614[[#This Row],[QTY]]*GroceryList2745614[[#This Row],[UNIT PRICE]],"")</f>
        <v>0</v>
      </c>
      <c r="CD37" s="112" t="s">
        <v>169</v>
      </c>
      <c r="CE37" s="85"/>
      <c r="CH37" s="84"/>
      <c r="CI37" s="105" t="s">
        <v>109</v>
      </c>
      <c r="CJ37" s="85"/>
      <c r="CK37" s="85"/>
      <c r="CL37" s="84">
        <v>0</v>
      </c>
      <c r="CM37" s="83"/>
      <c r="CN37" s="109"/>
      <c r="CO37" s="109">
        <f>IFERROR(GroceryList27456148[[#This Row],[QTY]]*GroceryList27456148[[#This Row],[UNIT PRICE]],"")</f>
        <v>0</v>
      </c>
      <c r="CP37" s="112" t="s">
        <v>169</v>
      </c>
      <c r="CQ37" s="85"/>
      <c r="CT37" s="84"/>
      <c r="CU37" s="105" t="s">
        <v>109</v>
      </c>
      <c r="CV37" s="85"/>
      <c r="CW37" s="85"/>
      <c r="CX37" s="84">
        <v>0</v>
      </c>
      <c r="CY37" s="83"/>
      <c r="CZ37" s="109"/>
      <c r="DA37" s="109">
        <f>IFERROR(GroceryList2745614810[[#This Row],[QTY]]*GroceryList2745614810[[#This Row],[UNIT PRICE]],"")</f>
        <v>0</v>
      </c>
      <c r="DB37" s="112" t="s">
        <v>169</v>
      </c>
      <c r="DC37" s="85"/>
      <c r="DF37" s="84"/>
      <c r="DG37" s="105" t="s">
        <v>109</v>
      </c>
      <c r="DH37" s="85"/>
      <c r="DI37" s="85"/>
      <c r="DJ37" s="84">
        <v>0</v>
      </c>
      <c r="DK37" s="83"/>
      <c r="DL37" s="109"/>
      <c r="DM37" s="109">
        <f>IFERROR(GroceryList27456148109[[#This Row],[QTY]]*GroceryList27456148109[[#This Row],[UNIT PRICE]],"")</f>
        <v>0</v>
      </c>
      <c r="DN37" s="112" t="s">
        <v>169</v>
      </c>
      <c r="DO37" s="85"/>
      <c r="DR37" s="84"/>
      <c r="DS37" s="105" t="s">
        <v>109</v>
      </c>
      <c r="DT37" s="85"/>
      <c r="DU37" s="85"/>
      <c r="DV37" s="84">
        <v>0</v>
      </c>
      <c r="DW37" s="83"/>
      <c r="DX37" s="109"/>
      <c r="DY37" s="109">
        <f>IFERROR(GroceryList2745614810911[[#This Row],[QTY]]*GroceryList2745614810911[[#This Row],[UNIT PRICE]],"")</f>
        <v>0</v>
      </c>
      <c r="DZ37" s="112" t="s">
        <v>169</v>
      </c>
      <c r="EA37" s="85"/>
      <c r="ED37" s="84"/>
      <c r="EE37" s="105" t="s">
        <v>222</v>
      </c>
      <c r="EF37" s="85" t="s">
        <v>134</v>
      </c>
      <c r="EG37" s="85" t="s">
        <v>92</v>
      </c>
      <c r="EH37" s="84">
        <v>1</v>
      </c>
      <c r="EI37" s="83"/>
      <c r="EJ37" s="109">
        <v>28.02</v>
      </c>
      <c r="EK37" s="109">
        <f>IFERROR(GroceryList274561481091112[[#This Row],[QTY]]*GroceryList274561481091112[[#This Row],[UNIT PRICE]],"")</f>
        <v>28.02</v>
      </c>
      <c r="EL37" s="112" t="s">
        <v>169</v>
      </c>
      <c r="EM37" s="85">
        <v>29.49</v>
      </c>
      <c r="EP37" s="84"/>
      <c r="EQ37" s="105" t="s">
        <v>222</v>
      </c>
      <c r="ER37" s="85" t="s">
        <v>134</v>
      </c>
      <c r="ES37" s="85" t="s">
        <v>92</v>
      </c>
      <c r="ET37" s="84">
        <v>0</v>
      </c>
      <c r="EU37" s="83"/>
      <c r="EV37" s="109">
        <v>28.02</v>
      </c>
      <c r="EW37" s="109">
        <f>IFERROR(GroceryList27456148109111213[[#This Row],[QTY]]*GroceryList27456148109111213[[#This Row],[UNIT PRICE]],"")</f>
        <v>0</v>
      </c>
      <c r="EX37" s="112" t="s">
        <v>169</v>
      </c>
      <c r="EY37" s="85">
        <v>29.49</v>
      </c>
      <c r="FB37" s="84"/>
      <c r="FC37" s="105" t="s">
        <v>222</v>
      </c>
      <c r="FD37" s="85" t="s">
        <v>134</v>
      </c>
      <c r="FE37" s="85" t="s">
        <v>92</v>
      </c>
      <c r="FF37" s="84">
        <v>0</v>
      </c>
      <c r="FG37" s="83"/>
      <c r="FH37" s="109">
        <v>28.02</v>
      </c>
      <c r="FI37" s="109">
        <f>IFERROR(GroceryList2745614810911121315[[#This Row],[QTY]]*GroceryList2745614810911121315[[#This Row],[UNIT PRICE]],"")</f>
        <v>0</v>
      </c>
      <c r="FJ37" s="112" t="s">
        <v>169</v>
      </c>
      <c r="FK37" s="85">
        <v>29.49</v>
      </c>
      <c r="FN37" s="84"/>
      <c r="FO37" s="105" t="s">
        <v>222</v>
      </c>
      <c r="FP37" s="85" t="s">
        <v>134</v>
      </c>
      <c r="FQ37" s="85" t="s">
        <v>92</v>
      </c>
      <c r="FR37" s="84">
        <v>0</v>
      </c>
      <c r="FS37" s="83"/>
      <c r="FT37" s="109">
        <v>28.02</v>
      </c>
      <c r="FU37" s="109">
        <f>IFERROR(GroceryList274561481091112131516[[#This Row],[QTY]]*GroceryList274561481091112131516[[#This Row],[UNIT PRICE]],"")</f>
        <v>0</v>
      </c>
      <c r="FV37" s="112" t="s">
        <v>169</v>
      </c>
      <c r="FW37" s="85">
        <v>29.49</v>
      </c>
      <c r="FZ37" s="84"/>
      <c r="GA37" s="105" t="s">
        <v>222</v>
      </c>
      <c r="GB37" s="85" t="s">
        <v>134</v>
      </c>
      <c r="GC37" s="85" t="s">
        <v>92</v>
      </c>
      <c r="GD37" s="84">
        <v>1</v>
      </c>
      <c r="GE37" s="83"/>
      <c r="GF37" s="109">
        <v>24.49</v>
      </c>
      <c r="GG37" s="109">
        <f>IFERROR(GroceryList274561481091112131517[[#This Row],[QTY]]*GroceryList274561481091112131517[[#This Row],[UNIT PRICE]],"")</f>
        <v>24.49</v>
      </c>
      <c r="GH37" s="112" t="s">
        <v>169</v>
      </c>
      <c r="GI37" s="85">
        <v>29.49</v>
      </c>
      <c r="GL37" s="84"/>
      <c r="GM37" s="105" t="s">
        <v>222</v>
      </c>
      <c r="GN37" s="85" t="s">
        <v>134</v>
      </c>
      <c r="GO37" s="85" t="s">
        <v>92</v>
      </c>
      <c r="GP37" s="84">
        <v>1</v>
      </c>
      <c r="GQ37" s="83"/>
      <c r="GR37" s="109">
        <v>24.49</v>
      </c>
      <c r="GS37" s="109">
        <f>IFERROR(GroceryList27456148109111213151718[[#This Row],[QTY]]*GroceryList27456148109111213151718[[#This Row],[UNIT PRICE]],"")</f>
        <v>24.49</v>
      </c>
      <c r="GT37" s="112" t="s">
        <v>169</v>
      </c>
      <c r="GU37" s="85">
        <v>29.49</v>
      </c>
    </row>
    <row r="38" spans="2:203" ht="30" customHeight="1" x14ac:dyDescent="0.2">
      <c r="B38" s="87"/>
      <c r="C38" s="99" t="s">
        <v>111</v>
      </c>
      <c r="D38" s="89" t="s">
        <v>150</v>
      </c>
      <c r="E38" s="89" t="s">
        <v>92</v>
      </c>
      <c r="F38" s="87">
        <v>1</v>
      </c>
      <c r="H38" s="90">
        <v>45</v>
      </c>
      <c r="I38" s="90">
        <f>IFERROR(GroceryList[[#This Row],[QTY]]*GroceryList[[#This Row],[UNIT PRICE]],"")</f>
        <v>45</v>
      </c>
      <c r="J38" s="89"/>
      <c r="M38" s="87"/>
      <c r="N38" s="99" t="s">
        <v>111</v>
      </c>
      <c r="O38" s="89" t="s">
        <v>150</v>
      </c>
      <c r="P38" s="89" t="s">
        <v>92</v>
      </c>
      <c r="Q38" s="87"/>
      <c r="S38" s="90">
        <v>45</v>
      </c>
      <c r="T38" s="90">
        <f>IFERROR(GroceryList2[[#This Row],[QTY]]*GroceryList2[[#This Row],[UNIT PRICE]],"")</f>
        <v>0</v>
      </c>
      <c r="U38" s="89"/>
      <c r="Y38" s="87" t="s">
        <v>130</v>
      </c>
      <c r="Z38" s="99" t="s">
        <v>111</v>
      </c>
      <c r="AA38" s="89" t="s">
        <v>150</v>
      </c>
      <c r="AB38" s="89" t="s">
        <v>92</v>
      </c>
      <c r="AC38" s="87">
        <v>1</v>
      </c>
      <c r="AE38" s="90">
        <v>45</v>
      </c>
      <c r="AF38" s="90">
        <f>IFERROR(GroceryList27[[#This Row],[QTY]]*GroceryList27[[#This Row],[UNIT PRICE]],"")</f>
        <v>45</v>
      </c>
      <c r="AG38" s="89"/>
      <c r="AM38" s="87" t="s">
        <v>130</v>
      </c>
      <c r="AN38" s="105" t="s">
        <v>111</v>
      </c>
      <c r="AO38" s="110" t="s">
        <v>150</v>
      </c>
      <c r="AP38" s="110" t="s">
        <v>92</v>
      </c>
      <c r="AQ38" s="87">
        <v>1</v>
      </c>
      <c r="AS38" s="109">
        <v>45</v>
      </c>
      <c r="AT38" s="109">
        <f>IFERROR(GroceryList274[[#This Row],[QTY]]*GroceryList274[[#This Row],[UNIT PRICE]],"")</f>
        <v>45</v>
      </c>
      <c r="AU38" s="89"/>
      <c r="AY38" s="87"/>
      <c r="AZ38" s="105" t="s">
        <v>110</v>
      </c>
      <c r="BA38" s="110"/>
      <c r="BB38" s="110"/>
      <c r="BC38" s="84">
        <v>0</v>
      </c>
      <c r="BE38" s="109"/>
      <c r="BF38" s="109">
        <f>IFERROR(GroceryList2745[[#This Row],[QTY]]*GroceryList2745[[#This Row],[UNIT PRICE]],"")</f>
        <v>0</v>
      </c>
      <c r="BG38" s="89"/>
      <c r="BJ38" s="87"/>
      <c r="BK38" s="105" t="s">
        <v>110</v>
      </c>
      <c r="BL38" s="110"/>
      <c r="BM38" s="110"/>
      <c r="BN38" s="84">
        <v>0</v>
      </c>
      <c r="BP38" s="109"/>
      <c r="BQ38" s="109">
        <f>IFERROR(GroceryList27456[[#This Row],[QTY]]*GroceryList27456[[#This Row],[UNIT PRICE]],"")</f>
        <v>0</v>
      </c>
      <c r="BR38" s="105" t="s">
        <v>169</v>
      </c>
      <c r="BS38" s="89"/>
      <c r="BV38" s="87"/>
      <c r="BW38" s="105" t="s">
        <v>110</v>
      </c>
      <c r="BX38" s="110"/>
      <c r="BY38" s="110"/>
      <c r="BZ38" s="84">
        <v>0</v>
      </c>
      <c r="CB38" s="109"/>
      <c r="CC38" s="109">
        <f>IFERROR(GroceryList2745614[[#This Row],[QTY]]*GroceryList2745614[[#This Row],[UNIT PRICE]],"")</f>
        <v>0</v>
      </c>
      <c r="CD38" s="105" t="s">
        <v>169</v>
      </c>
      <c r="CE38" s="89"/>
      <c r="CH38" s="87"/>
      <c r="CI38" s="105" t="s">
        <v>110</v>
      </c>
      <c r="CJ38" s="110"/>
      <c r="CK38" s="110"/>
      <c r="CL38" s="84">
        <v>0</v>
      </c>
      <c r="CN38" s="109"/>
      <c r="CO38" s="109">
        <f>IFERROR(GroceryList27456148[[#This Row],[QTY]]*GroceryList27456148[[#This Row],[UNIT PRICE]],"")</f>
        <v>0</v>
      </c>
      <c r="CP38" s="105" t="s">
        <v>169</v>
      </c>
      <c r="CQ38" s="89"/>
      <c r="CT38" s="87"/>
      <c r="CU38" s="105" t="s">
        <v>172</v>
      </c>
      <c r="CV38" s="110"/>
      <c r="CW38" s="110"/>
      <c r="CX38" s="84">
        <v>0</v>
      </c>
      <c r="CZ38" s="109"/>
      <c r="DA38" s="109">
        <f>IFERROR(GroceryList2745614810[[#This Row],[QTY]]*GroceryList2745614810[[#This Row],[UNIT PRICE]],"")</f>
        <v>0</v>
      </c>
      <c r="DB38" s="105" t="s">
        <v>169</v>
      </c>
      <c r="DC38" s="89"/>
      <c r="DF38" s="87"/>
      <c r="DG38" s="105" t="s">
        <v>110</v>
      </c>
      <c r="DH38" s="110"/>
      <c r="DI38" s="110"/>
      <c r="DJ38" s="84">
        <v>0</v>
      </c>
      <c r="DL38" s="109"/>
      <c r="DM38" s="109">
        <f>IFERROR(GroceryList27456148109[[#This Row],[QTY]]*GroceryList27456148109[[#This Row],[UNIT PRICE]],"")</f>
        <v>0</v>
      </c>
      <c r="DN38" s="105" t="s">
        <v>169</v>
      </c>
      <c r="DO38" s="89"/>
      <c r="DR38" s="87"/>
      <c r="DS38" s="105" t="s">
        <v>110</v>
      </c>
      <c r="DT38" s="110"/>
      <c r="DU38" s="110"/>
      <c r="DV38" s="84">
        <v>0</v>
      </c>
      <c r="DX38" s="109"/>
      <c r="DY38" s="109">
        <f>IFERROR(GroceryList2745614810911[[#This Row],[QTY]]*GroceryList2745614810911[[#This Row],[UNIT PRICE]],"")</f>
        <v>0</v>
      </c>
      <c r="DZ38" s="105" t="s">
        <v>169</v>
      </c>
      <c r="EA38" s="89"/>
      <c r="ED38" s="87"/>
      <c r="EE38" s="105" t="s">
        <v>172</v>
      </c>
      <c r="EF38" s="110" t="s">
        <v>134</v>
      </c>
      <c r="EG38" s="110" t="s">
        <v>92</v>
      </c>
      <c r="EH38" s="84">
        <v>5</v>
      </c>
      <c r="EJ38" s="109">
        <v>9.016</v>
      </c>
      <c r="EK38" s="109">
        <f>IFERROR(GroceryList274561481091112[[#This Row],[QTY]]*GroceryList274561481091112[[#This Row],[UNIT PRICE]],"")</f>
        <v>45.08</v>
      </c>
      <c r="EL38" s="105" t="s">
        <v>169</v>
      </c>
      <c r="EM38" s="89">
        <v>9.5</v>
      </c>
      <c r="EP38" s="87"/>
      <c r="EQ38" s="105" t="s">
        <v>172</v>
      </c>
      <c r="ER38" s="110" t="s">
        <v>134</v>
      </c>
      <c r="ES38" s="110" t="s">
        <v>92</v>
      </c>
      <c r="ET38" s="84">
        <v>0</v>
      </c>
      <c r="EV38" s="109">
        <v>9.016</v>
      </c>
      <c r="EW38" s="109">
        <f>IFERROR(GroceryList27456148109111213[[#This Row],[QTY]]*GroceryList27456148109111213[[#This Row],[UNIT PRICE]],"")</f>
        <v>0</v>
      </c>
      <c r="EX38" s="105" t="s">
        <v>169</v>
      </c>
      <c r="EY38" s="89">
        <v>9.5</v>
      </c>
      <c r="FB38" s="87"/>
      <c r="FC38" s="105" t="s">
        <v>172</v>
      </c>
      <c r="FD38" s="110" t="s">
        <v>134</v>
      </c>
      <c r="FE38" s="110" t="s">
        <v>92</v>
      </c>
      <c r="FF38" s="84">
        <v>6</v>
      </c>
      <c r="FH38" s="109">
        <v>9.7667000000000002</v>
      </c>
      <c r="FI38" s="109">
        <f>IFERROR(GroceryList2745614810911121315[[#This Row],[QTY]]*GroceryList2745614810911121315[[#This Row],[UNIT PRICE]],"")</f>
        <v>58.600200000000001</v>
      </c>
      <c r="FJ38" s="105" t="s">
        <v>169</v>
      </c>
      <c r="FK38" s="89">
        <v>11.49</v>
      </c>
      <c r="FN38" s="87"/>
      <c r="FO38" s="105" t="s">
        <v>172</v>
      </c>
      <c r="FP38" s="110" t="s">
        <v>134</v>
      </c>
      <c r="FQ38" s="110" t="s">
        <v>92</v>
      </c>
      <c r="FR38" s="84">
        <v>0</v>
      </c>
      <c r="FT38" s="109">
        <v>9.016</v>
      </c>
      <c r="FU38" s="109">
        <f>IFERROR(GroceryList274561481091112131516[[#This Row],[QTY]]*GroceryList274561481091112131516[[#This Row],[UNIT PRICE]],"")</f>
        <v>0</v>
      </c>
      <c r="FV38" s="105" t="s">
        <v>169</v>
      </c>
      <c r="FW38" s="89">
        <v>9.5</v>
      </c>
      <c r="FZ38" s="87"/>
      <c r="GA38" s="105" t="s">
        <v>172</v>
      </c>
      <c r="GB38" s="110" t="s">
        <v>134</v>
      </c>
      <c r="GC38" s="110" t="s">
        <v>92</v>
      </c>
      <c r="GD38" s="84">
        <v>6</v>
      </c>
      <c r="GF38" s="109">
        <v>7.99</v>
      </c>
      <c r="GG38" s="109">
        <f>IFERROR(GroceryList274561481091112131517[[#This Row],[QTY]]*GroceryList274561481091112131517[[#This Row],[UNIT PRICE]],"")</f>
        <v>47.94</v>
      </c>
      <c r="GH38" s="105" t="s">
        <v>169</v>
      </c>
      <c r="GI38" s="89">
        <v>11.49</v>
      </c>
      <c r="GL38" s="87"/>
      <c r="GM38" s="105" t="s">
        <v>172</v>
      </c>
      <c r="GN38" s="110" t="s">
        <v>134</v>
      </c>
      <c r="GO38" s="110" t="s">
        <v>92</v>
      </c>
      <c r="GP38" s="84">
        <v>10</v>
      </c>
      <c r="GR38" s="109">
        <v>7.99</v>
      </c>
      <c r="GS38" s="109">
        <f>IFERROR(GroceryList27456148109111213151718[[#This Row],[QTY]]*GroceryList27456148109111213151718[[#This Row],[UNIT PRICE]],"")</f>
        <v>79.900000000000006</v>
      </c>
      <c r="GT38" s="105" t="s">
        <v>169</v>
      </c>
      <c r="GU38" s="89">
        <v>11.49</v>
      </c>
    </row>
    <row r="39" spans="2:203" ht="30" hidden="1" customHeight="1" x14ac:dyDescent="0.2">
      <c r="B39" s="87"/>
      <c r="C39" s="99" t="s">
        <v>124</v>
      </c>
      <c r="D39" s="89" t="s">
        <v>134</v>
      </c>
      <c r="E39" s="89" t="s">
        <v>89</v>
      </c>
      <c r="F39" s="87">
        <v>1</v>
      </c>
      <c r="H39" s="90">
        <v>27</v>
      </c>
      <c r="I39" s="90">
        <f>IFERROR(GroceryList[[#This Row],[QTY]]*GroceryList[[#This Row],[UNIT PRICE]],"")</f>
        <v>27</v>
      </c>
      <c r="J39" s="89"/>
      <c r="M39" s="87"/>
      <c r="N39" s="99" t="s">
        <v>124</v>
      </c>
      <c r="O39" s="89" t="s">
        <v>134</v>
      </c>
      <c r="P39" s="89" t="s">
        <v>89</v>
      </c>
      <c r="Q39" s="87"/>
      <c r="S39" s="90">
        <v>27</v>
      </c>
      <c r="T39" s="90">
        <f>IFERROR(GroceryList2[[#This Row],[QTY]]*GroceryList2[[#This Row],[UNIT PRICE]],"")</f>
        <v>0</v>
      </c>
      <c r="U39" s="89"/>
      <c r="Y39" s="87"/>
      <c r="Z39" s="99" t="s">
        <v>124</v>
      </c>
      <c r="AA39" s="89" t="s">
        <v>134</v>
      </c>
      <c r="AB39" s="89" t="s">
        <v>89</v>
      </c>
      <c r="AC39" s="87"/>
      <c r="AE39" s="90">
        <v>27</v>
      </c>
      <c r="AF39" s="90">
        <f>IFERROR(GroceryList27[[#This Row],[QTY]]*GroceryList27[[#This Row],[UNIT PRICE]],"")</f>
        <v>0</v>
      </c>
      <c r="AG39" s="89"/>
      <c r="AM39" s="87"/>
      <c r="AN39" s="105" t="s">
        <v>124</v>
      </c>
      <c r="AO39" s="110" t="s">
        <v>134</v>
      </c>
      <c r="AP39" s="110" t="s">
        <v>89</v>
      </c>
      <c r="AQ39" s="87"/>
      <c r="AS39" s="109">
        <v>27</v>
      </c>
      <c r="AT39" s="109">
        <f>IFERROR(GroceryList274[[#This Row],[QTY]]*GroceryList274[[#This Row],[UNIT PRICE]],"")</f>
        <v>0</v>
      </c>
      <c r="AU39" s="89"/>
      <c r="AY39" s="87" t="s">
        <v>130</v>
      </c>
      <c r="AZ39" s="105" t="s">
        <v>117</v>
      </c>
      <c r="BA39" s="110"/>
      <c r="BB39" s="110" t="s">
        <v>92</v>
      </c>
      <c r="BC39" s="84">
        <v>1</v>
      </c>
      <c r="BE39" s="109">
        <v>45.99</v>
      </c>
      <c r="BF39" s="109">
        <f>IFERROR(GroceryList2745[[#This Row],[QTY]]*GroceryList2745[[#This Row],[UNIT PRICE]],"")</f>
        <v>45.99</v>
      </c>
      <c r="BG39" s="89"/>
      <c r="BJ39" s="87" t="s">
        <v>130</v>
      </c>
      <c r="BK39" s="105" t="s">
        <v>117</v>
      </c>
      <c r="BL39" s="110"/>
      <c r="BM39" s="110" t="s">
        <v>92</v>
      </c>
      <c r="BN39" s="84">
        <v>0</v>
      </c>
      <c r="BP39" s="109">
        <v>45.99</v>
      </c>
      <c r="BQ39" s="109">
        <f>IFERROR(GroceryList27456[[#This Row],[QTY]]*GroceryList27456[[#This Row],[UNIT PRICE]],"")</f>
        <v>0</v>
      </c>
      <c r="BR39" s="105" t="s">
        <v>169</v>
      </c>
      <c r="BS39" s="89"/>
      <c r="BV39" s="87" t="s">
        <v>130</v>
      </c>
      <c r="BW39" s="105" t="s">
        <v>117</v>
      </c>
      <c r="BX39" s="110"/>
      <c r="BY39" s="110" t="s">
        <v>92</v>
      </c>
      <c r="BZ39" s="84">
        <v>0</v>
      </c>
      <c r="CB39" s="109">
        <v>45.99</v>
      </c>
      <c r="CC39" s="109">
        <f>IFERROR(GroceryList2745614[[#This Row],[QTY]]*GroceryList2745614[[#This Row],[UNIT PRICE]],"")</f>
        <v>0</v>
      </c>
      <c r="CD39" s="105" t="s">
        <v>169</v>
      </c>
      <c r="CE39" s="89"/>
      <c r="CH39" s="87" t="s">
        <v>130</v>
      </c>
      <c r="CI39" s="105" t="s">
        <v>117</v>
      </c>
      <c r="CJ39" s="110"/>
      <c r="CK39" s="110" t="s">
        <v>92</v>
      </c>
      <c r="CL39" s="84">
        <v>1</v>
      </c>
      <c r="CN39" s="109">
        <v>53.59</v>
      </c>
      <c r="CO39" s="109">
        <f>IFERROR(GroceryList27456148[[#This Row],[QTY]]*GroceryList27456148[[#This Row],[UNIT PRICE]],"")</f>
        <v>53.59</v>
      </c>
      <c r="CP39" s="105" t="s">
        <v>130</v>
      </c>
      <c r="CQ39" s="89">
        <v>66.989999999999995</v>
      </c>
      <c r="CT39" s="87" t="s">
        <v>130</v>
      </c>
      <c r="CU39" s="105" t="s">
        <v>117</v>
      </c>
      <c r="CV39" s="110"/>
      <c r="CW39" s="110" t="s">
        <v>92</v>
      </c>
      <c r="CX39" s="84">
        <v>0</v>
      </c>
      <c r="CZ39" s="109">
        <v>53.59</v>
      </c>
      <c r="DA39" s="109">
        <f>IFERROR(GroceryList2745614810[[#This Row],[QTY]]*GroceryList2745614810[[#This Row],[UNIT PRICE]],"")</f>
        <v>0</v>
      </c>
      <c r="DB39" s="105" t="s">
        <v>130</v>
      </c>
      <c r="DC39" s="89">
        <v>66.989999999999995</v>
      </c>
      <c r="DF39" s="87" t="s">
        <v>130</v>
      </c>
      <c r="DG39" s="105" t="s">
        <v>117</v>
      </c>
      <c r="DH39" s="110"/>
      <c r="DI39" s="110" t="s">
        <v>92</v>
      </c>
      <c r="DJ39" s="84">
        <v>0</v>
      </c>
      <c r="DL39" s="109">
        <v>53.59</v>
      </c>
      <c r="DM39" s="109">
        <f>IFERROR(GroceryList27456148109[[#This Row],[QTY]]*GroceryList27456148109[[#This Row],[UNIT PRICE]],"")</f>
        <v>0</v>
      </c>
      <c r="DN39" s="105" t="s">
        <v>130</v>
      </c>
      <c r="DO39" s="89">
        <v>66.989999999999995</v>
      </c>
      <c r="DR39" s="87" t="s">
        <v>130</v>
      </c>
      <c r="DS39" s="105" t="s">
        <v>117</v>
      </c>
      <c r="DT39" s="110"/>
      <c r="DU39" s="110" t="s">
        <v>92</v>
      </c>
      <c r="DV39" s="84">
        <v>0</v>
      </c>
      <c r="DX39" s="109">
        <v>53.59</v>
      </c>
      <c r="DY39" s="109">
        <f>IFERROR(GroceryList2745614810911[[#This Row],[QTY]]*GroceryList2745614810911[[#This Row],[UNIT PRICE]],"")</f>
        <v>0</v>
      </c>
      <c r="DZ39" s="105" t="s">
        <v>130</v>
      </c>
      <c r="EA39" s="89">
        <v>66.989999999999995</v>
      </c>
      <c r="ED39" s="87" t="s">
        <v>130</v>
      </c>
      <c r="EE39" s="105" t="s">
        <v>117</v>
      </c>
      <c r="EF39" s="110" t="s">
        <v>134</v>
      </c>
      <c r="EG39" s="110" t="s">
        <v>92</v>
      </c>
      <c r="EH39" s="84">
        <v>1</v>
      </c>
      <c r="EJ39" s="109">
        <v>39.42</v>
      </c>
      <c r="EK39" s="109">
        <f>IFERROR(GroceryList274561481091112[[#This Row],[QTY]]*GroceryList274561481091112[[#This Row],[UNIT PRICE]],"")</f>
        <v>39.42</v>
      </c>
      <c r="EL39" s="105" t="s">
        <v>130</v>
      </c>
      <c r="EM39" s="89">
        <v>41.49</v>
      </c>
      <c r="EP39" s="87" t="s">
        <v>130</v>
      </c>
      <c r="EQ39" s="105" t="s">
        <v>117</v>
      </c>
      <c r="ER39" s="110" t="s">
        <v>134</v>
      </c>
      <c r="ES39" s="110" t="s">
        <v>92</v>
      </c>
      <c r="ET39" s="84">
        <v>0</v>
      </c>
      <c r="EV39" s="109">
        <v>39.42</v>
      </c>
      <c r="EW39" s="109">
        <f>IFERROR(GroceryList27456148109111213[[#This Row],[QTY]]*GroceryList27456148109111213[[#This Row],[UNIT PRICE]],"")</f>
        <v>0</v>
      </c>
      <c r="EX39" s="105" t="s">
        <v>130</v>
      </c>
      <c r="EY39" s="89">
        <v>41.49</v>
      </c>
      <c r="FB39" s="87" t="s">
        <v>130</v>
      </c>
      <c r="FC39" s="105" t="s">
        <v>117</v>
      </c>
      <c r="FD39" s="110" t="s">
        <v>134</v>
      </c>
      <c r="FE39" s="110" t="s">
        <v>92</v>
      </c>
      <c r="FF39" s="84">
        <v>0</v>
      </c>
      <c r="FH39" s="109">
        <v>39.42</v>
      </c>
      <c r="FI39" s="109">
        <f>IFERROR(GroceryList2745614810911121315[[#This Row],[QTY]]*GroceryList2745614810911121315[[#This Row],[UNIT PRICE]],"")</f>
        <v>0</v>
      </c>
      <c r="FJ39" s="105" t="s">
        <v>130</v>
      </c>
      <c r="FK39" s="89">
        <v>41.49</v>
      </c>
      <c r="FN39" s="87" t="s">
        <v>130</v>
      </c>
      <c r="FO39" s="105" t="s">
        <v>117</v>
      </c>
      <c r="FP39" s="110" t="s">
        <v>134</v>
      </c>
      <c r="FQ39" s="110" t="s">
        <v>92</v>
      </c>
      <c r="FR39" s="84">
        <v>0</v>
      </c>
      <c r="FT39" s="109">
        <v>39.42</v>
      </c>
      <c r="FU39" s="109">
        <f>IFERROR(GroceryList274561481091112131516[[#This Row],[QTY]]*GroceryList274561481091112131516[[#This Row],[UNIT PRICE]],"")</f>
        <v>0</v>
      </c>
      <c r="FV39" s="105" t="s">
        <v>130</v>
      </c>
      <c r="FW39" s="89">
        <v>41.49</v>
      </c>
      <c r="FZ39" s="87" t="s">
        <v>130</v>
      </c>
      <c r="GA39" s="105" t="s">
        <v>117</v>
      </c>
      <c r="GB39" s="110" t="s">
        <v>134</v>
      </c>
      <c r="GC39" s="110" t="s">
        <v>92</v>
      </c>
      <c r="GD39" s="84">
        <v>0</v>
      </c>
      <c r="GF39" s="109">
        <v>39.42</v>
      </c>
      <c r="GG39" s="109">
        <f>IFERROR(GroceryList274561481091112131517[[#This Row],[QTY]]*GroceryList274561481091112131517[[#This Row],[UNIT PRICE]],"")</f>
        <v>0</v>
      </c>
      <c r="GH39" s="105" t="s">
        <v>130</v>
      </c>
      <c r="GI39" s="89">
        <v>41.49</v>
      </c>
      <c r="GL39" s="87" t="s">
        <v>130</v>
      </c>
      <c r="GM39" s="105" t="s">
        <v>117</v>
      </c>
      <c r="GN39" s="110" t="s">
        <v>134</v>
      </c>
      <c r="GO39" s="110" t="s">
        <v>92</v>
      </c>
      <c r="GP39" s="84">
        <v>1</v>
      </c>
      <c r="GR39" s="109">
        <v>39.42</v>
      </c>
      <c r="GS39" s="109">
        <f>IFERROR(GroceryList27456148109111213151718[[#This Row],[QTY]]*GroceryList27456148109111213151718[[#This Row],[UNIT PRICE]],"")</f>
        <v>39.42</v>
      </c>
      <c r="GT39" s="105" t="s">
        <v>130</v>
      </c>
      <c r="GU39" s="89">
        <v>41.49</v>
      </c>
    </row>
    <row r="40" spans="2:203" ht="30" hidden="1" customHeight="1" x14ac:dyDescent="0.2">
      <c r="B40" s="87"/>
      <c r="C40" s="99" t="s">
        <v>112</v>
      </c>
      <c r="D40" s="89" t="s">
        <v>134</v>
      </c>
      <c r="E40" s="89" t="s">
        <v>91</v>
      </c>
      <c r="F40" s="87">
        <v>1</v>
      </c>
      <c r="H40" s="90">
        <v>23.74</v>
      </c>
      <c r="I40" s="90">
        <f>IFERROR(GroceryList[[#This Row],[QTY]]*GroceryList[[#This Row],[UNIT PRICE]],"")</f>
        <v>23.74</v>
      </c>
      <c r="J40" s="89"/>
      <c r="M40" s="87"/>
      <c r="N40" s="99" t="s">
        <v>112</v>
      </c>
      <c r="O40" s="89" t="s">
        <v>134</v>
      </c>
      <c r="P40" s="89" t="s">
        <v>91</v>
      </c>
      <c r="Q40" s="87"/>
      <c r="S40" s="90">
        <v>23.74</v>
      </c>
      <c r="T40" s="90">
        <f>IFERROR(GroceryList2[[#This Row],[QTY]]*GroceryList2[[#This Row],[UNIT PRICE]],"")</f>
        <v>0</v>
      </c>
      <c r="U40" s="89"/>
      <c r="Y40" s="87" t="s">
        <v>130</v>
      </c>
      <c r="Z40" s="99" t="s">
        <v>112</v>
      </c>
      <c r="AA40" s="89" t="s">
        <v>134</v>
      </c>
      <c r="AB40" s="89" t="s">
        <v>91</v>
      </c>
      <c r="AC40" s="87">
        <v>1</v>
      </c>
      <c r="AE40" s="90">
        <v>23.74</v>
      </c>
      <c r="AF40" s="90">
        <f>IFERROR(GroceryList27[[#This Row],[QTY]]*GroceryList27[[#This Row],[UNIT PRICE]],"")</f>
        <v>23.74</v>
      </c>
      <c r="AG40" s="89"/>
      <c r="AM40" s="87" t="s">
        <v>130</v>
      </c>
      <c r="AN40" s="105" t="s">
        <v>112</v>
      </c>
      <c r="AO40" s="110" t="s">
        <v>134</v>
      </c>
      <c r="AP40" s="110" t="s">
        <v>91</v>
      </c>
      <c r="AQ40" s="87">
        <v>1</v>
      </c>
      <c r="AS40" s="109">
        <v>23.74</v>
      </c>
      <c r="AT40" s="109">
        <f>IFERROR(GroceryList274[[#This Row],[QTY]]*GroceryList274[[#This Row],[UNIT PRICE]],"")</f>
        <v>23.74</v>
      </c>
      <c r="AU40" s="89"/>
      <c r="AY40" s="87"/>
      <c r="AZ40" s="105" t="s">
        <v>124</v>
      </c>
      <c r="BA40" s="110" t="s">
        <v>134</v>
      </c>
      <c r="BB40" s="110" t="s">
        <v>89</v>
      </c>
      <c r="BC40" s="84">
        <v>0</v>
      </c>
      <c r="BE40" s="109">
        <v>27</v>
      </c>
      <c r="BF40" s="109">
        <f>IFERROR(GroceryList2745[[#This Row],[QTY]]*GroceryList2745[[#This Row],[UNIT PRICE]],"")</f>
        <v>0</v>
      </c>
      <c r="BG40" s="89"/>
      <c r="BJ40" s="87"/>
      <c r="BK40" s="105" t="s">
        <v>124</v>
      </c>
      <c r="BL40" s="110" t="s">
        <v>134</v>
      </c>
      <c r="BM40" s="110" t="s">
        <v>89</v>
      </c>
      <c r="BN40" s="84">
        <v>0</v>
      </c>
      <c r="BP40" s="109">
        <v>27</v>
      </c>
      <c r="BQ40" s="109">
        <f>IFERROR(GroceryList27456[[#This Row],[QTY]]*GroceryList27456[[#This Row],[UNIT PRICE]],"")</f>
        <v>0</v>
      </c>
      <c r="BR40" s="105" t="s">
        <v>169</v>
      </c>
      <c r="BS40" s="89"/>
      <c r="BV40" s="87"/>
      <c r="BW40" s="105" t="s">
        <v>124</v>
      </c>
      <c r="BX40" s="110" t="s">
        <v>134</v>
      </c>
      <c r="BY40" s="110" t="s">
        <v>89</v>
      </c>
      <c r="BZ40" s="84">
        <v>0</v>
      </c>
      <c r="CB40" s="109">
        <v>27</v>
      </c>
      <c r="CC40" s="109">
        <f>IFERROR(GroceryList2745614[[#This Row],[QTY]]*GroceryList2745614[[#This Row],[UNIT PRICE]],"")</f>
        <v>0</v>
      </c>
      <c r="CD40" s="105" t="s">
        <v>169</v>
      </c>
      <c r="CE40" s="89"/>
      <c r="CH40" s="87"/>
      <c r="CI40" s="105" t="s">
        <v>124</v>
      </c>
      <c r="CJ40" s="110" t="s">
        <v>134</v>
      </c>
      <c r="CK40" s="110" t="s">
        <v>89</v>
      </c>
      <c r="CL40" s="84">
        <v>0</v>
      </c>
      <c r="CN40" s="109">
        <v>27</v>
      </c>
      <c r="CO40" s="109">
        <f>IFERROR(GroceryList27456148[[#This Row],[QTY]]*GroceryList27456148[[#This Row],[UNIT PRICE]],"")</f>
        <v>0</v>
      </c>
      <c r="CP40" s="105" t="s">
        <v>169</v>
      </c>
      <c r="CQ40" s="89"/>
      <c r="CT40" s="87"/>
      <c r="CU40" s="105" t="s">
        <v>124</v>
      </c>
      <c r="CV40" s="110" t="s">
        <v>134</v>
      </c>
      <c r="CW40" s="110" t="s">
        <v>89</v>
      </c>
      <c r="CX40" s="84">
        <v>0</v>
      </c>
      <c r="CZ40" s="109">
        <v>27</v>
      </c>
      <c r="DA40" s="109">
        <f>IFERROR(GroceryList2745614810[[#This Row],[QTY]]*GroceryList2745614810[[#This Row],[UNIT PRICE]],"")</f>
        <v>0</v>
      </c>
      <c r="DB40" s="105" t="s">
        <v>169</v>
      </c>
      <c r="DC40" s="89"/>
      <c r="DF40" s="87"/>
      <c r="DG40" s="105" t="s">
        <v>124</v>
      </c>
      <c r="DH40" s="110" t="s">
        <v>134</v>
      </c>
      <c r="DI40" s="110" t="s">
        <v>89</v>
      </c>
      <c r="DJ40" s="84">
        <v>0</v>
      </c>
      <c r="DL40" s="109">
        <v>27</v>
      </c>
      <c r="DM40" s="109">
        <f>IFERROR(GroceryList27456148109[[#This Row],[QTY]]*GroceryList27456148109[[#This Row],[UNIT PRICE]],"")</f>
        <v>0</v>
      </c>
      <c r="DN40" s="105" t="s">
        <v>169</v>
      </c>
      <c r="DO40" s="89"/>
      <c r="DR40" s="87"/>
      <c r="DS40" s="105" t="s">
        <v>124</v>
      </c>
      <c r="DT40" s="110" t="s">
        <v>134</v>
      </c>
      <c r="DU40" s="110" t="s">
        <v>89</v>
      </c>
      <c r="DV40" s="84">
        <v>0</v>
      </c>
      <c r="DX40" s="109">
        <v>27</v>
      </c>
      <c r="DY40" s="109">
        <f>IFERROR(GroceryList2745614810911[[#This Row],[QTY]]*GroceryList2745614810911[[#This Row],[UNIT PRICE]],"")</f>
        <v>0</v>
      </c>
      <c r="DZ40" s="105" t="s">
        <v>169</v>
      </c>
      <c r="EA40" s="89"/>
      <c r="ED40" s="87"/>
      <c r="EE40" s="105" t="s">
        <v>220</v>
      </c>
      <c r="EF40" s="110" t="s">
        <v>134</v>
      </c>
      <c r="EG40" s="110" t="s">
        <v>89</v>
      </c>
      <c r="EH40" s="84">
        <v>1</v>
      </c>
      <c r="EJ40" s="109">
        <v>11.49</v>
      </c>
      <c r="EK40" s="109">
        <f>IFERROR(GroceryList274561481091112[[#This Row],[QTY]]*GroceryList274561481091112[[#This Row],[UNIT PRICE]],"")</f>
        <v>11.49</v>
      </c>
      <c r="EL40" s="105" t="s">
        <v>169</v>
      </c>
      <c r="EM40" s="89">
        <v>12.99</v>
      </c>
      <c r="EP40" s="87"/>
      <c r="EQ40" s="105" t="s">
        <v>220</v>
      </c>
      <c r="ER40" s="110" t="s">
        <v>134</v>
      </c>
      <c r="ES40" s="110" t="s">
        <v>89</v>
      </c>
      <c r="ET40" s="84">
        <v>0</v>
      </c>
      <c r="EV40" s="109">
        <v>11.49</v>
      </c>
      <c r="EW40" s="109">
        <f>IFERROR(GroceryList27456148109111213[[#This Row],[QTY]]*GroceryList27456148109111213[[#This Row],[UNIT PRICE]],"")</f>
        <v>0</v>
      </c>
      <c r="EX40" s="105" t="s">
        <v>169</v>
      </c>
      <c r="EY40" s="89">
        <v>12.99</v>
      </c>
      <c r="FB40" s="87"/>
      <c r="FC40" s="105" t="s">
        <v>227</v>
      </c>
      <c r="FD40" s="110" t="s">
        <v>134</v>
      </c>
      <c r="FE40" s="110" t="s">
        <v>91</v>
      </c>
      <c r="FF40" s="84">
        <v>1</v>
      </c>
      <c r="FH40" s="109">
        <v>22.94</v>
      </c>
      <c r="FI40" s="109">
        <f>IFERROR(GroceryList2745614810911121315[[#This Row],[QTY]]*GroceryList2745614810911121315[[#This Row],[UNIT PRICE]],"")</f>
        <v>22.94</v>
      </c>
      <c r="FJ40" s="105" t="s">
        <v>169</v>
      </c>
      <c r="FK40" s="89">
        <v>27</v>
      </c>
      <c r="FN40" s="87"/>
      <c r="FO40" s="105" t="s">
        <v>220</v>
      </c>
      <c r="FP40" s="110" t="s">
        <v>134</v>
      </c>
      <c r="FQ40" s="110" t="s">
        <v>89</v>
      </c>
      <c r="FR40" s="84">
        <v>0</v>
      </c>
      <c r="FT40" s="109">
        <v>11.49</v>
      </c>
      <c r="FU40" s="109">
        <f>IFERROR(GroceryList274561481091112131516[[#This Row],[QTY]]*GroceryList274561481091112131516[[#This Row],[UNIT PRICE]],"")</f>
        <v>0</v>
      </c>
      <c r="FV40" s="105" t="s">
        <v>169</v>
      </c>
      <c r="FW40" s="89">
        <v>12.99</v>
      </c>
      <c r="FZ40" s="87"/>
      <c r="GA40" s="105" t="s">
        <v>227</v>
      </c>
      <c r="GB40" s="110" t="s">
        <v>134</v>
      </c>
      <c r="GC40" s="110" t="s">
        <v>91</v>
      </c>
      <c r="GD40" s="84">
        <v>0</v>
      </c>
      <c r="GF40" s="109">
        <v>22.94</v>
      </c>
      <c r="GG40" s="109">
        <f>IFERROR(GroceryList274561481091112131517[[#This Row],[QTY]]*GroceryList274561481091112131517[[#This Row],[UNIT PRICE]],"")</f>
        <v>0</v>
      </c>
      <c r="GH40" s="105" t="s">
        <v>169</v>
      </c>
      <c r="GI40" s="89">
        <v>27</v>
      </c>
      <c r="GL40" s="87"/>
      <c r="GM40" s="105" t="s">
        <v>227</v>
      </c>
      <c r="GN40" s="110" t="s">
        <v>134</v>
      </c>
      <c r="GO40" s="110" t="s">
        <v>91</v>
      </c>
      <c r="GP40" s="84">
        <v>0</v>
      </c>
      <c r="GR40" s="109">
        <v>22.94</v>
      </c>
      <c r="GS40" s="109">
        <f>IFERROR(GroceryList27456148109111213151718[[#This Row],[QTY]]*GroceryList27456148109111213151718[[#This Row],[UNIT PRICE]],"")</f>
        <v>0</v>
      </c>
      <c r="GT40" s="105" t="s">
        <v>169</v>
      </c>
      <c r="GU40" s="89">
        <v>27</v>
      </c>
    </row>
    <row r="41" spans="2:203" ht="30" hidden="1" customHeight="1" x14ac:dyDescent="0.2">
      <c r="B41" s="87"/>
      <c r="C41" s="102" t="s">
        <v>141</v>
      </c>
      <c r="D41" t="s">
        <v>134</v>
      </c>
      <c r="E41" t="s">
        <v>91</v>
      </c>
      <c r="F41" s="87">
        <v>0.5</v>
      </c>
      <c r="H41" s="90">
        <v>18.98</v>
      </c>
      <c r="I41" s="90">
        <f>IFERROR(GroceryList[[#This Row],[QTY]]*GroceryList[[#This Row],[UNIT PRICE]],"")</f>
        <v>9.49</v>
      </c>
      <c r="J41"/>
      <c r="M41" s="87"/>
      <c r="N41" s="102" t="s">
        <v>141</v>
      </c>
      <c r="O41" t="s">
        <v>134</v>
      </c>
      <c r="P41" t="s">
        <v>91</v>
      </c>
      <c r="Q41" s="87"/>
      <c r="S41" s="90">
        <v>18.98</v>
      </c>
      <c r="T41" s="90">
        <f>IFERROR(GroceryList2[[#This Row],[QTY]]*GroceryList2[[#This Row],[UNIT PRICE]],"")</f>
        <v>0</v>
      </c>
      <c r="U41"/>
      <c r="Y41" s="87"/>
      <c r="Z41" s="102" t="s">
        <v>141</v>
      </c>
      <c r="AA41" t="s">
        <v>134</v>
      </c>
      <c r="AB41" t="s">
        <v>91</v>
      </c>
      <c r="AC41" s="87"/>
      <c r="AE41" s="90">
        <v>18.98</v>
      </c>
      <c r="AF41" s="90">
        <f>IFERROR(GroceryList27[[#This Row],[QTY]]*GroceryList27[[#This Row],[UNIT PRICE]],"")</f>
        <v>0</v>
      </c>
      <c r="AG41"/>
      <c r="AM41" s="87"/>
      <c r="AN41" s="107" t="s">
        <v>141</v>
      </c>
      <c r="AO41" s="108" t="s">
        <v>134</v>
      </c>
      <c r="AP41" s="108" t="s">
        <v>91</v>
      </c>
      <c r="AQ41" s="87"/>
      <c r="AS41" s="109">
        <v>18.98</v>
      </c>
      <c r="AT41" s="109">
        <f>IFERROR(GroceryList274[[#This Row],[QTY]]*GroceryList274[[#This Row],[UNIT PRICE]],"")</f>
        <v>0</v>
      </c>
      <c r="AU41"/>
      <c r="AY41" s="87" t="s">
        <v>130</v>
      </c>
      <c r="AZ41" s="105" t="s">
        <v>112</v>
      </c>
      <c r="BA41" s="110" t="s">
        <v>134</v>
      </c>
      <c r="BB41" s="110" t="s">
        <v>91</v>
      </c>
      <c r="BC41" s="84">
        <v>0</v>
      </c>
      <c r="BE41" s="109">
        <v>23.74</v>
      </c>
      <c r="BF41" s="109">
        <f>IFERROR(GroceryList2745[[#This Row],[QTY]]*GroceryList2745[[#This Row],[UNIT PRICE]],"")</f>
        <v>0</v>
      </c>
      <c r="BG41" s="89"/>
      <c r="BJ41" s="87" t="s">
        <v>130</v>
      </c>
      <c r="BK41" s="105" t="s">
        <v>112</v>
      </c>
      <c r="BL41" s="110" t="s">
        <v>134</v>
      </c>
      <c r="BM41" s="110" t="s">
        <v>91</v>
      </c>
      <c r="BN41" s="84">
        <v>0</v>
      </c>
      <c r="BP41" s="109">
        <v>23.74</v>
      </c>
      <c r="BQ41" s="109">
        <f>IFERROR(GroceryList27456[[#This Row],[QTY]]*GroceryList27456[[#This Row],[UNIT PRICE]],"")</f>
        <v>0</v>
      </c>
      <c r="BR41" s="105" t="s">
        <v>169</v>
      </c>
      <c r="BS41" s="89"/>
      <c r="BV41" s="87" t="s">
        <v>130</v>
      </c>
      <c r="BW41" s="105" t="s">
        <v>112</v>
      </c>
      <c r="BX41" s="110" t="s">
        <v>134</v>
      </c>
      <c r="BY41" s="110" t="s">
        <v>91</v>
      </c>
      <c r="BZ41" s="84">
        <v>0</v>
      </c>
      <c r="CB41" s="109">
        <v>23.74</v>
      </c>
      <c r="CC41" s="109">
        <f>IFERROR(GroceryList2745614[[#This Row],[QTY]]*GroceryList2745614[[#This Row],[UNIT PRICE]],"")</f>
        <v>0</v>
      </c>
      <c r="CD41" s="105" t="s">
        <v>169</v>
      </c>
      <c r="CE41" s="89"/>
      <c r="CH41" s="87" t="s">
        <v>130</v>
      </c>
      <c r="CI41" s="105" t="s">
        <v>112</v>
      </c>
      <c r="CJ41" s="110" t="s">
        <v>134</v>
      </c>
      <c r="CK41" s="110" t="s">
        <v>91</v>
      </c>
      <c r="CL41" s="84">
        <v>0</v>
      </c>
      <c r="CN41" s="109">
        <v>23.74</v>
      </c>
      <c r="CO41" s="109">
        <f>IFERROR(GroceryList27456148[[#This Row],[QTY]]*GroceryList27456148[[#This Row],[UNIT PRICE]],"")</f>
        <v>0</v>
      </c>
      <c r="CP41" s="105" t="s">
        <v>169</v>
      </c>
      <c r="CQ41" s="89"/>
      <c r="CT41" s="87" t="s">
        <v>130</v>
      </c>
      <c r="CU41" s="105" t="s">
        <v>112</v>
      </c>
      <c r="CV41" s="110" t="s">
        <v>134</v>
      </c>
      <c r="CW41" s="110" t="s">
        <v>91</v>
      </c>
      <c r="CX41" s="84">
        <v>0</v>
      </c>
      <c r="CZ41" s="109">
        <v>23.74</v>
      </c>
      <c r="DA41" s="109">
        <f>IFERROR(GroceryList2745614810[[#This Row],[QTY]]*GroceryList2745614810[[#This Row],[UNIT PRICE]],"")</f>
        <v>0</v>
      </c>
      <c r="DB41" s="105" t="s">
        <v>169</v>
      </c>
      <c r="DC41" s="89"/>
      <c r="DF41" s="87" t="s">
        <v>130</v>
      </c>
      <c r="DG41" s="105" t="s">
        <v>112</v>
      </c>
      <c r="DH41" s="110" t="s">
        <v>134</v>
      </c>
      <c r="DI41" s="110" t="s">
        <v>91</v>
      </c>
      <c r="DJ41" s="84">
        <v>0</v>
      </c>
      <c r="DL41" s="109">
        <v>23.74</v>
      </c>
      <c r="DM41" s="109">
        <f>IFERROR(GroceryList27456148109[[#This Row],[QTY]]*GroceryList27456148109[[#This Row],[UNIT PRICE]],"")</f>
        <v>0</v>
      </c>
      <c r="DN41" s="105" t="s">
        <v>169</v>
      </c>
      <c r="DO41" s="89"/>
      <c r="DR41" s="87" t="s">
        <v>130</v>
      </c>
      <c r="DS41" s="105" t="s">
        <v>112</v>
      </c>
      <c r="DT41" s="110" t="s">
        <v>134</v>
      </c>
      <c r="DU41" s="110" t="s">
        <v>91</v>
      </c>
      <c r="DV41" s="84">
        <v>0</v>
      </c>
      <c r="DX41" s="109">
        <v>23.74</v>
      </c>
      <c r="DY41" s="109">
        <f>IFERROR(GroceryList2745614810911[[#This Row],[QTY]]*GroceryList2745614810911[[#This Row],[UNIT PRICE]],"")</f>
        <v>0</v>
      </c>
      <c r="DZ41" s="105" t="s">
        <v>169</v>
      </c>
      <c r="EA41" s="89"/>
      <c r="ED41" s="87" t="s">
        <v>130</v>
      </c>
      <c r="EE41" s="105" t="s">
        <v>112</v>
      </c>
      <c r="EF41" s="110" t="s">
        <v>134</v>
      </c>
      <c r="EG41" s="110" t="s">
        <v>91</v>
      </c>
      <c r="EH41" s="84">
        <v>0</v>
      </c>
      <c r="EJ41" s="109">
        <v>23.74</v>
      </c>
      <c r="EK41" s="109">
        <f>IFERROR(GroceryList274561481091112[[#This Row],[QTY]]*GroceryList274561481091112[[#This Row],[UNIT PRICE]],"")</f>
        <v>0</v>
      </c>
      <c r="EL41" s="105" t="s">
        <v>169</v>
      </c>
      <c r="EM41" s="89"/>
      <c r="EP41" s="87" t="s">
        <v>130</v>
      </c>
      <c r="EQ41" s="105" t="s">
        <v>112</v>
      </c>
      <c r="ER41" s="110" t="s">
        <v>134</v>
      </c>
      <c r="ES41" s="110" t="s">
        <v>91</v>
      </c>
      <c r="ET41" s="84">
        <v>0</v>
      </c>
      <c r="EV41" s="109">
        <v>23.74</v>
      </c>
      <c r="EW41" s="109">
        <f>IFERROR(GroceryList27456148109111213[[#This Row],[QTY]]*GroceryList27456148109111213[[#This Row],[UNIT PRICE]],"")</f>
        <v>0</v>
      </c>
      <c r="EX41" s="105" t="s">
        <v>169</v>
      </c>
      <c r="EY41" s="89"/>
      <c r="FB41" s="87" t="s">
        <v>130</v>
      </c>
      <c r="FC41" s="105" t="s">
        <v>112</v>
      </c>
      <c r="FD41" s="110" t="s">
        <v>134</v>
      </c>
      <c r="FE41" s="110" t="s">
        <v>91</v>
      </c>
      <c r="FF41" s="84">
        <v>0</v>
      </c>
      <c r="FH41" s="109">
        <v>23.74</v>
      </c>
      <c r="FI41" s="109">
        <f>IFERROR(GroceryList2745614810911121315[[#This Row],[QTY]]*GroceryList2745614810911121315[[#This Row],[UNIT PRICE]],"")</f>
        <v>0</v>
      </c>
      <c r="FJ41" s="105" t="s">
        <v>169</v>
      </c>
      <c r="FK41" s="89"/>
      <c r="FN41" s="87" t="s">
        <v>130</v>
      </c>
      <c r="FO41" s="105" t="s">
        <v>112</v>
      </c>
      <c r="FP41" s="110" t="s">
        <v>134</v>
      </c>
      <c r="FQ41" s="110" t="s">
        <v>91</v>
      </c>
      <c r="FR41" s="84">
        <v>0</v>
      </c>
      <c r="FT41" s="109">
        <v>23.74</v>
      </c>
      <c r="FU41" s="109">
        <f>IFERROR(GroceryList274561481091112131516[[#This Row],[QTY]]*GroceryList274561481091112131516[[#This Row],[UNIT PRICE]],"")</f>
        <v>0</v>
      </c>
      <c r="FV41" s="105" t="s">
        <v>169</v>
      </c>
      <c r="FW41" s="89"/>
      <c r="FZ41" s="87" t="s">
        <v>130</v>
      </c>
      <c r="GA41" s="105" t="s">
        <v>112</v>
      </c>
      <c r="GB41" s="110" t="s">
        <v>134</v>
      </c>
      <c r="GC41" s="110" t="s">
        <v>91</v>
      </c>
      <c r="GD41" s="84">
        <v>0</v>
      </c>
      <c r="GF41" s="109">
        <v>23.74</v>
      </c>
      <c r="GG41" s="109">
        <f>IFERROR(GroceryList274561481091112131517[[#This Row],[QTY]]*GroceryList274561481091112131517[[#This Row],[UNIT PRICE]],"")</f>
        <v>0</v>
      </c>
      <c r="GH41" s="105" t="s">
        <v>169</v>
      </c>
      <c r="GI41" s="89"/>
      <c r="GL41" s="87" t="s">
        <v>130</v>
      </c>
      <c r="GM41" s="105" t="s">
        <v>112</v>
      </c>
      <c r="GN41" s="110" t="s">
        <v>134</v>
      </c>
      <c r="GO41" s="110" t="s">
        <v>91</v>
      </c>
      <c r="GP41" s="84">
        <v>0</v>
      </c>
      <c r="GR41" s="109">
        <v>23.74</v>
      </c>
      <c r="GS41" s="109">
        <f>IFERROR(GroceryList27456148109111213151718[[#This Row],[QTY]]*GroceryList27456148109111213151718[[#This Row],[UNIT PRICE]],"")</f>
        <v>0</v>
      </c>
      <c r="GT41" s="105" t="s">
        <v>169</v>
      </c>
      <c r="GU41" s="89"/>
    </row>
    <row r="42" spans="2:203" ht="30" customHeight="1" x14ac:dyDescent="0.2">
      <c r="B42" s="87"/>
      <c r="C42" s="99" t="s">
        <v>113</v>
      </c>
      <c r="D42" s="89" t="s">
        <v>134</v>
      </c>
      <c r="E42" s="89" t="s">
        <v>91</v>
      </c>
      <c r="F42" s="87">
        <v>1</v>
      </c>
      <c r="H42" s="90">
        <v>20.420000000000002</v>
      </c>
      <c r="I42" s="90">
        <f>IFERROR(GroceryList[[#This Row],[QTY]]*GroceryList[[#This Row],[UNIT PRICE]],"")</f>
        <v>20.420000000000002</v>
      </c>
      <c r="J42" s="89"/>
      <c r="M42" s="87"/>
      <c r="N42" s="99" t="s">
        <v>113</v>
      </c>
      <c r="O42" s="89" t="s">
        <v>134</v>
      </c>
      <c r="P42" s="89" t="s">
        <v>91</v>
      </c>
      <c r="Q42" s="87"/>
      <c r="S42" s="90">
        <v>20.420000000000002</v>
      </c>
      <c r="T42" s="90">
        <f>IFERROR(GroceryList2[[#This Row],[QTY]]*GroceryList2[[#This Row],[UNIT PRICE]],"")</f>
        <v>0</v>
      </c>
      <c r="U42" s="89"/>
      <c r="Y42" s="87" t="s">
        <v>130</v>
      </c>
      <c r="Z42" s="99" t="s">
        <v>113</v>
      </c>
      <c r="AA42" s="89" t="s">
        <v>134</v>
      </c>
      <c r="AB42" s="89" t="s">
        <v>91</v>
      </c>
      <c r="AC42" s="87">
        <v>1</v>
      </c>
      <c r="AE42" s="90">
        <v>20.420000000000002</v>
      </c>
      <c r="AF42" s="90">
        <f>IFERROR(GroceryList27[[#This Row],[QTY]]*GroceryList27[[#This Row],[UNIT PRICE]],"")</f>
        <v>20.420000000000002</v>
      </c>
      <c r="AG42" s="89"/>
      <c r="AM42" s="87" t="s">
        <v>130</v>
      </c>
      <c r="AN42" s="105" t="s">
        <v>113</v>
      </c>
      <c r="AO42" s="110" t="s">
        <v>134</v>
      </c>
      <c r="AP42" s="110" t="s">
        <v>91</v>
      </c>
      <c r="AQ42" s="87">
        <v>0</v>
      </c>
      <c r="AS42" s="109">
        <v>20.420000000000002</v>
      </c>
      <c r="AT42" s="109">
        <f>IFERROR(GroceryList274[[#This Row],[QTY]]*GroceryList274[[#This Row],[UNIT PRICE]],"")</f>
        <v>0</v>
      </c>
      <c r="AU42" s="89"/>
      <c r="AY42" s="87"/>
      <c r="AZ42" s="107" t="s">
        <v>141</v>
      </c>
      <c r="BA42" s="108" t="s">
        <v>134</v>
      </c>
      <c r="BB42" s="108" t="s">
        <v>91</v>
      </c>
      <c r="BC42" s="84">
        <v>0</v>
      </c>
      <c r="BE42" s="109">
        <v>18.98</v>
      </c>
      <c r="BF42" s="109">
        <f>IFERROR(GroceryList2745[[#This Row],[QTY]]*GroceryList2745[[#This Row],[UNIT PRICE]],"")</f>
        <v>0</v>
      </c>
      <c r="BG42"/>
      <c r="BJ42" s="87"/>
      <c r="BK42" s="107" t="s">
        <v>141</v>
      </c>
      <c r="BL42" s="108" t="s">
        <v>134</v>
      </c>
      <c r="BM42" s="108" t="s">
        <v>91</v>
      </c>
      <c r="BN42" s="84">
        <v>0</v>
      </c>
      <c r="BP42" s="109">
        <v>18.98</v>
      </c>
      <c r="BQ42" s="109">
        <f>IFERROR(GroceryList27456[[#This Row],[QTY]]*GroceryList27456[[#This Row],[UNIT PRICE]],"")</f>
        <v>0</v>
      </c>
      <c r="BR42" s="111" t="s">
        <v>169</v>
      </c>
      <c r="BS42"/>
      <c r="BV42" s="87"/>
      <c r="BW42" s="107" t="s">
        <v>141</v>
      </c>
      <c r="BX42" s="108" t="s">
        <v>134</v>
      </c>
      <c r="BY42" s="108" t="s">
        <v>91</v>
      </c>
      <c r="BZ42" s="84">
        <v>0</v>
      </c>
      <c r="CB42" s="109">
        <v>18.98</v>
      </c>
      <c r="CC42" s="109">
        <f>IFERROR(GroceryList2745614[[#This Row],[QTY]]*GroceryList2745614[[#This Row],[UNIT PRICE]],"")</f>
        <v>0</v>
      </c>
      <c r="CD42" s="111" t="s">
        <v>169</v>
      </c>
      <c r="CE42"/>
      <c r="CH42" s="87"/>
      <c r="CI42" s="107" t="s">
        <v>141</v>
      </c>
      <c r="CJ42" s="108" t="s">
        <v>134</v>
      </c>
      <c r="CK42" s="108" t="s">
        <v>91</v>
      </c>
      <c r="CL42" s="84">
        <v>0</v>
      </c>
      <c r="CN42" s="109">
        <v>18.98</v>
      </c>
      <c r="CO42" s="109">
        <f>IFERROR(GroceryList27456148[[#This Row],[QTY]]*GroceryList27456148[[#This Row],[UNIT PRICE]],"")</f>
        <v>0</v>
      </c>
      <c r="CP42" s="111" t="s">
        <v>169</v>
      </c>
      <c r="CQ42"/>
      <c r="CT42" s="87"/>
      <c r="CU42" s="111" t="s">
        <v>184</v>
      </c>
      <c r="CV42" s="108" t="s">
        <v>134</v>
      </c>
      <c r="CW42" s="108" t="s">
        <v>92</v>
      </c>
      <c r="CX42" s="84">
        <v>1</v>
      </c>
      <c r="CZ42" s="109">
        <v>7.59</v>
      </c>
      <c r="DA42" s="109">
        <f>IFERROR(GroceryList2745614810[[#This Row],[QTY]]*GroceryList2745614810[[#This Row],[UNIT PRICE]],"")</f>
        <v>7.59</v>
      </c>
      <c r="DB42" s="111" t="s">
        <v>169</v>
      </c>
      <c r="DC42">
        <v>9.99</v>
      </c>
      <c r="DF42" s="87"/>
      <c r="DG42" s="107" t="s">
        <v>141</v>
      </c>
      <c r="DH42" s="108" t="s">
        <v>134</v>
      </c>
      <c r="DI42" s="108" t="s">
        <v>91</v>
      </c>
      <c r="DJ42" s="84">
        <v>0</v>
      </c>
      <c r="DL42" s="109">
        <v>18.98</v>
      </c>
      <c r="DM42" s="109">
        <f>IFERROR(GroceryList27456148109[[#This Row],[QTY]]*GroceryList27456148109[[#This Row],[UNIT PRICE]],"")</f>
        <v>0</v>
      </c>
      <c r="DN42" s="111" t="s">
        <v>169</v>
      </c>
      <c r="DO42"/>
      <c r="DR42" s="87"/>
      <c r="DS42" s="107" t="s">
        <v>141</v>
      </c>
      <c r="DT42" s="108" t="s">
        <v>134</v>
      </c>
      <c r="DU42" s="108" t="s">
        <v>91</v>
      </c>
      <c r="DV42" s="84">
        <v>0</v>
      </c>
      <c r="DX42" s="109">
        <v>18.98</v>
      </c>
      <c r="DY42" s="109">
        <f>IFERROR(GroceryList2745614810911[[#This Row],[QTY]]*GroceryList2745614810911[[#This Row],[UNIT PRICE]],"")</f>
        <v>0</v>
      </c>
      <c r="DZ42" s="111" t="s">
        <v>169</v>
      </c>
      <c r="EA42"/>
      <c r="ED42" s="87"/>
      <c r="EE42" s="111" t="s">
        <v>214</v>
      </c>
      <c r="EF42" s="108" t="s">
        <v>134</v>
      </c>
      <c r="EG42" s="108" t="s">
        <v>89</v>
      </c>
      <c r="EH42" s="84">
        <v>2</v>
      </c>
      <c r="EJ42" s="109">
        <v>7.99</v>
      </c>
      <c r="EK42" s="109">
        <f>IFERROR(GroceryList274561481091112[[#This Row],[QTY]]*GroceryList274561481091112[[#This Row],[UNIT PRICE]],"")</f>
        <v>15.98</v>
      </c>
      <c r="EL42" s="111" t="s">
        <v>169</v>
      </c>
      <c r="EM42">
        <v>11.99</v>
      </c>
      <c r="EP42" s="87"/>
      <c r="EQ42" s="111" t="s">
        <v>214</v>
      </c>
      <c r="ER42" s="108" t="s">
        <v>134</v>
      </c>
      <c r="ES42" s="108" t="s">
        <v>89</v>
      </c>
      <c r="ET42" s="84">
        <v>0</v>
      </c>
      <c r="EV42" s="109">
        <v>7.99</v>
      </c>
      <c r="EW42" s="109">
        <f>IFERROR(GroceryList27456148109111213[[#This Row],[QTY]]*GroceryList27456148109111213[[#This Row],[UNIT PRICE]],"")</f>
        <v>0</v>
      </c>
      <c r="EX42" s="111" t="s">
        <v>169</v>
      </c>
      <c r="EY42">
        <v>11.99</v>
      </c>
      <c r="FB42" s="87"/>
      <c r="FC42" s="111" t="s">
        <v>184</v>
      </c>
      <c r="FD42" s="108" t="s">
        <v>134</v>
      </c>
      <c r="FE42" s="108" t="s">
        <v>89</v>
      </c>
      <c r="FF42" s="84">
        <v>1</v>
      </c>
      <c r="FH42" s="109">
        <v>10</v>
      </c>
      <c r="FI42" s="109">
        <f>IFERROR(GroceryList2745614810911121315[[#This Row],[QTY]]*GroceryList2745614810911121315[[#This Row],[UNIT PRICE]],"")</f>
        <v>10</v>
      </c>
      <c r="FJ42" s="111" t="s">
        <v>169</v>
      </c>
      <c r="FK42">
        <v>11.69</v>
      </c>
      <c r="FN42" s="87"/>
      <c r="FO42" s="111" t="s">
        <v>214</v>
      </c>
      <c r="FP42" s="108" t="s">
        <v>134</v>
      </c>
      <c r="FQ42" s="108" t="s">
        <v>89</v>
      </c>
      <c r="FR42" s="84">
        <v>0</v>
      </c>
      <c r="FT42" s="109">
        <v>7.99</v>
      </c>
      <c r="FU42" s="109">
        <f>IFERROR(GroceryList274561481091112131516[[#This Row],[QTY]]*GroceryList274561481091112131516[[#This Row],[UNIT PRICE]],"")</f>
        <v>0</v>
      </c>
      <c r="FV42" s="111" t="s">
        <v>169</v>
      </c>
      <c r="FW42">
        <v>11.99</v>
      </c>
      <c r="FZ42" s="87"/>
      <c r="GA42" s="111" t="s">
        <v>184</v>
      </c>
      <c r="GB42" s="108" t="s">
        <v>134</v>
      </c>
      <c r="GC42" s="108" t="s">
        <v>89</v>
      </c>
      <c r="GD42" s="84">
        <v>1</v>
      </c>
      <c r="GF42" s="109">
        <v>17.989999999999998</v>
      </c>
      <c r="GG42" s="109">
        <f>IFERROR(GroceryList274561481091112131517[[#This Row],[QTY]]*GroceryList274561481091112131517[[#This Row],[UNIT PRICE]],"")</f>
        <v>17.989999999999998</v>
      </c>
      <c r="GH42" s="111">
        <v>25.49</v>
      </c>
      <c r="GI42">
        <v>11.69</v>
      </c>
      <c r="GL42" s="87"/>
      <c r="GM42" s="111" t="s">
        <v>184</v>
      </c>
      <c r="GN42" s="108" t="s">
        <v>134</v>
      </c>
      <c r="GO42" s="108" t="s">
        <v>89</v>
      </c>
      <c r="GP42" s="84">
        <v>1</v>
      </c>
      <c r="GR42" s="109">
        <v>17.989999999999998</v>
      </c>
      <c r="GS42" s="109">
        <f>IFERROR(GroceryList27456148109111213151718[[#This Row],[QTY]]*GroceryList27456148109111213151718[[#This Row],[UNIT PRICE]],"")</f>
        <v>17.989999999999998</v>
      </c>
      <c r="GT42" s="111">
        <v>25.49</v>
      </c>
      <c r="GU42">
        <v>11.69</v>
      </c>
    </row>
    <row r="43" spans="2:203" ht="30" customHeight="1" x14ac:dyDescent="0.2">
      <c r="B43" s="87"/>
      <c r="C43" s="99" t="s">
        <v>114</v>
      </c>
      <c r="D43" s="89" t="s">
        <v>134</v>
      </c>
      <c r="E43" s="89" t="s">
        <v>91</v>
      </c>
      <c r="F43" s="87">
        <v>1</v>
      </c>
      <c r="H43" s="90">
        <v>37.04</v>
      </c>
      <c r="I43" s="90">
        <f>IFERROR(GroceryList[[#This Row],[QTY]]*GroceryList[[#This Row],[UNIT PRICE]],"")</f>
        <v>37.04</v>
      </c>
      <c r="J43" s="89"/>
      <c r="M43" s="87"/>
      <c r="N43" s="99" t="s">
        <v>114</v>
      </c>
      <c r="O43" s="89" t="s">
        <v>134</v>
      </c>
      <c r="P43" s="89" t="s">
        <v>91</v>
      </c>
      <c r="Q43" s="87"/>
      <c r="S43" s="90">
        <v>37.04</v>
      </c>
      <c r="T43" s="90">
        <f>IFERROR(GroceryList2[[#This Row],[QTY]]*GroceryList2[[#This Row],[UNIT PRICE]],"")</f>
        <v>0</v>
      </c>
      <c r="U43" s="89"/>
      <c r="Y43" s="87"/>
      <c r="Z43" s="99" t="s">
        <v>114</v>
      </c>
      <c r="AA43" s="89" t="s">
        <v>134</v>
      </c>
      <c r="AB43" s="89" t="s">
        <v>91</v>
      </c>
      <c r="AC43" s="87"/>
      <c r="AE43" s="90">
        <v>37.04</v>
      </c>
      <c r="AF43" s="90">
        <f>IFERROR(GroceryList27[[#This Row],[QTY]]*GroceryList27[[#This Row],[UNIT PRICE]],"")</f>
        <v>0</v>
      </c>
      <c r="AG43" s="89"/>
      <c r="AM43" s="87" t="s">
        <v>130</v>
      </c>
      <c r="AN43" s="105" t="s">
        <v>114</v>
      </c>
      <c r="AO43" s="110" t="s">
        <v>134</v>
      </c>
      <c r="AP43" s="110" t="s">
        <v>91</v>
      </c>
      <c r="AQ43" s="87">
        <v>0</v>
      </c>
      <c r="AS43" s="109">
        <v>37.04</v>
      </c>
      <c r="AT43" s="109">
        <f>IFERROR(GroceryList274[[#This Row],[QTY]]*GroceryList274[[#This Row],[UNIT PRICE]],"")</f>
        <v>0</v>
      </c>
      <c r="AU43" s="89"/>
      <c r="AY43" s="87" t="s">
        <v>130</v>
      </c>
      <c r="AZ43" s="105" t="s">
        <v>113</v>
      </c>
      <c r="BA43" s="110" t="s">
        <v>134</v>
      </c>
      <c r="BB43" s="110" t="s">
        <v>91</v>
      </c>
      <c r="BC43" s="84">
        <v>0</v>
      </c>
      <c r="BE43" s="109">
        <v>20.420000000000002</v>
      </c>
      <c r="BF43" s="109">
        <f>IFERROR(GroceryList2745[[#This Row],[QTY]]*GroceryList2745[[#This Row],[UNIT PRICE]],"")</f>
        <v>0</v>
      </c>
      <c r="BG43" s="89"/>
      <c r="BJ43" s="87" t="s">
        <v>130</v>
      </c>
      <c r="BK43" s="105" t="s">
        <v>113</v>
      </c>
      <c r="BL43" s="110" t="s">
        <v>134</v>
      </c>
      <c r="BM43" s="110" t="s">
        <v>91</v>
      </c>
      <c r="BN43" s="84">
        <v>0</v>
      </c>
      <c r="BP43" s="109">
        <v>20.420000000000002</v>
      </c>
      <c r="BQ43" s="109">
        <f>IFERROR(GroceryList27456[[#This Row],[QTY]]*GroceryList27456[[#This Row],[UNIT PRICE]],"")</f>
        <v>0</v>
      </c>
      <c r="BR43" s="105" t="s">
        <v>130</v>
      </c>
      <c r="BS43" s="89"/>
      <c r="BV43" s="87" t="s">
        <v>130</v>
      </c>
      <c r="BW43" s="105" t="s">
        <v>113</v>
      </c>
      <c r="BX43" s="110" t="s">
        <v>134</v>
      </c>
      <c r="BY43" s="110" t="s">
        <v>91</v>
      </c>
      <c r="BZ43" s="84">
        <v>1</v>
      </c>
      <c r="CB43" s="109">
        <v>20.420000000000002</v>
      </c>
      <c r="CC43" s="109">
        <f>IFERROR(GroceryList2745614[[#This Row],[QTY]]*GroceryList2745614[[#This Row],[UNIT PRICE]],"")</f>
        <v>20.420000000000002</v>
      </c>
      <c r="CD43" s="105" t="s">
        <v>130</v>
      </c>
      <c r="CE43" s="89">
        <v>21.49</v>
      </c>
      <c r="CH43" s="87" t="s">
        <v>130</v>
      </c>
      <c r="CI43" s="105" t="s">
        <v>113</v>
      </c>
      <c r="CJ43" s="110" t="s">
        <v>134</v>
      </c>
      <c r="CK43" s="110" t="s">
        <v>91</v>
      </c>
      <c r="CL43" s="84">
        <v>0</v>
      </c>
      <c r="CN43" s="109">
        <v>20.420000000000002</v>
      </c>
      <c r="CO43" s="109">
        <f>IFERROR(GroceryList27456148[[#This Row],[QTY]]*GroceryList27456148[[#This Row],[UNIT PRICE]],"")</f>
        <v>0</v>
      </c>
      <c r="CP43" s="105" t="s">
        <v>130</v>
      </c>
      <c r="CQ43" s="89">
        <v>21.49</v>
      </c>
      <c r="CT43" s="87" t="s">
        <v>130</v>
      </c>
      <c r="CU43" s="105" t="s">
        <v>113</v>
      </c>
      <c r="CV43" s="110" t="s">
        <v>134</v>
      </c>
      <c r="CW43" s="110" t="s">
        <v>91</v>
      </c>
      <c r="CX43" s="84">
        <v>0</v>
      </c>
      <c r="CZ43" s="109">
        <v>20.420000000000002</v>
      </c>
      <c r="DA43" s="109">
        <f>IFERROR(GroceryList2745614810[[#This Row],[QTY]]*GroceryList2745614810[[#This Row],[UNIT PRICE]],"")</f>
        <v>0</v>
      </c>
      <c r="DB43" s="105" t="s">
        <v>130</v>
      </c>
      <c r="DC43" s="89">
        <v>21.49</v>
      </c>
      <c r="DF43" s="87" t="s">
        <v>130</v>
      </c>
      <c r="DG43" s="105" t="s">
        <v>113</v>
      </c>
      <c r="DH43" s="110" t="s">
        <v>134</v>
      </c>
      <c r="DI43" s="110" t="s">
        <v>91</v>
      </c>
      <c r="DJ43" s="84">
        <v>0</v>
      </c>
      <c r="DL43" s="109">
        <v>20.420000000000002</v>
      </c>
      <c r="DM43" s="109">
        <f>IFERROR(GroceryList27456148109[[#This Row],[QTY]]*GroceryList27456148109[[#This Row],[UNIT PRICE]],"")</f>
        <v>0</v>
      </c>
      <c r="DN43" s="105" t="s">
        <v>130</v>
      </c>
      <c r="DO43" s="89">
        <v>21.49</v>
      </c>
      <c r="DR43" s="87" t="s">
        <v>130</v>
      </c>
      <c r="DS43" s="105" t="s">
        <v>113</v>
      </c>
      <c r="DT43" s="110" t="s">
        <v>134</v>
      </c>
      <c r="DU43" s="110" t="s">
        <v>91</v>
      </c>
      <c r="DV43" s="84">
        <v>1</v>
      </c>
      <c r="DX43" s="109">
        <v>20.420000000000002</v>
      </c>
      <c r="DY43" s="109">
        <f>IFERROR(GroceryList2745614810911[[#This Row],[QTY]]*GroceryList2745614810911[[#This Row],[UNIT PRICE]],"")</f>
        <v>20.420000000000002</v>
      </c>
      <c r="DZ43" s="105" t="s">
        <v>130</v>
      </c>
      <c r="EA43" s="89">
        <v>21.49</v>
      </c>
      <c r="ED43" s="87" t="s">
        <v>130</v>
      </c>
      <c r="EE43" s="105" t="s">
        <v>113</v>
      </c>
      <c r="EF43" s="110" t="s">
        <v>134</v>
      </c>
      <c r="EG43" s="110" t="s">
        <v>91</v>
      </c>
      <c r="EH43" s="84">
        <v>0</v>
      </c>
      <c r="EJ43" s="109">
        <v>20.420000000000002</v>
      </c>
      <c r="EK43" s="109">
        <f>IFERROR(GroceryList274561481091112[[#This Row],[QTY]]*GroceryList274561481091112[[#This Row],[UNIT PRICE]],"")</f>
        <v>0</v>
      </c>
      <c r="EL43" s="105" t="s">
        <v>130</v>
      </c>
      <c r="EM43" s="89">
        <v>21.49</v>
      </c>
      <c r="EP43" s="87" t="s">
        <v>130</v>
      </c>
      <c r="EQ43" s="105" t="s">
        <v>113</v>
      </c>
      <c r="ER43" s="110" t="s">
        <v>134</v>
      </c>
      <c r="ES43" s="110" t="s">
        <v>91</v>
      </c>
      <c r="ET43" s="84">
        <v>1</v>
      </c>
      <c r="EV43" s="109">
        <v>20.420000000000002</v>
      </c>
      <c r="EW43" s="109">
        <f>IFERROR(GroceryList27456148109111213[[#This Row],[QTY]]*GroceryList27456148109111213[[#This Row],[UNIT PRICE]],"")</f>
        <v>20.420000000000002</v>
      </c>
      <c r="EX43" s="105" t="s">
        <v>130</v>
      </c>
      <c r="EY43" s="89">
        <v>21.49</v>
      </c>
      <c r="FB43" s="87" t="s">
        <v>130</v>
      </c>
      <c r="FC43" s="105" t="s">
        <v>113</v>
      </c>
      <c r="FD43" s="110" t="s">
        <v>134</v>
      </c>
      <c r="FE43" s="110" t="s">
        <v>91</v>
      </c>
      <c r="FF43" s="84">
        <v>0</v>
      </c>
      <c r="FH43" s="109">
        <v>20.420000000000002</v>
      </c>
      <c r="FI43" s="109">
        <f>IFERROR(GroceryList2745614810911121315[[#This Row],[QTY]]*GroceryList2745614810911121315[[#This Row],[UNIT PRICE]],"")</f>
        <v>0</v>
      </c>
      <c r="FJ43" s="105" t="s">
        <v>130</v>
      </c>
      <c r="FK43" s="89">
        <v>21.49</v>
      </c>
      <c r="FN43" s="87" t="s">
        <v>130</v>
      </c>
      <c r="FO43" s="105" t="s">
        <v>113</v>
      </c>
      <c r="FP43" s="110" t="s">
        <v>134</v>
      </c>
      <c r="FQ43" s="110" t="s">
        <v>91</v>
      </c>
      <c r="FR43" s="84">
        <v>0</v>
      </c>
      <c r="FT43" s="109">
        <v>20.420000000000002</v>
      </c>
      <c r="FU43" s="109">
        <f>IFERROR(GroceryList274561481091112131516[[#This Row],[QTY]]*GroceryList274561481091112131516[[#This Row],[UNIT PRICE]],"")</f>
        <v>0</v>
      </c>
      <c r="FV43" s="105" t="s">
        <v>130</v>
      </c>
      <c r="FW43" s="89">
        <v>21.49</v>
      </c>
      <c r="FZ43" s="87" t="s">
        <v>130</v>
      </c>
      <c r="GA43" s="105" t="s">
        <v>113</v>
      </c>
      <c r="GB43" s="110" t="s">
        <v>134</v>
      </c>
      <c r="GC43" s="110" t="s">
        <v>91</v>
      </c>
      <c r="GD43" s="84">
        <v>1</v>
      </c>
      <c r="GF43" s="109">
        <v>20.420000000000002</v>
      </c>
      <c r="GG43" s="109">
        <f>IFERROR(GroceryList274561481091112131517[[#This Row],[QTY]]*GroceryList274561481091112131517[[#This Row],[UNIT PRICE]],"")</f>
        <v>20.420000000000002</v>
      </c>
      <c r="GH43" s="105" t="s">
        <v>130</v>
      </c>
      <c r="GI43" s="89">
        <v>21.49</v>
      </c>
      <c r="GL43" s="87" t="s">
        <v>130</v>
      </c>
      <c r="GM43" s="105" t="s">
        <v>113</v>
      </c>
      <c r="GN43" s="110" t="s">
        <v>134</v>
      </c>
      <c r="GO43" s="110" t="s">
        <v>91</v>
      </c>
      <c r="GP43" s="84">
        <v>0</v>
      </c>
      <c r="GR43" s="109">
        <v>20.420000000000002</v>
      </c>
      <c r="GS43" s="109">
        <f>IFERROR(GroceryList27456148109111213151718[[#This Row],[QTY]]*GroceryList27456148109111213151718[[#This Row],[UNIT PRICE]],"")</f>
        <v>0</v>
      </c>
      <c r="GT43" s="105" t="s">
        <v>130</v>
      </c>
      <c r="GU43" s="89">
        <v>21.49</v>
      </c>
    </row>
    <row r="44" spans="2:203" ht="30" customHeight="1" x14ac:dyDescent="0.2">
      <c r="B44" s="87"/>
      <c r="C44" s="99" t="s">
        <v>115</v>
      </c>
      <c r="D44" s="89"/>
      <c r="E44" s="89"/>
      <c r="F44" s="87"/>
      <c r="H44" s="90"/>
      <c r="I44" s="90">
        <f>IFERROR(GroceryList[[#This Row],[QTY]]*GroceryList[[#This Row],[UNIT PRICE]],"")</f>
        <v>0</v>
      </c>
      <c r="J44" s="89"/>
      <c r="M44" s="87" t="s">
        <v>130</v>
      </c>
      <c r="N44" s="99" t="s">
        <v>115</v>
      </c>
      <c r="O44" s="89" t="s">
        <v>134</v>
      </c>
      <c r="P44" s="89" t="s">
        <v>91</v>
      </c>
      <c r="Q44" s="87">
        <v>1</v>
      </c>
      <c r="S44" s="90">
        <v>22.99</v>
      </c>
      <c r="T44" s="90">
        <f>IFERROR(GroceryList2[[#This Row],[QTY]]*GroceryList2[[#This Row],[UNIT PRICE]],"")</f>
        <v>22.99</v>
      </c>
      <c r="U44" s="89"/>
      <c r="Y44" s="87" t="s">
        <v>130</v>
      </c>
      <c r="Z44" s="99" t="s">
        <v>115</v>
      </c>
      <c r="AA44" s="89" t="s">
        <v>134</v>
      </c>
      <c r="AB44" s="89" t="s">
        <v>91</v>
      </c>
      <c r="AC44" s="87">
        <v>0</v>
      </c>
      <c r="AE44" s="90">
        <v>22.99</v>
      </c>
      <c r="AF44" s="90">
        <f>IFERROR(GroceryList27[[#This Row],[QTY]]*GroceryList27[[#This Row],[UNIT PRICE]],"")</f>
        <v>0</v>
      </c>
      <c r="AG44" s="89"/>
      <c r="AM44" s="87" t="s">
        <v>130</v>
      </c>
      <c r="AN44" s="105" t="s">
        <v>115</v>
      </c>
      <c r="AO44" s="110" t="s">
        <v>134</v>
      </c>
      <c r="AP44" s="110" t="s">
        <v>91</v>
      </c>
      <c r="AQ44" s="87">
        <v>0</v>
      </c>
      <c r="AS44" s="109">
        <v>22.99</v>
      </c>
      <c r="AT44" s="109">
        <f>IFERROR(GroceryList274[[#This Row],[QTY]]*GroceryList274[[#This Row],[UNIT PRICE]],"")</f>
        <v>0</v>
      </c>
      <c r="AU44" s="89"/>
      <c r="AY44" s="87" t="s">
        <v>130</v>
      </c>
      <c r="AZ44" s="105" t="s">
        <v>114</v>
      </c>
      <c r="BA44" s="110" t="s">
        <v>134</v>
      </c>
      <c r="BB44" s="110" t="s">
        <v>91</v>
      </c>
      <c r="BC44" s="84">
        <v>0</v>
      </c>
      <c r="BE44" s="109">
        <v>37.04</v>
      </c>
      <c r="BF44" s="109">
        <f>IFERROR(GroceryList2745[[#This Row],[QTY]]*GroceryList2745[[#This Row],[UNIT PRICE]],"")</f>
        <v>0</v>
      </c>
      <c r="BG44" s="89"/>
      <c r="BJ44" s="87" t="s">
        <v>130</v>
      </c>
      <c r="BK44" s="105" t="s">
        <v>114</v>
      </c>
      <c r="BL44" s="110" t="s">
        <v>134</v>
      </c>
      <c r="BM44" s="110" t="s">
        <v>91</v>
      </c>
      <c r="BN44" s="84">
        <v>0</v>
      </c>
      <c r="BP44" s="109">
        <v>37.04</v>
      </c>
      <c r="BQ44" s="109">
        <f>IFERROR(GroceryList27456[[#This Row],[QTY]]*GroceryList27456[[#This Row],[UNIT PRICE]],"")</f>
        <v>0</v>
      </c>
      <c r="BR44" s="105" t="s">
        <v>169</v>
      </c>
      <c r="BS44" s="89"/>
      <c r="BV44" s="87" t="s">
        <v>130</v>
      </c>
      <c r="BW44" s="105" t="s">
        <v>114</v>
      </c>
      <c r="BX44" s="110" t="s">
        <v>134</v>
      </c>
      <c r="BY44" s="110" t="s">
        <v>91</v>
      </c>
      <c r="BZ44" s="84">
        <v>1</v>
      </c>
      <c r="CB44" s="109">
        <v>57.94</v>
      </c>
      <c r="CC44" s="109">
        <f>IFERROR(GroceryList2745614[[#This Row],[QTY]]*GroceryList2745614[[#This Row],[UNIT PRICE]],"")</f>
        <v>57.94</v>
      </c>
      <c r="CD44" s="105" t="s">
        <v>130</v>
      </c>
      <c r="CE44" s="89">
        <v>60.99</v>
      </c>
      <c r="CH44" s="87" t="s">
        <v>130</v>
      </c>
      <c r="CI44" s="105" t="s">
        <v>114</v>
      </c>
      <c r="CJ44" s="110" t="s">
        <v>134</v>
      </c>
      <c r="CK44" s="110" t="s">
        <v>91</v>
      </c>
      <c r="CL44" s="84">
        <v>0</v>
      </c>
      <c r="CN44" s="109">
        <v>57.94</v>
      </c>
      <c r="CO44" s="109">
        <f>IFERROR(GroceryList27456148[[#This Row],[QTY]]*GroceryList27456148[[#This Row],[UNIT PRICE]],"")</f>
        <v>0</v>
      </c>
      <c r="CP44" s="105" t="s">
        <v>130</v>
      </c>
      <c r="CQ44" s="89">
        <v>60.99</v>
      </c>
      <c r="CT44" s="87" t="s">
        <v>130</v>
      </c>
      <c r="CU44" s="105" t="s">
        <v>114</v>
      </c>
      <c r="CV44" s="110" t="s">
        <v>134</v>
      </c>
      <c r="CW44" s="110" t="s">
        <v>91</v>
      </c>
      <c r="CX44" s="84">
        <v>0</v>
      </c>
      <c r="CZ44" s="109">
        <v>57.94</v>
      </c>
      <c r="DA44" s="109">
        <f>IFERROR(GroceryList2745614810[[#This Row],[QTY]]*GroceryList2745614810[[#This Row],[UNIT PRICE]],"")</f>
        <v>0</v>
      </c>
      <c r="DB44" s="105" t="s">
        <v>130</v>
      </c>
      <c r="DC44" s="89">
        <v>60.99</v>
      </c>
      <c r="DF44" s="87" t="s">
        <v>130</v>
      </c>
      <c r="DG44" s="105" t="s">
        <v>114</v>
      </c>
      <c r="DH44" s="110" t="s">
        <v>134</v>
      </c>
      <c r="DI44" s="110" t="s">
        <v>91</v>
      </c>
      <c r="DJ44" s="84">
        <v>0</v>
      </c>
      <c r="DL44" s="109">
        <v>57.94</v>
      </c>
      <c r="DM44" s="109">
        <f>IFERROR(GroceryList27456148109[[#This Row],[QTY]]*GroceryList27456148109[[#This Row],[UNIT PRICE]],"")</f>
        <v>0</v>
      </c>
      <c r="DN44" s="105" t="s">
        <v>130</v>
      </c>
      <c r="DO44" s="89">
        <v>60.99</v>
      </c>
      <c r="DR44" s="87" t="s">
        <v>130</v>
      </c>
      <c r="DS44" s="105" t="s">
        <v>114</v>
      </c>
      <c r="DT44" s="110" t="s">
        <v>134</v>
      </c>
      <c r="DU44" s="110" t="s">
        <v>91</v>
      </c>
      <c r="DV44" s="84">
        <v>0</v>
      </c>
      <c r="DX44" s="109">
        <v>57.94</v>
      </c>
      <c r="DY44" s="109">
        <f>IFERROR(GroceryList2745614810911[[#This Row],[QTY]]*GroceryList2745614810911[[#This Row],[UNIT PRICE]],"")</f>
        <v>0</v>
      </c>
      <c r="DZ44" s="105" t="s">
        <v>130</v>
      </c>
      <c r="EA44" s="89">
        <v>60.99</v>
      </c>
      <c r="ED44" s="87" t="s">
        <v>130</v>
      </c>
      <c r="EE44" s="105" t="s">
        <v>114</v>
      </c>
      <c r="EF44" s="110" t="s">
        <v>134</v>
      </c>
      <c r="EG44" s="110" t="s">
        <v>91</v>
      </c>
      <c r="EH44" s="84">
        <v>1</v>
      </c>
      <c r="EJ44" s="109">
        <v>57.94</v>
      </c>
      <c r="EK44" s="109">
        <f>IFERROR(GroceryList274561481091112[[#This Row],[QTY]]*GroceryList274561481091112[[#This Row],[UNIT PRICE]],"")</f>
        <v>57.94</v>
      </c>
      <c r="EL44" s="105" t="s">
        <v>130</v>
      </c>
      <c r="EM44" s="89">
        <v>60.99</v>
      </c>
      <c r="EP44" s="87" t="s">
        <v>130</v>
      </c>
      <c r="EQ44" s="105" t="s">
        <v>114</v>
      </c>
      <c r="ER44" s="110" t="s">
        <v>134</v>
      </c>
      <c r="ES44" s="110" t="s">
        <v>91</v>
      </c>
      <c r="ET44" s="84">
        <v>0</v>
      </c>
      <c r="EV44" s="109">
        <v>57.94</v>
      </c>
      <c r="EW44" s="109">
        <f>IFERROR(GroceryList27456148109111213[[#This Row],[QTY]]*GroceryList27456148109111213[[#This Row],[UNIT PRICE]],"")</f>
        <v>0</v>
      </c>
      <c r="EX44" s="105" t="s">
        <v>130</v>
      </c>
      <c r="EY44" s="89">
        <v>60.99</v>
      </c>
      <c r="FB44" s="87" t="s">
        <v>130</v>
      </c>
      <c r="FC44" s="105" t="s">
        <v>114</v>
      </c>
      <c r="FD44" s="110" t="s">
        <v>134</v>
      </c>
      <c r="FE44" s="110" t="s">
        <v>91</v>
      </c>
      <c r="FF44" s="84">
        <v>0</v>
      </c>
      <c r="FH44" s="109">
        <v>57.94</v>
      </c>
      <c r="FI44" s="109">
        <f>IFERROR(GroceryList2745614810911121315[[#This Row],[QTY]]*GroceryList2745614810911121315[[#This Row],[UNIT PRICE]],"")</f>
        <v>0</v>
      </c>
      <c r="FJ44" s="105" t="s">
        <v>130</v>
      </c>
      <c r="FK44" s="89">
        <v>60.99</v>
      </c>
      <c r="FN44" s="87" t="s">
        <v>130</v>
      </c>
      <c r="FO44" s="105" t="s">
        <v>114</v>
      </c>
      <c r="FP44" s="110" t="s">
        <v>134</v>
      </c>
      <c r="FQ44" s="110" t="s">
        <v>91</v>
      </c>
      <c r="FR44" s="84">
        <v>0</v>
      </c>
      <c r="FT44" s="109">
        <v>57.94</v>
      </c>
      <c r="FU44" s="109">
        <f>IFERROR(GroceryList274561481091112131516[[#This Row],[QTY]]*GroceryList274561481091112131516[[#This Row],[UNIT PRICE]],"")</f>
        <v>0</v>
      </c>
      <c r="FV44" s="105" t="s">
        <v>130</v>
      </c>
      <c r="FW44" s="89">
        <v>60.99</v>
      </c>
      <c r="FZ44" s="87" t="s">
        <v>130</v>
      </c>
      <c r="GA44" s="105" t="s">
        <v>114</v>
      </c>
      <c r="GB44" s="110" t="s">
        <v>134</v>
      </c>
      <c r="GC44" s="110" t="s">
        <v>91</v>
      </c>
      <c r="GD44" s="84">
        <v>1</v>
      </c>
      <c r="GF44" s="109">
        <v>51.99</v>
      </c>
      <c r="GG44" s="109">
        <f>IFERROR(GroceryList274561481091112131517[[#This Row],[QTY]]*GroceryList274561481091112131517[[#This Row],[UNIT PRICE]],"")</f>
        <v>51.99</v>
      </c>
      <c r="GH44" s="105" t="s">
        <v>130</v>
      </c>
      <c r="GI44" s="89">
        <v>60.99</v>
      </c>
      <c r="GL44" s="87" t="s">
        <v>130</v>
      </c>
      <c r="GM44" s="105" t="s">
        <v>114</v>
      </c>
      <c r="GN44" s="110" t="s">
        <v>134</v>
      </c>
      <c r="GO44" s="110" t="s">
        <v>91</v>
      </c>
      <c r="GP44" s="84">
        <v>1</v>
      </c>
      <c r="GR44" s="109">
        <v>51.99</v>
      </c>
      <c r="GS44" s="109">
        <f>IFERROR(GroceryList27456148109111213151718[[#This Row],[QTY]]*GroceryList27456148109111213151718[[#This Row],[UNIT PRICE]],"")</f>
        <v>51.99</v>
      </c>
      <c r="GT44" s="105" t="s">
        <v>130</v>
      </c>
      <c r="GU44" s="89">
        <v>60.99</v>
      </c>
    </row>
    <row r="45" spans="2:203" ht="30" customHeight="1" x14ac:dyDescent="0.2">
      <c r="B45" s="87"/>
      <c r="C45" s="99" t="s">
        <v>116</v>
      </c>
      <c r="D45" s="89"/>
      <c r="E45" s="89"/>
      <c r="F45" s="87"/>
      <c r="H45" s="90"/>
      <c r="I45" s="90">
        <f>IFERROR(GroceryList[[#This Row],[QTY]]*GroceryList[[#This Row],[UNIT PRICE]],"")</f>
        <v>0</v>
      </c>
      <c r="J45" s="89"/>
      <c r="M45" s="87"/>
      <c r="N45" s="99" t="s">
        <v>116</v>
      </c>
      <c r="O45" s="89"/>
      <c r="P45" s="89"/>
      <c r="Q45" s="87"/>
      <c r="S45" s="90"/>
      <c r="T45" s="90">
        <f>IFERROR(GroceryList2[[#This Row],[QTY]]*GroceryList2[[#This Row],[UNIT PRICE]],"")</f>
        <v>0</v>
      </c>
      <c r="U45" s="89"/>
      <c r="Y45" s="87" t="s">
        <v>130</v>
      </c>
      <c r="Z45" s="99" t="s">
        <v>116</v>
      </c>
      <c r="AA45" s="89"/>
      <c r="AB45" s="89"/>
      <c r="AC45" s="87">
        <v>0</v>
      </c>
      <c r="AE45" s="90">
        <v>70</v>
      </c>
      <c r="AF45" s="90">
        <f>IFERROR(GroceryList27[[#This Row],[QTY]]*GroceryList27[[#This Row],[UNIT PRICE]],"")</f>
        <v>0</v>
      </c>
      <c r="AG45" s="89"/>
      <c r="AM45" s="87" t="s">
        <v>130</v>
      </c>
      <c r="AN45" s="105" t="s">
        <v>116</v>
      </c>
      <c r="AO45" s="110"/>
      <c r="AP45" s="110" t="s">
        <v>92</v>
      </c>
      <c r="AQ45" s="87">
        <v>0</v>
      </c>
      <c r="AS45" s="109">
        <v>70</v>
      </c>
      <c r="AT45" s="109">
        <f>IFERROR(GroceryList274[[#This Row],[QTY]]*GroceryList274[[#This Row],[UNIT PRICE]],"")</f>
        <v>0</v>
      </c>
      <c r="AU45" s="89"/>
      <c r="AY45" s="87" t="s">
        <v>130</v>
      </c>
      <c r="AZ45" s="105" t="s">
        <v>115</v>
      </c>
      <c r="BA45" s="110" t="s">
        <v>134</v>
      </c>
      <c r="BB45" s="110" t="s">
        <v>91</v>
      </c>
      <c r="BC45" s="84">
        <v>0</v>
      </c>
      <c r="BE45" s="109">
        <v>22.99</v>
      </c>
      <c r="BF45" s="109">
        <f>IFERROR(GroceryList2745[[#This Row],[QTY]]*GroceryList2745[[#This Row],[UNIT PRICE]],"")</f>
        <v>0</v>
      </c>
      <c r="BG45" s="89"/>
      <c r="BJ45" s="87" t="s">
        <v>130</v>
      </c>
      <c r="BK45" s="105" t="s">
        <v>115</v>
      </c>
      <c r="BL45" s="110" t="s">
        <v>134</v>
      </c>
      <c r="BM45" s="110" t="s">
        <v>91</v>
      </c>
      <c r="BN45" s="84">
        <v>0</v>
      </c>
      <c r="BP45" s="109">
        <v>22.99</v>
      </c>
      <c r="BQ45" s="109">
        <f>IFERROR(GroceryList27456[[#This Row],[QTY]]*GroceryList27456[[#This Row],[UNIT PRICE]],"")</f>
        <v>0</v>
      </c>
      <c r="BR45" s="105" t="s">
        <v>169</v>
      </c>
      <c r="BS45" s="89"/>
      <c r="BV45" s="87" t="s">
        <v>130</v>
      </c>
      <c r="BW45" s="105" t="s">
        <v>115</v>
      </c>
      <c r="BX45" s="110" t="s">
        <v>134</v>
      </c>
      <c r="BY45" s="110" t="s">
        <v>91</v>
      </c>
      <c r="BZ45" s="84">
        <v>0</v>
      </c>
      <c r="CB45" s="109">
        <v>22.99</v>
      </c>
      <c r="CC45" s="109">
        <f>IFERROR(GroceryList2745614[[#This Row],[QTY]]*GroceryList2745614[[#This Row],[UNIT PRICE]],"")</f>
        <v>0</v>
      </c>
      <c r="CD45" s="105" t="s">
        <v>169</v>
      </c>
      <c r="CE45" s="89"/>
      <c r="CH45" s="87" t="s">
        <v>130</v>
      </c>
      <c r="CI45" s="105" t="s">
        <v>115</v>
      </c>
      <c r="CJ45" s="110" t="s">
        <v>134</v>
      </c>
      <c r="CK45" s="110" t="s">
        <v>91</v>
      </c>
      <c r="CL45" s="84">
        <v>0</v>
      </c>
      <c r="CN45" s="109">
        <v>22.99</v>
      </c>
      <c r="CO45" s="109">
        <f>IFERROR(GroceryList27456148[[#This Row],[QTY]]*GroceryList27456148[[#This Row],[UNIT PRICE]],"")</f>
        <v>0</v>
      </c>
      <c r="CP45" s="105" t="s">
        <v>169</v>
      </c>
      <c r="CQ45" s="89"/>
      <c r="CT45" s="87" t="s">
        <v>130</v>
      </c>
      <c r="CU45" s="105" t="s">
        <v>115</v>
      </c>
      <c r="CV45" s="110" t="s">
        <v>134</v>
      </c>
      <c r="CW45" s="110" t="s">
        <v>91</v>
      </c>
      <c r="CX45" s="84">
        <v>1</v>
      </c>
      <c r="CZ45" s="109">
        <v>26.99</v>
      </c>
      <c r="DA45" s="109">
        <f>IFERROR(GroceryList2745614810[[#This Row],[QTY]]*GroceryList2745614810[[#This Row],[UNIT PRICE]],"")</f>
        <v>26.99</v>
      </c>
      <c r="DB45" s="105" t="s">
        <v>169</v>
      </c>
      <c r="DC45" s="89">
        <v>35.99</v>
      </c>
      <c r="DF45" s="87" t="s">
        <v>130</v>
      </c>
      <c r="DG45" s="105" t="s">
        <v>115</v>
      </c>
      <c r="DH45" s="110" t="s">
        <v>134</v>
      </c>
      <c r="DI45" s="110" t="s">
        <v>91</v>
      </c>
      <c r="DJ45" s="84">
        <v>0</v>
      </c>
      <c r="DL45" s="109">
        <v>22.99</v>
      </c>
      <c r="DM45" s="109">
        <f>IFERROR(GroceryList27456148109[[#This Row],[QTY]]*GroceryList27456148109[[#This Row],[UNIT PRICE]],"")</f>
        <v>0</v>
      </c>
      <c r="DN45" s="105" t="s">
        <v>169</v>
      </c>
      <c r="DO45" s="89"/>
      <c r="DR45" s="87" t="s">
        <v>130</v>
      </c>
      <c r="DS45" s="105" t="s">
        <v>115</v>
      </c>
      <c r="DT45" s="110" t="s">
        <v>134</v>
      </c>
      <c r="DU45" s="110" t="s">
        <v>91</v>
      </c>
      <c r="DV45" s="84">
        <v>0</v>
      </c>
      <c r="DX45" s="109">
        <v>22.99</v>
      </c>
      <c r="DY45" s="109">
        <f>IFERROR(GroceryList2745614810911[[#This Row],[QTY]]*GroceryList2745614810911[[#This Row],[UNIT PRICE]],"")</f>
        <v>0</v>
      </c>
      <c r="DZ45" s="105" t="s">
        <v>169</v>
      </c>
      <c r="EA45" s="89"/>
      <c r="ED45" s="87" t="s">
        <v>130</v>
      </c>
      <c r="EE45" s="105" t="s">
        <v>115</v>
      </c>
      <c r="EF45" s="110" t="s">
        <v>134</v>
      </c>
      <c r="EG45" s="110" t="s">
        <v>91</v>
      </c>
      <c r="EH45" s="84">
        <v>0</v>
      </c>
      <c r="EJ45" s="109">
        <v>22.99</v>
      </c>
      <c r="EK45" s="109">
        <f>IFERROR(GroceryList274561481091112[[#This Row],[QTY]]*GroceryList274561481091112[[#This Row],[UNIT PRICE]],"")</f>
        <v>0</v>
      </c>
      <c r="EL45" s="105" t="s">
        <v>169</v>
      </c>
      <c r="EM45" s="89"/>
      <c r="EP45" s="87" t="s">
        <v>130</v>
      </c>
      <c r="EQ45" s="105" t="s">
        <v>115</v>
      </c>
      <c r="ER45" s="110" t="s">
        <v>134</v>
      </c>
      <c r="ES45" s="110" t="s">
        <v>91</v>
      </c>
      <c r="ET45" s="84">
        <v>0</v>
      </c>
      <c r="EV45" s="109">
        <v>22.99</v>
      </c>
      <c r="EW45" s="109">
        <f>IFERROR(GroceryList27456148109111213[[#This Row],[QTY]]*GroceryList27456148109111213[[#This Row],[UNIT PRICE]],"")</f>
        <v>0</v>
      </c>
      <c r="EX45" s="105" t="s">
        <v>169</v>
      </c>
      <c r="EY45" s="89"/>
      <c r="FB45" s="87" t="s">
        <v>130</v>
      </c>
      <c r="FC45" s="105" t="s">
        <v>115</v>
      </c>
      <c r="FD45" s="110" t="s">
        <v>134</v>
      </c>
      <c r="FE45" s="110" t="s">
        <v>91</v>
      </c>
      <c r="FF45" s="84">
        <v>0</v>
      </c>
      <c r="FH45" s="109">
        <v>22.99</v>
      </c>
      <c r="FI45" s="109">
        <f>IFERROR(GroceryList2745614810911121315[[#This Row],[QTY]]*GroceryList2745614810911121315[[#This Row],[UNIT PRICE]],"")</f>
        <v>0</v>
      </c>
      <c r="FJ45" s="105" t="s">
        <v>169</v>
      </c>
      <c r="FK45" s="89"/>
      <c r="FN45" s="87" t="s">
        <v>130</v>
      </c>
      <c r="FO45" s="105" t="s">
        <v>115</v>
      </c>
      <c r="FP45" s="110" t="s">
        <v>134</v>
      </c>
      <c r="FQ45" s="110" t="s">
        <v>91</v>
      </c>
      <c r="FR45" s="84">
        <v>1</v>
      </c>
      <c r="FT45" s="109">
        <v>22.99</v>
      </c>
      <c r="FU45" s="109">
        <f>IFERROR(GroceryList274561481091112131516[[#This Row],[QTY]]*GroceryList274561481091112131516[[#This Row],[UNIT PRICE]],"")</f>
        <v>22.99</v>
      </c>
      <c r="FV45" s="105" t="s">
        <v>169</v>
      </c>
      <c r="FW45" s="89"/>
      <c r="FZ45" s="87" t="s">
        <v>130</v>
      </c>
      <c r="GA45" s="105" t="s">
        <v>115</v>
      </c>
      <c r="GB45" s="110" t="s">
        <v>134</v>
      </c>
      <c r="GC45" s="110" t="s">
        <v>91</v>
      </c>
      <c r="GD45" s="84">
        <v>2</v>
      </c>
      <c r="GF45" s="109">
        <v>34.19</v>
      </c>
      <c r="GG45" s="109">
        <f>IFERROR(GroceryList274561481091112131517[[#This Row],[QTY]]*GroceryList274561481091112131517[[#This Row],[UNIT PRICE]],"")</f>
        <v>68.38</v>
      </c>
      <c r="GH45" s="105" t="s">
        <v>169</v>
      </c>
      <c r="GI45" s="89"/>
      <c r="GL45" s="87" t="s">
        <v>130</v>
      </c>
      <c r="GM45" s="105" t="s">
        <v>115</v>
      </c>
      <c r="GN45" s="110" t="s">
        <v>134</v>
      </c>
      <c r="GO45" s="110" t="s">
        <v>91</v>
      </c>
      <c r="GP45" s="84">
        <v>2</v>
      </c>
      <c r="GR45" s="109">
        <v>34.19</v>
      </c>
      <c r="GS45" s="109">
        <f>IFERROR(GroceryList27456148109111213151718[[#This Row],[QTY]]*GroceryList27456148109111213151718[[#This Row],[UNIT PRICE]],"")</f>
        <v>68.38</v>
      </c>
      <c r="GT45" s="105" t="s">
        <v>169</v>
      </c>
      <c r="GU45" s="89"/>
    </row>
    <row r="46" spans="2:203" ht="30" customHeight="1" x14ac:dyDescent="0.2">
      <c r="B46" s="87"/>
      <c r="C46" s="99" t="s">
        <v>117</v>
      </c>
      <c r="D46" s="89"/>
      <c r="E46" s="89"/>
      <c r="F46" s="87"/>
      <c r="H46" s="90"/>
      <c r="I46" s="90">
        <f>IFERROR(GroceryList[[#This Row],[QTY]]*GroceryList[[#This Row],[UNIT PRICE]],"")</f>
        <v>0</v>
      </c>
      <c r="J46" s="89"/>
      <c r="M46" s="87"/>
      <c r="N46" s="99" t="s">
        <v>117</v>
      </c>
      <c r="O46" s="89"/>
      <c r="P46" s="89"/>
      <c r="Q46" s="87"/>
      <c r="S46" s="90"/>
      <c r="T46" s="90">
        <f>IFERROR(GroceryList2[[#This Row],[QTY]]*GroceryList2[[#This Row],[UNIT PRICE]],"")</f>
        <v>0</v>
      </c>
      <c r="U46" s="89"/>
      <c r="Y46" s="87" t="s">
        <v>130</v>
      </c>
      <c r="Z46" s="99" t="s">
        <v>117</v>
      </c>
      <c r="AA46" s="89"/>
      <c r="AB46" s="89"/>
      <c r="AC46" s="87">
        <v>1</v>
      </c>
      <c r="AE46" s="90">
        <v>50</v>
      </c>
      <c r="AF46" s="90">
        <f>IFERROR(GroceryList27[[#This Row],[QTY]]*GroceryList27[[#This Row],[UNIT PRICE]],"")</f>
        <v>50</v>
      </c>
      <c r="AG46" s="89"/>
      <c r="AM46" s="87" t="s">
        <v>130</v>
      </c>
      <c r="AN46" s="105" t="s">
        <v>117</v>
      </c>
      <c r="AO46" s="110"/>
      <c r="AP46" s="110" t="s">
        <v>92</v>
      </c>
      <c r="AQ46" s="87">
        <v>0</v>
      </c>
      <c r="AS46" s="109">
        <v>50</v>
      </c>
      <c r="AT46" s="109">
        <f>IFERROR(GroceryList274[[#This Row],[QTY]]*GroceryList274[[#This Row],[UNIT PRICE]],"")</f>
        <v>0</v>
      </c>
      <c r="AU46" s="89"/>
      <c r="AY46" s="87" t="s">
        <v>130</v>
      </c>
      <c r="AZ46" s="105" t="s">
        <v>116</v>
      </c>
      <c r="BA46" s="110"/>
      <c r="BB46" s="110" t="s">
        <v>92</v>
      </c>
      <c r="BC46" s="84">
        <v>0</v>
      </c>
      <c r="BE46" s="109">
        <v>70</v>
      </c>
      <c r="BF46" s="109">
        <f>IFERROR(GroceryList2745[[#This Row],[QTY]]*GroceryList2745[[#This Row],[UNIT PRICE]],"")</f>
        <v>0</v>
      </c>
      <c r="BG46" s="89"/>
      <c r="BJ46" s="87" t="s">
        <v>130</v>
      </c>
      <c r="BK46" s="105" t="s">
        <v>116</v>
      </c>
      <c r="BL46" s="110"/>
      <c r="BM46" s="110" t="s">
        <v>92</v>
      </c>
      <c r="BN46" s="84">
        <v>0</v>
      </c>
      <c r="BP46" s="109">
        <v>70</v>
      </c>
      <c r="BQ46" s="109">
        <f>IFERROR(GroceryList27456[[#This Row],[QTY]]*GroceryList27456[[#This Row],[UNIT PRICE]],"")</f>
        <v>0</v>
      </c>
      <c r="BR46" s="105" t="s">
        <v>169</v>
      </c>
      <c r="BS46" s="89"/>
      <c r="BV46" s="87" t="s">
        <v>130</v>
      </c>
      <c r="BW46" s="105" t="s">
        <v>116</v>
      </c>
      <c r="BX46" s="110"/>
      <c r="BY46" s="110" t="s">
        <v>92</v>
      </c>
      <c r="BZ46" s="84">
        <v>0</v>
      </c>
      <c r="CB46" s="109">
        <v>70</v>
      </c>
      <c r="CC46" s="109">
        <f>IFERROR(GroceryList2745614[[#This Row],[QTY]]*GroceryList2745614[[#This Row],[UNIT PRICE]],"")</f>
        <v>0</v>
      </c>
      <c r="CD46" s="105" t="s">
        <v>169</v>
      </c>
      <c r="CE46" s="89"/>
      <c r="CH46" s="87" t="s">
        <v>130</v>
      </c>
      <c r="CI46" s="105" t="s">
        <v>116</v>
      </c>
      <c r="CJ46" s="110"/>
      <c r="CK46" s="110" t="s">
        <v>92</v>
      </c>
      <c r="CL46" s="84">
        <v>0</v>
      </c>
      <c r="CN46" s="109">
        <v>70</v>
      </c>
      <c r="CO46" s="109">
        <f>IFERROR(GroceryList27456148[[#This Row],[QTY]]*GroceryList27456148[[#This Row],[UNIT PRICE]],"")</f>
        <v>0</v>
      </c>
      <c r="CP46" s="105" t="s">
        <v>169</v>
      </c>
      <c r="CQ46" s="89"/>
      <c r="CT46" s="87" t="s">
        <v>130</v>
      </c>
      <c r="CU46" s="105" t="s">
        <v>116</v>
      </c>
      <c r="CV46" s="110"/>
      <c r="CW46" s="110" t="s">
        <v>92</v>
      </c>
      <c r="CX46" s="84">
        <v>0</v>
      </c>
      <c r="CZ46" s="109">
        <v>70</v>
      </c>
      <c r="DA46" s="109">
        <f>IFERROR(GroceryList2745614810[[#This Row],[QTY]]*GroceryList2745614810[[#This Row],[UNIT PRICE]],"")</f>
        <v>0</v>
      </c>
      <c r="DB46" s="105" t="s">
        <v>169</v>
      </c>
      <c r="DC46" s="89"/>
      <c r="DF46" s="87" t="s">
        <v>130</v>
      </c>
      <c r="DG46" s="105" t="s">
        <v>116</v>
      </c>
      <c r="DH46" s="110"/>
      <c r="DI46" s="110" t="s">
        <v>92</v>
      </c>
      <c r="DJ46" s="84">
        <v>0</v>
      </c>
      <c r="DL46" s="109">
        <v>70</v>
      </c>
      <c r="DM46" s="109">
        <f>IFERROR(GroceryList27456148109[[#This Row],[QTY]]*GroceryList27456148109[[#This Row],[UNIT PRICE]],"")</f>
        <v>0</v>
      </c>
      <c r="DN46" s="105" t="s">
        <v>169</v>
      </c>
      <c r="DO46" s="89"/>
      <c r="DR46" s="87" t="s">
        <v>130</v>
      </c>
      <c r="DS46" s="105" t="s">
        <v>116</v>
      </c>
      <c r="DT46" s="110"/>
      <c r="DU46" s="110" t="s">
        <v>92</v>
      </c>
      <c r="DV46" s="84">
        <v>0</v>
      </c>
      <c r="DX46" s="109">
        <v>70</v>
      </c>
      <c r="DY46" s="109">
        <f>IFERROR(GroceryList2745614810911[[#This Row],[QTY]]*GroceryList2745614810911[[#This Row],[UNIT PRICE]],"")</f>
        <v>0</v>
      </c>
      <c r="DZ46" s="105" t="s">
        <v>169</v>
      </c>
      <c r="EA46" s="89"/>
      <c r="ED46" s="87" t="s">
        <v>130</v>
      </c>
      <c r="EE46" s="105" t="s">
        <v>116</v>
      </c>
      <c r="EF46" s="110"/>
      <c r="EG46" s="110" t="s">
        <v>92</v>
      </c>
      <c r="EH46" s="84">
        <v>0</v>
      </c>
      <c r="EJ46" s="109">
        <v>70</v>
      </c>
      <c r="EK46" s="109">
        <f>IFERROR(GroceryList274561481091112[[#This Row],[QTY]]*GroceryList274561481091112[[#This Row],[UNIT PRICE]],"")</f>
        <v>0</v>
      </c>
      <c r="EL46" s="105" t="s">
        <v>169</v>
      </c>
      <c r="EM46" s="89"/>
      <c r="EP46" s="87" t="s">
        <v>130</v>
      </c>
      <c r="EQ46" s="105" t="s">
        <v>116</v>
      </c>
      <c r="ER46" s="110"/>
      <c r="ES46" s="110" t="s">
        <v>92</v>
      </c>
      <c r="ET46" s="84">
        <v>0</v>
      </c>
      <c r="EV46" s="109">
        <v>70</v>
      </c>
      <c r="EW46" s="109">
        <f>IFERROR(GroceryList27456148109111213[[#This Row],[QTY]]*GroceryList27456148109111213[[#This Row],[UNIT PRICE]],"")</f>
        <v>0</v>
      </c>
      <c r="EX46" s="105" t="s">
        <v>169</v>
      </c>
      <c r="EY46" s="89"/>
      <c r="FB46" s="87" t="s">
        <v>130</v>
      </c>
      <c r="FC46" s="105" t="s">
        <v>116</v>
      </c>
      <c r="FD46" s="110"/>
      <c r="FE46" s="110" t="s">
        <v>92</v>
      </c>
      <c r="FF46" s="84">
        <v>0</v>
      </c>
      <c r="FH46" s="109">
        <v>70</v>
      </c>
      <c r="FI46" s="109">
        <f>IFERROR(GroceryList2745614810911121315[[#This Row],[QTY]]*GroceryList2745614810911121315[[#This Row],[UNIT PRICE]],"")</f>
        <v>0</v>
      </c>
      <c r="FJ46" s="105" t="s">
        <v>169</v>
      </c>
      <c r="FK46" s="89"/>
      <c r="FN46" s="87" t="s">
        <v>130</v>
      </c>
      <c r="FO46" s="105" t="s">
        <v>116</v>
      </c>
      <c r="FP46" s="110"/>
      <c r="FQ46" s="110" t="s">
        <v>92</v>
      </c>
      <c r="FR46" s="84">
        <v>0</v>
      </c>
      <c r="FT46" s="109">
        <v>70</v>
      </c>
      <c r="FU46" s="109">
        <f>IFERROR(GroceryList274561481091112131516[[#This Row],[QTY]]*GroceryList274561481091112131516[[#This Row],[UNIT PRICE]],"")</f>
        <v>0</v>
      </c>
      <c r="FV46" s="105" t="s">
        <v>169</v>
      </c>
      <c r="FW46" s="89"/>
      <c r="FZ46" s="87" t="s">
        <v>130</v>
      </c>
      <c r="GA46" s="105" t="s">
        <v>339</v>
      </c>
      <c r="GB46" s="110"/>
      <c r="GC46" s="110" t="s">
        <v>92</v>
      </c>
      <c r="GD46" s="84">
        <v>1</v>
      </c>
      <c r="GF46" s="109">
        <f>57.99+4.99</f>
        <v>62.980000000000004</v>
      </c>
      <c r="GG46" s="109">
        <f>IFERROR(GroceryList274561481091112131517[[#This Row],[QTY]]*GroceryList274561481091112131517[[#This Row],[UNIT PRICE]],"")</f>
        <v>62.980000000000004</v>
      </c>
      <c r="GH46" s="105" t="s">
        <v>169</v>
      </c>
      <c r="GI46" s="89"/>
      <c r="GL46" s="87" t="s">
        <v>130</v>
      </c>
      <c r="GM46" s="105" t="s">
        <v>339</v>
      </c>
      <c r="GN46" s="110"/>
      <c r="GO46" s="110" t="s">
        <v>92</v>
      </c>
      <c r="GP46" s="84">
        <v>1</v>
      </c>
      <c r="GR46" s="109">
        <f>57.99+4.99</f>
        <v>62.980000000000004</v>
      </c>
      <c r="GS46" s="109">
        <f>IFERROR(GroceryList27456148109111213151718[[#This Row],[QTY]]*GroceryList27456148109111213151718[[#This Row],[UNIT PRICE]],"")</f>
        <v>62.980000000000004</v>
      </c>
      <c r="GT46" s="105" t="s">
        <v>169</v>
      </c>
      <c r="GU46" s="89"/>
    </row>
    <row r="47" spans="2:203" ht="30" hidden="1" customHeight="1" x14ac:dyDescent="0.2">
      <c r="B47" s="87"/>
      <c r="C47" s="99" t="s">
        <v>118</v>
      </c>
      <c r="D47" s="89" t="s">
        <v>134</v>
      </c>
      <c r="E47" s="89" t="s">
        <v>90</v>
      </c>
      <c r="F47" s="87">
        <v>1</v>
      </c>
      <c r="H47" s="90">
        <v>38</v>
      </c>
      <c r="I47" s="90">
        <f>IFERROR(GroceryList[[#This Row],[QTY]]*GroceryList[[#This Row],[UNIT PRICE]],"")</f>
        <v>38</v>
      </c>
      <c r="J47" s="89"/>
      <c r="M47" s="87"/>
      <c r="N47" s="99" t="s">
        <v>118</v>
      </c>
      <c r="O47" s="89" t="s">
        <v>134</v>
      </c>
      <c r="P47" s="89" t="s">
        <v>90</v>
      </c>
      <c r="Q47" s="87"/>
      <c r="S47" s="90">
        <v>38</v>
      </c>
      <c r="T47" s="90">
        <f>IFERROR(GroceryList2[[#This Row],[QTY]]*GroceryList2[[#This Row],[UNIT PRICE]],"")</f>
        <v>0</v>
      </c>
      <c r="U47" s="89"/>
      <c r="Y47" s="87" t="s">
        <v>130</v>
      </c>
      <c r="Z47" s="99" t="s">
        <v>118</v>
      </c>
      <c r="AA47" s="89" t="s">
        <v>134</v>
      </c>
      <c r="AB47" s="89" t="s">
        <v>90</v>
      </c>
      <c r="AC47" s="87">
        <v>1</v>
      </c>
      <c r="AE47" s="90">
        <v>80</v>
      </c>
      <c r="AF47" s="90">
        <f>IFERROR(GroceryList27[[#This Row],[QTY]]*GroceryList27[[#This Row],[UNIT PRICE]],"")</f>
        <v>80</v>
      </c>
      <c r="AG47" s="89"/>
      <c r="AM47" s="87" t="s">
        <v>130</v>
      </c>
      <c r="AN47" s="105" t="s">
        <v>118</v>
      </c>
      <c r="AO47" s="110" t="s">
        <v>134</v>
      </c>
      <c r="AP47" s="110" t="s">
        <v>90</v>
      </c>
      <c r="AQ47" s="87">
        <v>0</v>
      </c>
      <c r="AS47" s="109">
        <v>80</v>
      </c>
      <c r="AT47" s="109">
        <f>IFERROR(GroceryList274[[#This Row],[QTY]]*GroceryList274[[#This Row],[UNIT PRICE]],"")</f>
        <v>0</v>
      </c>
      <c r="AU47" s="89"/>
      <c r="AY47" s="84"/>
      <c r="AZ47" s="107" t="s">
        <v>165</v>
      </c>
      <c r="BA47" s="108" t="s">
        <v>134</v>
      </c>
      <c r="BB47" s="108" t="s">
        <v>91</v>
      </c>
      <c r="BC47" s="84">
        <v>1</v>
      </c>
      <c r="BD47" s="83"/>
      <c r="BE47" s="109">
        <v>36.99</v>
      </c>
      <c r="BF47" s="109">
        <f>IFERROR(GroceryList2745[[#This Row],[QTY]]*GroceryList2745[[#This Row],[UNIT PRICE]],"")</f>
        <v>36.99</v>
      </c>
      <c r="BG47"/>
      <c r="BJ47" s="84"/>
      <c r="BK47" s="107" t="s">
        <v>165</v>
      </c>
      <c r="BL47" s="108" t="s">
        <v>134</v>
      </c>
      <c r="BM47" s="108" t="s">
        <v>91</v>
      </c>
      <c r="BN47" s="84">
        <v>0</v>
      </c>
      <c r="BO47" s="83"/>
      <c r="BP47" s="109">
        <v>36.99</v>
      </c>
      <c r="BQ47" s="109">
        <f>IFERROR(GroceryList27456[[#This Row],[QTY]]*GroceryList27456[[#This Row],[UNIT PRICE]],"")</f>
        <v>0</v>
      </c>
      <c r="BR47" s="111" t="s">
        <v>169</v>
      </c>
      <c r="BS47"/>
      <c r="BV47" s="84"/>
      <c r="BW47" s="107" t="s">
        <v>165</v>
      </c>
      <c r="BX47" s="108" t="s">
        <v>134</v>
      </c>
      <c r="BY47" s="108" t="s">
        <v>91</v>
      </c>
      <c r="BZ47" s="84">
        <v>0</v>
      </c>
      <c r="CA47" s="83"/>
      <c r="CB47" s="109">
        <v>36.99</v>
      </c>
      <c r="CC47" s="109">
        <f>IFERROR(GroceryList2745614[[#This Row],[QTY]]*GroceryList2745614[[#This Row],[UNIT PRICE]],"")</f>
        <v>0</v>
      </c>
      <c r="CD47" s="111" t="s">
        <v>169</v>
      </c>
      <c r="CE47"/>
      <c r="CH47" s="84"/>
      <c r="CI47" s="107" t="s">
        <v>165</v>
      </c>
      <c r="CJ47" s="108" t="s">
        <v>134</v>
      </c>
      <c r="CK47" s="108" t="s">
        <v>91</v>
      </c>
      <c r="CL47" s="84">
        <v>0</v>
      </c>
      <c r="CM47" s="83"/>
      <c r="CN47" s="109">
        <v>36.99</v>
      </c>
      <c r="CO47" s="109">
        <f>IFERROR(GroceryList27456148[[#This Row],[QTY]]*GroceryList27456148[[#This Row],[UNIT PRICE]],"")</f>
        <v>0</v>
      </c>
      <c r="CP47" s="111" t="s">
        <v>169</v>
      </c>
      <c r="CQ47"/>
      <c r="CT47" s="84"/>
      <c r="CU47" s="107" t="s">
        <v>165</v>
      </c>
      <c r="CV47" s="108" t="s">
        <v>134</v>
      </c>
      <c r="CW47" s="108" t="s">
        <v>91</v>
      </c>
      <c r="CX47" s="84">
        <v>0</v>
      </c>
      <c r="CY47" s="83"/>
      <c r="CZ47" s="109">
        <v>36.99</v>
      </c>
      <c r="DA47" s="109">
        <f>IFERROR(GroceryList2745614810[[#This Row],[QTY]]*GroceryList2745614810[[#This Row],[UNIT PRICE]],"")</f>
        <v>0</v>
      </c>
      <c r="DB47" s="111" t="s">
        <v>169</v>
      </c>
      <c r="DC47"/>
      <c r="DF47" s="84"/>
      <c r="DG47" s="107" t="s">
        <v>165</v>
      </c>
      <c r="DH47" s="108" t="s">
        <v>134</v>
      </c>
      <c r="DI47" s="108" t="s">
        <v>91</v>
      </c>
      <c r="DJ47" s="84">
        <v>0</v>
      </c>
      <c r="DK47" s="83"/>
      <c r="DL47" s="109">
        <v>36.99</v>
      </c>
      <c r="DM47" s="109">
        <f>IFERROR(GroceryList27456148109[[#This Row],[QTY]]*GroceryList27456148109[[#This Row],[UNIT PRICE]],"")</f>
        <v>0</v>
      </c>
      <c r="DN47" s="111" t="s">
        <v>169</v>
      </c>
      <c r="DO47"/>
      <c r="DR47" s="84"/>
      <c r="DS47" s="107" t="s">
        <v>165</v>
      </c>
      <c r="DT47" s="108" t="s">
        <v>134</v>
      </c>
      <c r="DU47" s="108" t="s">
        <v>91</v>
      </c>
      <c r="DV47" s="84">
        <v>0</v>
      </c>
      <c r="DW47" s="83"/>
      <c r="DX47" s="109">
        <v>36.99</v>
      </c>
      <c r="DY47" s="109">
        <f>IFERROR(GroceryList2745614810911[[#This Row],[QTY]]*GroceryList2745614810911[[#This Row],[UNIT PRICE]],"")</f>
        <v>0</v>
      </c>
      <c r="DZ47" s="111" t="s">
        <v>169</v>
      </c>
      <c r="EA47"/>
      <c r="ED47" s="84"/>
      <c r="EE47" s="107" t="s">
        <v>165</v>
      </c>
      <c r="EF47" s="108" t="s">
        <v>134</v>
      </c>
      <c r="EG47" s="108" t="s">
        <v>91</v>
      </c>
      <c r="EH47" s="84">
        <v>1</v>
      </c>
      <c r="EI47" s="83"/>
      <c r="EJ47" s="109">
        <v>35.14</v>
      </c>
      <c r="EK47" s="109">
        <f>IFERROR(GroceryList274561481091112[[#This Row],[QTY]]*GroceryList274561481091112[[#This Row],[UNIT PRICE]],"")</f>
        <v>35.14</v>
      </c>
      <c r="EL47" s="111" t="s">
        <v>169</v>
      </c>
      <c r="EM47" s="116">
        <v>37</v>
      </c>
      <c r="EP47" s="84"/>
      <c r="EQ47" s="107" t="s">
        <v>165</v>
      </c>
      <c r="ER47" s="108" t="s">
        <v>134</v>
      </c>
      <c r="ES47" s="108" t="s">
        <v>91</v>
      </c>
      <c r="ET47" s="84">
        <v>0</v>
      </c>
      <c r="EU47" s="83"/>
      <c r="EV47" s="109">
        <v>35.14</v>
      </c>
      <c r="EW47" s="109">
        <f>IFERROR(GroceryList27456148109111213[[#This Row],[QTY]]*GroceryList27456148109111213[[#This Row],[UNIT PRICE]],"")</f>
        <v>0</v>
      </c>
      <c r="EX47" s="111" t="s">
        <v>169</v>
      </c>
      <c r="EY47" s="116">
        <v>37</v>
      </c>
      <c r="FB47" s="84"/>
      <c r="FC47" s="107" t="s">
        <v>165</v>
      </c>
      <c r="FD47" s="108" t="s">
        <v>134</v>
      </c>
      <c r="FE47" s="108" t="s">
        <v>91</v>
      </c>
      <c r="FF47" s="84">
        <v>0</v>
      </c>
      <c r="FG47" s="83"/>
      <c r="FH47" s="109">
        <v>35.14</v>
      </c>
      <c r="FI47" s="109">
        <f>IFERROR(GroceryList2745614810911121315[[#This Row],[QTY]]*GroceryList2745614810911121315[[#This Row],[UNIT PRICE]],"")</f>
        <v>0</v>
      </c>
      <c r="FJ47" s="111" t="s">
        <v>169</v>
      </c>
      <c r="FK47" s="116">
        <v>37</v>
      </c>
      <c r="FN47" s="84"/>
      <c r="FO47" s="107" t="s">
        <v>165</v>
      </c>
      <c r="FP47" s="108" t="s">
        <v>134</v>
      </c>
      <c r="FQ47" s="108" t="s">
        <v>91</v>
      </c>
      <c r="FR47" s="84">
        <v>0</v>
      </c>
      <c r="FS47" s="83"/>
      <c r="FT47" s="109">
        <v>35.14</v>
      </c>
      <c r="FU47" s="109">
        <f>IFERROR(GroceryList274561481091112131516[[#This Row],[QTY]]*GroceryList274561481091112131516[[#This Row],[UNIT PRICE]],"")</f>
        <v>0</v>
      </c>
      <c r="FV47" s="111" t="s">
        <v>169</v>
      </c>
      <c r="FW47" s="116">
        <v>37</v>
      </c>
      <c r="FZ47" s="84"/>
      <c r="GA47" s="107" t="s">
        <v>165</v>
      </c>
      <c r="GB47" s="108" t="s">
        <v>134</v>
      </c>
      <c r="GC47" s="108" t="s">
        <v>91</v>
      </c>
      <c r="GD47" s="84">
        <v>0</v>
      </c>
      <c r="GE47" s="83"/>
      <c r="GF47" s="109">
        <v>35.14</v>
      </c>
      <c r="GG47" s="109">
        <f>IFERROR(GroceryList274561481091112131517[[#This Row],[QTY]]*GroceryList274561481091112131517[[#This Row],[UNIT PRICE]],"")</f>
        <v>0</v>
      </c>
      <c r="GH47" s="111" t="s">
        <v>169</v>
      </c>
      <c r="GI47" s="116">
        <v>37</v>
      </c>
      <c r="GL47" s="84"/>
      <c r="GM47" s="107" t="s">
        <v>165</v>
      </c>
      <c r="GN47" s="108" t="s">
        <v>134</v>
      </c>
      <c r="GO47" s="108" t="s">
        <v>91</v>
      </c>
      <c r="GP47" s="84">
        <v>0</v>
      </c>
      <c r="GQ47" s="83"/>
      <c r="GR47" s="109">
        <v>35.14</v>
      </c>
      <c r="GS47" s="109">
        <f>IFERROR(GroceryList27456148109111213151718[[#This Row],[QTY]]*GroceryList27456148109111213151718[[#This Row],[UNIT PRICE]],"")</f>
        <v>0</v>
      </c>
      <c r="GT47" s="111" t="s">
        <v>169</v>
      </c>
      <c r="GU47" s="116">
        <v>37</v>
      </c>
    </row>
    <row r="48" spans="2:203" ht="30" customHeight="1" x14ac:dyDescent="0.2">
      <c r="B48" s="87"/>
      <c r="C48" s="102" t="s">
        <v>148</v>
      </c>
      <c r="D48" t="s">
        <v>134</v>
      </c>
      <c r="E48" t="s">
        <v>91</v>
      </c>
      <c r="F48" s="87">
        <v>0.5</v>
      </c>
      <c r="H48" s="90">
        <v>61.73</v>
      </c>
      <c r="I48" s="90">
        <f>IFERROR(GroceryList[[#This Row],[QTY]]*GroceryList[[#This Row],[UNIT PRICE]],"")</f>
        <v>30.864999999999998</v>
      </c>
      <c r="J48"/>
      <c r="M48" s="87"/>
      <c r="N48" s="102" t="s">
        <v>148</v>
      </c>
      <c r="O48" t="s">
        <v>134</v>
      </c>
      <c r="P48" t="s">
        <v>91</v>
      </c>
      <c r="Q48" s="87"/>
      <c r="S48" s="90">
        <v>61.73</v>
      </c>
      <c r="T48" s="90">
        <f>IFERROR(GroceryList2[[#This Row],[QTY]]*GroceryList2[[#This Row],[UNIT PRICE]],"")</f>
        <v>0</v>
      </c>
      <c r="U48"/>
      <c r="Y48" s="87"/>
      <c r="Z48" s="102" t="s">
        <v>148</v>
      </c>
      <c r="AA48" t="s">
        <v>134</v>
      </c>
      <c r="AB48" t="s">
        <v>91</v>
      </c>
      <c r="AC48" s="87"/>
      <c r="AE48" s="90">
        <v>61.73</v>
      </c>
      <c r="AF48" s="90">
        <f>IFERROR(GroceryList27[[#This Row],[QTY]]*GroceryList27[[#This Row],[UNIT PRICE]],"")</f>
        <v>0</v>
      </c>
      <c r="AG48"/>
      <c r="AM48" s="87"/>
      <c r="AN48" s="107" t="s">
        <v>148</v>
      </c>
      <c r="AO48" s="108" t="s">
        <v>134</v>
      </c>
      <c r="AP48" s="108" t="s">
        <v>91</v>
      </c>
      <c r="AQ48" s="87">
        <v>0.5</v>
      </c>
      <c r="AS48" s="109">
        <v>61.73</v>
      </c>
      <c r="AT48" s="109">
        <f>IFERROR(GroceryList274[[#This Row],[QTY]]*GroceryList274[[#This Row],[UNIT PRICE]],"")</f>
        <v>30.864999999999998</v>
      </c>
      <c r="AU48"/>
      <c r="AY48" s="87" t="s">
        <v>130</v>
      </c>
      <c r="AZ48" s="105" t="s">
        <v>118</v>
      </c>
      <c r="BA48" s="110" t="s">
        <v>134</v>
      </c>
      <c r="BB48" s="110" t="s">
        <v>90</v>
      </c>
      <c r="BC48" s="84">
        <v>0</v>
      </c>
      <c r="BE48" s="109">
        <v>80</v>
      </c>
      <c r="BF48" s="109">
        <f>IFERROR(GroceryList2745[[#This Row],[QTY]]*GroceryList2745[[#This Row],[UNIT PRICE]],"")</f>
        <v>0</v>
      </c>
      <c r="BG48" s="89"/>
      <c r="BJ48" s="87" t="s">
        <v>130</v>
      </c>
      <c r="BK48" s="105" t="s">
        <v>118</v>
      </c>
      <c r="BL48" s="110" t="s">
        <v>134</v>
      </c>
      <c r="BM48" s="110" t="s">
        <v>90</v>
      </c>
      <c r="BN48" s="84">
        <v>0</v>
      </c>
      <c r="BP48" s="109">
        <v>80</v>
      </c>
      <c r="BQ48" s="109">
        <f>IFERROR(GroceryList27456[[#This Row],[QTY]]*GroceryList27456[[#This Row],[UNIT PRICE]],"")</f>
        <v>0</v>
      </c>
      <c r="BR48" s="105" t="s">
        <v>169</v>
      </c>
      <c r="BS48" s="89"/>
      <c r="BV48" s="87" t="s">
        <v>130</v>
      </c>
      <c r="BW48" s="105" t="s">
        <v>118</v>
      </c>
      <c r="BX48" s="110" t="s">
        <v>134</v>
      </c>
      <c r="BY48" s="110" t="s">
        <v>90</v>
      </c>
      <c r="BZ48" s="84">
        <v>1</v>
      </c>
      <c r="CB48" s="109">
        <v>98.79</v>
      </c>
      <c r="CC48" s="109">
        <f>IFERROR(GroceryList2745614[[#This Row],[QTY]]*GroceryList2745614[[#This Row],[UNIT PRICE]],"")</f>
        <v>98.79</v>
      </c>
      <c r="CD48" s="105" t="s">
        <v>130</v>
      </c>
      <c r="CE48" s="89">
        <v>104</v>
      </c>
      <c r="CH48" s="87" t="s">
        <v>130</v>
      </c>
      <c r="CI48" s="105" t="s">
        <v>118</v>
      </c>
      <c r="CJ48" s="110" t="s">
        <v>134</v>
      </c>
      <c r="CK48" s="110" t="s">
        <v>90</v>
      </c>
      <c r="CL48" s="84">
        <v>1</v>
      </c>
      <c r="CN48" s="109">
        <v>83.19</v>
      </c>
      <c r="CO48" s="109">
        <f>IFERROR(GroceryList27456148[[#This Row],[QTY]]*GroceryList27456148[[#This Row],[UNIT PRICE]],"")</f>
        <v>83.19</v>
      </c>
      <c r="CP48" s="105" t="s">
        <v>130</v>
      </c>
      <c r="CQ48" s="89">
        <v>104</v>
      </c>
      <c r="CT48" s="87" t="s">
        <v>130</v>
      </c>
      <c r="CU48" s="105" t="s">
        <v>118</v>
      </c>
      <c r="CV48" s="110" t="s">
        <v>134</v>
      </c>
      <c r="CW48" s="110" t="s">
        <v>90</v>
      </c>
      <c r="CX48" s="84">
        <v>1</v>
      </c>
      <c r="CZ48" s="109">
        <v>119.99</v>
      </c>
      <c r="DA48" s="109">
        <f>IFERROR(GroceryList2745614810[[#This Row],[QTY]]*GroceryList2745614810[[#This Row],[UNIT PRICE]],"")</f>
        <v>119.99</v>
      </c>
      <c r="DB48" s="105" t="s">
        <v>130</v>
      </c>
      <c r="DC48" s="89">
        <v>149.99</v>
      </c>
      <c r="DF48" s="87" t="s">
        <v>130</v>
      </c>
      <c r="DG48" s="105" t="s">
        <v>118</v>
      </c>
      <c r="DH48" s="110" t="s">
        <v>134</v>
      </c>
      <c r="DI48" s="110" t="s">
        <v>90</v>
      </c>
      <c r="DJ48" s="84">
        <v>0</v>
      </c>
      <c r="DL48" s="109">
        <v>83.19</v>
      </c>
      <c r="DM48" s="109">
        <f>IFERROR(GroceryList27456148109[[#This Row],[QTY]]*GroceryList27456148109[[#This Row],[UNIT PRICE]],"")</f>
        <v>0</v>
      </c>
      <c r="DN48" s="105" t="s">
        <v>130</v>
      </c>
      <c r="DO48" s="89">
        <v>104</v>
      </c>
      <c r="DR48" s="87" t="s">
        <v>130</v>
      </c>
      <c r="DS48" s="105" t="s">
        <v>118</v>
      </c>
      <c r="DT48" s="110" t="s">
        <v>134</v>
      </c>
      <c r="DU48" s="110" t="s">
        <v>90</v>
      </c>
      <c r="DV48" s="84">
        <v>1</v>
      </c>
      <c r="DX48" s="109">
        <v>83.19</v>
      </c>
      <c r="DY48" s="109">
        <f>IFERROR(GroceryList2745614810911[[#This Row],[QTY]]*GroceryList2745614810911[[#This Row],[UNIT PRICE]],"")</f>
        <v>83.19</v>
      </c>
      <c r="DZ48" s="105" t="s">
        <v>130</v>
      </c>
      <c r="EA48" s="89">
        <v>104</v>
      </c>
      <c r="ED48" s="87" t="s">
        <v>130</v>
      </c>
      <c r="EE48" s="105" t="s">
        <v>118</v>
      </c>
      <c r="EF48" s="110" t="s">
        <v>134</v>
      </c>
      <c r="EG48" s="110" t="s">
        <v>90</v>
      </c>
      <c r="EH48" s="84">
        <v>0</v>
      </c>
      <c r="EJ48" s="109">
        <v>83.19</v>
      </c>
      <c r="EK48" s="109">
        <f>IFERROR(GroceryList274561481091112[[#This Row],[QTY]]*GroceryList274561481091112[[#This Row],[UNIT PRICE]],"")</f>
        <v>0</v>
      </c>
      <c r="EL48" s="105" t="s">
        <v>130</v>
      </c>
      <c r="EM48" s="89">
        <v>104</v>
      </c>
      <c r="EP48" s="87" t="s">
        <v>130</v>
      </c>
      <c r="EQ48" s="105" t="s">
        <v>118</v>
      </c>
      <c r="ER48" s="110" t="s">
        <v>134</v>
      </c>
      <c r="ES48" s="110" t="s">
        <v>90</v>
      </c>
      <c r="ET48" s="84">
        <v>2</v>
      </c>
      <c r="EV48" s="109">
        <v>83.19</v>
      </c>
      <c r="EW48" s="109">
        <f>IFERROR(GroceryList27456148109111213[[#This Row],[QTY]]*GroceryList27456148109111213[[#This Row],[UNIT PRICE]],"")</f>
        <v>166.38</v>
      </c>
      <c r="EX48" s="105" t="s">
        <v>130</v>
      </c>
      <c r="EY48" s="89">
        <v>104</v>
      </c>
      <c r="FB48" s="87" t="s">
        <v>130</v>
      </c>
      <c r="FC48" s="105" t="s">
        <v>118</v>
      </c>
      <c r="FD48" s="110" t="s">
        <v>134</v>
      </c>
      <c r="FE48" s="110" t="s">
        <v>90</v>
      </c>
      <c r="FF48" s="84">
        <v>0</v>
      </c>
      <c r="FH48" s="109">
        <v>83.19</v>
      </c>
      <c r="FI48" s="109">
        <f>IFERROR(GroceryList2745614810911121315[[#This Row],[QTY]]*GroceryList2745614810911121315[[#This Row],[UNIT PRICE]],"")</f>
        <v>0</v>
      </c>
      <c r="FJ48" s="105" t="s">
        <v>130</v>
      </c>
      <c r="FK48" s="89">
        <v>104</v>
      </c>
      <c r="FN48" s="87" t="s">
        <v>130</v>
      </c>
      <c r="FO48" s="105" t="s">
        <v>118</v>
      </c>
      <c r="FP48" s="110" t="s">
        <v>134</v>
      </c>
      <c r="FQ48" s="110" t="s">
        <v>90</v>
      </c>
      <c r="FR48" s="84">
        <v>0</v>
      </c>
      <c r="FT48" s="109">
        <v>83.19</v>
      </c>
      <c r="FU48" s="109">
        <f>IFERROR(GroceryList274561481091112131516[[#This Row],[QTY]]*GroceryList274561481091112131516[[#This Row],[UNIT PRICE]],"")</f>
        <v>0</v>
      </c>
      <c r="FV48" s="105" t="s">
        <v>130</v>
      </c>
      <c r="FW48" s="89">
        <v>104</v>
      </c>
      <c r="FZ48" s="87" t="s">
        <v>130</v>
      </c>
      <c r="GA48" s="105" t="s">
        <v>118</v>
      </c>
      <c r="GB48" s="110" t="s">
        <v>134</v>
      </c>
      <c r="GC48" s="110" t="s">
        <v>90</v>
      </c>
      <c r="GD48" s="84">
        <v>1</v>
      </c>
      <c r="GF48" s="109">
        <v>120</v>
      </c>
      <c r="GG48" s="109">
        <f>IFERROR(GroceryList274561481091112131517[[#This Row],[QTY]]*GroceryList274561481091112131517[[#This Row],[UNIT PRICE]],"")</f>
        <v>120</v>
      </c>
      <c r="GH48" s="105" t="s">
        <v>130</v>
      </c>
      <c r="GI48" s="89">
        <v>104</v>
      </c>
      <c r="GL48" s="87" t="s">
        <v>130</v>
      </c>
      <c r="GM48" s="105" t="s">
        <v>118</v>
      </c>
      <c r="GN48" s="110" t="s">
        <v>134</v>
      </c>
      <c r="GO48" s="110" t="s">
        <v>90</v>
      </c>
      <c r="GP48" s="84">
        <v>1</v>
      </c>
      <c r="GR48" s="109">
        <v>120</v>
      </c>
      <c r="GS48" s="109">
        <f>IFERROR(GroceryList27456148109111213151718[[#This Row],[QTY]]*GroceryList27456148109111213151718[[#This Row],[UNIT PRICE]],"")</f>
        <v>120</v>
      </c>
      <c r="GT48" s="105" t="s">
        <v>130</v>
      </c>
      <c r="GU48" s="89">
        <v>104</v>
      </c>
    </row>
    <row r="49" spans="2:203" ht="30" hidden="1" customHeight="1" x14ac:dyDescent="0.2">
      <c r="B49" s="87"/>
      <c r="C49" s="99" t="s">
        <v>119</v>
      </c>
      <c r="D49" s="89"/>
      <c r="E49" s="89"/>
      <c r="F49" s="87"/>
      <c r="H49" s="90"/>
      <c r="I49" s="90">
        <f>IFERROR(GroceryList[[#This Row],[QTY]]*GroceryList[[#This Row],[UNIT PRICE]],"")</f>
        <v>0</v>
      </c>
      <c r="J49" s="89"/>
      <c r="M49" s="87"/>
      <c r="N49" s="99" t="s">
        <v>119</v>
      </c>
      <c r="O49" s="89"/>
      <c r="P49" s="89"/>
      <c r="Q49" s="87"/>
      <c r="S49" s="90"/>
      <c r="T49" s="90">
        <f>IFERROR(GroceryList2[[#This Row],[QTY]]*GroceryList2[[#This Row],[UNIT PRICE]],"")</f>
        <v>0</v>
      </c>
      <c r="U49" s="89"/>
      <c r="Y49" s="87"/>
      <c r="Z49" s="99" t="s">
        <v>119</v>
      </c>
      <c r="AA49" s="89"/>
      <c r="AB49" s="89"/>
      <c r="AC49" s="87"/>
      <c r="AE49" s="90"/>
      <c r="AF49" s="90">
        <f>IFERROR(GroceryList27[[#This Row],[QTY]]*GroceryList27[[#This Row],[UNIT PRICE]],"")</f>
        <v>0</v>
      </c>
      <c r="AG49" s="89"/>
      <c r="AM49" s="87" t="s">
        <v>130</v>
      </c>
      <c r="AN49" s="105" t="s">
        <v>119</v>
      </c>
      <c r="AO49" s="110"/>
      <c r="AP49" s="110" t="s">
        <v>89</v>
      </c>
      <c r="AQ49" s="87">
        <v>0</v>
      </c>
      <c r="AS49" s="109"/>
      <c r="AT49" s="109">
        <f>IFERROR(GroceryList274[[#This Row],[QTY]]*GroceryList274[[#This Row],[UNIT PRICE]],"")</f>
        <v>0</v>
      </c>
      <c r="AU49" s="89"/>
      <c r="AY49" s="87"/>
      <c r="AZ49" s="107" t="s">
        <v>148</v>
      </c>
      <c r="BA49" s="108" t="s">
        <v>134</v>
      </c>
      <c r="BB49" s="108" t="s">
        <v>91</v>
      </c>
      <c r="BC49" s="84">
        <v>0</v>
      </c>
      <c r="BE49" s="109">
        <v>61.73</v>
      </c>
      <c r="BF49" s="109">
        <f>IFERROR(GroceryList2745[[#This Row],[QTY]]*GroceryList2745[[#This Row],[UNIT PRICE]],"")</f>
        <v>0</v>
      </c>
      <c r="BG49"/>
      <c r="BJ49" s="87"/>
      <c r="BK49" s="107" t="s">
        <v>148</v>
      </c>
      <c r="BL49" s="108" t="s">
        <v>134</v>
      </c>
      <c r="BM49" s="108" t="s">
        <v>91</v>
      </c>
      <c r="BN49" s="84">
        <v>0</v>
      </c>
      <c r="BP49" s="109">
        <v>61.73</v>
      </c>
      <c r="BQ49" s="109">
        <f>IFERROR(GroceryList27456[[#This Row],[QTY]]*GroceryList27456[[#This Row],[UNIT PRICE]],"")</f>
        <v>0</v>
      </c>
      <c r="BR49" s="111" t="s">
        <v>169</v>
      </c>
      <c r="BS49"/>
      <c r="BV49" s="87"/>
      <c r="BW49" s="107" t="s">
        <v>148</v>
      </c>
      <c r="BX49" s="108" t="s">
        <v>134</v>
      </c>
      <c r="BY49" s="108" t="s">
        <v>91</v>
      </c>
      <c r="BZ49" s="84">
        <v>0</v>
      </c>
      <c r="CB49" s="109">
        <v>61.73</v>
      </c>
      <c r="CC49" s="109">
        <f>IFERROR(GroceryList2745614[[#This Row],[QTY]]*GroceryList2745614[[#This Row],[UNIT PRICE]],"")</f>
        <v>0</v>
      </c>
      <c r="CD49" s="111" t="s">
        <v>169</v>
      </c>
      <c r="CE49"/>
      <c r="CH49" s="87"/>
      <c r="CI49" s="107" t="s">
        <v>148</v>
      </c>
      <c r="CJ49" s="108" t="s">
        <v>134</v>
      </c>
      <c r="CK49" s="108" t="s">
        <v>91</v>
      </c>
      <c r="CL49" s="84">
        <v>0</v>
      </c>
      <c r="CN49" s="109">
        <v>61.73</v>
      </c>
      <c r="CO49" s="109">
        <f>IFERROR(GroceryList27456148[[#This Row],[QTY]]*GroceryList27456148[[#This Row],[UNIT PRICE]],"")</f>
        <v>0</v>
      </c>
      <c r="CP49" s="111" t="s">
        <v>169</v>
      </c>
      <c r="CQ49"/>
      <c r="CT49" s="87"/>
      <c r="CU49" s="107" t="s">
        <v>148</v>
      </c>
      <c r="CV49" s="108" t="s">
        <v>134</v>
      </c>
      <c r="CW49" s="108" t="s">
        <v>91</v>
      </c>
      <c r="CX49" s="84">
        <v>0</v>
      </c>
      <c r="CZ49" s="109">
        <v>61.73</v>
      </c>
      <c r="DA49" s="109">
        <f>IFERROR(GroceryList2745614810[[#This Row],[QTY]]*GroceryList2745614810[[#This Row],[UNIT PRICE]],"")</f>
        <v>0</v>
      </c>
      <c r="DB49" s="111" t="s">
        <v>169</v>
      </c>
      <c r="DC49"/>
      <c r="DF49" s="87"/>
      <c r="DG49" s="107" t="s">
        <v>148</v>
      </c>
      <c r="DH49" s="108" t="s">
        <v>134</v>
      </c>
      <c r="DI49" s="108" t="s">
        <v>91</v>
      </c>
      <c r="DJ49" s="84">
        <v>0</v>
      </c>
      <c r="DL49" s="109">
        <v>61.73</v>
      </c>
      <c r="DM49" s="109">
        <f>IFERROR(GroceryList27456148109[[#This Row],[QTY]]*GroceryList27456148109[[#This Row],[UNIT PRICE]],"")</f>
        <v>0</v>
      </c>
      <c r="DN49" s="111" t="s">
        <v>169</v>
      </c>
      <c r="DO49"/>
      <c r="DR49" s="87"/>
      <c r="DS49" s="107" t="s">
        <v>148</v>
      </c>
      <c r="DT49" s="108" t="s">
        <v>134</v>
      </c>
      <c r="DU49" s="108" t="s">
        <v>91</v>
      </c>
      <c r="DV49" s="84">
        <v>0</v>
      </c>
      <c r="DX49" s="109">
        <v>61.73</v>
      </c>
      <c r="DY49" s="109">
        <f>IFERROR(GroceryList2745614810911[[#This Row],[QTY]]*GroceryList2745614810911[[#This Row],[UNIT PRICE]],"")</f>
        <v>0</v>
      </c>
      <c r="DZ49" s="111" t="s">
        <v>169</v>
      </c>
      <c r="EA49"/>
      <c r="ED49" s="87"/>
      <c r="EE49" s="107" t="s">
        <v>148</v>
      </c>
      <c r="EF49" s="108" t="s">
        <v>134</v>
      </c>
      <c r="EG49" s="108" t="s">
        <v>91</v>
      </c>
      <c r="EH49" s="84">
        <v>0</v>
      </c>
      <c r="EJ49" s="109">
        <v>61.73</v>
      </c>
      <c r="EK49" s="109">
        <f>IFERROR(GroceryList274561481091112[[#This Row],[QTY]]*GroceryList274561481091112[[#This Row],[UNIT PRICE]],"")</f>
        <v>0</v>
      </c>
      <c r="EL49" s="111" t="s">
        <v>169</v>
      </c>
      <c r="EM49"/>
      <c r="EP49" s="87"/>
      <c r="EQ49" s="107" t="s">
        <v>148</v>
      </c>
      <c r="ER49" s="108" t="s">
        <v>134</v>
      </c>
      <c r="ES49" s="108" t="s">
        <v>91</v>
      </c>
      <c r="ET49" s="84">
        <v>0</v>
      </c>
      <c r="EV49" s="109">
        <v>61.73</v>
      </c>
      <c r="EW49" s="109">
        <f>IFERROR(GroceryList27456148109111213[[#This Row],[QTY]]*GroceryList27456148109111213[[#This Row],[UNIT PRICE]],"")</f>
        <v>0</v>
      </c>
      <c r="EX49" s="111" t="s">
        <v>169</v>
      </c>
      <c r="EY49"/>
      <c r="FB49" s="87"/>
      <c r="FC49" s="107" t="s">
        <v>148</v>
      </c>
      <c r="FD49" s="108" t="s">
        <v>134</v>
      </c>
      <c r="FE49" s="108" t="s">
        <v>91</v>
      </c>
      <c r="FF49" s="84">
        <v>1</v>
      </c>
      <c r="FH49" s="109">
        <v>6.79</v>
      </c>
      <c r="FI49" s="109">
        <f>IFERROR(GroceryList2745614810911121315[[#This Row],[QTY]]*GroceryList2745614810911121315[[#This Row],[UNIT PRICE]],"")</f>
        <v>6.79</v>
      </c>
      <c r="FJ49" s="111" t="s">
        <v>169</v>
      </c>
      <c r="FK49">
        <v>8</v>
      </c>
      <c r="FN49" s="87"/>
      <c r="FO49" s="107" t="s">
        <v>148</v>
      </c>
      <c r="FP49" s="108" t="s">
        <v>134</v>
      </c>
      <c r="FQ49" s="108" t="s">
        <v>91</v>
      </c>
      <c r="FR49" s="84">
        <v>0</v>
      </c>
      <c r="FT49" s="109">
        <v>61.73</v>
      </c>
      <c r="FU49" s="109">
        <f>IFERROR(GroceryList274561481091112131516[[#This Row],[QTY]]*GroceryList274561481091112131516[[#This Row],[UNIT PRICE]],"")</f>
        <v>0</v>
      </c>
      <c r="FV49" s="111" t="s">
        <v>169</v>
      </c>
      <c r="FW49"/>
      <c r="FZ49" s="87"/>
      <c r="GA49" s="107" t="s">
        <v>148</v>
      </c>
      <c r="GB49" s="108" t="s">
        <v>134</v>
      </c>
      <c r="GC49" s="108" t="s">
        <v>91</v>
      </c>
      <c r="GD49" s="84">
        <v>0</v>
      </c>
      <c r="GF49" s="109">
        <v>6.79</v>
      </c>
      <c r="GG49" s="109">
        <f>IFERROR(GroceryList274561481091112131517[[#This Row],[QTY]]*GroceryList274561481091112131517[[#This Row],[UNIT PRICE]],"")</f>
        <v>0</v>
      </c>
      <c r="GH49" s="111" t="s">
        <v>169</v>
      </c>
      <c r="GI49">
        <v>8</v>
      </c>
      <c r="GL49" s="87"/>
      <c r="GM49" s="107" t="s">
        <v>148</v>
      </c>
      <c r="GN49" s="108" t="s">
        <v>134</v>
      </c>
      <c r="GO49" s="108" t="s">
        <v>91</v>
      </c>
      <c r="GP49" s="84">
        <v>1</v>
      </c>
      <c r="GR49" s="109">
        <v>6.79</v>
      </c>
      <c r="GS49" s="109">
        <f>IFERROR(GroceryList27456148109111213151718[[#This Row],[QTY]]*GroceryList27456148109111213151718[[#This Row],[UNIT PRICE]],"")</f>
        <v>6.79</v>
      </c>
      <c r="GT49" s="111" t="s">
        <v>169</v>
      </c>
      <c r="GU49">
        <v>8</v>
      </c>
    </row>
    <row r="50" spans="2:203" ht="30" customHeight="1" x14ac:dyDescent="0.2">
      <c r="B50" s="87"/>
      <c r="C50" s="99" t="s">
        <v>120</v>
      </c>
      <c r="D50" s="89"/>
      <c r="E50" s="89"/>
      <c r="F50" s="87"/>
      <c r="H50" s="90"/>
      <c r="I50" s="90">
        <f>IFERROR(GroceryList[[#This Row],[QTY]]*GroceryList[[#This Row],[UNIT PRICE]],"")</f>
        <v>0</v>
      </c>
      <c r="J50" s="89"/>
      <c r="M50" s="87"/>
      <c r="N50" s="99" t="s">
        <v>120</v>
      </c>
      <c r="O50" s="89"/>
      <c r="P50" s="89"/>
      <c r="Q50" s="87"/>
      <c r="S50" s="90"/>
      <c r="T50" s="90">
        <f>IFERROR(GroceryList2[[#This Row],[QTY]]*GroceryList2[[#This Row],[UNIT PRICE]],"")</f>
        <v>0</v>
      </c>
      <c r="U50" s="89"/>
      <c r="Y50" s="87"/>
      <c r="Z50" s="99" t="s">
        <v>120</v>
      </c>
      <c r="AA50" s="89"/>
      <c r="AB50" s="89"/>
      <c r="AC50" s="87"/>
      <c r="AE50" s="90"/>
      <c r="AF50" s="90">
        <f>IFERROR(GroceryList27[[#This Row],[QTY]]*GroceryList27[[#This Row],[UNIT PRICE]],"")</f>
        <v>0</v>
      </c>
      <c r="AG50" s="89"/>
      <c r="AM50" s="87"/>
      <c r="AN50" s="105" t="s">
        <v>120</v>
      </c>
      <c r="AO50" s="110"/>
      <c r="AP50" s="110"/>
      <c r="AQ50" s="87"/>
      <c r="AS50" s="109"/>
      <c r="AT50" s="109">
        <f>IFERROR(GroceryList274[[#This Row],[QTY]]*GroceryList274[[#This Row],[UNIT PRICE]],"")</f>
        <v>0</v>
      </c>
      <c r="AU50" s="89"/>
      <c r="AY50" s="87" t="s">
        <v>130</v>
      </c>
      <c r="AZ50" s="105" t="s">
        <v>119</v>
      </c>
      <c r="BA50" s="110"/>
      <c r="BB50" s="110" t="s">
        <v>89</v>
      </c>
      <c r="BC50" s="84">
        <v>0</v>
      </c>
      <c r="BE50" s="109"/>
      <c r="BF50" s="109">
        <f>IFERROR(GroceryList2745[[#This Row],[QTY]]*GroceryList2745[[#This Row],[UNIT PRICE]],"")</f>
        <v>0</v>
      </c>
      <c r="BG50" s="89"/>
      <c r="BJ50" s="87" t="s">
        <v>130</v>
      </c>
      <c r="BK50" s="105" t="s">
        <v>119</v>
      </c>
      <c r="BL50" s="110"/>
      <c r="BM50" s="110" t="s">
        <v>89</v>
      </c>
      <c r="BN50" s="84">
        <v>0</v>
      </c>
      <c r="BP50" s="109">
        <v>60</v>
      </c>
      <c r="BQ50" s="109">
        <f>IFERROR(GroceryList27456[[#This Row],[QTY]]*GroceryList27456[[#This Row],[UNIT PRICE]],"")</f>
        <v>0</v>
      </c>
      <c r="BR50" s="105" t="s">
        <v>130</v>
      </c>
      <c r="BS50" s="89"/>
      <c r="BV50" s="87" t="s">
        <v>130</v>
      </c>
      <c r="BW50" s="105" t="s">
        <v>119</v>
      </c>
      <c r="BX50" s="110"/>
      <c r="BY50" s="110" t="s">
        <v>89</v>
      </c>
      <c r="BZ50" s="84">
        <v>1</v>
      </c>
      <c r="CB50" s="109">
        <v>60</v>
      </c>
      <c r="CC50" s="109">
        <f>IFERROR(GroceryList2745614[[#This Row],[QTY]]*GroceryList2745614[[#This Row],[UNIT PRICE]],"")</f>
        <v>60</v>
      </c>
      <c r="CD50" s="105" t="s">
        <v>130</v>
      </c>
      <c r="CE50" s="89"/>
      <c r="CH50" s="87" t="s">
        <v>130</v>
      </c>
      <c r="CI50" s="105" t="s">
        <v>119</v>
      </c>
      <c r="CJ50" s="110"/>
      <c r="CK50" s="110" t="s">
        <v>89</v>
      </c>
      <c r="CL50" s="84">
        <v>2</v>
      </c>
      <c r="CN50" s="109">
        <v>60</v>
      </c>
      <c r="CO50" s="109">
        <f>IFERROR(GroceryList27456148[[#This Row],[QTY]]*GroceryList27456148[[#This Row],[UNIT PRICE]],"")</f>
        <v>120</v>
      </c>
      <c r="CP50" s="105" t="s">
        <v>130</v>
      </c>
      <c r="CQ50" s="89"/>
      <c r="CT50" s="87" t="s">
        <v>130</v>
      </c>
      <c r="CU50" s="105" t="s">
        <v>119</v>
      </c>
      <c r="CV50" s="110"/>
      <c r="CW50" s="110" t="s">
        <v>89</v>
      </c>
      <c r="CX50" s="84">
        <v>0</v>
      </c>
      <c r="CZ50" s="109">
        <v>60</v>
      </c>
      <c r="DA50" s="109">
        <f>IFERROR(GroceryList2745614810[[#This Row],[QTY]]*GroceryList2745614810[[#This Row],[UNIT PRICE]],"")</f>
        <v>0</v>
      </c>
      <c r="DB50" s="105" t="s">
        <v>130</v>
      </c>
      <c r="DC50" s="89"/>
      <c r="DF50" s="87" t="s">
        <v>130</v>
      </c>
      <c r="DG50" s="105" t="s">
        <v>119</v>
      </c>
      <c r="DH50" s="110"/>
      <c r="DI50" s="110" t="s">
        <v>89</v>
      </c>
      <c r="DJ50" s="84">
        <v>0</v>
      </c>
      <c r="DL50" s="109">
        <v>60</v>
      </c>
      <c r="DM50" s="109">
        <f>IFERROR(GroceryList27456148109[[#This Row],[QTY]]*GroceryList27456148109[[#This Row],[UNIT PRICE]],"")</f>
        <v>0</v>
      </c>
      <c r="DN50" s="105" t="s">
        <v>130</v>
      </c>
      <c r="DO50" s="89"/>
      <c r="DR50" s="87" t="s">
        <v>130</v>
      </c>
      <c r="DS50" s="105" t="s">
        <v>119</v>
      </c>
      <c r="DT50" s="110"/>
      <c r="DU50" s="110" t="s">
        <v>89</v>
      </c>
      <c r="DV50" s="84">
        <v>1</v>
      </c>
      <c r="DX50" s="109">
        <v>60</v>
      </c>
      <c r="DY50" s="109">
        <f>IFERROR(GroceryList2745614810911[[#This Row],[QTY]]*GroceryList2745614810911[[#This Row],[UNIT PRICE]],"")</f>
        <v>60</v>
      </c>
      <c r="DZ50" s="105" t="s">
        <v>130</v>
      </c>
      <c r="EA50" s="89"/>
      <c r="ED50" s="87" t="s">
        <v>130</v>
      </c>
      <c r="EE50" s="105" t="s">
        <v>119</v>
      </c>
      <c r="EF50" s="110"/>
      <c r="EG50" s="110" t="s">
        <v>89</v>
      </c>
      <c r="EH50" s="84">
        <v>1</v>
      </c>
      <c r="EJ50" s="109">
        <v>60</v>
      </c>
      <c r="EK50" s="109">
        <f>IFERROR(GroceryList274561481091112[[#This Row],[QTY]]*GroceryList274561481091112[[#This Row],[UNIT PRICE]],"")</f>
        <v>60</v>
      </c>
      <c r="EL50" s="105" t="s">
        <v>130</v>
      </c>
      <c r="EM50" s="89"/>
      <c r="EP50" s="87" t="s">
        <v>130</v>
      </c>
      <c r="EQ50" s="105" t="s">
        <v>119</v>
      </c>
      <c r="ER50" s="110"/>
      <c r="ES50" s="110" t="s">
        <v>89</v>
      </c>
      <c r="ET50" s="84">
        <v>0</v>
      </c>
      <c r="EV50" s="109">
        <v>60</v>
      </c>
      <c r="EW50" s="109">
        <f>IFERROR(GroceryList27456148109111213[[#This Row],[QTY]]*GroceryList27456148109111213[[#This Row],[UNIT PRICE]],"")</f>
        <v>0</v>
      </c>
      <c r="EX50" s="105" t="s">
        <v>130</v>
      </c>
      <c r="EY50" s="89"/>
      <c r="FB50" s="87" t="s">
        <v>130</v>
      </c>
      <c r="FC50" s="105" t="s">
        <v>119</v>
      </c>
      <c r="FD50" s="110"/>
      <c r="FE50" s="110" t="s">
        <v>89</v>
      </c>
      <c r="FF50" s="84">
        <v>0</v>
      </c>
      <c r="FH50" s="109">
        <v>60</v>
      </c>
      <c r="FI50" s="109">
        <f>IFERROR(GroceryList2745614810911121315[[#This Row],[QTY]]*GroceryList2745614810911121315[[#This Row],[UNIT PRICE]],"")</f>
        <v>0</v>
      </c>
      <c r="FJ50" s="105" t="s">
        <v>130</v>
      </c>
      <c r="FK50" s="89"/>
      <c r="FN50" s="87" t="s">
        <v>130</v>
      </c>
      <c r="FO50" s="105" t="s">
        <v>119</v>
      </c>
      <c r="FP50" s="110"/>
      <c r="FQ50" s="110" t="s">
        <v>89</v>
      </c>
      <c r="FR50" s="84">
        <v>0</v>
      </c>
      <c r="FT50" s="109">
        <v>60</v>
      </c>
      <c r="FU50" s="109">
        <f>IFERROR(GroceryList274561481091112131516[[#This Row],[QTY]]*GroceryList274561481091112131516[[#This Row],[UNIT PRICE]],"")</f>
        <v>0</v>
      </c>
      <c r="FV50" s="105" t="s">
        <v>130</v>
      </c>
      <c r="FW50" s="89"/>
      <c r="FZ50" s="87" t="s">
        <v>130</v>
      </c>
      <c r="GA50" s="105" t="s">
        <v>119</v>
      </c>
      <c r="GB50" s="110"/>
      <c r="GC50" s="110" t="s">
        <v>89</v>
      </c>
      <c r="GD50" s="84">
        <v>1</v>
      </c>
      <c r="GF50" s="109">
        <v>60</v>
      </c>
      <c r="GG50" s="109">
        <f>IFERROR(GroceryList274561481091112131517[[#This Row],[QTY]]*GroceryList274561481091112131517[[#This Row],[UNIT PRICE]],"")</f>
        <v>60</v>
      </c>
      <c r="GH50" s="105" t="s">
        <v>130</v>
      </c>
      <c r="GI50" s="89"/>
      <c r="GL50" s="87" t="s">
        <v>130</v>
      </c>
      <c r="GM50" s="105" t="s">
        <v>119</v>
      </c>
      <c r="GN50" s="110"/>
      <c r="GO50" s="110" t="s">
        <v>89</v>
      </c>
      <c r="GP50" s="84">
        <v>1</v>
      </c>
      <c r="GR50" s="109">
        <v>60</v>
      </c>
      <c r="GS50" s="109">
        <f>IFERROR(GroceryList27456148109111213151718[[#This Row],[QTY]]*GroceryList27456148109111213151718[[#This Row],[UNIT PRICE]],"")</f>
        <v>60</v>
      </c>
      <c r="GT50" s="105" t="s">
        <v>130</v>
      </c>
      <c r="GU50" s="89"/>
    </row>
    <row r="51" spans="2:203" ht="30" hidden="1" customHeight="1" x14ac:dyDescent="0.2">
      <c r="B51" s="87"/>
      <c r="C51" s="102" t="s">
        <v>149</v>
      </c>
      <c r="D51" t="s">
        <v>134</v>
      </c>
      <c r="E51" t="s">
        <v>92</v>
      </c>
      <c r="F51" s="87">
        <v>0.5</v>
      </c>
      <c r="H51" s="90">
        <v>53.98</v>
      </c>
      <c r="I51" s="90">
        <f>IFERROR(GroceryList[[#This Row],[QTY]]*GroceryList[[#This Row],[UNIT PRICE]],"")</f>
        <v>26.99</v>
      </c>
      <c r="J51"/>
      <c r="M51" s="87"/>
      <c r="N51" s="102" t="s">
        <v>149</v>
      </c>
      <c r="O51" t="s">
        <v>134</v>
      </c>
      <c r="P51" t="s">
        <v>92</v>
      </c>
      <c r="Q51" s="87"/>
      <c r="S51" s="90">
        <v>53.98</v>
      </c>
      <c r="T51" s="90">
        <f>IFERROR(GroceryList2[[#This Row],[QTY]]*GroceryList2[[#This Row],[UNIT PRICE]],"")</f>
        <v>0</v>
      </c>
      <c r="U51"/>
      <c r="Y51" s="87"/>
      <c r="Z51" s="102" t="s">
        <v>149</v>
      </c>
      <c r="AA51" t="s">
        <v>134</v>
      </c>
      <c r="AB51" t="s">
        <v>92</v>
      </c>
      <c r="AC51" s="87"/>
      <c r="AE51" s="90">
        <v>53.98</v>
      </c>
      <c r="AF51" s="90">
        <f>IFERROR(GroceryList27[[#This Row],[QTY]]*GroceryList27[[#This Row],[UNIT PRICE]],"")</f>
        <v>0</v>
      </c>
      <c r="AG51"/>
      <c r="AM51" s="87"/>
      <c r="AN51" s="107" t="s">
        <v>149</v>
      </c>
      <c r="AO51" s="108" t="s">
        <v>134</v>
      </c>
      <c r="AP51" s="108" t="s">
        <v>92</v>
      </c>
      <c r="AQ51" s="87"/>
      <c r="AS51" s="109">
        <v>53.98</v>
      </c>
      <c r="AT51" s="109">
        <f>IFERROR(GroceryList274[[#This Row],[QTY]]*GroceryList274[[#This Row],[UNIT PRICE]],"")</f>
        <v>0</v>
      </c>
      <c r="AU51"/>
      <c r="AY51" s="87"/>
      <c r="AZ51" s="105" t="s">
        <v>120</v>
      </c>
      <c r="BA51" s="110"/>
      <c r="BB51" s="110"/>
      <c r="BC51" s="84">
        <v>0</v>
      </c>
      <c r="BE51" s="109"/>
      <c r="BF51" s="109">
        <f>IFERROR(GroceryList2745[[#This Row],[QTY]]*GroceryList2745[[#This Row],[UNIT PRICE]],"")</f>
        <v>0</v>
      </c>
      <c r="BG51" s="89"/>
      <c r="BJ51" s="87"/>
      <c r="BK51" s="105" t="s">
        <v>120</v>
      </c>
      <c r="BL51" s="110"/>
      <c r="BM51" s="110"/>
      <c r="BN51" s="84">
        <v>0</v>
      </c>
      <c r="BP51" s="109"/>
      <c r="BQ51" s="109">
        <f>IFERROR(GroceryList27456[[#This Row],[QTY]]*GroceryList27456[[#This Row],[UNIT PRICE]],"")</f>
        <v>0</v>
      </c>
      <c r="BR51" s="105" t="s">
        <v>169</v>
      </c>
      <c r="BS51" s="89"/>
      <c r="BV51" s="87"/>
      <c r="BW51" s="105" t="s">
        <v>120</v>
      </c>
      <c r="BX51" s="110"/>
      <c r="BY51" s="110"/>
      <c r="BZ51" s="84">
        <v>0</v>
      </c>
      <c r="CB51" s="109"/>
      <c r="CC51" s="109">
        <f>IFERROR(GroceryList2745614[[#This Row],[QTY]]*GroceryList2745614[[#This Row],[UNIT PRICE]],"")</f>
        <v>0</v>
      </c>
      <c r="CD51" s="105" t="s">
        <v>169</v>
      </c>
      <c r="CE51" s="89"/>
      <c r="CH51" s="87"/>
      <c r="CI51" s="105" t="s">
        <v>120</v>
      </c>
      <c r="CJ51" s="110"/>
      <c r="CK51" s="110"/>
      <c r="CL51" s="84">
        <v>0</v>
      </c>
      <c r="CN51" s="109"/>
      <c r="CO51" s="109">
        <f>IFERROR(GroceryList27456148[[#This Row],[QTY]]*GroceryList27456148[[#This Row],[UNIT PRICE]],"")</f>
        <v>0</v>
      </c>
      <c r="CP51" s="105" t="s">
        <v>169</v>
      </c>
      <c r="CQ51" s="89"/>
      <c r="CT51" s="87"/>
      <c r="CU51" s="105" t="s">
        <v>182</v>
      </c>
      <c r="CV51" s="110"/>
      <c r="CW51" s="110"/>
      <c r="CX51" s="84">
        <v>1</v>
      </c>
      <c r="CZ51" s="109">
        <v>10.39</v>
      </c>
      <c r="DA51" s="109">
        <f>IFERROR(GroceryList2745614810[[#This Row],[QTY]]*GroceryList2745614810[[#This Row],[UNIT PRICE]],"")</f>
        <v>10.39</v>
      </c>
      <c r="DB51" s="105" t="s">
        <v>169</v>
      </c>
      <c r="DC51" s="89">
        <v>12.99</v>
      </c>
      <c r="DF51" s="87"/>
      <c r="DG51" s="105" t="s">
        <v>120</v>
      </c>
      <c r="DH51" s="110"/>
      <c r="DI51" s="110"/>
      <c r="DJ51" s="84">
        <v>0</v>
      </c>
      <c r="DL51" s="109"/>
      <c r="DM51" s="109">
        <f>IFERROR(GroceryList27456148109[[#This Row],[QTY]]*GroceryList27456148109[[#This Row],[UNIT PRICE]],"")</f>
        <v>0</v>
      </c>
      <c r="DN51" s="105" t="s">
        <v>169</v>
      </c>
      <c r="DO51" s="89"/>
      <c r="DR51" s="87"/>
      <c r="DS51" s="105" t="s">
        <v>120</v>
      </c>
      <c r="DT51" s="110"/>
      <c r="DU51" s="110"/>
      <c r="DV51" s="84">
        <v>0</v>
      </c>
      <c r="DX51" s="109"/>
      <c r="DY51" s="109">
        <f>IFERROR(GroceryList2745614810911[[#This Row],[QTY]]*GroceryList2745614810911[[#This Row],[UNIT PRICE]],"")</f>
        <v>0</v>
      </c>
      <c r="DZ51" s="105" t="s">
        <v>169</v>
      </c>
      <c r="EA51" s="89"/>
      <c r="ED51" s="87"/>
      <c r="EE51" s="105" t="s">
        <v>120</v>
      </c>
      <c r="EF51" s="110"/>
      <c r="EG51" s="110"/>
      <c r="EH51" s="84">
        <v>0</v>
      </c>
      <c r="EJ51" s="109"/>
      <c r="EK51" s="109">
        <f>IFERROR(GroceryList274561481091112[[#This Row],[QTY]]*GroceryList274561481091112[[#This Row],[UNIT PRICE]],"")</f>
        <v>0</v>
      </c>
      <c r="EL51" s="105" t="s">
        <v>169</v>
      </c>
      <c r="EM51" s="89"/>
      <c r="EP51" s="87"/>
      <c r="EQ51" s="105" t="s">
        <v>120</v>
      </c>
      <c r="ER51" s="110"/>
      <c r="ES51" s="110"/>
      <c r="ET51" s="84">
        <v>0</v>
      </c>
      <c r="EV51" s="109"/>
      <c r="EW51" s="109">
        <f>IFERROR(GroceryList27456148109111213[[#This Row],[QTY]]*GroceryList27456148109111213[[#This Row],[UNIT PRICE]],"")</f>
        <v>0</v>
      </c>
      <c r="EX51" s="105" t="s">
        <v>169</v>
      </c>
      <c r="EY51" s="89"/>
      <c r="FB51" s="87"/>
      <c r="FC51" s="105" t="s">
        <v>228</v>
      </c>
      <c r="FD51" s="110"/>
      <c r="FE51" s="110"/>
      <c r="FF51" s="84">
        <v>1</v>
      </c>
      <c r="FH51" s="109">
        <v>63.74</v>
      </c>
      <c r="FI51" s="109">
        <f>IFERROR(GroceryList2745614810911121315[[#This Row],[QTY]]*GroceryList2745614810911121315[[#This Row],[UNIT PRICE]],"")</f>
        <v>63.74</v>
      </c>
      <c r="FJ51" s="105" t="s">
        <v>169</v>
      </c>
      <c r="FK51" s="89">
        <v>75</v>
      </c>
      <c r="FN51" s="87"/>
      <c r="FO51" s="105" t="s">
        <v>120</v>
      </c>
      <c r="FP51" s="110"/>
      <c r="FQ51" s="110"/>
      <c r="FR51" s="84">
        <v>0</v>
      </c>
      <c r="FT51" s="109"/>
      <c r="FU51" s="109">
        <f>IFERROR(GroceryList274561481091112131516[[#This Row],[QTY]]*GroceryList274561481091112131516[[#This Row],[UNIT PRICE]],"")</f>
        <v>0</v>
      </c>
      <c r="FV51" s="105" t="s">
        <v>169</v>
      </c>
      <c r="FW51" s="89"/>
      <c r="FZ51" s="87"/>
      <c r="GA51" s="105" t="s">
        <v>228</v>
      </c>
      <c r="GB51" s="110"/>
      <c r="GC51" s="110"/>
      <c r="GD51" s="84">
        <v>0</v>
      </c>
      <c r="GF51" s="109">
        <v>63.74</v>
      </c>
      <c r="GG51" s="109">
        <f>IFERROR(GroceryList274561481091112131517[[#This Row],[QTY]]*GroceryList274561481091112131517[[#This Row],[UNIT PRICE]],"")</f>
        <v>0</v>
      </c>
      <c r="GH51" s="105" t="s">
        <v>169</v>
      </c>
      <c r="GI51" s="89">
        <v>75</v>
      </c>
      <c r="GL51" s="87"/>
      <c r="GM51" s="105" t="s">
        <v>228</v>
      </c>
      <c r="GN51" s="110"/>
      <c r="GO51" s="110"/>
      <c r="GP51" s="84">
        <v>0</v>
      </c>
      <c r="GR51" s="109">
        <v>63.74</v>
      </c>
      <c r="GS51" s="109">
        <f>IFERROR(GroceryList27456148109111213151718[[#This Row],[QTY]]*GroceryList27456148109111213151718[[#This Row],[UNIT PRICE]],"")</f>
        <v>0</v>
      </c>
      <c r="GT51" s="105" t="s">
        <v>169</v>
      </c>
      <c r="GU51" s="89">
        <v>75</v>
      </c>
    </row>
    <row r="52" spans="2:203" ht="30" customHeight="1" x14ac:dyDescent="0.2">
      <c r="B52" s="87"/>
      <c r="C52" s="99" t="s">
        <v>121</v>
      </c>
      <c r="D52" s="89"/>
      <c r="E52" s="89"/>
      <c r="F52" s="87"/>
      <c r="H52" s="90"/>
      <c r="I52" s="90">
        <f>IFERROR(GroceryList[[#This Row],[QTY]]*GroceryList[[#This Row],[UNIT PRICE]],"")</f>
        <v>0</v>
      </c>
      <c r="J52" s="89"/>
      <c r="M52" s="87"/>
      <c r="N52" s="99" t="s">
        <v>121</v>
      </c>
      <c r="O52" s="89"/>
      <c r="P52" s="89"/>
      <c r="Q52" s="87"/>
      <c r="S52" s="90"/>
      <c r="T52" s="90">
        <f>IFERROR(GroceryList2[[#This Row],[QTY]]*GroceryList2[[#This Row],[UNIT PRICE]],"")</f>
        <v>0</v>
      </c>
      <c r="U52" s="89"/>
      <c r="Y52" s="87"/>
      <c r="Z52" s="99" t="s">
        <v>121</v>
      </c>
      <c r="AA52" s="89"/>
      <c r="AB52" s="89"/>
      <c r="AC52" s="87"/>
      <c r="AE52" s="90"/>
      <c r="AF52" s="90">
        <f>IFERROR(GroceryList27[[#This Row],[QTY]]*GroceryList27[[#This Row],[UNIT PRICE]],"")</f>
        <v>0</v>
      </c>
      <c r="AG52" s="89"/>
      <c r="AM52" s="87"/>
      <c r="AN52" s="105" t="s">
        <v>121</v>
      </c>
      <c r="AO52" s="110"/>
      <c r="AP52" s="110"/>
      <c r="AQ52" s="87"/>
      <c r="AS52" s="109"/>
      <c r="AT52" s="109">
        <f>IFERROR(GroceryList274[[#This Row],[QTY]]*GroceryList274[[#This Row],[UNIT PRICE]],"")</f>
        <v>0</v>
      </c>
      <c r="AU52" s="89"/>
      <c r="AY52" s="87"/>
      <c r="AZ52" s="107" t="s">
        <v>149</v>
      </c>
      <c r="BA52" s="108" t="s">
        <v>134</v>
      </c>
      <c r="BB52" s="108" t="s">
        <v>92</v>
      </c>
      <c r="BC52" s="84">
        <v>0</v>
      </c>
      <c r="BE52" s="109">
        <v>53.98</v>
      </c>
      <c r="BF52" s="109">
        <f>IFERROR(GroceryList2745[[#This Row],[QTY]]*GroceryList2745[[#This Row],[UNIT PRICE]],"")</f>
        <v>0</v>
      </c>
      <c r="BG52"/>
      <c r="BJ52" s="87"/>
      <c r="BK52" s="107" t="s">
        <v>149</v>
      </c>
      <c r="BL52" s="108" t="s">
        <v>134</v>
      </c>
      <c r="BM52" s="108" t="s">
        <v>92</v>
      </c>
      <c r="BN52" s="84">
        <v>0</v>
      </c>
      <c r="BP52" s="109">
        <v>53.98</v>
      </c>
      <c r="BQ52" s="109">
        <f>IFERROR(GroceryList27456[[#This Row],[QTY]]*GroceryList27456[[#This Row],[UNIT PRICE]],"")</f>
        <v>0</v>
      </c>
      <c r="BR52" s="111" t="s">
        <v>169</v>
      </c>
      <c r="BS52"/>
      <c r="BV52" s="87"/>
      <c r="BW52" s="107" t="s">
        <v>149</v>
      </c>
      <c r="BX52" s="108" t="s">
        <v>134</v>
      </c>
      <c r="BY52" s="108" t="s">
        <v>92</v>
      </c>
      <c r="BZ52" s="84">
        <v>0</v>
      </c>
      <c r="CB52" s="109">
        <v>53.98</v>
      </c>
      <c r="CC52" s="109">
        <f>IFERROR(GroceryList2745614[[#This Row],[QTY]]*GroceryList2745614[[#This Row],[UNIT PRICE]],"")</f>
        <v>0</v>
      </c>
      <c r="CD52" s="111" t="s">
        <v>169</v>
      </c>
      <c r="CE52"/>
      <c r="CH52" s="87"/>
      <c r="CI52" s="107" t="s">
        <v>149</v>
      </c>
      <c r="CJ52" s="108" t="s">
        <v>134</v>
      </c>
      <c r="CK52" s="108" t="s">
        <v>92</v>
      </c>
      <c r="CL52" s="84">
        <v>1</v>
      </c>
      <c r="CN52" s="109">
        <v>24.99</v>
      </c>
      <c r="CO52" s="109">
        <f>IFERROR(GroceryList27456148[[#This Row],[QTY]]*GroceryList27456148[[#This Row],[UNIT PRICE]],"")</f>
        <v>24.99</v>
      </c>
      <c r="CP52" s="111" t="s">
        <v>169</v>
      </c>
      <c r="CQ52">
        <v>36.99</v>
      </c>
      <c r="CT52" s="87"/>
      <c r="CU52" s="107" t="s">
        <v>149</v>
      </c>
      <c r="CV52" s="108" t="s">
        <v>134</v>
      </c>
      <c r="CW52" s="108" t="s">
        <v>92</v>
      </c>
      <c r="CX52" s="84">
        <v>1</v>
      </c>
      <c r="CZ52" s="109">
        <v>44.99</v>
      </c>
      <c r="DA52" s="109">
        <f>IFERROR(GroceryList2745614810[[#This Row],[QTY]]*GroceryList2745614810[[#This Row],[UNIT PRICE]],"")</f>
        <v>44.99</v>
      </c>
      <c r="DB52" s="111" t="s">
        <v>169</v>
      </c>
      <c r="DC52">
        <v>54.99</v>
      </c>
      <c r="DF52" s="87"/>
      <c r="DG52" s="107" t="s">
        <v>149</v>
      </c>
      <c r="DH52" s="108" t="s">
        <v>134</v>
      </c>
      <c r="DI52" s="108" t="s">
        <v>92</v>
      </c>
      <c r="DJ52" s="84">
        <v>0</v>
      </c>
      <c r="DL52" s="109">
        <v>24.99</v>
      </c>
      <c r="DM52" s="109">
        <f>IFERROR(GroceryList27456148109[[#This Row],[QTY]]*GroceryList27456148109[[#This Row],[UNIT PRICE]],"")</f>
        <v>0</v>
      </c>
      <c r="DN52" s="111" t="s">
        <v>169</v>
      </c>
      <c r="DO52">
        <v>36.99</v>
      </c>
      <c r="DR52" s="87"/>
      <c r="DS52" s="107" t="s">
        <v>149</v>
      </c>
      <c r="DT52" s="108" t="s">
        <v>134</v>
      </c>
      <c r="DU52" s="108" t="s">
        <v>92</v>
      </c>
      <c r="DV52" s="84">
        <v>0</v>
      </c>
      <c r="DX52" s="109">
        <v>24.99</v>
      </c>
      <c r="DY52" s="109">
        <f>IFERROR(GroceryList2745614810911[[#This Row],[QTY]]*GroceryList2745614810911[[#This Row],[UNIT PRICE]],"")</f>
        <v>0</v>
      </c>
      <c r="DZ52" s="111" t="s">
        <v>169</v>
      </c>
      <c r="EA52">
        <v>36.99</v>
      </c>
      <c r="ED52" s="87"/>
      <c r="EE52" s="111" t="s">
        <v>219</v>
      </c>
      <c r="EF52" s="108" t="s">
        <v>134</v>
      </c>
      <c r="EG52" s="108" t="s">
        <v>92</v>
      </c>
      <c r="EH52" s="84">
        <v>1</v>
      </c>
      <c r="EJ52" s="109">
        <v>28.49</v>
      </c>
      <c r="EK52" s="109">
        <f>IFERROR(GroceryList274561481091112[[#This Row],[QTY]]*GroceryList274561481091112[[#This Row],[UNIT PRICE]],"")</f>
        <v>28.49</v>
      </c>
      <c r="EL52" s="111" t="s">
        <v>169</v>
      </c>
      <c r="EM52">
        <v>30</v>
      </c>
      <c r="EP52" s="87"/>
      <c r="EQ52" s="111" t="s">
        <v>219</v>
      </c>
      <c r="ER52" s="108" t="s">
        <v>134</v>
      </c>
      <c r="ES52" s="108" t="s">
        <v>92</v>
      </c>
      <c r="ET52" s="84">
        <v>0</v>
      </c>
      <c r="EV52" s="109">
        <v>28.49</v>
      </c>
      <c r="EW52" s="109">
        <f>IFERROR(GroceryList27456148109111213[[#This Row],[QTY]]*GroceryList27456148109111213[[#This Row],[UNIT PRICE]],"")</f>
        <v>0</v>
      </c>
      <c r="EX52" s="111" t="s">
        <v>169</v>
      </c>
      <c r="EY52">
        <v>30</v>
      </c>
      <c r="FB52" s="87"/>
      <c r="FC52" s="111" t="s">
        <v>219</v>
      </c>
      <c r="FD52" s="108" t="s">
        <v>134</v>
      </c>
      <c r="FE52" s="108" t="s">
        <v>92</v>
      </c>
      <c r="FF52" s="84">
        <v>1</v>
      </c>
      <c r="FH52" s="109">
        <f>9.34+8.92</f>
        <v>18.259999999999998</v>
      </c>
      <c r="FI52" s="109">
        <f>IFERROR(GroceryList2745614810911121315[[#This Row],[QTY]]*GroceryList2745614810911121315[[#This Row],[UNIT PRICE]],"")</f>
        <v>18.259999999999998</v>
      </c>
      <c r="FJ52" s="111" t="s">
        <v>169</v>
      </c>
      <c r="FK52">
        <v>30</v>
      </c>
      <c r="FN52" s="87"/>
      <c r="FO52" s="111" t="s">
        <v>219</v>
      </c>
      <c r="FP52" s="108" t="s">
        <v>134</v>
      </c>
      <c r="FQ52" s="108" t="s">
        <v>92</v>
      </c>
      <c r="FR52" s="84">
        <v>0</v>
      </c>
      <c r="FT52" s="109">
        <v>28.49</v>
      </c>
      <c r="FU52" s="109">
        <f>IFERROR(GroceryList274561481091112131516[[#This Row],[QTY]]*GroceryList274561481091112131516[[#This Row],[UNIT PRICE]],"")</f>
        <v>0</v>
      </c>
      <c r="FV52" s="111" t="s">
        <v>169</v>
      </c>
      <c r="FW52">
        <v>30</v>
      </c>
      <c r="FZ52" s="87"/>
      <c r="GA52" s="111" t="s">
        <v>336</v>
      </c>
      <c r="GB52" s="108" t="s">
        <v>134</v>
      </c>
      <c r="GC52" s="108" t="s">
        <v>92</v>
      </c>
      <c r="GD52" s="84">
        <v>1</v>
      </c>
      <c r="GF52" s="109">
        <v>18.91</v>
      </c>
      <c r="GG52" s="109">
        <f>IFERROR(GroceryList274561481091112131517[[#This Row],[QTY]]*GroceryList274561481091112131517[[#This Row],[UNIT PRICE]],"")</f>
        <v>18.91</v>
      </c>
      <c r="GH52" s="111" t="s">
        <v>169</v>
      </c>
      <c r="GI52">
        <v>30</v>
      </c>
      <c r="GL52" s="87"/>
      <c r="GM52" s="111" t="s">
        <v>336</v>
      </c>
      <c r="GN52" s="108" t="s">
        <v>134</v>
      </c>
      <c r="GO52" s="108" t="s">
        <v>92</v>
      </c>
      <c r="GP52" s="84">
        <v>1</v>
      </c>
      <c r="GR52" s="109">
        <v>18.91</v>
      </c>
      <c r="GS52" s="109">
        <f>IFERROR(GroceryList27456148109111213151718[[#This Row],[QTY]]*GroceryList27456148109111213151718[[#This Row],[UNIT PRICE]],"")</f>
        <v>18.91</v>
      </c>
      <c r="GT52" s="111" t="s">
        <v>169</v>
      </c>
      <c r="GU52">
        <v>30</v>
      </c>
    </row>
    <row r="53" spans="2:203" ht="30" hidden="1" customHeight="1" x14ac:dyDescent="0.2">
      <c r="B53" s="87"/>
      <c r="C53" s="99" t="s">
        <v>122</v>
      </c>
      <c r="D53" s="89"/>
      <c r="E53" s="89"/>
      <c r="F53" s="87"/>
      <c r="H53" s="90"/>
      <c r="I53" s="90">
        <f>IFERROR(GroceryList[[#This Row],[QTY]]*GroceryList[[#This Row],[UNIT PRICE]],"")</f>
        <v>0</v>
      </c>
      <c r="J53" s="89"/>
      <c r="M53" s="87"/>
      <c r="N53" s="99" t="s">
        <v>122</v>
      </c>
      <c r="O53" s="89"/>
      <c r="P53" s="89"/>
      <c r="Q53" s="87"/>
      <c r="S53" s="90"/>
      <c r="T53" s="90">
        <f>IFERROR(GroceryList2[[#This Row],[QTY]]*GroceryList2[[#This Row],[UNIT PRICE]],"")</f>
        <v>0</v>
      </c>
      <c r="U53" s="89"/>
      <c r="Y53" s="87" t="s">
        <v>130</v>
      </c>
      <c r="Z53" s="99" t="s">
        <v>122</v>
      </c>
      <c r="AA53" s="89"/>
      <c r="AB53" s="89"/>
      <c r="AC53" s="87">
        <v>2</v>
      </c>
      <c r="AE53" s="90">
        <v>17</v>
      </c>
      <c r="AF53" s="90">
        <f>IFERROR(GroceryList27[[#This Row],[QTY]]*GroceryList27[[#This Row],[UNIT PRICE]],"")</f>
        <v>34</v>
      </c>
      <c r="AG53" s="89"/>
      <c r="AM53" s="87" t="s">
        <v>130</v>
      </c>
      <c r="AN53" s="105" t="s">
        <v>122</v>
      </c>
      <c r="AO53" s="110"/>
      <c r="AP53" s="110" t="s">
        <v>90</v>
      </c>
      <c r="AQ53" s="87">
        <v>2</v>
      </c>
      <c r="AS53" s="109">
        <v>17</v>
      </c>
      <c r="AT53" s="109">
        <f>IFERROR(GroceryList274[[#This Row],[QTY]]*GroceryList274[[#This Row],[UNIT PRICE]],"")</f>
        <v>34</v>
      </c>
      <c r="AU53" s="89"/>
      <c r="AY53" s="87"/>
      <c r="AZ53" s="105" t="s">
        <v>121</v>
      </c>
      <c r="BA53" s="110"/>
      <c r="BB53" s="110"/>
      <c r="BC53" s="84">
        <v>0</v>
      </c>
      <c r="BE53" s="109"/>
      <c r="BF53" s="109">
        <f>IFERROR(GroceryList2745[[#This Row],[QTY]]*GroceryList2745[[#This Row],[UNIT PRICE]],"")</f>
        <v>0</v>
      </c>
      <c r="BG53" s="89"/>
      <c r="BJ53" s="87"/>
      <c r="BK53" s="105" t="s">
        <v>121</v>
      </c>
      <c r="BL53" s="110"/>
      <c r="BM53" s="110"/>
      <c r="BN53" s="84">
        <v>0</v>
      </c>
      <c r="BP53" s="109"/>
      <c r="BQ53" s="109">
        <f>IFERROR(GroceryList27456[[#This Row],[QTY]]*GroceryList27456[[#This Row],[UNIT PRICE]],"")</f>
        <v>0</v>
      </c>
      <c r="BR53" s="105" t="s">
        <v>169</v>
      </c>
      <c r="BS53" s="89"/>
      <c r="BV53" s="87"/>
      <c r="BW53" s="105" t="s">
        <v>121</v>
      </c>
      <c r="BX53" s="110"/>
      <c r="BY53" s="110"/>
      <c r="BZ53" s="84">
        <v>0</v>
      </c>
      <c r="CB53" s="109"/>
      <c r="CC53" s="109">
        <f>IFERROR(GroceryList2745614[[#This Row],[QTY]]*GroceryList2745614[[#This Row],[UNIT PRICE]],"")</f>
        <v>0</v>
      </c>
      <c r="CD53" s="105" t="s">
        <v>169</v>
      </c>
      <c r="CE53" s="89"/>
      <c r="CH53" s="87"/>
      <c r="CI53" s="105" t="s">
        <v>121</v>
      </c>
      <c r="CJ53" s="110"/>
      <c r="CK53" s="110"/>
      <c r="CL53" s="84">
        <v>0</v>
      </c>
      <c r="CN53" s="109"/>
      <c r="CO53" s="109">
        <f>IFERROR(GroceryList27456148[[#This Row],[QTY]]*GroceryList27456148[[#This Row],[UNIT PRICE]],"")</f>
        <v>0</v>
      </c>
      <c r="CP53" s="105" t="s">
        <v>169</v>
      </c>
      <c r="CQ53" s="89"/>
      <c r="CT53" s="87"/>
      <c r="CU53" s="105" t="s">
        <v>121</v>
      </c>
      <c r="CV53" s="110"/>
      <c r="CW53" s="110"/>
      <c r="CX53" s="84">
        <v>0</v>
      </c>
      <c r="CZ53" s="109"/>
      <c r="DA53" s="109">
        <f>IFERROR(GroceryList2745614810[[#This Row],[QTY]]*GroceryList2745614810[[#This Row],[UNIT PRICE]],"")</f>
        <v>0</v>
      </c>
      <c r="DB53" s="105" t="s">
        <v>169</v>
      </c>
      <c r="DC53" s="89"/>
      <c r="DF53" s="87"/>
      <c r="DG53" s="105" t="s">
        <v>121</v>
      </c>
      <c r="DH53" s="110"/>
      <c r="DI53" s="110"/>
      <c r="DJ53" s="84">
        <v>0</v>
      </c>
      <c r="DL53" s="109"/>
      <c r="DM53" s="109">
        <f>IFERROR(GroceryList27456148109[[#This Row],[QTY]]*GroceryList27456148109[[#This Row],[UNIT PRICE]],"")</f>
        <v>0</v>
      </c>
      <c r="DN53" s="105" t="s">
        <v>169</v>
      </c>
      <c r="DO53" s="89"/>
      <c r="DR53" s="87"/>
      <c r="DS53" s="105" t="s">
        <v>121</v>
      </c>
      <c r="DT53" s="110"/>
      <c r="DU53" s="110"/>
      <c r="DV53" s="84">
        <v>0</v>
      </c>
      <c r="DX53" s="109"/>
      <c r="DY53" s="109">
        <f>IFERROR(GroceryList2745614810911[[#This Row],[QTY]]*GroceryList2745614810911[[#This Row],[UNIT PRICE]],"")</f>
        <v>0</v>
      </c>
      <c r="DZ53" s="105" t="s">
        <v>169</v>
      </c>
      <c r="EA53" s="89"/>
      <c r="ED53" s="87"/>
      <c r="EE53" s="105" t="s">
        <v>121</v>
      </c>
      <c r="EF53" s="110"/>
      <c r="EG53" s="110"/>
      <c r="EH53" s="84">
        <v>0</v>
      </c>
      <c r="EJ53" s="109"/>
      <c r="EK53" s="109">
        <f>IFERROR(GroceryList274561481091112[[#This Row],[QTY]]*GroceryList274561481091112[[#This Row],[UNIT PRICE]],"")</f>
        <v>0</v>
      </c>
      <c r="EL53" s="105" t="s">
        <v>169</v>
      </c>
      <c r="EM53" s="89"/>
      <c r="EP53" s="87"/>
      <c r="EQ53" s="105" t="s">
        <v>121</v>
      </c>
      <c r="ER53" s="110"/>
      <c r="ES53" s="110"/>
      <c r="ET53" s="84">
        <v>0</v>
      </c>
      <c r="EV53" s="109"/>
      <c r="EW53" s="109">
        <f>IFERROR(GroceryList27456148109111213[[#This Row],[QTY]]*GroceryList27456148109111213[[#This Row],[UNIT PRICE]],"")</f>
        <v>0</v>
      </c>
      <c r="EX53" s="105" t="s">
        <v>169</v>
      </c>
      <c r="EY53" s="89"/>
      <c r="FB53" s="87"/>
      <c r="FC53" s="105" t="s">
        <v>229</v>
      </c>
      <c r="FD53" s="110"/>
      <c r="FE53" s="110"/>
      <c r="FF53" s="84">
        <v>1</v>
      </c>
      <c r="FH53" s="109">
        <f>95.19+60</f>
        <v>155.19</v>
      </c>
      <c r="FI53" s="109">
        <f>IFERROR(GroceryList2745614810911121315[[#This Row],[QTY]]*GroceryList2745614810911121315[[#This Row],[UNIT PRICE]],"")</f>
        <v>155.19</v>
      </c>
      <c r="FJ53" s="105" t="s">
        <v>169</v>
      </c>
      <c r="FK53" s="89" t="s">
        <v>230</v>
      </c>
      <c r="FN53" s="87"/>
      <c r="FO53" s="105" t="s">
        <v>121</v>
      </c>
      <c r="FP53" s="110"/>
      <c r="FQ53" s="110"/>
      <c r="FR53" s="84">
        <v>0</v>
      </c>
      <c r="FT53" s="109"/>
      <c r="FU53" s="109">
        <f>IFERROR(GroceryList274561481091112131516[[#This Row],[QTY]]*GroceryList274561481091112131516[[#This Row],[UNIT PRICE]],"")</f>
        <v>0</v>
      </c>
      <c r="FV53" s="105" t="s">
        <v>169</v>
      </c>
      <c r="FW53" s="89"/>
      <c r="FZ53" s="87"/>
      <c r="GA53" s="105" t="s">
        <v>229</v>
      </c>
      <c r="GB53" s="110"/>
      <c r="GC53" s="110"/>
      <c r="GD53" s="84">
        <v>0</v>
      </c>
      <c r="GF53" s="109">
        <f>95.19+60</f>
        <v>155.19</v>
      </c>
      <c r="GG53" s="109">
        <f>IFERROR(GroceryList274561481091112131517[[#This Row],[QTY]]*GroceryList274561481091112131517[[#This Row],[UNIT PRICE]],"")</f>
        <v>0</v>
      </c>
      <c r="GH53" s="105" t="s">
        <v>169</v>
      </c>
      <c r="GI53" s="89" t="s">
        <v>230</v>
      </c>
      <c r="GL53" s="87"/>
      <c r="GM53" s="105" t="s">
        <v>229</v>
      </c>
      <c r="GN53" s="110"/>
      <c r="GO53" s="110"/>
      <c r="GP53" s="84">
        <v>0</v>
      </c>
      <c r="GR53" s="109">
        <f>95.19+60</f>
        <v>155.19</v>
      </c>
      <c r="GS53" s="109">
        <f>IFERROR(GroceryList27456148109111213151718[[#This Row],[QTY]]*GroceryList27456148109111213151718[[#This Row],[UNIT PRICE]],"")</f>
        <v>0</v>
      </c>
      <c r="GT53" s="105" t="s">
        <v>169</v>
      </c>
      <c r="GU53" s="89" t="s">
        <v>230</v>
      </c>
    </row>
    <row r="54" spans="2:203" ht="30" customHeight="1" x14ac:dyDescent="0.2">
      <c r="AY54" s="87" t="s">
        <v>130</v>
      </c>
      <c r="AZ54" s="105" t="s">
        <v>122</v>
      </c>
      <c r="BA54" s="110"/>
      <c r="BB54" s="110" t="s">
        <v>90</v>
      </c>
      <c r="BC54" s="84">
        <v>0</v>
      </c>
      <c r="BE54" s="109">
        <v>17</v>
      </c>
      <c r="BF54" s="109">
        <f>IFERROR(GroceryList2745[[#This Row],[QTY]]*GroceryList2745[[#This Row],[UNIT PRICE]],"")</f>
        <v>0</v>
      </c>
      <c r="BG54" s="89"/>
      <c r="BJ54" s="87" t="s">
        <v>130</v>
      </c>
      <c r="BK54" s="105" t="s">
        <v>122</v>
      </c>
      <c r="BL54" s="110"/>
      <c r="BM54" s="110" t="s">
        <v>90</v>
      </c>
      <c r="BN54" s="84">
        <v>0</v>
      </c>
      <c r="BP54" s="109">
        <v>15</v>
      </c>
      <c r="BQ54" s="109">
        <f>IFERROR(GroceryList27456[[#This Row],[QTY]]*GroceryList27456[[#This Row],[UNIT PRICE]],"")</f>
        <v>0</v>
      </c>
      <c r="BR54" s="105" t="s">
        <v>130</v>
      </c>
      <c r="BS54" s="89"/>
      <c r="BV54" s="87" t="s">
        <v>130</v>
      </c>
      <c r="BW54" s="105" t="s">
        <v>122</v>
      </c>
      <c r="BX54" s="110"/>
      <c r="BY54" s="110" t="s">
        <v>90</v>
      </c>
      <c r="BZ54" s="84">
        <v>2</v>
      </c>
      <c r="CB54" s="109">
        <v>13.99</v>
      </c>
      <c r="CC54" s="109">
        <f>IFERROR(GroceryList2745614[[#This Row],[QTY]]*GroceryList2745614[[#This Row],[UNIT PRICE]],"")</f>
        <v>27.98</v>
      </c>
      <c r="CD54" s="105" t="s">
        <v>130</v>
      </c>
      <c r="CE54" s="89">
        <v>20</v>
      </c>
      <c r="CH54" s="87" t="s">
        <v>130</v>
      </c>
      <c r="CI54" s="105" t="s">
        <v>122</v>
      </c>
      <c r="CJ54" s="110"/>
      <c r="CK54" s="110" t="s">
        <v>90</v>
      </c>
      <c r="CL54" s="84">
        <v>2</v>
      </c>
      <c r="CN54" s="109">
        <v>13.99</v>
      </c>
      <c r="CO54" s="109">
        <f>IFERROR(GroceryList27456148[[#This Row],[QTY]]*GroceryList27456148[[#This Row],[UNIT PRICE]],"")</f>
        <v>27.98</v>
      </c>
      <c r="CP54" s="105" t="s">
        <v>130</v>
      </c>
      <c r="CQ54" s="89">
        <v>20</v>
      </c>
      <c r="CT54" s="87" t="s">
        <v>130</v>
      </c>
      <c r="CU54" s="105" t="s">
        <v>122</v>
      </c>
      <c r="CV54" s="110"/>
      <c r="CW54" s="110" t="s">
        <v>90</v>
      </c>
      <c r="CX54" s="84">
        <v>2</v>
      </c>
      <c r="CZ54" s="109">
        <v>13.99</v>
      </c>
      <c r="DA54" s="109">
        <f>IFERROR(GroceryList2745614810[[#This Row],[QTY]]*GroceryList2745614810[[#This Row],[UNIT PRICE]],"")</f>
        <v>27.98</v>
      </c>
      <c r="DB54" s="105" t="s">
        <v>130</v>
      </c>
      <c r="DC54" s="89">
        <v>20</v>
      </c>
      <c r="DF54" s="87" t="s">
        <v>130</v>
      </c>
      <c r="DG54" s="105" t="s">
        <v>122</v>
      </c>
      <c r="DH54" s="110"/>
      <c r="DI54" s="110" t="s">
        <v>90</v>
      </c>
      <c r="DJ54" s="84">
        <v>0</v>
      </c>
      <c r="DL54" s="109">
        <v>13.99</v>
      </c>
      <c r="DM54" s="109">
        <f>IFERROR(GroceryList27456148109[[#This Row],[QTY]]*GroceryList27456148109[[#This Row],[UNIT PRICE]],"")</f>
        <v>0</v>
      </c>
      <c r="DN54" s="105" t="s">
        <v>130</v>
      </c>
      <c r="DO54" s="89">
        <v>20</v>
      </c>
      <c r="DR54" s="87" t="s">
        <v>130</v>
      </c>
      <c r="DS54" s="105" t="s">
        <v>122</v>
      </c>
      <c r="DT54" s="110"/>
      <c r="DU54" s="110" t="s">
        <v>90</v>
      </c>
      <c r="DV54" s="84">
        <v>2</v>
      </c>
      <c r="DX54" s="109">
        <v>13.99</v>
      </c>
      <c r="DY54" s="109">
        <f>IFERROR(GroceryList2745614810911[[#This Row],[QTY]]*GroceryList2745614810911[[#This Row],[UNIT PRICE]],"")</f>
        <v>27.98</v>
      </c>
      <c r="DZ54" s="105" t="s">
        <v>130</v>
      </c>
      <c r="EA54" s="89">
        <v>20</v>
      </c>
      <c r="ED54" s="87" t="s">
        <v>130</v>
      </c>
      <c r="EE54" s="105" t="s">
        <v>122</v>
      </c>
      <c r="EF54" s="110"/>
      <c r="EG54" s="110" t="s">
        <v>90</v>
      </c>
      <c r="EH54" s="84">
        <v>3</v>
      </c>
      <c r="EJ54" s="109">
        <v>13.99</v>
      </c>
      <c r="EK54" s="109">
        <f>IFERROR(GroceryList274561481091112[[#This Row],[QTY]]*GroceryList274561481091112[[#This Row],[UNIT PRICE]],"")</f>
        <v>41.97</v>
      </c>
      <c r="EL54" s="105" t="s">
        <v>130</v>
      </c>
      <c r="EM54" s="89">
        <v>20</v>
      </c>
      <c r="EP54" s="87" t="s">
        <v>130</v>
      </c>
      <c r="EQ54" s="105" t="s">
        <v>122</v>
      </c>
      <c r="ER54" s="110"/>
      <c r="ES54" s="110" t="s">
        <v>90</v>
      </c>
      <c r="ET54" s="84">
        <v>0</v>
      </c>
      <c r="EV54" s="109">
        <v>13.99</v>
      </c>
      <c r="EW54" s="109">
        <f>IFERROR(GroceryList27456148109111213[[#This Row],[QTY]]*GroceryList27456148109111213[[#This Row],[UNIT PRICE]],"")</f>
        <v>0</v>
      </c>
      <c r="EX54" s="105" t="s">
        <v>130</v>
      </c>
      <c r="EY54" s="89">
        <v>20</v>
      </c>
      <c r="FB54" s="87" t="s">
        <v>130</v>
      </c>
      <c r="FC54" s="105" t="s">
        <v>122</v>
      </c>
      <c r="FD54" s="110"/>
      <c r="FE54" s="110" t="s">
        <v>90</v>
      </c>
      <c r="FF54" s="84">
        <v>3</v>
      </c>
      <c r="FH54" s="109">
        <v>13.99</v>
      </c>
      <c r="FI54" s="109">
        <f>IFERROR(GroceryList2745614810911121315[[#This Row],[QTY]]*GroceryList2745614810911121315[[#This Row],[UNIT PRICE]],"")</f>
        <v>41.97</v>
      </c>
      <c r="FJ54" s="105" t="s">
        <v>130</v>
      </c>
      <c r="FK54" s="89">
        <v>20</v>
      </c>
      <c r="FN54" s="87" t="s">
        <v>130</v>
      </c>
      <c r="FO54" s="105" t="s">
        <v>122</v>
      </c>
      <c r="FP54" s="110"/>
      <c r="FQ54" s="110" t="s">
        <v>90</v>
      </c>
      <c r="FR54" s="84">
        <v>0</v>
      </c>
      <c r="FT54" s="109">
        <v>13.99</v>
      </c>
      <c r="FU54" s="109">
        <f>IFERROR(GroceryList274561481091112131516[[#This Row],[QTY]]*GroceryList274561481091112131516[[#This Row],[UNIT PRICE]],"")</f>
        <v>0</v>
      </c>
      <c r="FV54" s="105" t="s">
        <v>130</v>
      </c>
      <c r="FW54" s="89">
        <v>20</v>
      </c>
      <c r="FZ54" s="87" t="s">
        <v>130</v>
      </c>
      <c r="GA54" s="105" t="s">
        <v>122</v>
      </c>
      <c r="GB54" s="110"/>
      <c r="GC54" s="110" t="s">
        <v>90</v>
      </c>
      <c r="GD54" s="84">
        <v>3</v>
      </c>
      <c r="GF54" s="109">
        <v>13.49</v>
      </c>
      <c r="GG54" s="109">
        <f>IFERROR(GroceryList274561481091112131517[[#This Row],[QTY]]*GroceryList274561481091112131517[[#This Row],[UNIT PRICE]],"")</f>
        <v>40.47</v>
      </c>
      <c r="GH54" s="105" t="s">
        <v>130</v>
      </c>
      <c r="GI54" s="89">
        <v>22.99</v>
      </c>
      <c r="GL54" s="87" t="s">
        <v>130</v>
      </c>
      <c r="GM54" s="105" t="s">
        <v>122</v>
      </c>
      <c r="GN54" s="110"/>
      <c r="GO54" s="110" t="s">
        <v>90</v>
      </c>
      <c r="GP54" s="84">
        <v>3</v>
      </c>
      <c r="GR54" s="109">
        <v>13.49</v>
      </c>
      <c r="GS54" s="109">
        <f>IFERROR(GroceryList27456148109111213151718[[#This Row],[QTY]]*GroceryList27456148109111213151718[[#This Row],[UNIT PRICE]],"")</f>
        <v>40.47</v>
      </c>
      <c r="GT54" s="105" t="s">
        <v>130</v>
      </c>
      <c r="GU54" s="89">
        <v>22.99</v>
      </c>
    </row>
  </sheetData>
  <mergeCells count="34">
    <mergeCell ref="GL1:GT1"/>
    <mergeCell ref="GL2:GM3"/>
    <mergeCell ref="FZ1:GH1"/>
    <mergeCell ref="FZ2:GA3"/>
    <mergeCell ref="FN1:FV1"/>
    <mergeCell ref="FN2:FO3"/>
    <mergeCell ref="B1:J1"/>
    <mergeCell ref="B2:C3"/>
    <mergeCell ref="M1:U1"/>
    <mergeCell ref="M2:N3"/>
    <mergeCell ref="AY1:BG1"/>
    <mergeCell ref="AY2:AZ3"/>
    <mergeCell ref="AM1:AU1"/>
    <mergeCell ref="AM2:AN3"/>
    <mergeCell ref="Y1:AG1"/>
    <mergeCell ref="Y2:Z3"/>
    <mergeCell ref="BJ1:BR1"/>
    <mergeCell ref="BJ2:BK3"/>
    <mergeCell ref="DR1:DZ1"/>
    <mergeCell ref="DR2:DS3"/>
    <mergeCell ref="CH1:CP1"/>
    <mergeCell ref="CH2:CI3"/>
    <mergeCell ref="BV1:CD1"/>
    <mergeCell ref="BV2:BW3"/>
    <mergeCell ref="DF1:DN1"/>
    <mergeCell ref="DF2:DG3"/>
    <mergeCell ref="CT1:DB1"/>
    <mergeCell ref="CT2:CU3"/>
    <mergeCell ref="FB1:FJ1"/>
    <mergeCell ref="FB2:FC3"/>
    <mergeCell ref="EP1:EX1"/>
    <mergeCell ref="EP2:EQ3"/>
    <mergeCell ref="ED1:EL1"/>
    <mergeCell ref="ED2:EE3"/>
  </mergeCells>
  <conditionalFormatting sqref="B6:J19 B20:E21 G20:J21 B22:J53">
    <cfRule type="expression" dxfId="88" priority="93">
      <formula>$B6="yes"</formula>
    </cfRule>
  </conditionalFormatting>
  <conditionalFormatting sqref="I2:I4">
    <cfRule type="expression" dxfId="87" priority="94">
      <formula>SUM($D$3:$H$3)&lt;&gt;SUM($I$6:$I$53)</formula>
    </cfRule>
  </conditionalFormatting>
  <conditionalFormatting sqref="I4">
    <cfRule type="expression" dxfId="86" priority="95">
      <formula>SUM($D$3:$H$3)&lt;&gt;SUM($I$6:$I$53)</formula>
    </cfRule>
  </conditionalFormatting>
  <conditionalFormatting sqref="T2:T4">
    <cfRule type="expression" dxfId="85" priority="91">
      <formula>SUM($D$3:$H$3)&lt;&gt;SUM($I$6:$I$53)</formula>
    </cfRule>
  </conditionalFormatting>
  <conditionalFormatting sqref="T4">
    <cfRule type="expression" dxfId="84" priority="92">
      <formula>SUM($D$3:$H$3)&lt;&gt;SUM($I$6:$I$53)</formula>
    </cfRule>
  </conditionalFormatting>
  <conditionalFormatting sqref="Y6:AG19 Y20:AB21 AD20:AG21 Y22:AG53">
    <cfRule type="expression" dxfId="83" priority="87" stopIfTrue="1">
      <formula>$B6="yes"</formula>
    </cfRule>
  </conditionalFormatting>
  <conditionalFormatting sqref="AF2:AF4">
    <cfRule type="expression" dxfId="82" priority="88">
      <formula>SUM($D$3:$H$3)&lt;&gt;SUM($I$6:$I$53)</formula>
    </cfRule>
  </conditionalFormatting>
  <conditionalFormatting sqref="AF4">
    <cfRule type="expression" dxfId="81" priority="89">
      <formula>SUM($D$3:$H$3)&lt;&gt;SUM($I$6:$I$53)</formula>
    </cfRule>
  </conditionalFormatting>
  <conditionalFormatting sqref="AM6:AU19 AM20:AP21 AR20:AU21 AM22:AU53">
    <cfRule type="expression" dxfId="80" priority="84" stopIfTrue="1">
      <formula>$B6="yes"</formula>
    </cfRule>
  </conditionalFormatting>
  <conditionalFormatting sqref="AT2:AT4">
    <cfRule type="expression" dxfId="79" priority="85">
      <formula>SUM($D$3:$H$3)&lt;&gt;SUM($I$6:$I$53)</formula>
    </cfRule>
  </conditionalFormatting>
  <conditionalFormatting sqref="AT4">
    <cfRule type="expression" dxfId="78" priority="86">
      <formula>SUM($D$3:$H$3)&lt;&gt;SUM($I$6:$I$53)</formula>
    </cfRule>
  </conditionalFormatting>
  <conditionalFormatting sqref="AY6:BG16 M6:U19 M20:P21 R20:U21 M22:U53">
    <cfRule type="expression" dxfId="77" priority="90" stopIfTrue="1">
      <formula>$B6="yes"</formula>
    </cfRule>
  </conditionalFormatting>
  <conditionalFormatting sqref="AY17:BG54">
    <cfRule type="expression" dxfId="76" priority="97" stopIfTrue="1">
      <formula>$B16="yes"</formula>
    </cfRule>
  </conditionalFormatting>
  <conditionalFormatting sqref="BF2:BF4">
    <cfRule type="expression" dxfId="75" priority="82">
      <formula>SUM($D$3:$H$3)&lt;&gt;SUM($I$6:$I$53)</formula>
    </cfRule>
  </conditionalFormatting>
  <conditionalFormatting sqref="BF4">
    <cfRule type="expression" dxfId="74" priority="83">
      <formula>SUM($D$3:$H$3)&lt;&gt;SUM($I$6:$I$53)</formula>
    </cfRule>
  </conditionalFormatting>
  <conditionalFormatting sqref="BJ6:BR16">
    <cfRule type="expression" dxfId="73" priority="79">
      <formula>$B6="yes"</formula>
    </cfRule>
  </conditionalFormatting>
  <conditionalFormatting sqref="BJ17:BR54">
    <cfRule type="expression" dxfId="72" priority="80" stopIfTrue="1">
      <formula>$B16="yes"</formula>
    </cfRule>
  </conditionalFormatting>
  <conditionalFormatting sqref="BQ2:BQ4">
    <cfRule type="expression" dxfId="71" priority="77">
      <formula>SUM($D$3:$H$3)&lt;&gt;SUM($I$6:$I$53)</formula>
    </cfRule>
  </conditionalFormatting>
  <conditionalFormatting sqref="BQ4">
    <cfRule type="expression" dxfId="70" priority="78">
      <formula>SUM($D$3:$H$3)&lt;&gt;SUM($I$6:$I$53)</formula>
    </cfRule>
  </conditionalFormatting>
  <conditionalFormatting sqref="BS6:BS16">
    <cfRule type="expression" dxfId="69" priority="72" stopIfTrue="1">
      <formula>$B6="yes"</formula>
    </cfRule>
  </conditionalFormatting>
  <conditionalFormatting sqref="BS7:BS54 BS5">
    <cfRule type="expression" dxfId="68" priority="74" stopIfTrue="1">
      <formula>$B4="yes"</formula>
    </cfRule>
  </conditionalFormatting>
  <conditionalFormatting sqref="BV6:CD16">
    <cfRule type="expression" dxfId="67" priority="68">
      <formula>$B6="yes"</formula>
    </cfRule>
  </conditionalFormatting>
  <conditionalFormatting sqref="BV17:CD54">
    <cfRule type="expression" dxfId="66" priority="69" stopIfTrue="1">
      <formula>$B16="yes"</formula>
    </cfRule>
  </conditionalFormatting>
  <conditionalFormatting sqref="CC2:CC4">
    <cfRule type="expression" dxfId="65" priority="66">
      <formula>SUM($D$3:$H$3)&lt;&gt;SUM($I$6:$I$53)</formula>
    </cfRule>
  </conditionalFormatting>
  <conditionalFormatting sqref="CC4">
    <cfRule type="expression" dxfId="64" priority="67">
      <formula>SUM($D$3:$H$3)&lt;&gt;SUM($I$6:$I$53)</formula>
    </cfRule>
  </conditionalFormatting>
  <conditionalFormatting sqref="CE6:CE16">
    <cfRule type="expression" dxfId="63" priority="63" stopIfTrue="1">
      <formula>$B6="yes"</formula>
    </cfRule>
  </conditionalFormatting>
  <conditionalFormatting sqref="CE7:CE54 CE5">
    <cfRule type="expression" dxfId="62" priority="65" stopIfTrue="1">
      <formula>$B4="yes"</formula>
    </cfRule>
  </conditionalFormatting>
  <conditionalFormatting sqref="CH6:CP16">
    <cfRule type="expression" dxfId="61" priority="61">
      <formula>$B6="yes"</formula>
    </cfRule>
  </conditionalFormatting>
  <conditionalFormatting sqref="CH17:CP54">
    <cfRule type="expression" dxfId="60" priority="62" stopIfTrue="1">
      <formula>$B16="yes"</formula>
    </cfRule>
  </conditionalFormatting>
  <conditionalFormatting sqref="CO2:CO4">
    <cfRule type="expression" dxfId="59" priority="59">
      <formula>SUM($D$3:$H$3)&lt;&gt;SUM($I$6:$I$53)</formula>
    </cfRule>
  </conditionalFormatting>
  <conditionalFormatting sqref="CO4">
    <cfRule type="expression" dxfId="58" priority="60">
      <formula>SUM($D$3:$H$3)&lt;&gt;SUM($I$6:$I$53)</formula>
    </cfRule>
  </conditionalFormatting>
  <conditionalFormatting sqref="CQ6:CQ16">
    <cfRule type="expression" dxfId="57" priority="57" stopIfTrue="1">
      <formula>$B6="yes"</formula>
    </cfRule>
  </conditionalFormatting>
  <conditionalFormatting sqref="CQ7:CQ54 CQ5">
    <cfRule type="expression" dxfId="56" priority="58" stopIfTrue="1">
      <formula>$B4="yes"</formula>
    </cfRule>
  </conditionalFormatting>
  <conditionalFormatting sqref="CT6:DB16">
    <cfRule type="expression" dxfId="55" priority="55">
      <formula>$B6="yes"</formula>
    </cfRule>
  </conditionalFormatting>
  <conditionalFormatting sqref="CT17:DB54">
    <cfRule type="expression" dxfId="54" priority="56" stopIfTrue="1">
      <formula>$B16="yes"</formula>
    </cfRule>
  </conditionalFormatting>
  <conditionalFormatting sqref="DA2:DA4">
    <cfRule type="expression" dxfId="53" priority="53">
      <formula>SUM($D$3:$H$3)&lt;&gt;SUM($I$6:$I$53)</formula>
    </cfRule>
  </conditionalFormatting>
  <conditionalFormatting sqref="DA4">
    <cfRule type="expression" dxfId="52" priority="54">
      <formula>SUM($D$3:$H$3)&lt;&gt;SUM($I$6:$I$53)</formula>
    </cfRule>
  </conditionalFormatting>
  <conditionalFormatting sqref="DC6:DC16">
    <cfRule type="expression" dxfId="51" priority="51" stopIfTrue="1">
      <formula>$B6="yes"</formula>
    </cfRule>
  </conditionalFormatting>
  <conditionalFormatting sqref="DC7:DC54 DC5">
    <cfRule type="expression" dxfId="50" priority="52" stopIfTrue="1">
      <formula>$B4="yes"</formula>
    </cfRule>
  </conditionalFormatting>
  <conditionalFormatting sqref="DF6:DN16">
    <cfRule type="expression" dxfId="49" priority="49">
      <formula>$B6="yes"</formula>
    </cfRule>
  </conditionalFormatting>
  <conditionalFormatting sqref="DF17:DN54">
    <cfRule type="expression" dxfId="48" priority="50" stopIfTrue="1">
      <formula>$B16="yes"</formula>
    </cfRule>
  </conditionalFormatting>
  <conditionalFormatting sqref="DM2:DM4">
    <cfRule type="expression" dxfId="47" priority="47">
      <formula>SUM($D$3:$H$3)&lt;&gt;SUM($I$6:$I$53)</formula>
    </cfRule>
  </conditionalFormatting>
  <conditionalFormatting sqref="DM4">
    <cfRule type="expression" dxfId="46" priority="48">
      <formula>SUM($D$3:$H$3)&lt;&gt;SUM($I$6:$I$53)</formula>
    </cfRule>
  </conditionalFormatting>
  <conditionalFormatting sqref="DO6:DO16">
    <cfRule type="expression" dxfId="45" priority="45" stopIfTrue="1">
      <formula>$B6="yes"</formula>
    </cfRule>
  </conditionalFormatting>
  <conditionalFormatting sqref="DO7:DO54 DO5">
    <cfRule type="expression" dxfId="44" priority="46" stopIfTrue="1">
      <formula>$B4="yes"</formula>
    </cfRule>
  </conditionalFormatting>
  <conditionalFormatting sqref="DR6:DZ16">
    <cfRule type="expression" dxfId="43" priority="43">
      <formula>$B6="yes"</formula>
    </cfRule>
  </conditionalFormatting>
  <conditionalFormatting sqref="DR17:DZ54">
    <cfRule type="expression" dxfId="42" priority="44" stopIfTrue="1">
      <formula>$B16="yes"</formula>
    </cfRule>
  </conditionalFormatting>
  <conditionalFormatting sqref="DY2:DY4">
    <cfRule type="expression" dxfId="41" priority="41">
      <formula>SUM($D$3:$H$3)&lt;&gt;SUM($I$6:$I$53)</formula>
    </cfRule>
  </conditionalFormatting>
  <conditionalFormatting sqref="DY4">
    <cfRule type="expression" dxfId="40" priority="42">
      <formula>SUM($D$3:$H$3)&lt;&gt;SUM($I$6:$I$53)</formula>
    </cfRule>
  </conditionalFormatting>
  <conditionalFormatting sqref="EA6:EA16">
    <cfRule type="expression" dxfId="39" priority="39" stopIfTrue="1">
      <formula>$B6="yes"</formula>
    </cfRule>
  </conditionalFormatting>
  <conditionalFormatting sqref="EA7:EA54 EA5">
    <cfRule type="expression" dxfId="38" priority="40" stopIfTrue="1">
      <formula>$B4="yes"</formula>
    </cfRule>
  </conditionalFormatting>
  <conditionalFormatting sqref="ED6:EL16">
    <cfRule type="expression" dxfId="37" priority="37">
      <formula>$B6="yes"</formula>
    </cfRule>
  </conditionalFormatting>
  <conditionalFormatting sqref="ED17:EL54">
    <cfRule type="expression" dxfId="36" priority="38" stopIfTrue="1">
      <formula>$B16="yes"</formula>
    </cfRule>
  </conditionalFormatting>
  <conditionalFormatting sqref="EK2:EK4">
    <cfRule type="expression" dxfId="35" priority="35">
      <formula>SUM($D$3:$H$3)&lt;&gt;SUM($I$6:$I$53)</formula>
    </cfRule>
  </conditionalFormatting>
  <conditionalFormatting sqref="EK4">
    <cfRule type="expression" dxfId="34" priority="36">
      <formula>SUM($D$3:$H$3)&lt;&gt;SUM($I$6:$I$53)</formula>
    </cfRule>
  </conditionalFormatting>
  <conditionalFormatting sqref="EM6:EM16">
    <cfRule type="expression" dxfId="33" priority="33" stopIfTrue="1">
      <formula>$B6="yes"</formula>
    </cfRule>
  </conditionalFormatting>
  <conditionalFormatting sqref="EM7:EM54 EM5">
    <cfRule type="expression" dxfId="32" priority="34" stopIfTrue="1">
      <formula>$B4="yes"</formula>
    </cfRule>
  </conditionalFormatting>
  <conditionalFormatting sqref="EP6:EX16">
    <cfRule type="expression" dxfId="31" priority="31">
      <formula>$B6="yes"</formula>
    </cfRule>
  </conditionalFormatting>
  <conditionalFormatting sqref="EP17:EX54">
    <cfRule type="expression" dxfId="30" priority="32" stopIfTrue="1">
      <formula>$B16="yes"</formula>
    </cfRule>
  </conditionalFormatting>
  <conditionalFormatting sqref="EW2:EW4">
    <cfRule type="expression" dxfId="29" priority="29">
      <formula>SUM($D$3:$H$3)&lt;&gt;SUM($I$6:$I$53)</formula>
    </cfRule>
  </conditionalFormatting>
  <conditionalFormatting sqref="EW4">
    <cfRule type="expression" dxfId="28" priority="30">
      <formula>SUM($D$3:$H$3)&lt;&gt;SUM($I$6:$I$53)</formula>
    </cfRule>
  </conditionalFormatting>
  <conditionalFormatting sqref="EY6:EY16">
    <cfRule type="expression" dxfId="27" priority="27" stopIfTrue="1">
      <formula>$B6="yes"</formula>
    </cfRule>
  </conditionalFormatting>
  <conditionalFormatting sqref="EY7:EY54 EY5">
    <cfRule type="expression" dxfId="26" priority="28" stopIfTrue="1">
      <formula>$B4="yes"</formula>
    </cfRule>
  </conditionalFormatting>
  <conditionalFormatting sqref="FB6:FJ16">
    <cfRule type="expression" dxfId="25" priority="25">
      <formula>$B6="yes"</formula>
    </cfRule>
  </conditionalFormatting>
  <conditionalFormatting sqref="FB17:FJ54">
    <cfRule type="expression" dxfId="24" priority="26" stopIfTrue="1">
      <formula>$B16="yes"</formula>
    </cfRule>
  </conditionalFormatting>
  <conditionalFormatting sqref="FI2:FI4">
    <cfRule type="expression" dxfId="23" priority="23">
      <formula>SUM($D$3:$H$3)&lt;&gt;SUM($I$6:$I$53)</formula>
    </cfRule>
  </conditionalFormatting>
  <conditionalFormatting sqref="FI4">
    <cfRule type="expression" dxfId="22" priority="24">
      <formula>SUM($D$3:$H$3)&lt;&gt;SUM($I$6:$I$53)</formula>
    </cfRule>
  </conditionalFormatting>
  <conditionalFormatting sqref="FK6:FK16">
    <cfRule type="expression" dxfId="21" priority="21" stopIfTrue="1">
      <formula>$B6="yes"</formula>
    </cfRule>
  </conditionalFormatting>
  <conditionalFormatting sqref="FK7:FK54 FK5">
    <cfRule type="expression" dxfId="20" priority="22" stopIfTrue="1">
      <formula>$B4="yes"</formula>
    </cfRule>
  </conditionalFormatting>
  <conditionalFormatting sqref="FN6:FV16">
    <cfRule type="expression" dxfId="19" priority="19">
      <formula>$B6="yes"</formula>
    </cfRule>
  </conditionalFormatting>
  <conditionalFormatting sqref="FN17:FV54">
    <cfRule type="expression" dxfId="18" priority="20" stopIfTrue="1">
      <formula>$B16="yes"</formula>
    </cfRule>
  </conditionalFormatting>
  <conditionalFormatting sqref="FU2:FU4">
    <cfRule type="expression" dxfId="17" priority="17">
      <formula>SUM($D$3:$H$3)&lt;&gt;SUM($I$6:$I$53)</formula>
    </cfRule>
  </conditionalFormatting>
  <conditionalFormatting sqref="FU4">
    <cfRule type="expression" dxfId="16" priority="18">
      <formula>SUM($D$3:$H$3)&lt;&gt;SUM($I$6:$I$53)</formula>
    </cfRule>
  </conditionalFormatting>
  <conditionalFormatting sqref="FW6:FW16">
    <cfRule type="expression" dxfId="15" priority="15" stopIfTrue="1">
      <formula>$B6="yes"</formula>
    </cfRule>
  </conditionalFormatting>
  <conditionalFormatting sqref="FW7:FW54 FW5">
    <cfRule type="expression" dxfId="14" priority="16" stopIfTrue="1">
      <formula>$B4="yes"</formula>
    </cfRule>
  </conditionalFormatting>
  <conditionalFormatting sqref="FZ6:GH16">
    <cfRule type="expression" dxfId="13" priority="13">
      <formula>$B6="yes"</formula>
    </cfRule>
  </conditionalFormatting>
  <conditionalFormatting sqref="FZ17:GH54">
    <cfRule type="expression" dxfId="12" priority="14" stopIfTrue="1">
      <formula>$B16="yes"</formula>
    </cfRule>
  </conditionalFormatting>
  <conditionalFormatting sqref="GG2:GG4">
    <cfRule type="expression" dxfId="11" priority="11">
      <formula>SUM($D$3:$H$3)&lt;&gt;SUM($I$6:$I$53)</formula>
    </cfRule>
  </conditionalFormatting>
  <conditionalFormatting sqref="GG4">
    <cfRule type="expression" dxfId="10" priority="12">
      <formula>SUM($D$3:$H$3)&lt;&gt;SUM($I$6:$I$53)</formula>
    </cfRule>
  </conditionalFormatting>
  <conditionalFormatting sqref="GI6:GI16">
    <cfRule type="expression" dxfId="9" priority="9" stopIfTrue="1">
      <formula>$B6="yes"</formula>
    </cfRule>
  </conditionalFormatting>
  <conditionalFormatting sqref="GI7:GI54 GI5">
    <cfRule type="expression" dxfId="8" priority="10" stopIfTrue="1">
      <formula>$B4="yes"</formula>
    </cfRule>
  </conditionalFormatting>
  <conditionalFormatting sqref="GL6:GO16 GQ6:GT16">
    <cfRule type="expression" dxfId="7" priority="7">
      <formula>$B6="yes"</formula>
    </cfRule>
  </conditionalFormatting>
  <conditionalFormatting sqref="GL17:GO54 GQ17:GT54">
    <cfRule type="expression" dxfId="6" priority="8" stopIfTrue="1">
      <formula>$B16="yes"</formula>
    </cfRule>
  </conditionalFormatting>
  <conditionalFormatting sqref="GP6:GP16">
    <cfRule type="expression" dxfId="5" priority="2">
      <formula>$B6="yes"</formula>
    </cfRule>
  </conditionalFormatting>
  <conditionalFormatting sqref="GP17:GP54">
    <cfRule type="expression" dxfId="4" priority="98" stopIfTrue="1">
      <formula>$B16="yes"</formula>
    </cfRule>
  </conditionalFormatting>
  <conditionalFormatting sqref="GS2:GS4">
    <cfRule type="expression" dxfId="3" priority="5">
      <formula>SUM($D$3:$H$3)&lt;&gt;SUM($I$6:$I$53)</formula>
    </cfRule>
  </conditionalFormatting>
  <conditionalFormatting sqref="GS4">
    <cfRule type="expression" dxfId="2" priority="6">
      <formula>SUM($D$3:$H$3)&lt;&gt;SUM($I$6:$I$53)</formula>
    </cfRule>
  </conditionalFormatting>
  <conditionalFormatting sqref="GU6:GU16">
    <cfRule type="expression" dxfId="1" priority="3" stopIfTrue="1">
      <formula>$B6="yes"</formula>
    </cfRule>
  </conditionalFormatting>
  <conditionalFormatting sqref="GU7:GU54 GU5">
    <cfRule type="expression" dxfId="0" priority="4" stopIfTrue="1">
      <formula>$B4="yes"</formula>
    </cfRule>
  </conditionalFormatting>
  <dataValidations count="19">
    <dataValidation allowBlank="1" showInputMessage="1" showErrorMessage="1" prompt="Title of this worksheet is in this cell. Customize categories in cells at right. Totals for each category will automatically update as items are added to Grocery List table below" sqref="B2:C3 M2:N3 Y2:Z3 AM2:AN3 AY2:AZ3 BJ2:BK3 BV2:BW3 CH2:CI3 CT2:CU3 DF2:DG3 DR2:DS3 ED2:EE3 EP2:EQ3 FB2:FC3 FN2:FO3 FZ2:GA3 GL2:GM3" xr:uid="{1B918A58-19C3-214D-9076-F563B052EB7C}"/>
    <dataValidation allowBlank="1" showInputMessage="1" showErrorMessage="1" prompt="Total amount for the above category is automatically updated in this cell" sqref="D3:H3 O3:S3 AA3:AE3 AO3:AS3 BA3:BE3 BL3:BP3 BX3:CB3 CJ3:CN3 CV3:CZ3 DH3:DL3 DT3:DX3 EF3:EJ3 ER3:EV3 FD3:FH3 FP3:FT3 GB3:GF3 GN3:GR3" xr:uid="{109587F5-CCD8-0147-824E-8141127EF375}"/>
    <dataValidation allowBlank="1" showInputMessage="1" showErrorMessage="1" prompt="Grand Total is automatically calculated in cell below" sqref="I2 T2 AF2 AT2 BF2 BQ2 CC2 CO2 DA2 DM2 DY2 EK2 EW2 FI2 FU2 GG2 GS2" xr:uid="{0B918522-E6C4-AA49-9D5F-DCADFFC38E21}"/>
    <dataValidation allowBlank="1" showInputMessage="1" showErrorMessage="1" prompt="Enter category in this cell" sqref="D2:H2 O2:S2 AA2:AE2 AO2:AS2 BA2:BE2 BL2:BP2 BX2:CB2 CJ2:CN2 CV2:CZ2 DH2:DL2 DT2:DX2 EF2:EJ2 ER2:EV2 FD2:FH2 FP2:FT2 GB2:GF2 GN2:GR2" xr:uid="{4C4DE035-BF5E-9848-8CD1-C0D0BD90089A}"/>
    <dataValidation allowBlank="1" showInputMessage="1" showErrorMessage="1" prompt="Enter Notes in this column under this heading" sqref="J5 U5 AG5 AU5 BG5 BR5:BS5 CD5:CE5 CP5:CQ5 DB5:DC5 DN5:DO5 DZ5:EA5 EL5:EM5 EX5:EY5 FJ5:FK5 FV5:FW5 GH5:GI5 GT5:GU5" xr:uid="{DC52B2C4-9194-4C41-BBAC-C3F9F1CF56E6}"/>
    <dataValidation allowBlank="1" showInputMessage="1" showErrorMessage="1" prompt="Total is automatically calculated in this column under this heading" sqref="I5 T5 AF5 AT5 BF5 BQ5 CC5 CO5 DA5 DM5 DY5 EK5 EW5 FI5 FU5 GG5 GS5" xr:uid="{1306246D-04C2-4445-B4C2-1B9670E6EAAD}"/>
    <dataValidation allowBlank="1" showInputMessage="1" showErrorMessage="1" prompt="Enter Unit Price in this column under this heading" sqref="H5 S5 AE5 AS5 BE5 BP5 CB5 CN5 CZ5 DL5 DX5 EJ5 EV5 FH5 FT5 GF5 GR5" xr:uid="{2916A844-AACE-724A-AD19-2094B57FD20C}"/>
    <dataValidation allowBlank="1" showInputMessage="1" showErrorMessage="1" prompt="Enter Unit in this column under this heading" sqref="G5 R5 AD5 AR5 BD5 BO5 CA5 CM5 CY5 DK5 DW5 EI5 EU5 FG5 FS5 GE5 GQ5" xr:uid="{A6A40DA4-53E3-5E46-82C1-D8D7A11DD1A1}"/>
    <dataValidation allowBlank="1" showInputMessage="1" showErrorMessage="1" prompt="Enter Quantity in this column under this heading" sqref="F5 Q5 AC5 AQ5 BC5 BN5 BZ5 CL5 CX5 DJ5 DV5 EH5 ET5 FF5 FR5 GD5 GP5" xr:uid="{4FB01215-D3B2-1841-8DB6-89F7B3F8A4B9}"/>
    <dataValidation allowBlank="1" showInputMessage="1" showErrorMessage="1" prompt="Select Category in this column under this heading. Press ALT+DOWN ARROW to open dropdown list; ENTER for selection. Category names are populated based on the values defined above" sqref="E5 P5 AB5 AP5 BB5 BM5 BY5 CK5 CW5 DI5 DU5 EG5 ES5 FE5 FQ5 GC5 GO5" xr:uid="{583BD084-FBCF-8B46-92EA-2ED01A07A52A}"/>
    <dataValidation allowBlank="1" showInputMessage="1" showErrorMessage="1" prompt="Enter Store name in this column under this heading" sqref="D5 O5 AA5 AO5 BA5 BL5 BX5 CJ5 CV5 DH5 DT5 EF5 ER5 FD5 FP5 GB5 GN5" xr:uid="{76892C5E-F0B7-0D41-B6D1-9EA71260C9C0}"/>
    <dataValidation allowBlank="1" showInputMessage="1" showErrorMessage="1" prompt="Enter Item in this column under this heading" sqref="C5 N5 Z5 AN5 AZ5 BK5 BW5 CI5 CU5 DG5 DS5 EE5 EQ5 FC5 FO5 GA5 GM5" xr:uid="{390B179E-FCFB-6F4D-A877-38097FE4DA1B}"/>
    <dataValidation allowBlank="1" showInputMessage="1" showErrorMessage="1" prompt="Select Yes in this column for items bought, font style becomes strikethrough. Press ALT+DOWN ARROW to open dropdown list; ENTER for selection. Heading filters find specific entries" sqref="B5 M5 Y5 AM5 AY5 BJ5 BV5 CH5 CT5 DF5 DR5 ED5 EP5 FB5 FN5 FZ5 GL5" xr:uid="{6171E9C2-2DBB-F640-A45C-F54A3158AE92}"/>
    <dataValidation allowBlank="1" showInputMessage="1" showErrorMessage="1" prompt="Text will automatically appear if table total is not equal to Grand Total. This happens when category name in row 2 changes but category in table column E refers to the old name" sqref="I4 T4 AF4 AT4 BF4 BQ4 CC4 CO4 DA4 DM4 DY4 EK4 EW4 FI4 FU4 GG4 GS4" xr:uid="{7E154645-71CE-2A44-A165-EA72FA0ECF72}"/>
    <dataValidation allowBlank="1" showInputMessage="1" showErrorMessage="1" prompt="Grand Total is automatically calculated in this cell. If the Grand Total does not match the table total, text will appear below indicating &quot;out of balance&quot;" sqref="I3 T3 AF3 AT3 BF3 BQ3 CC3 CO3 DA3 DM3 DY3 EK3 EW3 FI3 FU3 GG3 GS3" xr:uid="{675DA749-E14C-1547-A324-CD89DCCB98E3}"/>
    <dataValidation allowBlank="1" showInputMessage="1" showErrorMessage="1" prompt="Image is in this row" sqref="B1 M1 Y1 AM1 AY1 BJ1 BV1 CH1 CT1 DF1 DR1 ED1 EP1 FB1 FN1 FZ1 GL1" xr:uid="{786CDA92-7B71-2E4A-8FAD-52E0F1FA4CB3}"/>
    <dataValidation allowBlank="1" showInputMessage="1" showErrorMessage="1" prompt="Create a grocery list in this Grocery List worksheet. Use the Done column to indicate when items have been bought" sqref="A1" xr:uid="{F9483EF7-A548-B440-BBDF-10A6ABE4BA5D}"/>
    <dataValidation type="list" errorStyle="warning" allowBlank="1" showInputMessage="1" showErrorMessage="1" error="Select Category from the list. Select CANCEL, then press ALT+DOWN ARROW to open the drop-down list, then ENTER to make selection" sqref="E6:E53 P6:P53 AB6:AB53 AP6:AP53 BB6:BB54 BM6:BM54 BY6:BY54 CK6:CK54 CW6:CW54 DI6:DI54 DU6:DU54 EG6:EG54 ES6:ES54 FE6:FE54 FQ6:FQ54 GC6:GC54 GO6:GO54" xr:uid="{7C31C10A-FDE9-3F45-874D-C5ED17BBFDA2}">
      <formula1>CategoryLookup</formula1>
    </dataValidation>
    <dataValidation type="list" errorStyle="warning" allowBlank="1" showInputMessage="1" showErrorMessage="1" error="Select Yes from list for items bought. Select CANCEL, then press ALT+DOWN ARROW to open the drop-down list, then ENTER to make selection" sqref="B6:B53 M6:M53 Y6:Y53 AM6:AM53 AY6:AY54 BJ6:BJ54 BV6:BV54 CH6:CH54 CT6:CT54 DF6:DF54 DR6:DR54 ED6:ED54 EP6:EP54 FB6:FB54 FN6:FN54 FZ6:FZ54 GL6:GL54" xr:uid="{059D9F0A-E839-0645-B4BE-1F15C846E03D}">
      <formula1>"Yes"</formula1>
    </dataValidation>
  </dataValidations>
  <printOptions horizontalCentered="1"/>
  <pageMargins left="0.3" right="0.3" top="0.5" bottom="0.5" header="0.3" footer="0.3"/>
  <pageSetup scale="50" fitToHeight="0" orientation="portrait" r:id="rId1"/>
  <headerFooter differentFirst="1"/>
  <drawing r:id="rId2"/>
  <tableParts count="17">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E1E59-43FD-C04A-99F4-964CFDF5F94D}">
  <dimension ref="A1:L36"/>
  <sheetViews>
    <sheetView zoomScale="128" zoomScaleNormal="130" workbookViewId="0">
      <selection activeCell="B21" sqref="B21"/>
    </sheetView>
  </sheetViews>
  <sheetFormatPr baseColWidth="10" defaultColWidth="11.5" defaultRowHeight="15" x14ac:dyDescent="0.2"/>
  <cols>
    <col min="1" max="1" width="19.33203125" bestFit="1" customWidth="1"/>
    <col min="2" max="2" width="12.33203125" bestFit="1" customWidth="1"/>
    <col min="9" max="9" width="10.83203125" customWidth="1"/>
    <col min="10" max="10" width="21.6640625" customWidth="1"/>
  </cols>
  <sheetData>
    <row r="1" spans="1:12" x14ac:dyDescent="0.2">
      <c r="A1" t="s">
        <v>63</v>
      </c>
      <c r="B1">
        <v>200</v>
      </c>
    </row>
    <row r="2" spans="1:12" x14ac:dyDescent="0.2">
      <c r="A2" t="s">
        <v>64</v>
      </c>
      <c r="B2">
        <v>0</v>
      </c>
      <c r="K2" s="72" t="s">
        <v>71</v>
      </c>
      <c r="L2">
        <v>450</v>
      </c>
    </row>
    <row r="3" spans="1:12" x14ac:dyDescent="0.2">
      <c r="A3" t="s">
        <v>65</v>
      </c>
      <c r="B3">
        <v>0</v>
      </c>
      <c r="C3">
        <f>3280+1500</f>
        <v>4780</v>
      </c>
      <c r="K3" s="72" t="s">
        <v>330</v>
      </c>
    </row>
    <row r="4" spans="1:12" x14ac:dyDescent="0.2">
      <c r="A4" t="s">
        <v>66</v>
      </c>
      <c r="B4" s="72">
        <f>4400+450</f>
        <v>4850</v>
      </c>
      <c r="C4" s="72">
        <v>4000</v>
      </c>
    </row>
    <row r="5" spans="1:12" x14ac:dyDescent="0.2">
      <c r="A5" t="s">
        <v>67</v>
      </c>
      <c r="B5">
        <f>SUM(B1:B4)</f>
        <v>5050</v>
      </c>
      <c r="I5" t="s">
        <v>68</v>
      </c>
    </row>
    <row r="7" spans="1:12" x14ac:dyDescent="0.2">
      <c r="A7" t="s">
        <v>69</v>
      </c>
      <c r="B7">
        <v>0</v>
      </c>
    </row>
    <row r="8" spans="1:12" x14ac:dyDescent="0.2">
      <c r="A8" t="s">
        <v>70</v>
      </c>
      <c r="B8">
        <v>0</v>
      </c>
      <c r="J8" s="115">
        <v>2030161549318</v>
      </c>
    </row>
    <row r="9" spans="1:12" x14ac:dyDescent="0.2">
      <c r="A9" s="72" t="s">
        <v>129</v>
      </c>
      <c r="B9">
        <v>0</v>
      </c>
    </row>
    <row r="10" spans="1:12" x14ac:dyDescent="0.2">
      <c r="A10" t="s">
        <v>71</v>
      </c>
      <c r="B10">
        <v>0</v>
      </c>
    </row>
    <row r="11" spans="1:12" x14ac:dyDescent="0.2">
      <c r="A11" t="s">
        <v>131</v>
      </c>
      <c r="B11">
        <v>0</v>
      </c>
      <c r="J11" s="101"/>
    </row>
    <row r="12" spans="1:12" x14ac:dyDescent="0.2">
      <c r="A12" t="s">
        <v>132</v>
      </c>
      <c r="B12">
        <v>0</v>
      </c>
    </row>
    <row r="13" spans="1:12" x14ac:dyDescent="0.2">
      <c r="A13" t="s">
        <v>72</v>
      </c>
      <c r="B13">
        <v>0</v>
      </c>
    </row>
    <row r="14" spans="1:12" x14ac:dyDescent="0.2">
      <c r="A14" t="s">
        <v>73</v>
      </c>
      <c r="B14">
        <v>0</v>
      </c>
      <c r="F14">
        <f>B5/E22</f>
        <v>229.54545454545453</v>
      </c>
      <c r="J14" s="72"/>
      <c r="L14" s="72"/>
    </row>
    <row r="15" spans="1:12" x14ac:dyDescent="0.2">
      <c r="F15" t="s">
        <v>75</v>
      </c>
      <c r="K15" s="72"/>
      <c r="L15" s="72"/>
    </row>
    <row r="16" spans="1:12" x14ac:dyDescent="0.2">
      <c r="A16" s="16" t="s">
        <v>46</v>
      </c>
      <c r="B16" s="13"/>
      <c r="K16" s="72"/>
    </row>
    <row r="17" spans="1:11" x14ac:dyDescent="0.2">
      <c r="A17" s="16" t="s">
        <v>47</v>
      </c>
      <c r="B17" s="13">
        <v>0</v>
      </c>
      <c r="K17" s="72"/>
    </row>
    <row r="18" spans="1:11" x14ac:dyDescent="0.2">
      <c r="A18" s="16" t="s">
        <v>52</v>
      </c>
      <c r="B18" s="128">
        <v>330</v>
      </c>
      <c r="D18" t="s">
        <v>74</v>
      </c>
      <c r="E18">
        <f>SUM(B7:B35)</f>
        <v>4943</v>
      </c>
      <c r="G18" t="s">
        <v>154</v>
      </c>
      <c r="H18">
        <f>E20/E22</f>
        <v>4.8636363636363633</v>
      </c>
      <c r="I18" s="72"/>
      <c r="K18" s="72"/>
    </row>
    <row r="19" spans="1:11" x14ac:dyDescent="0.2">
      <c r="A19" s="16" t="s">
        <v>44</v>
      </c>
      <c r="B19" s="128">
        <v>0</v>
      </c>
      <c r="J19" s="114">
        <v>1441001556178</v>
      </c>
    </row>
    <row r="20" spans="1:11" x14ac:dyDescent="0.2">
      <c r="A20" s="16" t="s">
        <v>40</v>
      </c>
      <c r="B20" s="128">
        <v>0</v>
      </c>
      <c r="D20" t="s">
        <v>76</v>
      </c>
      <c r="E20">
        <f>B5-E18</f>
        <v>107</v>
      </c>
      <c r="I20" s="72"/>
      <c r="J20" s="72"/>
    </row>
    <row r="21" spans="1:11" x14ac:dyDescent="0.2">
      <c r="A21" s="16" t="s">
        <v>41</v>
      </c>
      <c r="B21" s="128">
        <v>700</v>
      </c>
      <c r="I21" s="72"/>
      <c r="K21" s="72"/>
    </row>
    <row r="22" spans="1:11" x14ac:dyDescent="0.2">
      <c r="A22" s="72" t="s">
        <v>61</v>
      </c>
      <c r="B22" s="128">
        <v>0</v>
      </c>
      <c r="D22" t="s">
        <v>77</v>
      </c>
      <c r="E22">
        <v>22</v>
      </c>
      <c r="I22" s="72"/>
      <c r="J22" s="72"/>
    </row>
    <row r="23" spans="1:11" x14ac:dyDescent="0.2">
      <c r="A23" s="16" t="s">
        <v>45</v>
      </c>
      <c r="B23" s="128"/>
      <c r="I23" s="72"/>
      <c r="J23" s="72"/>
    </row>
    <row r="24" spans="1:11" x14ac:dyDescent="0.2">
      <c r="A24" s="72" t="s">
        <v>128</v>
      </c>
      <c r="B24" s="128"/>
    </row>
    <row r="25" spans="1:11" x14ac:dyDescent="0.2">
      <c r="A25" s="16" t="s">
        <v>42</v>
      </c>
      <c r="B25" s="128"/>
    </row>
    <row r="26" spans="1:11" x14ac:dyDescent="0.2">
      <c r="A26" s="16" t="s">
        <v>43</v>
      </c>
      <c r="B26" s="128">
        <v>0</v>
      </c>
      <c r="J26" s="101">
        <v>1391590000469</v>
      </c>
    </row>
    <row r="27" spans="1:11" x14ac:dyDescent="0.2">
      <c r="A27" s="72" t="s">
        <v>53</v>
      </c>
      <c r="B27" s="128">
        <v>170</v>
      </c>
    </row>
    <row r="28" spans="1:11" x14ac:dyDescent="0.2">
      <c r="A28" s="16" t="s">
        <v>39</v>
      </c>
      <c r="B28" s="128">
        <v>800</v>
      </c>
    </row>
    <row r="29" spans="1:11" x14ac:dyDescent="0.2">
      <c r="A29" s="72" t="s">
        <v>127</v>
      </c>
      <c r="B29" s="13">
        <v>2924</v>
      </c>
      <c r="C29" s="13"/>
    </row>
    <row r="30" spans="1:11" x14ac:dyDescent="0.2">
      <c r="A30" s="16" t="s">
        <v>48</v>
      </c>
      <c r="B30" s="128">
        <v>0</v>
      </c>
      <c r="F30" s="72"/>
    </row>
    <row r="31" spans="1:11" x14ac:dyDescent="0.2">
      <c r="A31" s="16" t="s">
        <v>49</v>
      </c>
      <c r="B31" s="128">
        <v>9</v>
      </c>
    </row>
    <row r="32" spans="1:11" x14ac:dyDescent="0.2">
      <c r="A32" s="72" t="s">
        <v>126</v>
      </c>
      <c r="B32" s="128">
        <v>0</v>
      </c>
      <c r="G32" s="72"/>
    </row>
    <row r="33" spans="1:5" x14ac:dyDescent="0.2">
      <c r="A33" s="16" t="s">
        <v>50</v>
      </c>
      <c r="B33" s="128"/>
      <c r="E33" s="72"/>
    </row>
    <row r="34" spans="1:5" x14ac:dyDescent="0.2">
      <c r="A34" s="72" t="s">
        <v>73</v>
      </c>
      <c r="B34" s="128">
        <v>0</v>
      </c>
    </row>
    <row r="35" spans="1:5" x14ac:dyDescent="0.2">
      <c r="A35" s="16" t="s">
        <v>51</v>
      </c>
      <c r="B35" s="128">
        <v>10</v>
      </c>
    </row>
    <row r="36" spans="1:5" x14ac:dyDescent="0.2">
      <c r="A36" s="14"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O35"/>
  <sheetViews>
    <sheetView tabSelected="1" zoomScale="125" zoomScaleNormal="150" workbookViewId="0">
      <pane xSplit="1" ySplit="2" topLeftCell="B5" activePane="bottomRight" state="frozen"/>
      <selection pane="topRight" activeCell="B1" sqref="B1"/>
      <selection pane="bottomLeft" activeCell="A3" sqref="A3"/>
      <selection pane="bottomRight" activeCell="I35" sqref="I35"/>
    </sheetView>
  </sheetViews>
  <sheetFormatPr baseColWidth="10" defaultColWidth="8.83203125" defaultRowHeight="15" x14ac:dyDescent="0.2"/>
  <cols>
    <col min="1" max="1" width="18.5" customWidth="1"/>
    <col min="2" max="2" width="10.33203125" bestFit="1" customWidth="1"/>
    <col min="3" max="3" width="12.33203125" customWidth="1"/>
    <col min="4" max="4" width="10.6640625" customWidth="1"/>
    <col min="5" max="5" width="10.5" customWidth="1"/>
    <col min="6" max="6" width="11" customWidth="1"/>
    <col min="7" max="7" width="10.6640625" customWidth="1"/>
    <col min="8" max="8" width="11.83203125" bestFit="1" customWidth="1"/>
    <col min="9" max="9" width="10.5" bestFit="1" customWidth="1"/>
    <col min="10" max="10" width="12.5" customWidth="1"/>
    <col min="11" max="11" width="12.33203125" customWidth="1"/>
    <col min="12" max="12" width="14" customWidth="1"/>
    <col min="13" max="13" width="14.1640625" customWidth="1"/>
    <col min="14" max="14" width="5.1640625" bestFit="1" customWidth="1"/>
    <col min="15" max="15" width="13" customWidth="1"/>
  </cols>
  <sheetData>
    <row r="1" spans="1:15" ht="16" x14ac:dyDescent="0.2">
      <c r="A1" s="25" t="s">
        <v>29</v>
      </c>
      <c r="B1" s="25" t="str">
        <f>BUDGET!B2</f>
        <v>January</v>
      </c>
      <c r="C1" s="25" t="str">
        <f>BUDGET!C2</f>
        <v>February</v>
      </c>
      <c r="D1" s="25" t="str">
        <f>BUDGET!D2</f>
        <v>March</v>
      </c>
      <c r="E1" s="25" t="str">
        <f>BUDGET!E2</f>
        <v>April</v>
      </c>
      <c r="F1" s="25" t="str">
        <f>BUDGET!F2</f>
        <v>May</v>
      </c>
      <c r="G1" s="25" t="str">
        <f>BUDGET!G2</f>
        <v>June</v>
      </c>
      <c r="H1" s="25" t="str">
        <f>BUDGET!H2</f>
        <v>July</v>
      </c>
      <c r="I1" s="25" t="str">
        <f>BUDGET!I2</f>
        <v>August</v>
      </c>
      <c r="J1" s="25" t="str">
        <f>BUDGET!J2</f>
        <v>September</v>
      </c>
      <c r="K1" s="25" t="str">
        <f>BUDGET!K2</f>
        <v>October</v>
      </c>
      <c r="L1" s="25" t="str">
        <f>BUDGET!L2</f>
        <v>November</v>
      </c>
      <c r="M1" s="25" t="str">
        <f>BUDGET!M2</f>
        <v>December</v>
      </c>
      <c r="N1" s="26"/>
      <c r="O1" s="45" t="s">
        <v>0</v>
      </c>
    </row>
    <row r="2" spans="1:15" ht="16" x14ac:dyDescent="0.2">
      <c r="A2" s="25" t="s">
        <v>14</v>
      </c>
      <c r="B2" s="26" t="s">
        <v>1</v>
      </c>
      <c r="C2" s="26" t="s">
        <v>1</v>
      </c>
      <c r="D2" s="26" t="s">
        <v>1</v>
      </c>
      <c r="E2" s="26" t="s">
        <v>1</v>
      </c>
      <c r="F2" s="26" t="s">
        <v>1</v>
      </c>
      <c r="G2" s="26" t="s">
        <v>1</v>
      </c>
      <c r="H2" s="26" t="s">
        <v>1</v>
      </c>
      <c r="I2" s="26" t="s">
        <v>1</v>
      </c>
      <c r="J2" s="26" t="s">
        <v>1</v>
      </c>
      <c r="K2" s="26" t="s">
        <v>1</v>
      </c>
      <c r="L2" s="26" t="s">
        <v>1</v>
      </c>
      <c r="M2" s="26" t="s">
        <v>1</v>
      </c>
      <c r="N2" s="26"/>
      <c r="O2" s="46" t="s">
        <v>1</v>
      </c>
    </row>
    <row r="3" spans="1:15" ht="21" customHeight="1" x14ac:dyDescent="0.2">
      <c r="A3" s="16" t="s">
        <v>9</v>
      </c>
      <c r="B3" s="13">
        <v>3945</v>
      </c>
      <c r="C3" s="13">
        <v>3900</v>
      </c>
      <c r="D3" s="13">
        <v>3900</v>
      </c>
      <c r="E3" s="13">
        <v>3850</v>
      </c>
      <c r="F3" s="13">
        <v>3850</v>
      </c>
      <c r="G3" s="13">
        <v>3847</v>
      </c>
      <c r="H3" s="13">
        <v>3844</v>
      </c>
      <c r="I3" s="13">
        <v>3860</v>
      </c>
      <c r="J3" s="13">
        <v>3829</v>
      </c>
      <c r="K3" s="13">
        <v>3280</v>
      </c>
      <c r="L3" s="13">
        <v>3246</v>
      </c>
      <c r="M3" s="13">
        <v>3400</v>
      </c>
      <c r="N3" s="24"/>
      <c r="O3" s="47">
        <f>SUM(B3:M3)</f>
        <v>44751</v>
      </c>
    </row>
    <row r="4" spans="1:15" ht="16.5" customHeight="1" x14ac:dyDescent="0.2">
      <c r="A4" s="16" t="s">
        <v>10</v>
      </c>
      <c r="B4" s="13">
        <v>255</v>
      </c>
      <c r="C4" s="13"/>
      <c r="D4" s="13">
        <v>350</v>
      </c>
      <c r="E4" s="13">
        <v>250</v>
      </c>
      <c r="F4" s="13">
        <v>500</v>
      </c>
      <c r="G4" s="13">
        <v>140</v>
      </c>
      <c r="H4" s="13">
        <v>560</v>
      </c>
      <c r="I4" s="13">
        <v>130</v>
      </c>
      <c r="J4" s="23">
        <f>190+220</f>
        <v>410</v>
      </c>
      <c r="K4" s="23">
        <f>6000+140+280+280</f>
        <v>6700</v>
      </c>
      <c r="L4" s="23">
        <f>4160+1500</f>
        <v>5660</v>
      </c>
      <c r="M4" s="23">
        <v>2750</v>
      </c>
      <c r="N4" s="24"/>
      <c r="O4" s="47">
        <f t="shared" ref="O4" si="0">SUM(B4:M4)</f>
        <v>17705</v>
      </c>
    </row>
    <row r="5" spans="1:15" ht="16" thickBot="1" x14ac:dyDescent="0.25">
      <c r="A5" s="14" t="s">
        <v>11</v>
      </c>
      <c r="B5" s="36">
        <f t="shared" ref="B5:M5" si="1">SUM(B3:B4)</f>
        <v>4200</v>
      </c>
      <c r="C5" s="36">
        <f t="shared" si="1"/>
        <v>3900</v>
      </c>
      <c r="D5" s="36">
        <f t="shared" si="1"/>
        <v>4250</v>
      </c>
      <c r="E5" s="36">
        <f t="shared" si="1"/>
        <v>4100</v>
      </c>
      <c r="F5" s="36">
        <f t="shared" si="1"/>
        <v>4350</v>
      </c>
      <c r="G5" s="36">
        <f t="shared" si="1"/>
        <v>3987</v>
      </c>
      <c r="H5" s="36">
        <f t="shared" si="1"/>
        <v>4404</v>
      </c>
      <c r="I5" s="36">
        <f t="shared" si="1"/>
        <v>3990</v>
      </c>
      <c r="J5" s="36">
        <f t="shared" si="1"/>
        <v>4239</v>
      </c>
      <c r="K5" s="36">
        <f t="shared" si="1"/>
        <v>9980</v>
      </c>
      <c r="L5" s="36">
        <f t="shared" si="1"/>
        <v>8906</v>
      </c>
      <c r="M5" s="36">
        <f t="shared" si="1"/>
        <v>6150</v>
      </c>
      <c r="N5" s="35"/>
      <c r="O5" s="48">
        <f>SUM(O3:O4)</f>
        <v>62456</v>
      </c>
    </row>
    <row r="6" spans="1:15" ht="16" thickTop="1" x14ac:dyDescent="0.2">
      <c r="A6" s="14"/>
      <c r="B6" s="64"/>
      <c r="C6" s="64"/>
      <c r="D6" s="64"/>
      <c r="E6" s="64"/>
      <c r="F6" s="64"/>
      <c r="G6" s="64"/>
      <c r="H6" s="64"/>
      <c r="I6" s="64"/>
      <c r="J6" s="64"/>
      <c r="K6" s="64"/>
      <c r="L6" s="64"/>
      <c r="M6" s="64"/>
      <c r="N6" s="65"/>
      <c r="O6" s="66"/>
    </row>
    <row r="7" spans="1:15" x14ac:dyDescent="0.2">
      <c r="A7" s="14" t="s">
        <v>13</v>
      </c>
      <c r="O7" s="49"/>
    </row>
    <row r="8" spans="1:15" x14ac:dyDescent="0.2">
      <c r="A8" s="16" t="str">
        <f>BUDGET!A9</f>
        <v>Rent</v>
      </c>
      <c r="B8" s="24">
        <f>'ACTUAL EXPENSES'!AG3</f>
        <v>1205</v>
      </c>
      <c r="C8" s="24">
        <f>'ACTUAL EXPENSES'!AG29</f>
        <v>0</v>
      </c>
      <c r="D8" s="24">
        <f>'ACTUAL EXPENSES'!AG57</f>
        <v>1400</v>
      </c>
      <c r="E8" s="24">
        <f>'ACTUAL EXPENSES'!AG83</f>
        <v>0</v>
      </c>
      <c r="F8" s="24">
        <f>'ACTUAL EXPENSES'!AG109</f>
        <v>0</v>
      </c>
      <c r="G8" s="24">
        <f>'ACTUAL EXPENSES'!AG135</f>
        <v>500</v>
      </c>
      <c r="H8" s="24">
        <f>'ACTUAL EXPENSES'!AG161</f>
        <v>0</v>
      </c>
      <c r="I8" s="24">
        <f>'ACTUAL EXPENSES'!AG187</f>
        <v>0</v>
      </c>
      <c r="J8" s="24">
        <f>'ACTUAL EXPENSES'!AG214</f>
        <v>0</v>
      </c>
      <c r="K8" s="24">
        <f>'ACTUAL EXPENSES'!AG240</f>
        <v>6000</v>
      </c>
      <c r="L8" s="24">
        <f>'ACTUAL EXPENSES'!AG266</f>
        <v>0</v>
      </c>
      <c r="M8" s="24">
        <f>'ACTUAL EXPENSES'!AG292</f>
        <v>1000</v>
      </c>
      <c r="N8" s="24"/>
      <c r="O8" s="50">
        <f>SUM(B8:M8)</f>
        <v>10105</v>
      </c>
    </row>
    <row r="9" spans="1:15" x14ac:dyDescent="0.2">
      <c r="A9" s="16" t="str">
        <f>BUDGET!A10</f>
        <v>Tithe</v>
      </c>
      <c r="B9" s="24">
        <f>'ACTUAL EXPENSES'!AG4</f>
        <v>0</v>
      </c>
      <c r="C9" s="24">
        <f>'ACTUAL EXPENSES'!AG30</f>
        <v>0</v>
      </c>
      <c r="D9" s="24">
        <f>'ACTUAL EXPENSES'!AG58</f>
        <v>0</v>
      </c>
      <c r="E9" s="24">
        <f>'ACTUAL EXPENSES'!AG84</f>
        <v>385</v>
      </c>
      <c r="F9" s="24">
        <f>'ACTUAL EXPENSES'!AG110</f>
        <v>0</v>
      </c>
      <c r="G9" s="24">
        <f>'ACTUAL EXPENSES'!AG136</f>
        <v>0</v>
      </c>
      <c r="H9" s="24">
        <f>'ACTUAL EXPENSES'!AG162</f>
        <v>0</v>
      </c>
      <c r="I9" s="24">
        <f>'ACTUAL EXPENSES'!AG188</f>
        <v>0</v>
      </c>
      <c r="J9" s="24">
        <f>'ACTUAL EXPENSES'!AG215</f>
        <v>0</v>
      </c>
      <c r="K9" s="24">
        <f>'ACTUAL EXPENSES'!AG241</f>
        <v>0</v>
      </c>
      <c r="L9" s="24">
        <f>'ACTUAL EXPENSES'!AG267</f>
        <v>0</v>
      </c>
      <c r="M9" s="24">
        <f>'ACTUAL EXPENSES'!AG293</f>
        <v>0</v>
      </c>
      <c r="N9" s="24"/>
      <c r="O9" s="50">
        <f t="shared" ref="O9:O29" si="2">SUM(B9:M9)</f>
        <v>385</v>
      </c>
    </row>
    <row r="10" spans="1:15" x14ac:dyDescent="0.2">
      <c r="A10" s="16" t="str">
        <f>BUDGET!A11</f>
        <v>Data</v>
      </c>
      <c r="B10" s="24">
        <f>'ACTUAL EXPENSES'!AG5</f>
        <v>0</v>
      </c>
      <c r="C10" s="24">
        <f>'ACTUAL EXPENSES'!AG31</f>
        <v>300</v>
      </c>
      <c r="D10" s="24">
        <f>'ACTUAL EXPENSES'!AG59</f>
        <v>306</v>
      </c>
      <c r="E10" s="24">
        <f>'ACTUAL EXPENSES'!AG85</f>
        <v>300</v>
      </c>
      <c r="F10" s="24">
        <f>'ACTUAL EXPENSES'!AG111</f>
        <v>300</v>
      </c>
      <c r="G10" s="24">
        <f>'ACTUAL EXPENSES'!AG137</f>
        <v>300</v>
      </c>
      <c r="H10" s="24">
        <f>'ACTUAL EXPENSES'!AG163</f>
        <v>300</v>
      </c>
      <c r="I10" s="24">
        <f>'ACTUAL EXPENSES'!AG189</f>
        <v>300</v>
      </c>
      <c r="J10" s="24">
        <f>'ACTUAL EXPENSES'!AG216</f>
        <v>300</v>
      </c>
      <c r="K10" s="24">
        <f>'ACTUAL EXPENSES'!AG242</f>
        <v>330</v>
      </c>
      <c r="L10" s="24">
        <f>'ACTUAL EXPENSES'!AG268</f>
        <v>330</v>
      </c>
      <c r="M10" s="24">
        <f>'ACTUAL EXPENSES'!AG294</f>
        <v>455</v>
      </c>
      <c r="N10" s="24"/>
      <c r="O10" s="50">
        <f t="shared" si="2"/>
        <v>3521</v>
      </c>
    </row>
    <row r="11" spans="1:15" x14ac:dyDescent="0.2">
      <c r="A11" s="16" t="str">
        <f>BUDGET!A12</f>
        <v xml:space="preserve">Savings/ Investment </v>
      </c>
      <c r="B11" s="24">
        <f>'ACTUAL EXPENSES'!AG6</f>
        <v>0</v>
      </c>
      <c r="C11" s="24">
        <f>'ACTUAL EXPENSES'!AG32</f>
        <v>200</v>
      </c>
      <c r="D11" s="24">
        <f>'ACTUAL EXPENSES'!AG60</f>
        <v>350</v>
      </c>
      <c r="E11" s="24">
        <f>'ACTUAL EXPENSES'!AG86</f>
        <v>500</v>
      </c>
      <c r="F11" s="24">
        <f>'ACTUAL EXPENSES'!AG112</f>
        <v>0</v>
      </c>
      <c r="G11" s="24">
        <f>'ACTUAL EXPENSES'!AG138</f>
        <v>350</v>
      </c>
      <c r="H11" s="24">
        <f>'ACTUAL EXPENSES'!AG164</f>
        <v>750</v>
      </c>
      <c r="I11" s="24">
        <f>'ACTUAL EXPENSES'!AG190</f>
        <v>1000</v>
      </c>
      <c r="J11" s="24">
        <f>'ACTUAL EXPENSES'!AG217</f>
        <v>250</v>
      </c>
      <c r="K11" s="24">
        <f>'ACTUAL EXPENSES'!AG243</f>
        <v>250</v>
      </c>
      <c r="L11" s="24">
        <f>'ACTUAL EXPENSES'!AG269</f>
        <v>0</v>
      </c>
      <c r="M11" s="24">
        <f>'ACTUAL EXPENSES'!AG295</f>
        <v>0</v>
      </c>
      <c r="N11" s="24"/>
      <c r="O11" s="50">
        <f t="shared" si="2"/>
        <v>3650</v>
      </c>
    </row>
    <row r="12" spans="1:15" x14ac:dyDescent="0.2">
      <c r="A12" s="16" t="str">
        <f>BUDGET!A13</f>
        <v>Hair / Gym</v>
      </c>
      <c r="B12" s="24">
        <f>'ACTUAL EXPENSES'!AG7</f>
        <v>0</v>
      </c>
      <c r="C12" s="24">
        <f>'ACTUAL EXPENSES'!AG33</f>
        <v>20</v>
      </c>
      <c r="D12" s="24">
        <f>'ACTUAL EXPENSES'!AG61</f>
        <v>500</v>
      </c>
      <c r="E12" s="24">
        <f>'ACTUAL EXPENSES'!AG87</f>
        <v>20</v>
      </c>
      <c r="F12" s="24">
        <f>'ACTUAL EXPENSES'!AG113</f>
        <v>0</v>
      </c>
      <c r="G12" s="24">
        <f>'ACTUAL EXPENSES'!AG139</f>
        <v>0</v>
      </c>
      <c r="H12" s="24">
        <f>'ACTUAL EXPENSES'!AG165</f>
        <v>20</v>
      </c>
      <c r="I12" s="24">
        <f>'ACTUAL EXPENSES'!AG191</f>
        <v>0</v>
      </c>
      <c r="J12" s="24">
        <f>'ACTUAL EXPENSES'!AG218</f>
        <v>0</v>
      </c>
      <c r="K12" s="24">
        <f>'ACTUAL EXPENSES'!AG244</f>
        <v>0</v>
      </c>
      <c r="L12" s="24">
        <f>'ACTUAL EXPENSES'!AG270</f>
        <v>0</v>
      </c>
      <c r="M12" s="24">
        <f>'ACTUAL EXPENSES'!AG296</f>
        <v>0</v>
      </c>
      <c r="N12" s="24"/>
      <c r="O12" s="50">
        <f t="shared" si="2"/>
        <v>560</v>
      </c>
    </row>
    <row r="13" spans="1:15" x14ac:dyDescent="0.2">
      <c r="A13" s="16" t="str">
        <f>BUDGET!A14</f>
        <v>Food</v>
      </c>
      <c r="B13" s="24">
        <f>'ACTUAL EXPENSES'!AG8</f>
        <v>470.02</v>
      </c>
      <c r="C13" s="24">
        <f>'ACTUAL EXPENSES'!AG34</f>
        <v>609.5</v>
      </c>
      <c r="D13" s="24">
        <f>'ACTUAL EXPENSES'!AG62</f>
        <v>1252.8</v>
      </c>
      <c r="E13" s="24">
        <f>'ACTUAL EXPENSES'!AG88</f>
        <v>850.35</v>
      </c>
      <c r="F13" s="24">
        <f>'ACTUAL EXPENSES'!AG114</f>
        <v>1112.5</v>
      </c>
      <c r="G13" s="24">
        <f>'ACTUAL EXPENSES'!AG140</f>
        <v>643.5</v>
      </c>
      <c r="H13" s="24">
        <f>'ACTUAL EXPENSES'!AG166</f>
        <v>878.67000000000007</v>
      </c>
      <c r="I13" s="24">
        <f>'ACTUAL EXPENSES'!AG192</f>
        <v>595.99</v>
      </c>
      <c r="J13" s="24">
        <f>'ACTUAL EXPENSES'!AG219</f>
        <v>538.96</v>
      </c>
      <c r="K13" s="24">
        <f>'ACTUAL EXPENSES'!AG245</f>
        <v>892.49</v>
      </c>
      <c r="L13" s="24">
        <f>'ACTUAL EXPENSES'!AG271</f>
        <v>853</v>
      </c>
      <c r="M13" s="24">
        <f>'ACTUAL EXPENSES'!AG297</f>
        <v>1722.8999999999999</v>
      </c>
      <c r="N13" s="24"/>
      <c r="O13" s="50">
        <f t="shared" si="2"/>
        <v>10420.679999999998</v>
      </c>
    </row>
    <row r="14" spans="1:15" x14ac:dyDescent="0.2">
      <c r="A14" s="16" t="str">
        <f>BUDGET!A15</f>
        <v>Healthcare</v>
      </c>
      <c r="B14" s="24">
        <f>'ACTUAL EXPENSES'!AG9</f>
        <v>25</v>
      </c>
      <c r="C14" s="24">
        <f>'ACTUAL EXPENSES'!AG35</f>
        <v>96</v>
      </c>
      <c r="D14" s="24">
        <f>'ACTUAL EXPENSES'!AG63</f>
        <v>245</v>
      </c>
      <c r="E14" s="24">
        <f>'ACTUAL EXPENSES'!AG89</f>
        <v>17</v>
      </c>
      <c r="F14" s="24">
        <f>'ACTUAL EXPENSES'!AG115</f>
        <v>52</v>
      </c>
      <c r="G14" s="24">
        <f>'ACTUAL EXPENSES'!AG141</f>
        <v>75.5</v>
      </c>
      <c r="H14" s="24">
        <f>'ACTUAL EXPENSES'!AG167</f>
        <v>53</v>
      </c>
      <c r="I14" s="24">
        <f>'ACTUAL EXPENSES'!AG193</f>
        <v>52</v>
      </c>
      <c r="J14" s="24">
        <f>'ACTUAL EXPENSES'!AG220</f>
        <v>46.9</v>
      </c>
      <c r="K14" s="24">
        <f>'ACTUAL EXPENSES'!AG246</f>
        <v>0</v>
      </c>
      <c r="L14" s="24">
        <f>'ACTUAL EXPENSES'!AG272</f>
        <v>151.80000000000001</v>
      </c>
      <c r="M14" s="24">
        <f>'ACTUAL EXPENSES'!AG298</f>
        <v>56</v>
      </c>
      <c r="N14" s="24"/>
      <c r="O14" s="50">
        <f t="shared" si="2"/>
        <v>870.2</v>
      </c>
    </row>
    <row r="15" spans="1:15" x14ac:dyDescent="0.2">
      <c r="A15" s="16" t="str">
        <f>BUDGET!A16</f>
        <v xml:space="preserve">Clothes/ Shoes/ Jewelry </v>
      </c>
      <c r="B15" s="24">
        <f>'ACTUAL EXPENSES'!AG10</f>
        <v>230</v>
      </c>
      <c r="C15" s="24">
        <f>'ACTUAL EXPENSES'!AG36</f>
        <v>100</v>
      </c>
      <c r="D15" s="24">
        <f>'ACTUAL EXPENSES'!AG64</f>
        <v>264</v>
      </c>
      <c r="E15" s="24">
        <f>'ACTUAL EXPENSES'!AG90</f>
        <v>470</v>
      </c>
      <c r="F15" s="24">
        <f>'ACTUAL EXPENSES'!AG116</f>
        <v>290</v>
      </c>
      <c r="G15" s="24">
        <f>'ACTUAL EXPENSES'!AG142</f>
        <v>0</v>
      </c>
      <c r="H15" s="24">
        <f>'ACTUAL EXPENSES'!AG168</f>
        <v>0</v>
      </c>
      <c r="I15" s="24">
        <f>'ACTUAL EXPENSES'!AG194</f>
        <v>0</v>
      </c>
      <c r="J15" s="24">
        <f>'ACTUAL EXPENSES'!AG221</f>
        <v>0</v>
      </c>
      <c r="K15" s="24">
        <f>'ACTUAL EXPENSES'!AG247</f>
        <v>380</v>
      </c>
      <c r="L15" s="24">
        <f>'ACTUAL EXPENSES'!AG273</f>
        <v>0</v>
      </c>
      <c r="M15" s="24">
        <f>'ACTUAL EXPENSES'!AG299</f>
        <v>120</v>
      </c>
      <c r="N15" s="24"/>
      <c r="O15" s="50">
        <f t="shared" si="2"/>
        <v>1854</v>
      </c>
    </row>
    <row r="16" spans="1:15" x14ac:dyDescent="0.2">
      <c r="A16" s="16" t="str">
        <f>BUDGET!A17</f>
        <v>shoes</v>
      </c>
      <c r="B16" s="24">
        <f>'ACTUAL EXPENSES'!AG11</f>
        <v>0</v>
      </c>
      <c r="C16" s="24">
        <f>'ACTUAL EXPENSES'!AG37</f>
        <v>0</v>
      </c>
      <c r="D16" s="24">
        <f>'ACTUAL EXPENSES'!AG65</f>
        <v>0</v>
      </c>
      <c r="E16" s="24">
        <f>'ACTUAL EXPENSES'!AG91</f>
        <v>0</v>
      </c>
      <c r="F16" s="24">
        <f>'ACTUAL EXPENSES'!AG117</f>
        <v>0</v>
      </c>
      <c r="G16" s="24">
        <f>'ACTUAL EXPENSES'!AG143</f>
        <v>0</v>
      </c>
      <c r="H16" s="24">
        <f>'ACTUAL EXPENSES'!AG169</f>
        <v>0</v>
      </c>
      <c r="I16" s="24">
        <f>'ACTUAL EXPENSES'!AG195</f>
        <v>0</v>
      </c>
      <c r="J16" s="24">
        <f>'ACTUAL EXPENSES'!AG222</f>
        <v>0</v>
      </c>
      <c r="K16" s="24">
        <f>'ACTUAL EXPENSES'!AG248</f>
        <v>0</v>
      </c>
      <c r="L16" s="24">
        <f>'ACTUAL EXPENSES'!AG274</f>
        <v>0</v>
      </c>
      <c r="M16" s="24">
        <f>'ACTUAL EXPENSES'!AG300</f>
        <v>0</v>
      </c>
      <c r="N16" s="24"/>
      <c r="O16" s="50">
        <f t="shared" si="2"/>
        <v>0</v>
      </c>
    </row>
    <row r="17" spans="1:15" x14ac:dyDescent="0.2">
      <c r="A17" s="16" t="str">
        <f>BUDGET!A18</f>
        <v xml:space="preserve">Travel/ Vacations </v>
      </c>
      <c r="B17" s="24">
        <f>'ACTUAL EXPENSES'!AG12</f>
        <v>0</v>
      </c>
      <c r="C17" s="24">
        <f>'ACTUAL EXPENSES'!AG38</f>
        <v>0</v>
      </c>
      <c r="D17" s="24">
        <f>'ACTUAL EXPENSES'!AG66</f>
        <v>0</v>
      </c>
      <c r="E17" s="24">
        <f>'ACTUAL EXPENSES'!AG92</f>
        <v>0</v>
      </c>
      <c r="F17" s="24">
        <f>'ACTUAL EXPENSES'!AG118</f>
        <v>0</v>
      </c>
      <c r="G17" s="24">
        <f>'ACTUAL EXPENSES'!AG144</f>
        <v>0</v>
      </c>
      <c r="H17" s="24">
        <f>'ACTUAL EXPENSES'!AG170</f>
        <v>0</v>
      </c>
      <c r="I17" s="24">
        <f>'ACTUAL EXPENSES'!AG196</f>
        <v>0</v>
      </c>
      <c r="J17" s="24">
        <f>'ACTUAL EXPENSES'!AG223</f>
        <v>0</v>
      </c>
      <c r="K17" s="24">
        <f>'ACTUAL EXPENSES'!AG249</f>
        <v>0</v>
      </c>
      <c r="L17" s="24">
        <f>'ACTUAL EXPENSES'!AG275</f>
        <v>0</v>
      </c>
      <c r="M17" s="24">
        <f>'ACTUAL EXPENSES'!AG301</f>
        <v>0</v>
      </c>
      <c r="N17" s="24"/>
      <c r="O17" s="50">
        <f t="shared" si="2"/>
        <v>0</v>
      </c>
    </row>
    <row r="18" spans="1:15" x14ac:dyDescent="0.2">
      <c r="A18" s="16" t="str">
        <f>BUDGET!A19</f>
        <v>Outings</v>
      </c>
      <c r="B18" s="24">
        <f>'ACTUAL EXPENSES'!AG13</f>
        <v>57</v>
      </c>
      <c r="C18" s="24">
        <f>'ACTUAL EXPENSES'!AG39</f>
        <v>0</v>
      </c>
      <c r="D18" s="24">
        <f>'ACTUAL EXPENSES'!AG67</f>
        <v>200</v>
      </c>
      <c r="E18" s="24">
        <f>'ACTUAL EXPENSES'!AG93</f>
        <v>100</v>
      </c>
      <c r="F18" s="24">
        <f>'ACTUAL EXPENSES'!AG119</f>
        <v>100</v>
      </c>
      <c r="G18" s="24">
        <f>'ACTUAL EXPENSES'!AG145</f>
        <v>100</v>
      </c>
      <c r="H18" s="24">
        <f>'ACTUAL EXPENSES'!AG171</f>
        <v>0</v>
      </c>
      <c r="I18" s="24">
        <f>'ACTUAL EXPENSES'!AG197</f>
        <v>0</v>
      </c>
      <c r="J18" s="24">
        <f>'ACTUAL EXPENSES'!AG224</f>
        <v>0</v>
      </c>
      <c r="K18" s="24">
        <f>'ACTUAL EXPENSES'!AG250</f>
        <v>0</v>
      </c>
      <c r="L18" s="24">
        <f>'ACTUAL EXPENSES'!AG276</f>
        <v>0</v>
      </c>
      <c r="M18" s="24">
        <f>'ACTUAL EXPENSES'!AG302</f>
        <v>0</v>
      </c>
      <c r="N18" s="24"/>
      <c r="O18" s="50">
        <f t="shared" si="2"/>
        <v>557</v>
      </c>
    </row>
    <row r="19" spans="1:15" x14ac:dyDescent="0.2">
      <c r="A19" s="16" t="str">
        <f>BUDGET!A20</f>
        <v>Toiletries/Groceries</v>
      </c>
      <c r="B19" s="24">
        <f>'ACTUAL EXPENSES'!AG14</f>
        <v>762</v>
      </c>
      <c r="C19" s="24">
        <f>'ACTUAL EXPENSES'!AG40</f>
        <v>272</v>
      </c>
      <c r="D19" s="24">
        <f>'ACTUAL EXPENSES'!AG68</f>
        <v>117.47999999999999</v>
      </c>
      <c r="E19" s="24">
        <f>'ACTUAL EXPENSES'!AG94</f>
        <v>352.89</v>
      </c>
      <c r="F19" s="24">
        <f>'ACTUAL EXPENSES'!AG120</f>
        <v>713.44</v>
      </c>
      <c r="G19" s="24">
        <f>'ACTUAL EXPENSES'!AG146</f>
        <v>746.41000000000008</v>
      </c>
      <c r="H19" s="24">
        <f>'ACTUAL EXPENSES'!AG172</f>
        <v>873.91</v>
      </c>
      <c r="I19" s="24">
        <f>'ACTUAL EXPENSES'!AG198</f>
        <v>702.2</v>
      </c>
      <c r="J19" s="24">
        <f>'ACTUAL EXPENSES'!AG225</f>
        <v>1115.53</v>
      </c>
      <c r="K19" s="24">
        <f>'ACTUAL EXPENSES'!AG251</f>
        <v>651.94000000000005</v>
      </c>
      <c r="L19" s="24">
        <f>'ACTUAL EXPENSES'!AG277</f>
        <v>1558.9699999999998</v>
      </c>
      <c r="M19" s="24">
        <f>'ACTUAL EXPENSES'!AG303</f>
        <v>1539.81</v>
      </c>
      <c r="N19" s="24"/>
      <c r="O19" s="50">
        <f t="shared" si="2"/>
        <v>9406.5799999999981</v>
      </c>
    </row>
    <row r="20" spans="1:15" x14ac:dyDescent="0.2">
      <c r="A20" s="16" t="str">
        <f>BUDGET!A21</f>
        <v xml:space="preserve">Transportation </v>
      </c>
      <c r="B20" s="24">
        <f>'ACTUAL EXPENSES'!AG15</f>
        <v>491.5</v>
      </c>
      <c r="C20" s="24">
        <f>'ACTUAL EXPENSES'!AG41</f>
        <v>540</v>
      </c>
      <c r="D20" s="24">
        <f>'ACTUAL EXPENSES'!AG69</f>
        <v>644</v>
      </c>
      <c r="E20" s="24">
        <f>'ACTUAL EXPENSES'!AG95</f>
        <v>460</v>
      </c>
      <c r="F20" s="24">
        <f>'ACTUAL EXPENSES'!AG121</f>
        <v>1106.5</v>
      </c>
      <c r="G20" s="24">
        <f>'ACTUAL EXPENSES'!AG147</f>
        <v>843</v>
      </c>
      <c r="H20" s="24">
        <f>'ACTUAL EXPENSES'!AG173</f>
        <v>1011.75</v>
      </c>
      <c r="I20" s="24">
        <f>'ACTUAL EXPENSES'!AG199</f>
        <v>862.5</v>
      </c>
      <c r="J20" s="24">
        <f>'ACTUAL EXPENSES'!AG226</f>
        <v>861</v>
      </c>
      <c r="K20" s="24">
        <f>'ACTUAL EXPENSES'!AG252</f>
        <v>1008</v>
      </c>
      <c r="L20" s="24">
        <f>'ACTUAL EXPENSES'!AG278</f>
        <v>1335.5</v>
      </c>
      <c r="M20" s="24">
        <f>'ACTUAL EXPENSES'!AG304</f>
        <v>1505.5</v>
      </c>
      <c r="N20" s="24"/>
      <c r="O20" s="50">
        <f t="shared" si="2"/>
        <v>10669.25</v>
      </c>
    </row>
    <row r="21" spans="1:15" x14ac:dyDescent="0.2">
      <c r="A21" s="16" t="str">
        <f>BUDGET!A22</f>
        <v>Miscellaneous</v>
      </c>
      <c r="B21" s="24">
        <f>'ACTUAL EXPENSES'!AG16</f>
        <v>995.25</v>
      </c>
      <c r="C21" s="24">
        <f>'ACTUAL EXPENSES'!AG42</f>
        <v>113</v>
      </c>
      <c r="D21" s="24">
        <f>'ACTUAL EXPENSES'!AG70</f>
        <v>212</v>
      </c>
      <c r="E21" s="24">
        <f>'ACTUAL EXPENSES'!AG96</f>
        <v>563</v>
      </c>
      <c r="F21" s="24">
        <f>'ACTUAL EXPENSES'!AG122</f>
        <v>1070</v>
      </c>
      <c r="G21" s="24">
        <f>'ACTUAL EXPENSES'!AG148</f>
        <v>739</v>
      </c>
      <c r="H21" s="24">
        <f>'ACTUAL EXPENSES'!AG174</f>
        <v>707.6</v>
      </c>
      <c r="I21" s="24">
        <f>'ACTUAL EXPENSES'!AG200</f>
        <v>181.5</v>
      </c>
      <c r="J21" s="24">
        <f>'ACTUAL EXPENSES'!AG227</f>
        <v>723</v>
      </c>
      <c r="K21" s="24">
        <f>'ACTUAL EXPENSES'!AG253</f>
        <v>715.5</v>
      </c>
      <c r="L21" s="24">
        <f>'ACTUAL EXPENSES'!AG279</f>
        <v>1516</v>
      </c>
      <c r="M21" s="24">
        <f>'ACTUAL EXPENSES'!AG305</f>
        <v>1142</v>
      </c>
      <c r="N21" s="24"/>
      <c r="O21" s="50">
        <f t="shared" si="2"/>
        <v>8677.85</v>
      </c>
    </row>
    <row r="22" spans="1:15" x14ac:dyDescent="0.2">
      <c r="A22" s="16" t="str">
        <f>BUDGET!A23</f>
        <v>Apple Subscriptions</v>
      </c>
      <c r="B22" s="24">
        <f>'ACTUAL EXPENSES'!AG17</f>
        <v>58.620000000000005</v>
      </c>
      <c r="C22" s="24">
        <f>'ACTUAL EXPENSES'!AG43</f>
        <v>14</v>
      </c>
      <c r="D22" s="24">
        <f>'ACTUAL EXPENSES'!AG71</f>
        <v>13.25</v>
      </c>
      <c r="E22" s="24">
        <f>'ACTUAL EXPENSES'!AG97</f>
        <v>12.82</v>
      </c>
      <c r="F22" s="24">
        <f>'ACTUAL EXPENSES'!AG123</f>
        <v>12.19</v>
      </c>
      <c r="G22" s="24">
        <f>'ACTUAL EXPENSES'!AG149</f>
        <v>12.55</v>
      </c>
      <c r="H22" s="24">
        <f>'ACTUAL EXPENSES'!AG175</f>
        <v>12.31</v>
      </c>
      <c r="I22" s="24">
        <f>'ACTUAL EXPENSES'!AG201</f>
        <v>12.13</v>
      </c>
      <c r="J22" s="24">
        <f>'ACTUAL EXPENSES'!AG228</f>
        <v>12.28</v>
      </c>
      <c r="K22" s="24">
        <f>'ACTUAL EXPENSES'!AG254</f>
        <v>12.57</v>
      </c>
      <c r="L22" s="24">
        <f>'ACTUAL EXPENSES'!AG280</f>
        <v>12.74</v>
      </c>
      <c r="M22" s="24">
        <f>'ACTUAL EXPENSES'!AG306</f>
        <v>12.77</v>
      </c>
      <c r="N22" s="24"/>
      <c r="O22" s="50">
        <f t="shared" si="2"/>
        <v>198.23</v>
      </c>
    </row>
    <row r="23" spans="1:15" x14ac:dyDescent="0.2">
      <c r="A23" s="16" t="str">
        <f>BUDGET!A24</f>
        <v>Google 1</v>
      </c>
      <c r="B23" s="24">
        <f>'ACTUAL EXPENSES'!AG18</f>
        <v>9</v>
      </c>
      <c r="C23" s="24">
        <f>'ACTUAL EXPENSES'!AG44</f>
        <v>9</v>
      </c>
      <c r="D23" s="24">
        <f>'ACTUAL EXPENSES'!AG72</f>
        <v>9</v>
      </c>
      <c r="E23" s="24">
        <f>'ACTUAL EXPENSES'!AG98</f>
        <v>9</v>
      </c>
      <c r="F23" s="24">
        <f>'ACTUAL EXPENSES'!AG124</f>
        <v>9</v>
      </c>
      <c r="G23" s="24">
        <f>'ACTUAL EXPENSES'!AG150</f>
        <v>9</v>
      </c>
      <c r="H23" s="24">
        <f>'ACTUAL EXPENSES'!AG176</f>
        <v>9</v>
      </c>
      <c r="I23" s="24">
        <f>'ACTUAL EXPENSES'!AG202</f>
        <v>9</v>
      </c>
      <c r="J23" s="24">
        <f>'ACTUAL EXPENSES'!AG229</f>
        <v>0</v>
      </c>
      <c r="K23" s="24">
        <f>'ACTUAL EXPENSES'!AG255</f>
        <v>9</v>
      </c>
      <c r="L23" s="24">
        <f>'ACTUAL EXPENSES'!AG281</f>
        <v>9</v>
      </c>
      <c r="M23" s="24">
        <f>'ACTUAL EXPENSES'!AG307</f>
        <v>9</v>
      </c>
      <c r="N23" s="24"/>
      <c r="O23" s="50">
        <f>SUM(B23:M23)</f>
        <v>99</v>
      </c>
    </row>
    <row r="24" spans="1:15" x14ac:dyDescent="0.2">
      <c r="A24" s="16" t="str">
        <f>BUDGET!A25</f>
        <v>Netflix</v>
      </c>
      <c r="B24" s="24">
        <f>'ACTUAL EXPENSES'!AG19</f>
        <v>133.62</v>
      </c>
      <c r="C24" s="24">
        <f>'ACTUAL EXPENSES'!AG45</f>
        <v>140</v>
      </c>
      <c r="D24" s="24">
        <f>'ACTUAL EXPENSES'!AG73</f>
        <v>108.57</v>
      </c>
      <c r="E24" s="24">
        <f>'ACTUAL EXPENSES'!AG99</f>
        <v>101.74</v>
      </c>
      <c r="F24" s="24">
        <f>'ACTUAL EXPENSES'!AG125</f>
        <v>93.61</v>
      </c>
      <c r="G24" s="24">
        <f>'ACTUAL EXPENSES'!AG151</f>
        <v>100.02</v>
      </c>
      <c r="H24" s="24">
        <f>'ACTUAL EXPENSES'!AG177</f>
        <v>99.6</v>
      </c>
      <c r="I24" s="24">
        <f>'ACTUAL EXPENSES'!AG203</f>
        <v>97.44</v>
      </c>
      <c r="J24" s="24">
        <f>'ACTUAL EXPENSES'!AG230</f>
        <v>98.83</v>
      </c>
      <c r="K24" s="24">
        <f>'ACTUAL EXPENSES'!AG256</f>
        <v>100.84</v>
      </c>
      <c r="L24" s="24">
        <f>'ACTUAL EXPENSES'!AG282</f>
        <v>102.58</v>
      </c>
      <c r="M24" s="24">
        <f>'ACTUAL EXPENSES'!AG308</f>
        <v>103.02</v>
      </c>
      <c r="N24" s="24"/>
      <c r="O24" s="50">
        <f t="shared" si="2"/>
        <v>1279.8699999999999</v>
      </c>
    </row>
    <row r="25" spans="1:15" x14ac:dyDescent="0.2">
      <c r="A25" s="16" t="str">
        <f>BUDGET!A26</f>
        <v>Amuse</v>
      </c>
      <c r="B25" s="24">
        <f>'ACTUAL EXPENSES'!AG20</f>
        <v>0</v>
      </c>
      <c r="C25" s="24">
        <f>'ACTUAL EXPENSES'!AG46</f>
        <v>0</v>
      </c>
      <c r="D25" s="24">
        <f>'ACTUAL EXPENSES'!AG74</f>
        <v>0</v>
      </c>
      <c r="E25" s="24">
        <f>'ACTUAL EXPENSES'!AG100</f>
        <v>0</v>
      </c>
      <c r="F25" s="24">
        <f>'ACTUAL EXPENSES'!AG126</f>
        <v>0</v>
      </c>
      <c r="G25" s="24">
        <f>'ACTUAL EXPENSES'!AG152</f>
        <v>0</v>
      </c>
      <c r="H25" s="24">
        <f>'ACTUAL EXPENSES'!AG178</f>
        <v>0</v>
      </c>
      <c r="I25" s="24">
        <f>'ACTUAL EXPENSES'!AG204</f>
        <v>0</v>
      </c>
      <c r="J25" s="24">
        <f>'ACTUAL EXPENSES'!AG231</f>
        <v>0</v>
      </c>
      <c r="K25" s="24">
        <f>'ACTUAL EXPENSES'!AG257</f>
        <v>0</v>
      </c>
      <c r="L25" s="24">
        <f>'ACTUAL EXPENSES'!AG283</f>
        <v>0</v>
      </c>
      <c r="M25" s="24">
        <f>'ACTUAL EXPENSES'!AG309</f>
        <v>0</v>
      </c>
      <c r="N25" s="24"/>
      <c r="O25" s="50">
        <f t="shared" si="2"/>
        <v>0</v>
      </c>
    </row>
    <row r="26" spans="1:15" x14ac:dyDescent="0.2">
      <c r="A26" s="16" t="str">
        <f>BUDGET!A27</f>
        <v>electricity</v>
      </c>
      <c r="B26" s="24">
        <f>'ACTUAL EXPENSES'!AG21</f>
        <v>101</v>
      </c>
      <c r="C26" s="24">
        <f>'ACTUAL EXPENSES'!AG47</f>
        <v>0</v>
      </c>
      <c r="D26" s="24">
        <f>'ACTUAL EXPENSES'!AG75</f>
        <v>0</v>
      </c>
      <c r="E26" s="24">
        <f>'ACTUAL EXPENSES'!AG101</f>
        <v>0</v>
      </c>
      <c r="F26" s="24">
        <f>'ACTUAL EXPENSES'!AG127</f>
        <v>0</v>
      </c>
      <c r="G26" s="24">
        <f>'ACTUAL EXPENSES'!AG153</f>
        <v>0</v>
      </c>
      <c r="H26" s="24">
        <f>'ACTUAL EXPENSES'!AG179</f>
        <v>0</v>
      </c>
      <c r="I26" s="24">
        <f>'ACTUAL EXPENSES'!AG205</f>
        <v>0</v>
      </c>
      <c r="J26" s="24">
        <f>'ACTUAL EXPENSES'!AG232</f>
        <v>0</v>
      </c>
      <c r="K26" s="24">
        <f>'ACTUAL EXPENSES'!AG258</f>
        <v>0</v>
      </c>
      <c r="L26" s="24">
        <f>'ACTUAL EXPENSES'!AG284</f>
        <v>70</v>
      </c>
      <c r="M26" s="24">
        <f>'ACTUAL EXPENSES'!AG310</f>
        <v>0</v>
      </c>
      <c r="N26" s="24"/>
      <c r="O26" s="50">
        <f t="shared" si="2"/>
        <v>171</v>
      </c>
    </row>
    <row r="27" spans="1:15" x14ac:dyDescent="0.2">
      <c r="A27" s="16" t="str">
        <f>BUDGET!A28</f>
        <v>Account Charges</v>
      </c>
      <c r="B27" s="24">
        <f>'ACTUAL EXPENSES'!AG22</f>
        <v>10</v>
      </c>
      <c r="C27" s="24">
        <f>'ACTUAL EXPENSES'!AG48</f>
        <v>10</v>
      </c>
      <c r="D27" s="24">
        <f>'ACTUAL EXPENSES'!AG76</f>
        <v>28</v>
      </c>
      <c r="E27" s="24">
        <f>'ACTUAL EXPENSES'!AG102</f>
        <v>14</v>
      </c>
      <c r="F27" s="24">
        <f>'ACTUAL EXPENSES'!AG128</f>
        <v>16.55</v>
      </c>
      <c r="G27" s="24">
        <f>'ACTUAL EXPENSES'!AG154</f>
        <v>16.5</v>
      </c>
      <c r="H27" s="24">
        <f>'ACTUAL EXPENSES'!AG180</f>
        <v>20.05</v>
      </c>
      <c r="I27" s="24">
        <f>'ACTUAL EXPENSES'!AG206</f>
        <v>10.719999999999999</v>
      </c>
      <c r="J27" s="24">
        <f>'ACTUAL EXPENSES'!AG233</f>
        <v>17.5</v>
      </c>
      <c r="K27" s="24">
        <f>'ACTUAL EXPENSES'!AG259</f>
        <v>18.2</v>
      </c>
      <c r="L27" s="24">
        <f>'ACTUAL EXPENSES'!AG285</f>
        <v>20.9</v>
      </c>
      <c r="M27" s="24">
        <f>'ACTUAL EXPENSES'!AG311</f>
        <v>27.7</v>
      </c>
      <c r="N27" s="24"/>
      <c r="O27" s="50">
        <f t="shared" si="2"/>
        <v>210.11999999999998</v>
      </c>
    </row>
    <row r="28" spans="1:15" x14ac:dyDescent="0.2">
      <c r="A28" s="16"/>
      <c r="B28" s="24"/>
      <c r="C28" s="24"/>
      <c r="D28" s="24"/>
      <c r="E28" s="24"/>
      <c r="F28" s="24"/>
      <c r="G28" s="24"/>
      <c r="H28" s="24"/>
      <c r="I28" s="24"/>
      <c r="J28" s="24"/>
      <c r="K28" s="24"/>
      <c r="L28" s="24"/>
      <c r="M28" s="24"/>
      <c r="N28" s="24"/>
      <c r="O28" s="50">
        <f t="shared" si="2"/>
        <v>0</v>
      </c>
    </row>
    <row r="29" spans="1:15" x14ac:dyDescent="0.2">
      <c r="A29" s="16"/>
      <c r="B29" s="24"/>
      <c r="C29" s="24"/>
      <c r="D29" s="24"/>
      <c r="E29" s="24"/>
      <c r="F29" s="24"/>
      <c r="G29" s="24"/>
      <c r="H29" s="24"/>
      <c r="I29" s="24"/>
      <c r="J29" s="24"/>
      <c r="K29" s="24"/>
      <c r="L29" s="24"/>
      <c r="M29" s="24"/>
      <c r="N29" s="24"/>
      <c r="O29" s="50">
        <f t="shared" si="2"/>
        <v>0</v>
      </c>
    </row>
    <row r="30" spans="1:15" ht="16" thickBot="1" x14ac:dyDescent="0.25">
      <c r="A30" s="35" t="s">
        <v>11</v>
      </c>
      <c r="B30" s="38">
        <f>SUM(B8:B27)</f>
        <v>4548.01</v>
      </c>
      <c r="C30" s="38">
        <f>SUM(C8:C27)</f>
        <v>2423.5</v>
      </c>
      <c r="D30" s="38">
        <f>SUM(D8:D27)</f>
        <v>5650.0999999999995</v>
      </c>
      <c r="E30" s="38">
        <f>SUM(E8:E27)</f>
        <v>4155.8</v>
      </c>
      <c r="F30" s="38">
        <f>SUM(F8:F29)</f>
        <v>4875.79</v>
      </c>
      <c r="G30" s="38">
        <f>SUM(G8:G29)</f>
        <v>4435.4800000000005</v>
      </c>
      <c r="H30" s="38">
        <f>SUM(H8:H29)</f>
        <v>4735.8900000000012</v>
      </c>
      <c r="I30" s="38">
        <f t="shared" ref="I30:M30" si="3">SUM(I8:I29)</f>
        <v>3823.48</v>
      </c>
      <c r="J30" s="38">
        <f>SUM(J8:J29)</f>
        <v>3964.0000000000005</v>
      </c>
      <c r="K30" s="38">
        <f>SUM(K8:K29)</f>
        <v>10368.540000000001</v>
      </c>
      <c r="L30" s="38">
        <f t="shared" si="3"/>
        <v>5960.4899999999989</v>
      </c>
      <c r="M30" s="38">
        <f t="shared" si="3"/>
        <v>7693.7</v>
      </c>
      <c r="N30" s="38"/>
      <c r="O30" s="51">
        <f>SUM(O8:O29)</f>
        <v>62634.780000000006</v>
      </c>
    </row>
    <row r="31" spans="1:15" ht="16" thickTop="1" x14ac:dyDescent="0.2"/>
    <row r="32" spans="1:15" ht="16" x14ac:dyDescent="0.2">
      <c r="A32" s="41" t="s">
        <v>15</v>
      </c>
      <c r="B32" s="42">
        <f>B5-B30</f>
        <v>-348.01000000000022</v>
      </c>
      <c r="C32" s="42">
        <f t="shared" ref="C32:N32" si="4">C5-C30</f>
        <v>1476.5</v>
      </c>
      <c r="D32" s="42">
        <f t="shared" si="4"/>
        <v>-1400.0999999999995</v>
      </c>
      <c r="E32" s="42">
        <f t="shared" si="4"/>
        <v>-55.800000000000182</v>
      </c>
      <c r="F32" s="42">
        <f t="shared" si="4"/>
        <v>-525.79</v>
      </c>
      <c r="G32" s="42">
        <f>G5-G30</f>
        <v>-448.48000000000047</v>
      </c>
      <c r="H32" s="42">
        <f t="shared" si="4"/>
        <v>-331.89000000000124</v>
      </c>
      <c r="I32" s="42">
        <f t="shared" si="4"/>
        <v>166.51999999999998</v>
      </c>
      <c r="J32" s="42">
        <f t="shared" si="4"/>
        <v>274.99999999999955</v>
      </c>
      <c r="K32" s="42">
        <f t="shared" si="4"/>
        <v>-388.54000000000087</v>
      </c>
      <c r="L32" s="42">
        <f t="shared" si="4"/>
        <v>2945.5100000000011</v>
      </c>
      <c r="M32" s="42">
        <f t="shared" si="4"/>
        <v>-1543.6999999999998</v>
      </c>
      <c r="N32" s="42">
        <f t="shared" si="4"/>
        <v>0</v>
      </c>
      <c r="O32" s="42">
        <f>O5-O30</f>
        <v>-178.78000000000611</v>
      </c>
    </row>
    <row r="35" spans="8:9" x14ac:dyDescent="0.2">
      <c r="H35" s="101">
        <f>4300+(20%*4300)</f>
        <v>5160</v>
      </c>
      <c r="I35">
        <f>4000+1500</f>
        <v>5500</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BFDEF-1293-480F-A88D-8F9277B1AD9F}">
  <sheetPr>
    <tabColor rgb="FFFFFF00"/>
  </sheetPr>
  <dimension ref="A1:E30"/>
  <sheetViews>
    <sheetView topLeftCell="F7" zoomScale="140" zoomScaleNormal="140" workbookViewId="0">
      <selection activeCell="A27" sqref="A27:XFD27"/>
    </sheetView>
  </sheetViews>
  <sheetFormatPr baseColWidth="10" defaultColWidth="8.83203125" defaultRowHeight="15" x14ac:dyDescent="0.2"/>
  <cols>
    <col min="1" max="1" width="35.6640625" bestFit="1" customWidth="1"/>
    <col min="2" max="2" width="10.5" bestFit="1" customWidth="1"/>
    <col min="3" max="3" width="10.1640625" bestFit="1" customWidth="1"/>
    <col min="4" max="4" width="10.5" bestFit="1" customWidth="1"/>
  </cols>
  <sheetData>
    <row r="1" spans="1:5" ht="21" x14ac:dyDescent="0.25">
      <c r="A1" s="136" t="s">
        <v>2</v>
      </c>
      <c r="B1" s="136"/>
      <c r="C1" s="136"/>
      <c r="D1" s="136"/>
      <c r="E1" s="136"/>
    </row>
    <row r="2" spans="1:5" ht="16" x14ac:dyDescent="0.2">
      <c r="A2" s="31" t="s">
        <v>12</v>
      </c>
      <c r="B2" s="9"/>
      <c r="C2" s="9">
        <f>'ACTUAL INCOME'!O3</f>
        <v>0</v>
      </c>
      <c r="D2" s="6"/>
    </row>
    <row r="3" spans="1:5" x14ac:dyDescent="0.2">
      <c r="A3" s="33" t="s">
        <v>14</v>
      </c>
      <c r="B3" s="33" t="s">
        <v>3</v>
      </c>
      <c r="C3" s="33" t="s">
        <v>4</v>
      </c>
      <c r="D3" s="135" t="s">
        <v>5</v>
      </c>
      <c r="E3" s="135"/>
    </row>
    <row r="4" spans="1:5" x14ac:dyDescent="0.2">
      <c r="A4" s="104" t="s">
        <v>6</v>
      </c>
      <c r="B4" s="11">
        <f>BUDGET!O6</f>
        <v>47846</v>
      </c>
      <c r="C4" s="11">
        <f>ACTUAL!O5</f>
        <v>62456</v>
      </c>
      <c r="D4" s="11">
        <f>B4-C4</f>
        <v>-14610</v>
      </c>
      <c r="E4">
        <f>IF(B4&gt;0,C4/B4,"-")</f>
        <v>1.3053546795970405</v>
      </c>
    </row>
    <row r="5" spans="1:5" x14ac:dyDescent="0.2">
      <c r="A5" s="37" t="s">
        <v>7</v>
      </c>
      <c r="B5" s="40">
        <f>BUDGET!O29</f>
        <v>45900.2</v>
      </c>
      <c r="C5" s="11">
        <f>ACTUAL!O30</f>
        <v>62634.780000000006</v>
      </c>
      <c r="D5" s="11">
        <f>B5-C5</f>
        <v>-16734.580000000009</v>
      </c>
      <c r="E5">
        <f>IF(B5&gt;0,C5/B5,"-")</f>
        <v>1.3645862109533293</v>
      </c>
    </row>
    <row r="6" spans="1:5" ht="16" thickBot="1" x14ac:dyDescent="0.25">
      <c r="A6" s="27" t="s">
        <v>8</v>
      </c>
      <c r="B6" s="27">
        <f>SUM(B4-B5+B2)</f>
        <v>1945.8000000000029</v>
      </c>
      <c r="C6" s="27">
        <f>SUM(C4+C2-C5)</f>
        <v>-178.78000000000611</v>
      </c>
      <c r="D6" s="27">
        <f>SUM(B6+C6)</f>
        <v>1767.0199999999968</v>
      </c>
    </row>
    <row r="7" spans="1:5" ht="16" thickTop="1" x14ac:dyDescent="0.2"/>
    <row r="8" spans="1:5" x14ac:dyDescent="0.2">
      <c r="A8" s="32" t="s">
        <v>13</v>
      </c>
      <c r="B8" s="32" t="s">
        <v>3</v>
      </c>
      <c r="C8" s="32" t="s">
        <v>4</v>
      </c>
      <c r="D8" s="135" t="s">
        <v>5</v>
      </c>
      <c r="E8" s="135"/>
    </row>
    <row r="9" spans="1:5" x14ac:dyDescent="0.2">
      <c r="A9" s="16" t="str">
        <f>BUDGET!A9</f>
        <v>Rent</v>
      </c>
      <c r="B9" s="34">
        <f>BUDGET!O9</f>
        <v>7120</v>
      </c>
      <c r="C9" s="34">
        <f>ACTUAL!O8</f>
        <v>10105</v>
      </c>
      <c r="D9" s="34">
        <f>B9-C9</f>
        <v>-2985</v>
      </c>
      <c r="E9" s="39">
        <f>IF(B9&gt;0,C9/B9,"-")</f>
        <v>1.4192415730337078</v>
      </c>
    </row>
    <row r="10" spans="1:5" x14ac:dyDescent="0.2">
      <c r="A10" s="16" t="str">
        <f>BUDGET!A10</f>
        <v>Tithe</v>
      </c>
      <c r="B10" s="34">
        <f>BUDGET!O10</f>
        <v>3483.2</v>
      </c>
      <c r="C10" s="34">
        <f>ACTUAL!O9</f>
        <v>385</v>
      </c>
      <c r="D10" s="34">
        <f t="shared" ref="D10:D28" si="0">B10-C10</f>
        <v>3098.2</v>
      </c>
      <c r="E10" s="39">
        <f t="shared" ref="E10:E28" si="1">IF(B10&gt;0,C10/B10,"-")</f>
        <v>0.11053054662379422</v>
      </c>
    </row>
    <row r="11" spans="1:5" x14ac:dyDescent="0.2">
      <c r="A11" s="16" t="str">
        <f>BUDGET!A11</f>
        <v>Data</v>
      </c>
      <c r="B11" s="34">
        <f>BUDGET!O11</f>
        <v>3660</v>
      </c>
      <c r="C11" s="34">
        <f>ACTUAL!O10</f>
        <v>3521</v>
      </c>
      <c r="D11" s="34">
        <f t="shared" si="0"/>
        <v>139</v>
      </c>
      <c r="E11" s="39">
        <f t="shared" si="1"/>
        <v>0.96202185792349726</v>
      </c>
    </row>
    <row r="12" spans="1:5" x14ac:dyDescent="0.2">
      <c r="A12" s="16" t="str">
        <f>BUDGET!A12</f>
        <v xml:space="preserve">Savings/ Investment </v>
      </c>
      <c r="B12" s="34">
        <f>BUDGET!O12</f>
        <v>4300</v>
      </c>
      <c r="C12" s="34">
        <f>ACTUAL!O11</f>
        <v>3650</v>
      </c>
      <c r="D12" s="34">
        <f t="shared" si="0"/>
        <v>650</v>
      </c>
      <c r="E12" s="39">
        <f t="shared" si="1"/>
        <v>0.84883720930232553</v>
      </c>
    </row>
    <row r="13" spans="1:5" x14ac:dyDescent="0.2">
      <c r="A13" s="16" t="str">
        <f>BUDGET!A13</f>
        <v>Hair / Gym</v>
      </c>
      <c r="B13" s="34">
        <f>BUDGET!O13</f>
        <v>1600</v>
      </c>
      <c r="C13" s="34">
        <f>ACTUAL!O12</f>
        <v>560</v>
      </c>
      <c r="D13" s="34">
        <f t="shared" si="0"/>
        <v>1040</v>
      </c>
      <c r="E13" s="39">
        <f t="shared" si="1"/>
        <v>0.35</v>
      </c>
    </row>
    <row r="14" spans="1:5" x14ac:dyDescent="0.2">
      <c r="A14" s="16" t="str">
        <f>BUDGET!A14</f>
        <v>Food</v>
      </c>
      <c r="B14" s="34">
        <f>BUDGET!O14</f>
        <v>4450</v>
      </c>
      <c r="C14" s="34">
        <f>ACTUAL!O13</f>
        <v>10420.679999999998</v>
      </c>
      <c r="D14" s="34">
        <f t="shared" si="0"/>
        <v>-5970.6799999999985</v>
      </c>
      <c r="E14" s="39">
        <f t="shared" si="1"/>
        <v>2.3417258426966288</v>
      </c>
    </row>
    <row r="15" spans="1:5" x14ac:dyDescent="0.2">
      <c r="A15" s="16" t="str">
        <f>BUDGET!A15</f>
        <v>Healthcare</v>
      </c>
      <c r="B15" s="34">
        <f>BUDGET!O15</f>
        <v>700</v>
      </c>
      <c r="C15" s="34">
        <f>ACTUAL!O14</f>
        <v>870.2</v>
      </c>
      <c r="D15" s="34">
        <f t="shared" si="0"/>
        <v>-170.20000000000005</v>
      </c>
      <c r="E15" s="39">
        <f t="shared" si="1"/>
        <v>1.2431428571428571</v>
      </c>
    </row>
    <row r="16" spans="1:5" x14ac:dyDescent="0.2">
      <c r="A16" s="16" t="str">
        <f>BUDGET!A16</f>
        <v xml:space="preserve">Clothes/ Shoes/ Jewelry </v>
      </c>
      <c r="B16" s="34">
        <f>BUDGET!O16</f>
        <v>2200</v>
      </c>
      <c r="C16" s="34">
        <f>ACTUAL!O15</f>
        <v>1854</v>
      </c>
      <c r="D16" s="34">
        <f t="shared" si="0"/>
        <v>346</v>
      </c>
      <c r="E16" s="39">
        <f t="shared" si="1"/>
        <v>0.84272727272727277</v>
      </c>
    </row>
    <row r="17" spans="1:5" x14ac:dyDescent="0.2">
      <c r="A17" s="16" t="str">
        <f>BUDGET!A17</f>
        <v>shoes</v>
      </c>
      <c r="B17" s="34">
        <f>BUDGET!O17</f>
        <v>900</v>
      </c>
      <c r="C17" s="34">
        <f>ACTUAL!O16</f>
        <v>0</v>
      </c>
      <c r="D17" s="34">
        <f t="shared" si="0"/>
        <v>900</v>
      </c>
      <c r="E17" s="39">
        <f t="shared" si="1"/>
        <v>0</v>
      </c>
    </row>
    <row r="18" spans="1:5" x14ac:dyDescent="0.2">
      <c r="A18" s="16" t="str">
        <f>BUDGET!A18</f>
        <v xml:space="preserve">Travel/ Vacations </v>
      </c>
      <c r="B18" s="34">
        <f>BUDGET!O18</f>
        <v>0</v>
      </c>
      <c r="C18" s="34">
        <f>ACTUAL!O17</f>
        <v>0</v>
      </c>
      <c r="D18" s="34">
        <f t="shared" si="0"/>
        <v>0</v>
      </c>
      <c r="E18" s="39" t="str">
        <f t="shared" si="1"/>
        <v>-</v>
      </c>
    </row>
    <row r="19" spans="1:5" x14ac:dyDescent="0.2">
      <c r="A19" s="16" t="str">
        <f>BUDGET!A19</f>
        <v>Outings</v>
      </c>
      <c r="B19" s="34">
        <f>BUDGET!O19</f>
        <v>3500</v>
      </c>
      <c r="C19" s="34">
        <f>ACTUAL!O18</f>
        <v>557</v>
      </c>
      <c r="D19" s="34">
        <f t="shared" si="0"/>
        <v>2943</v>
      </c>
      <c r="E19" s="39">
        <f t="shared" si="1"/>
        <v>0.15914285714285714</v>
      </c>
    </row>
    <row r="20" spans="1:5" x14ac:dyDescent="0.2">
      <c r="A20" s="16" t="str">
        <f>BUDGET!A20</f>
        <v>Toiletries/Groceries</v>
      </c>
      <c r="B20" s="34">
        <f>BUDGET!O20</f>
        <v>6420</v>
      </c>
      <c r="C20" s="34">
        <f>ACTUAL!O19</f>
        <v>9406.5799999999981</v>
      </c>
      <c r="D20" s="34">
        <f t="shared" si="0"/>
        <v>-2986.5799999999981</v>
      </c>
      <c r="E20" s="39">
        <f t="shared" si="1"/>
        <v>1.4651993769470402</v>
      </c>
    </row>
    <row r="21" spans="1:5" x14ac:dyDescent="0.2">
      <c r="A21" s="16" t="str">
        <f>BUDGET!A21</f>
        <v xml:space="preserve">Transportation </v>
      </c>
      <c r="B21" s="34">
        <f>BUDGET!O21</f>
        <v>4450</v>
      </c>
      <c r="C21" s="34">
        <f>ACTUAL!O20</f>
        <v>10669.25</v>
      </c>
      <c r="D21" s="34">
        <f t="shared" si="0"/>
        <v>-6219.25</v>
      </c>
      <c r="E21" s="39">
        <f t="shared" si="1"/>
        <v>2.3975842696629215</v>
      </c>
    </row>
    <row r="22" spans="1:5" x14ac:dyDescent="0.2">
      <c r="A22" s="16" t="str">
        <f>BUDGET!A22</f>
        <v>Miscellaneous</v>
      </c>
      <c r="B22" s="34">
        <f>BUDGET!O22</f>
        <v>1705</v>
      </c>
      <c r="C22" s="34">
        <f>ACTUAL!O21</f>
        <v>8677.85</v>
      </c>
      <c r="D22" s="34">
        <f t="shared" si="0"/>
        <v>-6972.85</v>
      </c>
      <c r="E22" s="39">
        <f t="shared" si="1"/>
        <v>5.0896480938416424</v>
      </c>
    </row>
    <row r="23" spans="1:5" x14ac:dyDescent="0.2">
      <c r="A23" s="16" t="str">
        <f>BUDGET!A23</f>
        <v>Apple Subscriptions</v>
      </c>
      <c r="B23" s="34">
        <f>BUDGET!O23</f>
        <v>178</v>
      </c>
      <c r="C23" s="34">
        <f>ACTUAL!O22</f>
        <v>198.23</v>
      </c>
      <c r="D23" s="34">
        <f t="shared" si="0"/>
        <v>-20.22999999999999</v>
      </c>
      <c r="E23" s="39">
        <f t="shared" si="1"/>
        <v>1.1136516853932583</v>
      </c>
    </row>
    <row r="24" spans="1:5" x14ac:dyDescent="0.2">
      <c r="A24" s="16" t="str">
        <f>BUDGET!A24</f>
        <v>Google 1</v>
      </c>
      <c r="B24" s="34">
        <f>BUDGET!O24</f>
        <v>114</v>
      </c>
      <c r="C24" s="34">
        <f>ACTUAL!O23</f>
        <v>99</v>
      </c>
      <c r="D24" s="34">
        <f t="shared" si="0"/>
        <v>15</v>
      </c>
      <c r="E24" s="39">
        <f t="shared" si="1"/>
        <v>0.86842105263157898</v>
      </c>
    </row>
    <row r="25" spans="1:5" x14ac:dyDescent="0.2">
      <c r="A25" s="16" t="str">
        <f>BUDGET!A25</f>
        <v>Netflix</v>
      </c>
      <c r="B25" s="34">
        <f>BUDGET!O25</f>
        <v>800</v>
      </c>
      <c r="C25" s="34">
        <f>ACTUAL!O24</f>
        <v>1279.8699999999999</v>
      </c>
      <c r="D25" s="34">
        <f t="shared" si="0"/>
        <v>-479.86999999999989</v>
      </c>
      <c r="E25" s="39">
        <f t="shared" si="1"/>
        <v>1.5998374999999998</v>
      </c>
    </row>
    <row r="26" spans="1:5" x14ac:dyDescent="0.2">
      <c r="A26" s="16" t="str">
        <f>BUDGET!A26</f>
        <v>Amuse</v>
      </c>
      <c r="B26" s="34">
        <f>BUDGET!O26</f>
        <v>0</v>
      </c>
      <c r="C26" s="34">
        <f>ACTUAL!O25</f>
        <v>0</v>
      </c>
      <c r="D26" s="34">
        <f t="shared" si="0"/>
        <v>0</v>
      </c>
      <c r="E26" s="39" t="str">
        <f t="shared" si="1"/>
        <v>-</v>
      </c>
    </row>
    <row r="27" spans="1:5" x14ac:dyDescent="0.2">
      <c r="A27" s="16" t="str">
        <f>BUDGET!A27</f>
        <v>electricity</v>
      </c>
      <c r="B27" s="34">
        <f>BUDGET!O27</f>
        <v>200</v>
      </c>
      <c r="C27" s="34">
        <f>ACTUAL!O26</f>
        <v>171</v>
      </c>
      <c r="D27" s="34">
        <f t="shared" si="0"/>
        <v>29</v>
      </c>
      <c r="E27" s="39">
        <f t="shared" si="1"/>
        <v>0.85499999999999998</v>
      </c>
    </row>
    <row r="28" spans="1:5" x14ac:dyDescent="0.2">
      <c r="A28" s="16" t="str">
        <f>BUDGET!A28</f>
        <v>Account Charges</v>
      </c>
      <c r="B28" s="34">
        <f>BUDGET!O28</f>
        <v>120</v>
      </c>
      <c r="C28" s="34">
        <f>ACTUAL!O27</f>
        <v>210.11999999999998</v>
      </c>
      <c r="D28" s="34">
        <f t="shared" si="0"/>
        <v>-90.119999999999976</v>
      </c>
      <c r="E28" s="39">
        <f t="shared" si="1"/>
        <v>1.7509999999999999</v>
      </c>
    </row>
    <row r="29" spans="1:5" ht="16" thickBot="1" x14ac:dyDescent="0.25">
      <c r="A29" s="35" t="s">
        <v>11</v>
      </c>
      <c r="B29" s="36">
        <f>SUM(B9:B23)</f>
        <v>44666.2</v>
      </c>
      <c r="C29" s="36">
        <f>SUM(C9:C23)</f>
        <v>60874.79</v>
      </c>
      <c r="D29" s="36">
        <f>SUM(D9:D23)</f>
        <v>-16208.589999999997</v>
      </c>
    </row>
    <row r="30" spans="1:5" ht="16" thickTop="1" x14ac:dyDescent="0.2"/>
  </sheetData>
  <mergeCells count="3">
    <mergeCell ref="D8:E8"/>
    <mergeCell ref="D3:E3"/>
    <mergeCell ref="A1:E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249977111117893"/>
  </sheetPr>
  <dimension ref="A1:BO313"/>
  <sheetViews>
    <sheetView topLeftCell="A279" zoomScale="110" zoomScaleNormal="110" zoomScaleSheetLayoutView="100" workbookViewId="0">
      <pane xSplit="1" topLeftCell="S1" activePane="topRight" state="frozen"/>
      <selection activeCell="A229" sqref="A229"/>
      <selection pane="topRight" activeCell="AF305" sqref="AF305"/>
    </sheetView>
  </sheetViews>
  <sheetFormatPr baseColWidth="10" defaultColWidth="8.83203125" defaultRowHeight="15" x14ac:dyDescent="0.2"/>
  <cols>
    <col min="1" max="1" width="20.83203125" customWidth="1"/>
    <col min="2" max="2" width="10.6640625" customWidth="1"/>
    <col min="3" max="19" width="9.33203125" customWidth="1"/>
    <col min="20" max="20" width="10.33203125" customWidth="1"/>
    <col min="21" max="21" width="9.83203125" bestFit="1" customWidth="1"/>
    <col min="22" max="22" width="9.33203125" customWidth="1"/>
    <col min="23" max="23" width="9.83203125" bestFit="1" customWidth="1"/>
    <col min="24" max="24" width="9.6640625" bestFit="1" customWidth="1"/>
    <col min="25" max="28" width="9.33203125" customWidth="1"/>
    <col min="29" max="29" width="9.6640625" bestFit="1" customWidth="1"/>
    <col min="30" max="31" width="9.33203125" customWidth="1"/>
    <col min="32" max="32" width="9.1640625" bestFit="1" customWidth="1"/>
    <col min="33" max="33" width="10.5" bestFit="1" customWidth="1"/>
    <col min="35" max="35" width="19.33203125" bestFit="1" customWidth="1"/>
    <col min="67" max="67" width="9.5" bestFit="1" customWidth="1"/>
  </cols>
  <sheetData>
    <row r="1" spans="1:35" x14ac:dyDescent="0.2">
      <c r="A1" s="14" t="s">
        <v>187</v>
      </c>
      <c r="B1" s="7">
        <v>1</v>
      </c>
      <c r="C1" s="7">
        <v>2</v>
      </c>
      <c r="D1" s="7">
        <v>3</v>
      </c>
      <c r="E1" s="2">
        <v>4</v>
      </c>
      <c r="F1" s="2">
        <v>5</v>
      </c>
      <c r="G1" s="2">
        <v>6</v>
      </c>
      <c r="H1" s="2">
        <v>7</v>
      </c>
      <c r="I1" s="2">
        <v>8</v>
      </c>
      <c r="J1" s="2">
        <v>9</v>
      </c>
      <c r="K1" s="2">
        <v>10</v>
      </c>
      <c r="L1" s="2">
        <v>11</v>
      </c>
      <c r="M1" s="2">
        <v>12</v>
      </c>
      <c r="N1" s="2">
        <v>13</v>
      </c>
      <c r="O1" s="2">
        <v>14</v>
      </c>
      <c r="P1" s="2">
        <v>15</v>
      </c>
      <c r="Q1" s="2">
        <v>16</v>
      </c>
      <c r="R1" s="2">
        <v>17</v>
      </c>
      <c r="S1" s="2">
        <v>18</v>
      </c>
      <c r="T1" s="2">
        <v>19</v>
      </c>
      <c r="U1" s="2">
        <v>20</v>
      </c>
      <c r="V1" s="2">
        <v>21</v>
      </c>
      <c r="W1" s="2">
        <v>22</v>
      </c>
      <c r="X1" s="2">
        <v>23</v>
      </c>
      <c r="Y1" s="2">
        <v>24</v>
      </c>
      <c r="Z1" s="2">
        <v>25</v>
      </c>
      <c r="AA1" s="2">
        <v>26</v>
      </c>
      <c r="AB1" s="2">
        <v>27</v>
      </c>
      <c r="AC1" s="2">
        <v>28</v>
      </c>
      <c r="AD1" s="2">
        <v>29</v>
      </c>
      <c r="AE1" s="2">
        <v>30</v>
      </c>
      <c r="AF1" s="2">
        <v>31</v>
      </c>
      <c r="AG1" s="52" t="s">
        <v>0</v>
      </c>
    </row>
    <row r="2" spans="1:35" x14ac:dyDescent="0.2">
      <c r="A2" s="3"/>
      <c r="B2" s="3" t="s">
        <v>1</v>
      </c>
      <c r="C2" s="3" t="s">
        <v>1</v>
      </c>
      <c r="D2" s="3" t="s">
        <v>1</v>
      </c>
      <c r="E2" s="3" t="s">
        <v>1</v>
      </c>
      <c r="F2" s="3" t="s">
        <v>1</v>
      </c>
      <c r="G2" s="3" t="s">
        <v>1</v>
      </c>
      <c r="H2" s="3" t="s">
        <v>1</v>
      </c>
      <c r="I2" s="3" t="s">
        <v>1</v>
      </c>
      <c r="J2" s="3" t="s">
        <v>1</v>
      </c>
      <c r="K2" s="3" t="s">
        <v>1</v>
      </c>
      <c r="L2" s="3" t="s">
        <v>1</v>
      </c>
      <c r="M2" s="3" t="s">
        <v>1</v>
      </c>
      <c r="N2" s="3" t="s">
        <v>1</v>
      </c>
      <c r="O2" s="3" t="s">
        <v>1</v>
      </c>
      <c r="P2" s="3" t="s">
        <v>1</v>
      </c>
      <c r="Q2" s="3" t="s">
        <v>1</v>
      </c>
      <c r="R2" s="3" t="s">
        <v>1</v>
      </c>
      <c r="S2" s="3" t="s">
        <v>1</v>
      </c>
      <c r="T2" s="3" t="s">
        <v>1</v>
      </c>
      <c r="U2" s="3" t="s">
        <v>1</v>
      </c>
      <c r="V2" s="3" t="s">
        <v>1</v>
      </c>
      <c r="W2" s="3" t="s">
        <v>1</v>
      </c>
      <c r="X2" s="3" t="s">
        <v>1</v>
      </c>
      <c r="Y2" s="3" t="s">
        <v>1</v>
      </c>
      <c r="Z2" s="3" t="s">
        <v>1</v>
      </c>
      <c r="AA2" s="3" t="s">
        <v>1</v>
      </c>
      <c r="AB2" s="3" t="s">
        <v>1</v>
      </c>
      <c r="AC2" s="3" t="s">
        <v>1</v>
      </c>
      <c r="AD2" s="3" t="s">
        <v>1</v>
      </c>
      <c r="AE2" s="3" t="s">
        <v>1</v>
      </c>
      <c r="AF2" s="3" t="s">
        <v>1</v>
      </c>
      <c r="AG2" s="53" t="s">
        <v>1</v>
      </c>
    </row>
    <row r="3" spans="1:35" x14ac:dyDescent="0.2">
      <c r="A3" s="16" t="str">
        <f>BUDGET!A9</f>
        <v>Rent</v>
      </c>
      <c r="B3" s="6"/>
      <c r="C3" s="6"/>
      <c r="D3" s="6"/>
      <c r="E3" s="6"/>
      <c r="F3" s="6"/>
      <c r="G3" s="6"/>
      <c r="H3" s="6"/>
      <c r="I3" s="6"/>
      <c r="J3" s="6"/>
      <c r="K3" s="6"/>
      <c r="L3" s="6"/>
      <c r="M3" s="6"/>
      <c r="N3" s="6"/>
      <c r="O3" s="6"/>
      <c r="P3" s="6"/>
      <c r="Q3" s="6"/>
      <c r="R3" s="6"/>
      <c r="S3" s="6"/>
      <c r="T3" s="6"/>
      <c r="U3" s="6"/>
      <c r="V3" s="6"/>
      <c r="W3" s="6"/>
      <c r="X3" s="6">
        <v>1205</v>
      </c>
      <c r="Y3" s="6"/>
      <c r="Z3" s="6"/>
      <c r="AA3" s="6"/>
      <c r="AB3" s="6"/>
      <c r="AC3" s="6"/>
      <c r="AD3" s="6"/>
      <c r="AE3" s="6"/>
      <c r="AF3" s="6"/>
      <c r="AG3" s="54">
        <f t="shared" ref="AG3:AG22" si="0">SUM(B3:AF3)</f>
        <v>1205</v>
      </c>
      <c r="AH3" s="13">
        <v>1205</v>
      </c>
    </row>
    <row r="4" spans="1:35" x14ac:dyDescent="0.2">
      <c r="A4" s="16" t="str">
        <f>BUDGET!A10</f>
        <v>Tithe</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54">
        <f t="shared" si="0"/>
        <v>0</v>
      </c>
      <c r="AH4" s="13">
        <v>394.5</v>
      </c>
    </row>
    <row r="5" spans="1:35" x14ac:dyDescent="0.2">
      <c r="A5" s="16" t="str">
        <f>BUDGET!A11</f>
        <v>Data</v>
      </c>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54">
        <f t="shared" si="0"/>
        <v>0</v>
      </c>
      <c r="AH5" s="13">
        <v>300</v>
      </c>
    </row>
    <row r="6" spans="1:35" x14ac:dyDescent="0.2">
      <c r="A6" s="16" t="str">
        <f>BUDGET!A12</f>
        <v xml:space="preserve">Savings/ Investment </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54">
        <f t="shared" si="0"/>
        <v>0</v>
      </c>
      <c r="AH6" s="13">
        <v>200</v>
      </c>
    </row>
    <row r="7" spans="1:35" x14ac:dyDescent="0.2">
      <c r="A7" s="16" t="str">
        <f>BUDGET!A13</f>
        <v>Hair / Gym</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54">
        <f t="shared" si="0"/>
        <v>0</v>
      </c>
      <c r="AH7" s="13">
        <v>20</v>
      </c>
    </row>
    <row r="8" spans="1:35" x14ac:dyDescent="0.2">
      <c r="A8" s="16" t="str">
        <f>BUDGET!A14</f>
        <v>Food</v>
      </c>
      <c r="B8" s="6"/>
      <c r="C8" s="6"/>
      <c r="D8" s="6"/>
      <c r="E8" s="6"/>
      <c r="F8" s="6"/>
      <c r="G8" s="6"/>
      <c r="H8" s="6"/>
      <c r="I8" s="6"/>
      <c r="J8" s="6"/>
      <c r="K8" s="6"/>
      <c r="L8" s="6"/>
      <c r="M8" s="6"/>
      <c r="N8" s="6"/>
      <c r="O8" s="6"/>
      <c r="P8" s="6"/>
      <c r="Q8" s="6">
        <v>5</v>
      </c>
      <c r="R8" s="6"/>
      <c r="S8" s="6">
        <v>48</v>
      </c>
      <c r="T8" s="6">
        <v>15</v>
      </c>
      <c r="U8" s="6">
        <v>104.31</v>
      </c>
      <c r="V8" s="6">
        <v>76</v>
      </c>
      <c r="W8" s="6">
        <v>46</v>
      </c>
      <c r="X8" s="6">
        <v>16</v>
      </c>
      <c r="Y8" s="6">
        <v>15</v>
      </c>
      <c r="Z8" s="6">
        <f>15+51.21</f>
        <v>66.210000000000008</v>
      </c>
      <c r="AA8" s="6">
        <v>8</v>
      </c>
      <c r="AB8" s="6">
        <f>30+5.5</f>
        <v>35.5</v>
      </c>
      <c r="AC8" s="6"/>
      <c r="AD8" s="6">
        <v>35</v>
      </c>
      <c r="AE8" s="6"/>
      <c r="AF8" s="6"/>
      <c r="AG8" s="54">
        <f t="shared" si="0"/>
        <v>470.02</v>
      </c>
      <c r="AH8" s="13">
        <v>150</v>
      </c>
      <c r="AI8" s="34"/>
    </row>
    <row r="9" spans="1:35" x14ac:dyDescent="0.2">
      <c r="A9" s="16" t="str">
        <f>BUDGET!A15</f>
        <v>Healthcare</v>
      </c>
      <c r="B9" s="6"/>
      <c r="C9" s="6"/>
      <c r="D9" s="6"/>
      <c r="E9" s="6"/>
      <c r="F9" s="6"/>
      <c r="G9" s="6"/>
      <c r="H9" s="6"/>
      <c r="I9" s="6"/>
      <c r="J9" s="6"/>
      <c r="K9" s="6"/>
      <c r="L9" s="6"/>
      <c r="M9" s="6"/>
      <c r="N9" s="6"/>
      <c r="O9" s="6"/>
      <c r="P9" s="6"/>
      <c r="Q9" s="6">
        <v>25</v>
      </c>
      <c r="R9" s="6"/>
      <c r="S9" s="6"/>
      <c r="T9" s="6"/>
      <c r="U9" s="6"/>
      <c r="V9" s="6"/>
      <c r="W9" s="6"/>
      <c r="X9" s="6"/>
      <c r="Y9" s="6"/>
      <c r="Z9" s="6"/>
      <c r="AA9" s="6"/>
      <c r="AB9" s="6"/>
      <c r="AC9" s="6"/>
      <c r="AD9" s="6"/>
      <c r="AE9" s="6"/>
      <c r="AF9" s="6"/>
      <c r="AG9" s="54">
        <f t="shared" si="0"/>
        <v>25</v>
      </c>
      <c r="AH9" s="13">
        <v>350</v>
      </c>
    </row>
    <row r="10" spans="1:35" x14ac:dyDescent="0.2">
      <c r="A10" s="16" t="str">
        <f>BUDGET!A16</f>
        <v xml:space="preserve">Clothes/ Shoes/ Jewelry </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v>230</v>
      </c>
      <c r="AD10" s="6"/>
      <c r="AE10" s="6"/>
      <c r="AF10" s="6"/>
      <c r="AG10" s="54">
        <f t="shared" si="0"/>
        <v>230</v>
      </c>
      <c r="AH10" s="13">
        <v>200</v>
      </c>
    </row>
    <row r="11" spans="1:35" x14ac:dyDescent="0.2">
      <c r="A11" s="16" t="str">
        <f>BUDGET!A17</f>
        <v>shoes</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54">
        <f t="shared" si="0"/>
        <v>0</v>
      </c>
      <c r="AH11" s="13">
        <v>100</v>
      </c>
    </row>
    <row r="12" spans="1:35" x14ac:dyDescent="0.2">
      <c r="A12" s="16" t="str">
        <f>BUDGET!A18</f>
        <v xml:space="preserve">Travel/ Vacations </v>
      </c>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54">
        <f t="shared" si="0"/>
        <v>0</v>
      </c>
      <c r="AH12" s="13"/>
    </row>
    <row r="13" spans="1:35" x14ac:dyDescent="0.2">
      <c r="A13" s="16" t="str">
        <f>BUDGET!A19</f>
        <v>Outings</v>
      </c>
      <c r="B13" s="6"/>
      <c r="C13" s="6"/>
      <c r="D13" s="6"/>
      <c r="E13" s="6"/>
      <c r="F13" s="6"/>
      <c r="G13" s="6"/>
      <c r="H13" s="6"/>
      <c r="I13" s="6"/>
      <c r="J13" s="6"/>
      <c r="K13" s="6"/>
      <c r="L13" s="6"/>
      <c r="M13" s="6"/>
      <c r="N13" s="6"/>
      <c r="O13" s="6"/>
      <c r="P13" s="6"/>
      <c r="Q13" s="6"/>
      <c r="R13" s="6">
        <v>50</v>
      </c>
      <c r="S13" s="6">
        <v>7</v>
      </c>
      <c r="U13" s="6"/>
      <c r="V13" s="6"/>
      <c r="W13" s="6"/>
      <c r="X13" s="6"/>
      <c r="Y13" s="6"/>
      <c r="Z13" s="6"/>
      <c r="AA13" s="6"/>
      <c r="AB13" s="6"/>
      <c r="AC13" s="6"/>
      <c r="AD13" s="6"/>
      <c r="AE13" s="6"/>
      <c r="AF13" s="6"/>
      <c r="AG13" s="54">
        <f t="shared" si="0"/>
        <v>57</v>
      </c>
      <c r="AH13" s="13">
        <v>500</v>
      </c>
    </row>
    <row r="14" spans="1:35" x14ac:dyDescent="0.2">
      <c r="A14" s="16" t="str">
        <f>BUDGET!A20</f>
        <v>Toiletries/Groceries</v>
      </c>
      <c r="B14" s="6"/>
      <c r="C14" s="6"/>
      <c r="D14" s="6"/>
      <c r="E14" s="6"/>
      <c r="F14" s="6"/>
      <c r="G14" s="6"/>
      <c r="H14" s="6"/>
      <c r="I14" s="6"/>
      <c r="J14" s="6"/>
      <c r="K14" s="6"/>
      <c r="L14" s="6"/>
      <c r="M14" s="6"/>
      <c r="N14" s="6"/>
      <c r="O14" s="6"/>
      <c r="P14" s="6"/>
      <c r="Q14" s="6"/>
      <c r="R14" s="6"/>
      <c r="S14" s="6"/>
      <c r="U14" s="6">
        <v>5</v>
      </c>
      <c r="V14" s="6"/>
      <c r="W14" s="6"/>
      <c r="X14" s="6"/>
      <c r="Y14" s="6"/>
      <c r="Z14" s="6"/>
      <c r="AA14" s="6">
        <v>24</v>
      </c>
      <c r="AB14" s="6"/>
      <c r="AC14" s="6">
        <f>45+688</f>
        <v>733</v>
      </c>
      <c r="AD14" s="6"/>
      <c r="AE14" s="6"/>
      <c r="AF14" s="6"/>
      <c r="AG14" s="54">
        <f t="shared" si="0"/>
        <v>762</v>
      </c>
      <c r="AH14" s="13">
        <v>300</v>
      </c>
    </row>
    <row r="15" spans="1:35" x14ac:dyDescent="0.2">
      <c r="A15" s="16" t="str">
        <f>BUDGET!A21</f>
        <v xml:space="preserve">Transportation </v>
      </c>
      <c r="B15" s="6"/>
      <c r="C15" s="6"/>
      <c r="D15" s="6"/>
      <c r="E15" s="6"/>
      <c r="F15" s="6"/>
      <c r="G15" s="6"/>
      <c r="H15" s="6">
        <v>23</v>
      </c>
      <c r="I15" s="6"/>
      <c r="J15" s="6"/>
      <c r="K15" s="6">
        <v>63</v>
      </c>
      <c r="L15" s="6"/>
      <c r="M15" s="6"/>
      <c r="N15" s="6"/>
      <c r="O15" s="6"/>
      <c r="P15" s="6"/>
      <c r="Q15" s="6"/>
      <c r="R15" s="6"/>
      <c r="S15" s="6"/>
      <c r="T15" s="6">
        <v>63</v>
      </c>
      <c r="U15" s="6">
        <v>73</v>
      </c>
      <c r="V15" s="6"/>
      <c r="W15" s="6"/>
      <c r="X15" s="6">
        <v>48</v>
      </c>
      <c r="Y15" s="6">
        <v>7</v>
      </c>
      <c r="Z15" s="6">
        <f>7.5+5</f>
        <v>12.5</v>
      </c>
      <c r="AA15" s="6">
        <v>15</v>
      </c>
      <c r="AB15" s="6">
        <v>40</v>
      </c>
      <c r="AC15" s="6">
        <v>22</v>
      </c>
      <c r="AD15" s="6">
        <f>26+60</f>
        <v>86</v>
      </c>
      <c r="AE15" s="6"/>
      <c r="AF15" s="6">
        <v>39</v>
      </c>
      <c r="AG15" s="54">
        <f t="shared" si="0"/>
        <v>491.5</v>
      </c>
      <c r="AH15" s="13">
        <v>200</v>
      </c>
    </row>
    <row r="16" spans="1:35" x14ac:dyDescent="0.2">
      <c r="A16" s="16" t="str">
        <f>BUDGET!A22</f>
        <v>Miscellaneous</v>
      </c>
      <c r="B16" s="6">
        <v>55</v>
      </c>
      <c r="D16" s="6">
        <v>600</v>
      </c>
      <c r="E16" s="6"/>
      <c r="F16" s="6"/>
      <c r="G16" s="6"/>
      <c r="H16" s="6"/>
      <c r="I16" s="6">
        <v>61</v>
      </c>
      <c r="J16" s="6"/>
      <c r="K16" s="6"/>
      <c r="L16" s="6"/>
      <c r="M16" s="6"/>
      <c r="N16" s="6">
        <v>100</v>
      </c>
      <c r="O16" s="6">
        <v>51</v>
      </c>
      <c r="P16" s="6"/>
      <c r="Q16" s="6"/>
      <c r="S16" s="6"/>
      <c r="T16" s="6"/>
      <c r="V16" s="6"/>
      <c r="W16" s="6"/>
      <c r="X16" s="6"/>
      <c r="Y16" s="6"/>
      <c r="Z16" s="6"/>
      <c r="AA16" s="6"/>
      <c r="AB16" s="6"/>
      <c r="AC16" s="6">
        <v>128.25</v>
      </c>
      <c r="AD16" s="6"/>
      <c r="AE16" s="6"/>
      <c r="AF16" s="6"/>
      <c r="AG16" s="54">
        <f t="shared" si="0"/>
        <v>995.25</v>
      </c>
      <c r="AH16" s="13">
        <v>0</v>
      </c>
    </row>
    <row r="17" spans="1:34" x14ac:dyDescent="0.2">
      <c r="A17" s="16" t="str">
        <f>BUDGET!A23</f>
        <v>Apple Subscriptions</v>
      </c>
      <c r="B17" s="6"/>
      <c r="C17" s="6"/>
      <c r="D17" s="6"/>
      <c r="E17" s="6"/>
      <c r="F17" s="6"/>
      <c r="G17" s="6"/>
      <c r="H17" s="6"/>
      <c r="I17" s="6"/>
      <c r="J17" s="6"/>
      <c r="K17" s="6"/>
      <c r="L17" s="6"/>
      <c r="M17" s="6"/>
      <c r="N17" s="6"/>
      <c r="O17" s="6"/>
      <c r="P17" s="6"/>
      <c r="Q17" s="6"/>
      <c r="R17" s="6"/>
      <c r="S17" s="6"/>
      <c r="T17" s="6">
        <v>45.06</v>
      </c>
      <c r="U17" s="6"/>
      <c r="V17" s="6"/>
      <c r="W17" s="6"/>
      <c r="X17" s="6"/>
      <c r="Y17" s="6"/>
      <c r="Z17" s="6"/>
      <c r="AB17" s="6">
        <v>13.56</v>
      </c>
      <c r="AC17" s="6"/>
      <c r="AD17" s="6"/>
      <c r="AE17" s="6"/>
      <c r="AF17" s="6"/>
      <c r="AG17" s="54">
        <f t="shared" si="0"/>
        <v>58.620000000000005</v>
      </c>
      <c r="AH17" s="13">
        <v>16</v>
      </c>
    </row>
    <row r="18" spans="1:34" x14ac:dyDescent="0.2">
      <c r="A18" s="16" t="str">
        <f>BUDGET!A24</f>
        <v>Google 1</v>
      </c>
      <c r="B18" s="6"/>
      <c r="C18" s="6"/>
      <c r="D18" s="6"/>
      <c r="E18" s="6"/>
      <c r="F18" s="6"/>
      <c r="G18" s="6"/>
      <c r="H18" s="6"/>
      <c r="I18" s="6"/>
      <c r="J18" s="6"/>
      <c r="K18" s="6">
        <v>9</v>
      </c>
      <c r="L18" s="6"/>
      <c r="M18" s="6"/>
      <c r="N18" s="6"/>
      <c r="O18" s="6"/>
      <c r="P18" s="6"/>
      <c r="Q18" s="6"/>
      <c r="R18" s="6"/>
      <c r="S18" s="6"/>
      <c r="T18" s="6"/>
      <c r="U18" s="6"/>
      <c r="V18" s="6"/>
      <c r="W18" s="6"/>
      <c r="X18" s="6"/>
      <c r="Y18" s="6"/>
      <c r="Z18" s="6"/>
      <c r="AA18" s="6"/>
      <c r="AB18" s="6"/>
      <c r="AC18" s="6"/>
      <c r="AD18" s="6"/>
      <c r="AE18" s="6"/>
      <c r="AF18" s="6"/>
      <c r="AG18" s="54">
        <f t="shared" si="0"/>
        <v>9</v>
      </c>
      <c r="AH18" s="13">
        <v>12</v>
      </c>
    </row>
    <row r="19" spans="1:34" x14ac:dyDescent="0.2">
      <c r="A19" s="16" t="str">
        <f>BUDGET!A25</f>
        <v>Netflix</v>
      </c>
      <c r="B19" s="6"/>
      <c r="C19" s="6"/>
      <c r="D19" s="6"/>
      <c r="E19" s="6"/>
      <c r="F19" s="6"/>
      <c r="G19" s="6"/>
      <c r="H19" s="6"/>
      <c r="I19" s="6"/>
      <c r="J19" s="6"/>
      <c r="K19" s="6"/>
      <c r="L19" s="6"/>
      <c r="M19" s="6"/>
      <c r="N19" s="6"/>
      <c r="O19" s="6"/>
      <c r="P19" s="6"/>
      <c r="Q19" s="6"/>
      <c r="R19" s="6"/>
      <c r="S19" s="6"/>
      <c r="T19" s="6">
        <v>133.62</v>
      </c>
      <c r="U19" s="6"/>
      <c r="V19" s="6"/>
      <c r="W19" s="6"/>
      <c r="X19" s="6"/>
      <c r="Y19" s="6"/>
      <c r="Z19" s="6"/>
      <c r="AA19" s="6"/>
      <c r="AB19" s="6"/>
      <c r="AC19" s="6"/>
      <c r="AD19" s="6"/>
      <c r="AE19" s="6"/>
      <c r="AF19" s="6"/>
      <c r="AG19" s="54">
        <f t="shared" si="0"/>
        <v>133.62</v>
      </c>
      <c r="AH19" s="13">
        <v>0</v>
      </c>
    </row>
    <row r="20" spans="1:34" x14ac:dyDescent="0.2">
      <c r="A20" s="16" t="str">
        <f>BUDGET!A26</f>
        <v>Amuse</v>
      </c>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54">
        <f t="shared" si="0"/>
        <v>0</v>
      </c>
      <c r="AH20" s="13">
        <v>0</v>
      </c>
    </row>
    <row r="21" spans="1:34" x14ac:dyDescent="0.2">
      <c r="A21" s="16" t="str">
        <f>BUDGET!A27</f>
        <v>electricity</v>
      </c>
      <c r="B21" s="6"/>
      <c r="C21" s="6"/>
      <c r="D21" s="6"/>
      <c r="E21" s="6"/>
      <c r="F21" s="6"/>
      <c r="G21" s="6"/>
      <c r="H21" s="6"/>
      <c r="I21" s="6"/>
      <c r="J21" s="6"/>
      <c r="K21" s="6"/>
      <c r="L21" s="6"/>
      <c r="M21" s="6"/>
      <c r="N21" s="6"/>
      <c r="O21" s="6"/>
      <c r="P21" s="6"/>
      <c r="Q21" s="6"/>
      <c r="R21" s="6"/>
      <c r="S21" s="6"/>
      <c r="T21" s="6"/>
      <c r="U21" s="6">
        <v>101</v>
      </c>
      <c r="V21" s="6"/>
      <c r="W21" s="6"/>
      <c r="X21" s="6"/>
      <c r="Y21" s="6"/>
      <c r="Z21" s="6"/>
      <c r="AA21" s="6"/>
      <c r="AB21" s="6"/>
      <c r="AC21" s="6"/>
      <c r="AD21" s="6"/>
      <c r="AE21" s="6"/>
      <c r="AF21" s="6"/>
      <c r="AG21" s="54">
        <f t="shared" si="0"/>
        <v>101</v>
      </c>
      <c r="AH21" s="13">
        <v>0</v>
      </c>
    </row>
    <row r="22" spans="1:34" ht="16" thickBot="1" x14ac:dyDescent="0.25">
      <c r="A22" s="16" t="str">
        <f>BUDGET!A28</f>
        <v>Account Charges</v>
      </c>
      <c r="B22" s="6"/>
      <c r="C22" s="6"/>
      <c r="D22" s="6"/>
      <c r="E22" s="6"/>
      <c r="F22" s="6"/>
      <c r="G22" s="6"/>
      <c r="H22" s="6"/>
      <c r="I22" s="6"/>
      <c r="J22" s="6"/>
      <c r="K22" s="6"/>
      <c r="L22" s="6"/>
      <c r="M22" s="6"/>
      <c r="N22" s="6"/>
      <c r="O22" s="6"/>
      <c r="P22" s="6"/>
      <c r="Q22" s="6"/>
      <c r="R22" s="6"/>
      <c r="S22" s="6"/>
      <c r="T22" s="6"/>
      <c r="U22" s="6"/>
      <c r="V22" s="6">
        <v>10</v>
      </c>
      <c r="W22" s="6"/>
      <c r="X22" s="6"/>
      <c r="Y22" s="6"/>
      <c r="Z22" s="6"/>
      <c r="AA22" s="6"/>
      <c r="AB22" s="6"/>
      <c r="AC22" s="6"/>
      <c r="AD22" s="6"/>
      <c r="AE22" s="6"/>
      <c r="AF22" s="6"/>
      <c r="AG22" s="54">
        <f t="shared" si="0"/>
        <v>10</v>
      </c>
      <c r="AH22" s="13">
        <v>10</v>
      </c>
    </row>
    <row r="23" spans="1:34" ht="17" thickBot="1" x14ac:dyDescent="0.25">
      <c r="A23" s="18" t="s">
        <v>11</v>
      </c>
      <c r="B23" s="19">
        <f t="shared" ref="B23:AG23" si="1">SUM(B3:B22)</f>
        <v>55</v>
      </c>
      <c r="C23" s="19">
        <f t="shared" si="1"/>
        <v>0</v>
      </c>
      <c r="D23" s="19">
        <f t="shared" si="1"/>
        <v>600</v>
      </c>
      <c r="E23" s="19">
        <f t="shared" si="1"/>
        <v>0</v>
      </c>
      <c r="F23" s="19">
        <f t="shared" si="1"/>
        <v>0</v>
      </c>
      <c r="G23" s="19">
        <f t="shared" si="1"/>
        <v>0</v>
      </c>
      <c r="H23" s="19">
        <f t="shared" si="1"/>
        <v>23</v>
      </c>
      <c r="I23" s="19">
        <f t="shared" si="1"/>
        <v>61</v>
      </c>
      <c r="J23" s="19">
        <f t="shared" si="1"/>
        <v>0</v>
      </c>
      <c r="K23" s="19">
        <f t="shared" si="1"/>
        <v>72</v>
      </c>
      <c r="L23" s="19">
        <f t="shared" si="1"/>
        <v>0</v>
      </c>
      <c r="M23" s="19">
        <f t="shared" si="1"/>
        <v>0</v>
      </c>
      <c r="N23" s="19">
        <f t="shared" si="1"/>
        <v>100</v>
      </c>
      <c r="O23" s="19">
        <f t="shared" si="1"/>
        <v>51</v>
      </c>
      <c r="P23" s="19">
        <f t="shared" si="1"/>
        <v>0</v>
      </c>
      <c r="Q23" s="19">
        <f t="shared" si="1"/>
        <v>30</v>
      </c>
      <c r="R23" s="19">
        <f t="shared" si="1"/>
        <v>50</v>
      </c>
      <c r="S23" s="19">
        <f t="shared" si="1"/>
        <v>55</v>
      </c>
      <c r="T23" s="19">
        <f t="shared" si="1"/>
        <v>256.68</v>
      </c>
      <c r="U23" s="19">
        <f t="shared" si="1"/>
        <v>283.31</v>
      </c>
      <c r="V23" s="19">
        <f t="shared" si="1"/>
        <v>86</v>
      </c>
      <c r="W23" s="19">
        <f t="shared" si="1"/>
        <v>46</v>
      </c>
      <c r="X23" s="19">
        <f t="shared" si="1"/>
        <v>1269</v>
      </c>
      <c r="Y23" s="19">
        <f t="shared" si="1"/>
        <v>22</v>
      </c>
      <c r="Z23" s="19">
        <f t="shared" si="1"/>
        <v>78.710000000000008</v>
      </c>
      <c r="AA23" s="19">
        <f t="shared" si="1"/>
        <v>47</v>
      </c>
      <c r="AB23" s="19">
        <f t="shared" si="1"/>
        <v>89.06</v>
      </c>
      <c r="AC23" s="19">
        <f t="shared" si="1"/>
        <v>1113.25</v>
      </c>
      <c r="AD23" s="19">
        <f t="shared" si="1"/>
        <v>121</v>
      </c>
      <c r="AE23" s="19">
        <f t="shared" si="1"/>
        <v>0</v>
      </c>
      <c r="AF23" s="19">
        <f t="shared" si="1"/>
        <v>39</v>
      </c>
      <c r="AG23" s="55">
        <f t="shared" si="1"/>
        <v>4548.01</v>
      </c>
      <c r="AH23" s="34"/>
    </row>
    <row r="24" spans="1:34" ht="16" thickTop="1" x14ac:dyDescent="0.2">
      <c r="AG24" s="49"/>
    </row>
    <row r="25" spans="1:34" x14ac:dyDescent="0.2">
      <c r="AG25" s="49"/>
    </row>
    <row r="26" spans="1:34" x14ac:dyDescent="0.2">
      <c r="AG26" s="49"/>
    </row>
    <row r="27" spans="1:34" x14ac:dyDescent="0.2">
      <c r="A27" s="14" t="s">
        <v>188</v>
      </c>
      <c r="B27" s="7">
        <v>1</v>
      </c>
      <c r="C27" s="7">
        <v>2</v>
      </c>
      <c r="D27" s="7">
        <v>3</v>
      </c>
      <c r="E27" s="2">
        <v>4</v>
      </c>
      <c r="F27" s="2">
        <v>5</v>
      </c>
      <c r="G27" s="2">
        <v>6</v>
      </c>
      <c r="H27" s="2">
        <v>7</v>
      </c>
      <c r="I27" s="2">
        <v>8</v>
      </c>
      <c r="J27" s="2">
        <v>9</v>
      </c>
      <c r="K27" s="2">
        <v>10</v>
      </c>
      <c r="L27" s="2">
        <v>11</v>
      </c>
      <c r="M27" s="2">
        <v>12</v>
      </c>
      <c r="N27" s="2">
        <v>13</v>
      </c>
      <c r="O27" s="2">
        <v>14</v>
      </c>
      <c r="P27" s="2">
        <v>15</v>
      </c>
      <c r="Q27" s="2">
        <v>16</v>
      </c>
      <c r="R27" s="2">
        <v>17</v>
      </c>
      <c r="S27" s="2">
        <v>18</v>
      </c>
      <c r="T27" s="2">
        <v>19</v>
      </c>
      <c r="U27" s="2">
        <v>20</v>
      </c>
      <c r="V27" s="2">
        <v>21</v>
      </c>
      <c r="W27" s="2">
        <v>22</v>
      </c>
      <c r="X27" s="2">
        <v>23</v>
      </c>
      <c r="Y27" s="2">
        <v>24</v>
      </c>
      <c r="Z27" s="2">
        <v>25</v>
      </c>
      <c r="AA27" s="2">
        <v>26</v>
      </c>
      <c r="AB27" s="2">
        <v>27</v>
      </c>
      <c r="AC27" s="2">
        <v>28</v>
      </c>
      <c r="AD27" s="2">
        <v>29</v>
      </c>
      <c r="AE27" s="2">
        <v>30</v>
      </c>
      <c r="AF27" s="2">
        <v>31</v>
      </c>
      <c r="AG27" s="52" t="s">
        <v>0</v>
      </c>
    </row>
    <row r="28" spans="1:34" x14ac:dyDescent="0.2">
      <c r="A28" s="3"/>
      <c r="B28" s="3" t="s">
        <v>1</v>
      </c>
      <c r="C28" s="3" t="s">
        <v>1</v>
      </c>
      <c r="D28" s="3" t="s">
        <v>1</v>
      </c>
      <c r="E28" s="3" t="s">
        <v>1</v>
      </c>
      <c r="F28" s="3" t="s">
        <v>1</v>
      </c>
      <c r="G28" s="3" t="s">
        <v>1</v>
      </c>
      <c r="H28" s="3" t="s">
        <v>1</v>
      </c>
      <c r="I28" s="3" t="s">
        <v>1</v>
      </c>
      <c r="J28" s="3" t="s">
        <v>1</v>
      </c>
      <c r="K28" s="3" t="s">
        <v>1</v>
      </c>
      <c r="L28" s="3" t="s">
        <v>1</v>
      </c>
      <c r="M28" s="3" t="s">
        <v>1</v>
      </c>
      <c r="N28" s="3" t="s">
        <v>1</v>
      </c>
      <c r="O28" s="3" t="s">
        <v>1</v>
      </c>
      <c r="P28" s="3" t="s">
        <v>1</v>
      </c>
      <c r="Q28" s="3" t="s">
        <v>1</v>
      </c>
      <c r="R28" s="3" t="s">
        <v>1</v>
      </c>
      <c r="S28" s="3" t="s">
        <v>1</v>
      </c>
      <c r="T28" s="3" t="s">
        <v>1</v>
      </c>
      <c r="U28" s="3" t="s">
        <v>1</v>
      </c>
      <c r="V28" s="3" t="s">
        <v>1</v>
      </c>
      <c r="W28" s="3" t="s">
        <v>1</v>
      </c>
      <c r="X28" s="3" t="s">
        <v>1</v>
      </c>
      <c r="Y28" s="3" t="s">
        <v>1</v>
      </c>
      <c r="Z28" s="3" t="s">
        <v>1</v>
      </c>
      <c r="AA28" s="3" t="s">
        <v>1</v>
      </c>
      <c r="AB28" s="3" t="s">
        <v>1</v>
      </c>
      <c r="AC28" s="3" t="s">
        <v>1</v>
      </c>
      <c r="AD28" s="3" t="s">
        <v>1</v>
      </c>
      <c r="AE28" s="3" t="s">
        <v>1</v>
      </c>
      <c r="AF28" s="3" t="s">
        <v>1</v>
      </c>
      <c r="AG28" s="53" t="s">
        <v>1</v>
      </c>
    </row>
    <row r="29" spans="1:34" x14ac:dyDescent="0.2">
      <c r="A29" s="16" t="str">
        <f>BUDGET!A9</f>
        <v>Rent</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54">
        <f t="shared" ref="AG29:AG50" si="2">SUM(B29:AF29)</f>
        <v>0</v>
      </c>
    </row>
    <row r="30" spans="1:34" x14ac:dyDescent="0.2">
      <c r="A30" s="16" t="str">
        <f>BUDGET!A10</f>
        <v>Tithe</v>
      </c>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54">
        <f t="shared" si="2"/>
        <v>0</v>
      </c>
    </row>
    <row r="31" spans="1:34" x14ac:dyDescent="0.2">
      <c r="A31" s="16" t="str">
        <f>BUDGET!A11</f>
        <v>Data</v>
      </c>
      <c r="B31" s="6">
        <v>300</v>
      </c>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54">
        <f t="shared" si="2"/>
        <v>300</v>
      </c>
    </row>
    <row r="32" spans="1:34" x14ac:dyDescent="0.2">
      <c r="A32" s="16" t="str">
        <f>BUDGET!A12</f>
        <v xml:space="preserve">Savings/ Investment </v>
      </c>
      <c r="B32" s="6"/>
      <c r="C32" s="6"/>
      <c r="D32" s="6"/>
      <c r="E32" s="6"/>
      <c r="F32" s="6"/>
      <c r="G32" s="6"/>
      <c r="H32" s="6"/>
      <c r="I32" s="6"/>
      <c r="J32" s="6"/>
      <c r="K32" s="6"/>
      <c r="L32" s="6"/>
      <c r="M32" s="6"/>
      <c r="N32" s="6"/>
      <c r="O32" s="6"/>
      <c r="P32" s="6"/>
      <c r="Q32" s="6"/>
      <c r="R32" s="6"/>
      <c r="S32" s="6"/>
      <c r="T32" s="6"/>
      <c r="U32" s="6"/>
      <c r="V32" s="6"/>
      <c r="W32" s="6"/>
      <c r="X32" s="6">
        <v>200</v>
      </c>
      <c r="Y32" s="6"/>
      <c r="Z32" s="6"/>
      <c r="AA32" s="6"/>
      <c r="AB32" s="6"/>
      <c r="AC32" s="6"/>
      <c r="AD32" s="6"/>
      <c r="AE32" s="6"/>
      <c r="AF32" s="6"/>
      <c r="AG32" s="54">
        <f t="shared" si="2"/>
        <v>200</v>
      </c>
    </row>
    <row r="33" spans="1:33" x14ac:dyDescent="0.2">
      <c r="A33" s="16" t="str">
        <f>BUDGET!A13</f>
        <v>Hair / Gym</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v>20</v>
      </c>
      <c r="AD33" s="6"/>
      <c r="AE33" s="6"/>
      <c r="AF33" s="6"/>
      <c r="AG33" s="54">
        <f t="shared" si="2"/>
        <v>20</v>
      </c>
    </row>
    <row r="34" spans="1:33" x14ac:dyDescent="0.2">
      <c r="A34" s="16" t="str">
        <f>BUDGET!A14</f>
        <v>Food</v>
      </c>
      <c r="B34" s="6">
        <v>10</v>
      </c>
      <c r="C34" s="6">
        <v>15</v>
      </c>
      <c r="E34" s="6">
        <f>66+46</f>
        <v>112</v>
      </c>
      <c r="F34" s="6"/>
      <c r="G34" s="6">
        <v>10</v>
      </c>
      <c r="H34" s="6">
        <f>20+40</f>
        <v>60</v>
      </c>
      <c r="I34" s="6">
        <v>10</v>
      </c>
      <c r="J34" s="6">
        <f>7+4.5+25</f>
        <v>36.5</v>
      </c>
      <c r="K34" s="6"/>
      <c r="L34" s="6"/>
      <c r="M34" s="6">
        <v>10</v>
      </c>
      <c r="N34" s="6"/>
      <c r="O34" s="6">
        <v>128</v>
      </c>
      <c r="P34" s="6">
        <v>15</v>
      </c>
      <c r="Q34" s="6"/>
      <c r="R34" s="6"/>
      <c r="S34" s="6">
        <v>10</v>
      </c>
      <c r="U34" s="6"/>
      <c r="V34" s="6">
        <v>40</v>
      </c>
      <c r="W34" s="6">
        <f>18+20</f>
        <v>38</v>
      </c>
      <c r="X34" s="6">
        <v>10</v>
      </c>
      <c r="Y34" s="6">
        <f>28+47</f>
        <v>75</v>
      </c>
      <c r="Z34" s="6"/>
      <c r="AA34" s="6"/>
      <c r="AB34" s="6"/>
      <c r="AC34" s="6">
        <f>4+6+5+15</f>
        <v>30</v>
      </c>
      <c r="AD34" s="6"/>
      <c r="AE34" s="6"/>
      <c r="AF34" s="6"/>
      <c r="AG34" s="54">
        <f t="shared" si="2"/>
        <v>609.5</v>
      </c>
    </row>
    <row r="35" spans="1:33" x14ac:dyDescent="0.2">
      <c r="A35" s="16" t="str">
        <f>BUDGET!A15</f>
        <v>Healthcare</v>
      </c>
      <c r="B35" s="6"/>
      <c r="C35" s="6"/>
      <c r="E35" s="6">
        <v>52</v>
      </c>
      <c r="F35" s="6"/>
      <c r="G35" s="6"/>
      <c r="H35" s="6"/>
      <c r="I35" s="6"/>
      <c r="J35" s="104" t="s">
        <v>151</v>
      </c>
      <c r="K35" s="6"/>
      <c r="L35" s="6"/>
      <c r="M35" s="6"/>
      <c r="N35" s="6"/>
      <c r="O35" s="6"/>
      <c r="P35" s="6"/>
      <c r="Q35" s="6">
        <v>13.5</v>
      </c>
      <c r="R35" s="6"/>
      <c r="S35" s="6"/>
      <c r="T35" s="6"/>
      <c r="U35" s="6"/>
      <c r="V35" s="6"/>
      <c r="W35" s="6"/>
      <c r="X35" s="6">
        <v>13.5</v>
      </c>
      <c r="Y35" s="6"/>
      <c r="Z35" s="6"/>
      <c r="AA35" s="6"/>
      <c r="AB35" s="6">
        <v>17</v>
      </c>
      <c r="AD35" s="6"/>
      <c r="AE35" s="6"/>
      <c r="AF35" s="6"/>
      <c r="AG35" s="54">
        <f t="shared" si="2"/>
        <v>96</v>
      </c>
    </row>
    <row r="36" spans="1:33" x14ac:dyDescent="0.2">
      <c r="A36" s="16" t="str">
        <f>BUDGET!A16</f>
        <v xml:space="preserve">Clothes/ Shoes/ Jewelry </v>
      </c>
      <c r="B36" s="6"/>
      <c r="C36" s="6"/>
      <c r="D36" s="6"/>
      <c r="E36" s="6"/>
      <c r="F36" s="6"/>
      <c r="G36" s="6"/>
      <c r="H36" s="6"/>
      <c r="I36" s="6"/>
      <c r="J36" s="6"/>
      <c r="K36" s="6"/>
      <c r="L36" s="6"/>
      <c r="M36" s="6"/>
      <c r="N36" s="6"/>
      <c r="O36" s="6"/>
      <c r="P36" s="6"/>
      <c r="Q36" s="6"/>
      <c r="R36" s="6"/>
      <c r="S36" s="6"/>
      <c r="T36" s="6"/>
      <c r="U36" s="6"/>
      <c r="V36" s="6"/>
      <c r="W36" s="6">
        <v>100</v>
      </c>
      <c r="X36" s="6"/>
      <c r="Y36" s="6"/>
      <c r="Z36" s="6"/>
      <c r="AA36" s="6"/>
      <c r="AB36" s="6"/>
      <c r="AC36" s="6"/>
      <c r="AD36" s="6"/>
      <c r="AE36" s="6"/>
      <c r="AF36" s="6"/>
      <c r="AG36" s="54">
        <f t="shared" si="2"/>
        <v>100</v>
      </c>
    </row>
    <row r="37" spans="1:33" x14ac:dyDescent="0.2">
      <c r="A37" s="16" t="str">
        <f>BUDGET!A17</f>
        <v>shoes</v>
      </c>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54">
        <f t="shared" si="2"/>
        <v>0</v>
      </c>
    </row>
    <row r="38" spans="1:33" x14ac:dyDescent="0.2">
      <c r="A38" s="16" t="str">
        <f>BUDGET!A18</f>
        <v xml:space="preserve">Travel/ Vacations </v>
      </c>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54">
        <f t="shared" si="2"/>
        <v>0</v>
      </c>
    </row>
    <row r="39" spans="1:33" x14ac:dyDescent="0.2">
      <c r="A39" s="16" t="str">
        <f>BUDGET!A19</f>
        <v>Outings</v>
      </c>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54">
        <f t="shared" si="2"/>
        <v>0</v>
      </c>
    </row>
    <row r="40" spans="1:33" x14ac:dyDescent="0.2">
      <c r="A40" s="16" t="str">
        <f>BUDGET!A20</f>
        <v>Toiletries/Groceries</v>
      </c>
      <c r="B40" s="6"/>
      <c r="C40" s="6"/>
      <c r="D40" s="6"/>
      <c r="E40" s="6"/>
      <c r="F40" s="6"/>
      <c r="G40" s="6"/>
      <c r="H40" s="6"/>
      <c r="I40" s="6"/>
      <c r="J40" s="6">
        <v>150</v>
      </c>
      <c r="K40" s="6"/>
      <c r="L40" s="6"/>
      <c r="M40" s="6"/>
      <c r="N40" s="6"/>
      <c r="O40" s="6"/>
      <c r="P40" s="6"/>
      <c r="Q40" s="6"/>
      <c r="R40" s="6"/>
      <c r="S40" s="6"/>
      <c r="T40" s="6"/>
      <c r="U40" s="6"/>
      <c r="V40" s="6"/>
      <c r="W40" s="6"/>
      <c r="X40" s="6"/>
      <c r="Y40" s="6"/>
      <c r="Z40" s="6"/>
      <c r="AA40" s="6"/>
      <c r="AB40" s="6"/>
      <c r="AC40" s="6">
        <v>122</v>
      </c>
      <c r="AD40" s="6"/>
      <c r="AE40" s="6"/>
      <c r="AF40" s="6"/>
      <c r="AG40" s="54">
        <f t="shared" si="2"/>
        <v>272</v>
      </c>
    </row>
    <row r="41" spans="1:33" x14ac:dyDescent="0.2">
      <c r="A41" s="16" t="str">
        <f>BUDGET!A21</f>
        <v xml:space="preserve">Transportation </v>
      </c>
      <c r="B41" s="6">
        <f>5+14</f>
        <v>19</v>
      </c>
      <c r="D41" s="6">
        <v>2.5</v>
      </c>
      <c r="E41" s="6">
        <v>38</v>
      </c>
      <c r="F41" s="6"/>
      <c r="G41" s="6"/>
      <c r="H41" s="6"/>
      <c r="I41" s="6"/>
      <c r="J41" s="6"/>
      <c r="K41" s="6">
        <f>2.5+7</f>
        <v>9.5</v>
      </c>
      <c r="L41" s="6"/>
      <c r="M41" s="6">
        <v>58</v>
      </c>
      <c r="O41" s="6">
        <f>58+55</f>
        <v>113</v>
      </c>
      <c r="P41" s="6">
        <f>5+7</f>
        <v>12</v>
      </c>
      <c r="Q41" s="6"/>
      <c r="R41" s="6"/>
      <c r="S41" s="6"/>
      <c r="T41" s="6"/>
      <c r="U41" s="6"/>
      <c r="V41" s="6">
        <v>98</v>
      </c>
      <c r="W41" s="6">
        <v>50</v>
      </c>
      <c r="X41" s="6">
        <v>14</v>
      </c>
      <c r="Y41" s="6">
        <v>1</v>
      </c>
      <c r="Z41" s="6">
        <v>55</v>
      </c>
      <c r="AA41" s="6">
        <v>50</v>
      </c>
      <c r="AB41" s="6"/>
      <c r="AC41" s="6">
        <v>20</v>
      </c>
      <c r="AD41" s="6"/>
      <c r="AE41" s="6"/>
      <c r="AF41" s="6"/>
      <c r="AG41" s="54">
        <f t="shared" si="2"/>
        <v>540</v>
      </c>
    </row>
    <row r="42" spans="1:33" x14ac:dyDescent="0.2">
      <c r="A42" s="16" t="str">
        <f>BUDGET!A22</f>
        <v>Miscellaneous</v>
      </c>
      <c r="B42" s="6"/>
      <c r="C42" s="6"/>
      <c r="D42" s="6"/>
      <c r="E42" s="6"/>
      <c r="F42" s="6"/>
      <c r="G42" s="6"/>
      <c r="H42" s="6"/>
      <c r="I42" s="6"/>
      <c r="J42" s="6">
        <f>35+28</f>
        <v>63</v>
      </c>
      <c r="K42" s="6"/>
      <c r="L42" s="6"/>
      <c r="M42" s="6">
        <v>50</v>
      </c>
      <c r="O42" s="6"/>
      <c r="P42" s="6"/>
      <c r="Q42" s="6"/>
      <c r="R42" s="6"/>
      <c r="S42" s="6"/>
      <c r="T42" s="6"/>
      <c r="U42" s="6"/>
      <c r="V42" s="6"/>
      <c r="W42" s="6"/>
      <c r="X42" s="6"/>
      <c r="Y42" s="6"/>
      <c r="Z42" s="6"/>
      <c r="AA42" s="6"/>
      <c r="AB42" s="6"/>
      <c r="AC42" s="6"/>
      <c r="AD42" s="6"/>
      <c r="AE42" s="6"/>
      <c r="AF42" s="6"/>
      <c r="AG42" s="54">
        <f t="shared" si="2"/>
        <v>113</v>
      </c>
    </row>
    <row r="43" spans="1:33" x14ac:dyDescent="0.2">
      <c r="A43" s="16" t="str">
        <f>BUDGET!A23</f>
        <v>Apple Subscriptions</v>
      </c>
      <c r="B43" s="6"/>
      <c r="C43" s="6"/>
      <c r="D43" s="6"/>
      <c r="E43" s="6"/>
      <c r="F43" s="6"/>
      <c r="G43" s="6"/>
      <c r="H43" s="6"/>
      <c r="I43" s="6"/>
      <c r="J43" s="6"/>
      <c r="K43" s="6"/>
      <c r="L43" s="6"/>
      <c r="M43" s="6"/>
      <c r="N43" s="6"/>
      <c r="O43" s="6"/>
      <c r="P43" s="6"/>
      <c r="Q43" s="6"/>
      <c r="R43" s="6"/>
      <c r="S43" s="6"/>
      <c r="T43" s="6"/>
      <c r="U43" s="6"/>
      <c r="V43" s="6"/>
      <c r="W43" s="6"/>
      <c r="X43" s="6"/>
      <c r="Y43" s="6"/>
      <c r="Z43" s="6"/>
      <c r="AA43" s="6">
        <v>14</v>
      </c>
      <c r="AB43" s="6"/>
      <c r="AC43" s="6"/>
      <c r="AD43" s="6"/>
      <c r="AE43" s="6"/>
      <c r="AF43" s="6"/>
      <c r="AG43" s="54">
        <f t="shared" si="2"/>
        <v>14</v>
      </c>
    </row>
    <row r="44" spans="1:33" x14ac:dyDescent="0.2">
      <c r="A44" s="16" t="str">
        <f>BUDGET!A24</f>
        <v>Google 1</v>
      </c>
      <c r="B44" s="6"/>
      <c r="C44" s="6"/>
      <c r="D44" s="6"/>
      <c r="E44" s="6"/>
      <c r="F44" s="6"/>
      <c r="G44" s="6"/>
      <c r="H44" s="6"/>
      <c r="I44" s="6"/>
      <c r="J44" s="6"/>
      <c r="K44" s="6">
        <v>9</v>
      </c>
      <c r="L44" s="6"/>
      <c r="M44" s="6"/>
      <c r="N44" s="6"/>
      <c r="O44" s="6"/>
      <c r="P44" s="6"/>
      <c r="Q44" s="6"/>
      <c r="R44" s="6"/>
      <c r="S44" s="6"/>
      <c r="T44" s="6"/>
      <c r="U44" s="6"/>
      <c r="V44" s="6"/>
      <c r="W44" s="6"/>
      <c r="X44" s="6"/>
      <c r="Y44" s="6"/>
      <c r="Z44" s="6"/>
      <c r="AA44" s="6"/>
      <c r="AB44" s="6"/>
      <c r="AC44" s="6"/>
      <c r="AD44" s="6"/>
      <c r="AE44" s="6"/>
      <c r="AF44" s="6"/>
      <c r="AG44" s="54">
        <f t="shared" si="2"/>
        <v>9</v>
      </c>
    </row>
    <row r="45" spans="1:33" x14ac:dyDescent="0.2">
      <c r="A45" s="16" t="str">
        <f>BUDGET!A25</f>
        <v>Netflix</v>
      </c>
      <c r="B45" s="6"/>
      <c r="C45" s="6"/>
      <c r="D45" s="6"/>
      <c r="E45" s="6"/>
      <c r="F45" s="6"/>
      <c r="G45" s="6"/>
      <c r="H45" s="6"/>
      <c r="I45" s="6"/>
      <c r="J45" s="6"/>
      <c r="K45" s="6"/>
      <c r="L45" s="6"/>
      <c r="M45" s="6"/>
      <c r="N45" s="6"/>
      <c r="O45" s="6"/>
      <c r="P45" s="6"/>
      <c r="Q45" s="6"/>
      <c r="R45" s="6"/>
      <c r="S45" s="6"/>
      <c r="T45" s="6"/>
      <c r="U45" s="6"/>
      <c r="V45" s="6"/>
      <c r="W45" s="6">
        <v>140</v>
      </c>
      <c r="X45" s="6"/>
      <c r="Y45" s="6"/>
      <c r="Z45" s="6"/>
      <c r="AA45" s="6"/>
      <c r="AB45" s="6"/>
      <c r="AC45" s="6"/>
      <c r="AD45" s="6"/>
      <c r="AE45" s="6"/>
      <c r="AF45" s="6"/>
      <c r="AG45" s="54">
        <f t="shared" si="2"/>
        <v>140</v>
      </c>
    </row>
    <row r="46" spans="1:33" x14ac:dyDescent="0.2">
      <c r="A46" s="16" t="str">
        <f>BUDGET!A26</f>
        <v>Amuse</v>
      </c>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54">
        <f t="shared" si="2"/>
        <v>0</v>
      </c>
    </row>
    <row r="47" spans="1:33" x14ac:dyDescent="0.2">
      <c r="A47" s="16" t="str">
        <f>BUDGET!A27</f>
        <v>electricity</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54">
        <f t="shared" si="2"/>
        <v>0</v>
      </c>
    </row>
    <row r="48" spans="1:33" x14ac:dyDescent="0.2">
      <c r="A48" s="16" t="str">
        <f>BUDGET!A28</f>
        <v>Account Charges</v>
      </c>
      <c r="B48" s="6"/>
      <c r="C48" s="6"/>
      <c r="D48" s="6"/>
      <c r="E48" s="6"/>
      <c r="F48" s="6"/>
      <c r="G48" s="6"/>
      <c r="H48" s="6"/>
      <c r="I48" s="6"/>
      <c r="J48" s="6"/>
      <c r="K48" s="6"/>
      <c r="L48" s="6"/>
      <c r="M48" s="6"/>
      <c r="N48" s="6"/>
      <c r="O48" s="6"/>
      <c r="P48" s="6"/>
      <c r="Q48" s="6"/>
      <c r="R48" s="6"/>
      <c r="S48" s="6"/>
      <c r="T48" s="6"/>
      <c r="U48" s="6"/>
      <c r="V48" s="6"/>
      <c r="W48" s="6"/>
      <c r="X48" s="6">
        <v>10</v>
      </c>
      <c r="Y48" s="6"/>
      <c r="Z48" s="6"/>
      <c r="AA48" s="6"/>
      <c r="AB48" s="6"/>
      <c r="AC48" s="6"/>
      <c r="AD48" s="6"/>
      <c r="AE48" s="6"/>
      <c r="AF48" s="6"/>
      <c r="AG48" s="54">
        <f t="shared" si="2"/>
        <v>10</v>
      </c>
    </row>
    <row r="49" spans="1:33" x14ac:dyDescent="0.2">
      <c r="A49" s="1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54">
        <f t="shared" si="2"/>
        <v>0</v>
      </c>
    </row>
    <row r="50" spans="1:33" ht="16" thickBot="1" x14ac:dyDescent="0.25">
      <c r="A50" s="1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54">
        <f t="shared" si="2"/>
        <v>0</v>
      </c>
    </row>
    <row r="51" spans="1:33" ht="17" thickBot="1" x14ac:dyDescent="0.25">
      <c r="A51" s="20" t="s">
        <v>11</v>
      </c>
      <c r="B51" s="21">
        <f t="shared" ref="B51:AG51" si="3">SUM(B29:B50)</f>
        <v>329</v>
      </c>
      <c r="C51" s="21">
        <f t="shared" si="3"/>
        <v>15</v>
      </c>
      <c r="D51" s="21">
        <f t="shared" si="3"/>
        <v>2.5</v>
      </c>
      <c r="E51" s="21">
        <f t="shared" si="3"/>
        <v>202</v>
      </c>
      <c r="F51" s="21">
        <f t="shared" si="3"/>
        <v>0</v>
      </c>
      <c r="G51" s="21">
        <f t="shared" si="3"/>
        <v>10</v>
      </c>
      <c r="H51" s="21">
        <f t="shared" si="3"/>
        <v>60</v>
      </c>
      <c r="I51" s="21">
        <f t="shared" si="3"/>
        <v>10</v>
      </c>
      <c r="J51" s="21">
        <f t="shared" si="3"/>
        <v>249.5</v>
      </c>
      <c r="K51" s="21">
        <f t="shared" si="3"/>
        <v>18.5</v>
      </c>
      <c r="L51" s="21">
        <f t="shared" si="3"/>
        <v>0</v>
      </c>
      <c r="M51" s="21">
        <f t="shared" si="3"/>
        <v>118</v>
      </c>
      <c r="N51" s="21">
        <f t="shared" si="3"/>
        <v>0</v>
      </c>
      <c r="O51" s="21">
        <f>SUM(O29:O50)</f>
        <v>241</v>
      </c>
      <c r="P51" s="21">
        <f>SUM(P29:P50)</f>
        <v>27</v>
      </c>
      <c r="Q51" s="21">
        <f t="shared" si="3"/>
        <v>13.5</v>
      </c>
      <c r="R51" s="21">
        <f>SUM(R29:R50)</f>
        <v>0</v>
      </c>
      <c r="S51" s="21">
        <f t="shared" si="3"/>
        <v>10</v>
      </c>
      <c r="T51" s="21">
        <f t="shared" si="3"/>
        <v>0</v>
      </c>
      <c r="U51" s="21">
        <f t="shared" si="3"/>
        <v>0</v>
      </c>
      <c r="V51" s="21">
        <f t="shared" si="3"/>
        <v>138</v>
      </c>
      <c r="W51" s="21">
        <f t="shared" si="3"/>
        <v>328</v>
      </c>
      <c r="X51" s="21">
        <f>SUM(X29:X50)</f>
        <v>247.5</v>
      </c>
      <c r="Y51" s="21">
        <f t="shared" si="3"/>
        <v>76</v>
      </c>
      <c r="Z51" s="21">
        <f t="shared" si="3"/>
        <v>55</v>
      </c>
      <c r="AA51" s="21">
        <f t="shared" si="3"/>
        <v>64</v>
      </c>
      <c r="AB51" s="21">
        <f t="shared" si="3"/>
        <v>17</v>
      </c>
      <c r="AC51" s="21">
        <f t="shared" si="3"/>
        <v>192</v>
      </c>
      <c r="AD51" s="21">
        <f t="shared" si="3"/>
        <v>0</v>
      </c>
      <c r="AE51" s="21">
        <f t="shared" si="3"/>
        <v>0</v>
      </c>
      <c r="AF51" s="21">
        <f t="shared" si="3"/>
        <v>0</v>
      </c>
      <c r="AG51" s="56">
        <f t="shared" si="3"/>
        <v>2423.5</v>
      </c>
    </row>
    <row r="52" spans="1:33" ht="16" thickTop="1" x14ac:dyDescent="0.2">
      <c r="AG52" s="49"/>
    </row>
    <row r="53" spans="1:33" x14ac:dyDescent="0.2">
      <c r="AG53" s="49"/>
    </row>
    <row r="54" spans="1:33" x14ac:dyDescent="0.2">
      <c r="AG54" s="49"/>
    </row>
    <row r="55" spans="1:33" x14ac:dyDescent="0.2">
      <c r="A55" s="14" t="s">
        <v>189</v>
      </c>
      <c r="B55" s="7">
        <v>1</v>
      </c>
      <c r="C55" s="7">
        <v>2</v>
      </c>
      <c r="D55" s="7">
        <v>3</v>
      </c>
      <c r="E55" s="2">
        <v>4</v>
      </c>
      <c r="F55" s="2">
        <v>5</v>
      </c>
      <c r="G55" s="2">
        <v>6</v>
      </c>
      <c r="H55" s="2">
        <v>7</v>
      </c>
      <c r="I55" s="2">
        <v>8</v>
      </c>
      <c r="J55" s="2">
        <v>9</v>
      </c>
      <c r="K55" s="2">
        <v>10</v>
      </c>
      <c r="L55" s="2">
        <v>11</v>
      </c>
      <c r="M55" s="2">
        <v>12</v>
      </c>
      <c r="N55" s="2">
        <v>13</v>
      </c>
      <c r="O55" s="2">
        <v>14</v>
      </c>
      <c r="P55" s="2">
        <v>15</v>
      </c>
      <c r="Q55" s="2">
        <v>16</v>
      </c>
      <c r="R55" s="2">
        <v>17</v>
      </c>
      <c r="S55" s="2">
        <v>18</v>
      </c>
      <c r="T55" s="2">
        <v>19</v>
      </c>
      <c r="U55" s="2">
        <v>20</v>
      </c>
      <c r="V55" s="2">
        <v>21</v>
      </c>
      <c r="W55" s="2">
        <v>22</v>
      </c>
      <c r="X55" s="2">
        <v>23</v>
      </c>
      <c r="Y55" s="2">
        <v>24</v>
      </c>
      <c r="Z55" s="2">
        <v>25</v>
      </c>
      <c r="AA55" s="2">
        <v>26</v>
      </c>
      <c r="AB55" s="2">
        <v>27</v>
      </c>
      <c r="AC55" s="2">
        <v>28</v>
      </c>
      <c r="AD55" s="2">
        <v>29</v>
      </c>
      <c r="AE55" s="2">
        <v>30</v>
      </c>
      <c r="AF55" s="2">
        <v>31</v>
      </c>
      <c r="AG55" s="52" t="s">
        <v>0</v>
      </c>
    </row>
    <row r="56" spans="1:33" x14ac:dyDescent="0.2">
      <c r="A56" s="3"/>
      <c r="B56" s="3" t="s">
        <v>1</v>
      </c>
      <c r="C56" s="3" t="s">
        <v>1</v>
      </c>
      <c r="D56" s="3" t="s">
        <v>1</v>
      </c>
      <c r="E56" s="3" t="s">
        <v>1</v>
      </c>
      <c r="F56" s="3" t="s">
        <v>1</v>
      </c>
      <c r="G56" s="3" t="s">
        <v>1</v>
      </c>
      <c r="H56" s="3" t="s">
        <v>1</v>
      </c>
      <c r="I56" s="3" t="s">
        <v>1</v>
      </c>
      <c r="J56" s="3" t="s">
        <v>1</v>
      </c>
      <c r="K56" s="3" t="s">
        <v>1</v>
      </c>
      <c r="L56" s="3" t="s">
        <v>1</v>
      </c>
      <c r="M56" s="3" t="s">
        <v>1</v>
      </c>
      <c r="N56" s="3" t="s">
        <v>1</v>
      </c>
      <c r="O56" s="3" t="s">
        <v>1</v>
      </c>
      <c r="P56" s="3" t="s">
        <v>1</v>
      </c>
      <c r="Q56" s="3" t="s">
        <v>1</v>
      </c>
      <c r="R56" s="3" t="s">
        <v>1</v>
      </c>
      <c r="S56" s="3" t="s">
        <v>1</v>
      </c>
      <c r="T56" s="3" t="s">
        <v>1</v>
      </c>
      <c r="U56" s="3" t="s">
        <v>1</v>
      </c>
      <c r="V56" s="3" t="s">
        <v>1</v>
      </c>
      <c r="W56" s="3" t="s">
        <v>1</v>
      </c>
      <c r="X56" s="3" t="s">
        <v>1</v>
      </c>
      <c r="Y56" s="3" t="s">
        <v>1</v>
      </c>
      <c r="Z56" s="3" t="s">
        <v>1</v>
      </c>
      <c r="AA56" s="3" t="s">
        <v>1</v>
      </c>
      <c r="AB56" s="3" t="s">
        <v>1</v>
      </c>
      <c r="AC56" s="3" t="s">
        <v>1</v>
      </c>
      <c r="AD56" s="3" t="s">
        <v>1</v>
      </c>
      <c r="AE56" s="3" t="s">
        <v>1</v>
      </c>
      <c r="AF56" s="3" t="s">
        <v>1</v>
      </c>
      <c r="AG56" s="53" t="s">
        <v>1</v>
      </c>
    </row>
    <row r="57" spans="1:33" x14ac:dyDescent="0.2">
      <c r="A57" s="16" t="str">
        <f>BUDGET!A9</f>
        <v>Rent</v>
      </c>
      <c r="B57" s="6">
        <v>0</v>
      </c>
      <c r="C57" s="6">
        <v>0</v>
      </c>
      <c r="D57" s="6"/>
      <c r="E57" s="6"/>
      <c r="F57" s="6"/>
      <c r="G57" s="6"/>
      <c r="H57" s="6"/>
      <c r="I57" s="6"/>
      <c r="J57" s="6"/>
      <c r="K57" s="6"/>
      <c r="L57" s="6"/>
      <c r="M57" s="6"/>
      <c r="N57" s="6"/>
      <c r="O57" s="6"/>
      <c r="P57" s="6"/>
      <c r="Q57" s="6"/>
      <c r="R57" s="6"/>
      <c r="S57" s="6"/>
      <c r="T57" s="6"/>
      <c r="U57" s="6"/>
      <c r="V57" s="6"/>
      <c r="W57" s="6">
        <v>1400</v>
      </c>
      <c r="X57" s="6"/>
      <c r="Y57" s="6"/>
      <c r="Z57" s="6"/>
      <c r="AA57" s="6"/>
      <c r="AB57" s="6"/>
      <c r="AC57" s="6"/>
      <c r="AD57" s="6"/>
      <c r="AE57" s="6"/>
      <c r="AF57" s="6"/>
      <c r="AG57" s="54">
        <f t="shared" ref="AG57:AG76" si="4">SUM(B57:AF57)</f>
        <v>1400</v>
      </c>
    </row>
    <row r="58" spans="1:33" x14ac:dyDescent="0.2">
      <c r="A58" s="16" t="str">
        <f>BUDGET!A10</f>
        <v>Tithe</v>
      </c>
      <c r="B58" s="6">
        <v>0</v>
      </c>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54">
        <f t="shared" si="4"/>
        <v>0</v>
      </c>
    </row>
    <row r="59" spans="1:33" x14ac:dyDescent="0.2">
      <c r="A59" s="16" t="str">
        <f>BUDGET!A11</f>
        <v>Data</v>
      </c>
      <c r="B59" s="6">
        <v>0</v>
      </c>
      <c r="C59" s="6">
        <v>0</v>
      </c>
      <c r="D59" s="6"/>
      <c r="E59" s="6">
        <v>300</v>
      </c>
      <c r="F59" s="6"/>
      <c r="G59" s="6"/>
      <c r="H59" s="6"/>
      <c r="I59" s="6">
        <v>6</v>
      </c>
      <c r="J59" s="6"/>
      <c r="K59" s="6"/>
      <c r="L59" s="6"/>
      <c r="M59" s="6"/>
      <c r="N59" s="6"/>
      <c r="O59" s="6"/>
      <c r="P59" s="6"/>
      <c r="Q59" s="6"/>
      <c r="R59" s="6"/>
      <c r="S59" s="6"/>
      <c r="T59" s="6"/>
      <c r="U59" s="6"/>
      <c r="V59" s="6"/>
      <c r="W59" s="6"/>
      <c r="X59" s="6"/>
      <c r="Y59" s="6"/>
      <c r="Z59" s="6"/>
      <c r="AA59" s="6"/>
      <c r="AB59" s="6"/>
      <c r="AC59" s="6"/>
      <c r="AD59" s="6"/>
      <c r="AE59" s="6"/>
      <c r="AF59" s="6"/>
      <c r="AG59" s="54">
        <f t="shared" si="4"/>
        <v>306</v>
      </c>
    </row>
    <row r="60" spans="1:33" x14ac:dyDescent="0.2">
      <c r="A60" s="16" t="str">
        <f>BUDGET!A12</f>
        <v xml:space="preserve">Savings/ Investment </v>
      </c>
      <c r="B60" s="6">
        <v>0</v>
      </c>
      <c r="C60" s="6"/>
      <c r="D60" s="6"/>
      <c r="E60" s="6"/>
      <c r="F60" s="6"/>
      <c r="G60" s="6"/>
      <c r="H60" s="6"/>
      <c r="I60" s="6"/>
      <c r="J60" s="6"/>
      <c r="K60" s="6"/>
      <c r="L60" s="6"/>
      <c r="M60" s="6"/>
      <c r="N60" s="6"/>
      <c r="O60" s="6"/>
      <c r="P60" s="6"/>
      <c r="Q60" s="6"/>
      <c r="R60" s="6"/>
      <c r="S60" s="6"/>
      <c r="T60" s="6"/>
      <c r="U60" s="6"/>
      <c r="V60" s="6"/>
      <c r="W60" s="6"/>
      <c r="X60" s="6">
        <v>350</v>
      </c>
      <c r="Y60" s="6"/>
      <c r="Z60" s="6"/>
      <c r="AA60" s="6"/>
      <c r="AB60" s="6"/>
      <c r="AC60" s="6"/>
      <c r="AD60" s="6"/>
      <c r="AE60" s="6"/>
      <c r="AF60" s="6"/>
      <c r="AG60" s="54">
        <f t="shared" si="4"/>
        <v>350</v>
      </c>
    </row>
    <row r="61" spans="1:33" x14ac:dyDescent="0.2">
      <c r="A61" s="16" t="str">
        <f>BUDGET!A13</f>
        <v>Hair / Gym</v>
      </c>
      <c r="B61" s="6">
        <v>0</v>
      </c>
      <c r="C61" s="6">
        <v>0</v>
      </c>
      <c r="D61" s="6"/>
      <c r="E61" s="6"/>
      <c r="F61" s="6"/>
      <c r="G61" s="6"/>
      <c r="H61" s="6"/>
      <c r="I61" s="6"/>
      <c r="J61" s="6"/>
      <c r="K61" s="6"/>
      <c r="L61" s="6"/>
      <c r="M61" s="6"/>
      <c r="N61" s="6"/>
      <c r="O61" s="6"/>
      <c r="P61" s="6"/>
      <c r="Q61" s="6"/>
      <c r="R61" s="6"/>
      <c r="S61" s="6"/>
      <c r="T61" s="6"/>
      <c r="U61" s="6"/>
      <c r="V61" s="6"/>
      <c r="W61" s="6"/>
      <c r="X61" s="6"/>
      <c r="Y61" s="6"/>
      <c r="Z61" s="6"/>
      <c r="AA61" s="6"/>
      <c r="AB61" s="6">
        <v>500</v>
      </c>
      <c r="AC61" s="6"/>
      <c r="AD61" s="6"/>
      <c r="AE61" s="6"/>
      <c r="AF61" s="6"/>
      <c r="AG61" s="54">
        <f t="shared" si="4"/>
        <v>500</v>
      </c>
    </row>
    <row r="62" spans="1:33" x14ac:dyDescent="0.2">
      <c r="A62" s="16" t="str">
        <f>BUDGET!A14</f>
        <v>Food</v>
      </c>
      <c r="B62" s="6">
        <v>10</v>
      </c>
      <c r="C62" s="6">
        <v>11</v>
      </c>
      <c r="D62" s="6">
        <f>11+45+50</f>
        <v>106</v>
      </c>
      <c r="E62" s="6">
        <f>86+34+4</f>
        <v>124</v>
      </c>
      <c r="F62" s="6">
        <v>146.9</v>
      </c>
      <c r="G62" s="6">
        <v>40</v>
      </c>
      <c r="H62" s="6">
        <v>41</v>
      </c>
      <c r="I62" s="6"/>
      <c r="J62" s="6">
        <v>9</v>
      </c>
      <c r="K62" s="6">
        <v>163</v>
      </c>
      <c r="L62" s="6">
        <v>10</v>
      </c>
      <c r="M62" s="6">
        <v>10</v>
      </c>
      <c r="N62" s="6">
        <v>2</v>
      </c>
      <c r="O62" s="6">
        <f>10+4+5</f>
        <v>19</v>
      </c>
      <c r="P62" s="6">
        <v>5.5</v>
      </c>
      <c r="Q62" s="6">
        <f>4+6</f>
        <v>10</v>
      </c>
      <c r="R62" s="6">
        <f>5.5+4+111</f>
        <v>120.5</v>
      </c>
      <c r="S62" s="6">
        <f>5+37.2+30.2</f>
        <v>72.400000000000006</v>
      </c>
      <c r="T62">
        <f>15+100</f>
        <v>115</v>
      </c>
      <c r="U62">
        <v>4</v>
      </c>
      <c r="V62">
        <f>3+82</f>
        <v>85</v>
      </c>
      <c r="W62">
        <v>7</v>
      </c>
      <c r="X62">
        <v>6</v>
      </c>
      <c r="Y62">
        <v>4</v>
      </c>
      <c r="Z62">
        <f>16+40</f>
        <v>56</v>
      </c>
      <c r="AA62">
        <v>10</v>
      </c>
      <c r="AB62">
        <v>8</v>
      </c>
      <c r="AC62">
        <v>4.5</v>
      </c>
      <c r="AD62">
        <f>15+6</f>
        <v>21</v>
      </c>
      <c r="AE62">
        <f>5.5+6</f>
        <v>11.5</v>
      </c>
      <c r="AF62" s="72">
        <f>8.5+12</f>
        <v>20.5</v>
      </c>
      <c r="AG62" s="54">
        <f>SUM(B62:AF62)</f>
        <v>1252.8</v>
      </c>
    </row>
    <row r="63" spans="1:33" x14ac:dyDescent="0.2">
      <c r="A63" s="16" t="str">
        <f>BUDGET!A15</f>
        <v>Healthcare</v>
      </c>
      <c r="P63">
        <v>245</v>
      </c>
      <c r="T63" s="6"/>
      <c r="U63" s="6"/>
      <c r="V63" s="6"/>
      <c r="W63" s="6"/>
      <c r="X63" s="6"/>
      <c r="Y63" s="6"/>
      <c r="Z63" s="6"/>
      <c r="AA63" s="6"/>
      <c r="AB63" s="6"/>
      <c r="AC63" s="6"/>
      <c r="AD63" s="6"/>
      <c r="AE63" s="6"/>
      <c r="AF63" s="6"/>
      <c r="AG63" s="54">
        <f t="shared" si="4"/>
        <v>245</v>
      </c>
    </row>
    <row r="64" spans="1:33" x14ac:dyDescent="0.2">
      <c r="A64" s="16" t="str">
        <f>BUDGET!A16</f>
        <v xml:space="preserve">Clothes/ Shoes/ Jewelry </v>
      </c>
      <c r="B64" s="6">
        <v>0</v>
      </c>
      <c r="C64" s="6"/>
      <c r="D64" s="6"/>
      <c r="E64" s="6"/>
      <c r="F64" s="6"/>
      <c r="G64" s="6"/>
      <c r="H64" s="6"/>
      <c r="I64" s="6"/>
      <c r="J64" s="6">
        <v>14</v>
      </c>
      <c r="K64" s="6"/>
      <c r="L64" s="6"/>
      <c r="M64" s="6"/>
      <c r="N64" s="6"/>
      <c r="O64" s="6"/>
      <c r="P64" s="6"/>
      <c r="Q64" s="6"/>
      <c r="R64" s="6"/>
      <c r="S64" s="6"/>
      <c r="T64" s="6"/>
      <c r="U64" s="6"/>
      <c r="V64" s="6"/>
      <c r="W64" s="6">
        <v>40</v>
      </c>
      <c r="X64" s="6">
        <v>200</v>
      </c>
      <c r="Y64" s="6"/>
      <c r="Z64" s="6"/>
      <c r="AA64" s="6"/>
      <c r="AB64" s="6">
        <v>10</v>
      </c>
      <c r="AC64" s="6"/>
      <c r="AD64" s="6"/>
      <c r="AE64" s="6"/>
      <c r="AF64" s="6"/>
      <c r="AG64" s="54">
        <f t="shared" si="4"/>
        <v>264</v>
      </c>
    </row>
    <row r="65" spans="1:33" x14ac:dyDescent="0.2">
      <c r="A65" s="16" t="str">
        <f>BUDGET!A17</f>
        <v>shoes</v>
      </c>
      <c r="B65" s="6">
        <v>0</v>
      </c>
      <c r="C65" s="6">
        <v>0</v>
      </c>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54">
        <f t="shared" si="4"/>
        <v>0</v>
      </c>
    </row>
    <row r="66" spans="1:33" x14ac:dyDescent="0.2">
      <c r="A66" s="16" t="str">
        <f>BUDGET!A18</f>
        <v xml:space="preserve">Travel/ Vacations </v>
      </c>
      <c r="B66" s="6">
        <v>0</v>
      </c>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54">
        <f t="shared" si="4"/>
        <v>0</v>
      </c>
    </row>
    <row r="67" spans="1:33" x14ac:dyDescent="0.2">
      <c r="A67" s="16" t="str">
        <f>BUDGET!A19</f>
        <v>Outings</v>
      </c>
      <c r="B67" s="6">
        <v>0</v>
      </c>
      <c r="C67" s="6"/>
      <c r="D67" s="6"/>
      <c r="E67" s="6"/>
      <c r="F67" s="6"/>
      <c r="G67" s="6"/>
      <c r="H67" s="6"/>
      <c r="I67" s="6"/>
      <c r="J67" s="6"/>
      <c r="K67" s="6"/>
      <c r="L67" s="6"/>
      <c r="M67" s="6"/>
      <c r="N67" s="6"/>
      <c r="O67" s="6"/>
      <c r="P67" s="6"/>
      <c r="Q67" s="6">
        <v>200</v>
      </c>
      <c r="R67" s="6"/>
      <c r="S67" s="6"/>
      <c r="T67" s="6"/>
      <c r="U67" s="6"/>
      <c r="V67" s="6"/>
      <c r="W67" s="6"/>
      <c r="X67" s="6"/>
      <c r="Y67" s="6"/>
      <c r="Z67" s="6"/>
      <c r="AA67" s="6"/>
      <c r="AB67" s="6"/>
      <c r="AC67" s="6"/>
      <c r="AD67" s="6"/>
      <c r="AE67" s="6"/>
      <c r="AF67" s="6"/>
      <c r="AG67" s="54">
        <f t="shared" si="4"/>
        <v>200</v>
      </c>
    </row>
    <row r="68" spans="1:33" x14ac:dyDescent="0.2">
      <c r="A68" s="16" t="str">
        <f>BUDGET!A20</f>
        <v>Toiletries/Groceries</v>
      </c>
      <c r="B68" s="6">
        <v>0</v>
      </c>
      <c r="C68" s="6"/>
      <c r="D68" s="6">
        <v>30</v>
      </c>
      <c r="E68" s="6"/>
      <c r="F68" s="6"/>
      <c r="G68" s="6">
        <v>39</v>
      </c>
      <c r="H68" s="6"/>
      <c r="I68" s="6"/>
      <c r="J68" s="6"/>
      <c r="K68" s="6"/>
      <c r="L68" s="6"/>
      <c r="M68" s="6"/>
      <c r="N68" s="6"/>
      <c r="O68" s="6"/>
      <c r="P68" s="6"/>
      <c r="Q68" s="6"/>
      <c r="R68" s="6"/>
      <c r="S68" s="6"/>
      <c r="T68" s="6"/>
      <c r="U68" s="6"/>
      <c r="V68" s="6"/>
      <c r="W68" s="6"/>
      <c r="X68" s="6"/>
      <c r="Y68" s="6">
        <v>48.48</v>
      </c>
      <c r="Z68" s="6"/>
      <c r="AA68" s="6"/>
      <c r="AB68" s="6"/>
      <c r="AC68" s="6"/>
      <c r="AD68" s="6"/>
      <c r="AE68" s="6"/>
      <c r="AF68" s="6"/>
      <c r="AG68" s="54">
        <f t="shared" si="4"/>
        <v>117.47999999999999</v>
      </c>
    </row>
    <row r="69" spans="1:33" x14ac:dyDescent="0.2">
      <c r="A69" s="16" t="str">
        <f>BUDGET!A21</f>
        <v xml:space="preserve">Transportation </v>
      </c>
      <c r="B69" s="6">
        <v>38</v>
      </c>
      <c r="C69" s="6">
        <v>38</v>
      </c>
      <c r="D69" s="6">
        <f>17+12</f>
        <v>29</v>
      </c>
      <c r="E69" s="6">
        <v>8</v>
      </c>
      <c r="F69" s="6"/>
      <c r="G69" s="6"/>
      <c r="H69" s="6">
        <v>14</v>
      </c>
      <c r="I69" s="6"/>
      <c r="J69" s="6">
        <v>4.5</v>
      </c>
      <c r="K69" s="6">
        <v>56</v>
      </c>
      <c r="L69" s="6"/>
      <c r="M69" s="6"/>
      <c r="N69" s="6"/>
      <c r="O69" s="6">
        <f>4+5+12</f>
        <v>21</v>
      </c>
      <c r="P69" s="6">
        <v>13</v>
      </c>
      <c r="R69" s="6">
        <f>2.5+7.5</f>
        <v>10</v>
      </c>
      <c r="S69" s="6"/>
      <c r="T69" s="6"/>
      <c r="U69" s="6">
        <f>7+5.5+2.5+7.5</f>
        <v>22.5</v>
      </c>
      <c r="V69" s="6">
        <f>7+5.5+4+12+4.5</f>
        <v>33</v>
      </c>
      <c r="W69" s="6">
        <f>7+5.5+4+5+4</f>
        <v>25.5</v>
      </c>
      <c r="X69" s="6">
        <f>5.5</f>
        <v>5.5</v>
      </c>
      <c r="Y69" s="6">
        <f>49+4+5+4</f>
        <v>62</v>
      </c>
      <c r="Z69" s="6">
        <f>33+56</f>
        <v>89</v>
      </c>
      <c r="AA69" s="6"/>
      <c r="AB69" s="6">
        <f>7+5.5+4+5+4</f>
        <v>25.5</v>
      </c>
      <c r="AC69" s="6">
        <f>7+5.5+4+5+4.5</f>
        <v>26</v>
      </c>
      <c r="AD69" s="6">
        <f>7+5.5+5+5+4.5</f>
        <v>27</v>
      </c>
      <c r="AE69" s="6">
        <f>7+5.5+4+5+4.5</f>
        <v>26</v>
      </c>
      <c r="AF69" s="6">
        <f>7+5.5+25+33</f>
        <v>70.5</v>
      </c>
      <c r="AG69" s="54">
        <f t="shared" si="4"/>
        <v>644</v>
      </c>
    </row>
    <row r="70" spans="1:33" x14ac:dyDescent="0.2">
      <c r="A70" s="16" t="str">
        <f>BUDGET!A22</f>
        <v>Miscellaneous</v>
      </c>
      <c r="B70" s="6">
        <v>0</v>
      </c>
      <c r="C70" s="6"/>
      <c r="D70" s="6"/>
      <c r="E70" s="6"/>
      <c r="F70" s="6"/>
      <c r="G70" s="6"/>
      <c r="H70" s="6">
        <v>95</v>
      </c>
      <c r="I70" s="6"/>
      <c r="J70" s="6"/>
      <c r="K70" s="6">
        <v>50</v>
      </c>
      <c r="L70" s="6">
        <v>65</v>
      </c>
      <c r="M70" s="6"/>
      <c r="N70" s="6"/>
      <c r="O70" s="6">
        <v>2</v>
      </c>
      <c r="P70" s="6"/>
      <c r="Q70" s="6"/>
      <c r="R70" s="6"/>
      <c r="S70" s="6"/>
      <c r="T70" s="6"/>
      <c r="U70" s="6"/>
      <c r="V70" s="6"/>
      <c r="W70" s="6"/>
      <c r="X70" s="6"/>
      <c r="Y70" s="6"/>
      <c r="Z70" s="6"/>
      <c r="AA70" s="6"/>
      <c r="AB70" s="6"/>
      <c r="AC70" s="6"/>
      <c r="AD70" s="6"/>
      <c r="AE70" s="6"/>
      <c r="AF70" s="6"/>
      <c r="AG70" s="54">
        <f t="shared" si="4"/>
        <v>212</v>
      </c>
    </row>
    <row r="71" spans="1:33" x14ac:dyDescent="0.2">
      <c r="A71" s="16" t="str">
        <f>BUDGET!A23</f>
        <v>Apple Subscriptions</v>
      </c>
      <c r="B71" s="6">
        <v>0</v>
      </c>
      <c r="C71" s="6"/>
      <c r="D71" s="6"/>
      <c r="E71" s="6"/>
      <c r="F71" s="6"/>
      <c r="G71" s="6"/>
      <c r="H71" s="6"/>
      <c r="I71" s="6"/>
      <c r="J71" s="6"/>
      <c r="K71" s="6"/>
      <c r="L71" s="6"/>
      <c r="M71" s="6"/>
      <c r="N71" s="6"/>
      <c r="O71" s="6"/>
      <c r="P71" s="6"/>
      <c r="Q71" s="6"/>
      <c r="R71" s="6"/>
      <c r="S71" s="6"/>
      <c r="T71" s="6"/>
      <c r="U71" s="6"/>
      <c r="V71" s="6"/>
      <c r="W71" s="6"/>
      <c r="X71" s="6"/>
      <c r="Y71" s="6"/>
      <c r="Z71" s="6"/>
      <c r="AA71" s="6">
        <v>13.25</v>
      </c>
      <c r="AB71" s="6"/>
      <c r="AC71" s="6"/>
      <c r="AD71" s="6"/>
      <c r="AE71" s="6"/>
      <c r="AF71" s="6"/>
      <c r="AG71" s="54">
        <f t="shared" si="4"/>
        <v>13.25</v>
      </c>
    </row>
    <row r="72" spans="1:33" x14ac:dyDescent="0.2">
      <c r="A72" s="16" t="str">
        <f>BUDGET!A24</f>
        <v>Google 1</v>
      </c>
      <c r="B72" s="6">
        <v>0</v>
      </c>
      <c r="C72" s="6"/>
      <c r="D72" s="6"/>
      <c r="E72" s="6"/>
      <c r="F72" s="6"/>
      <c r="G72" s="6"/>
      <c r="H72" s="6"/>
      <c r="I72" s="6"/>
      <c r="J72" s="6"/>
      <c r="K72" s="6">
        <v>9</v>
      </c>
      <c r="L72" s="6"/>
      <c r="M72" s="6"/>
      <c r="N72" s="6"/>
      <c r="O72" s="6"/>
      <c r="P72" s="6"/>
      <c r="Q72" s="6"/>
      <c r="R72" s="6"/>
      <c r="S72" s="6"/>
      <c r="T72" s="6"/>
      <c r="U72" s="6"/>
      <c r="V72" s="6"/>
      <c r="W72" s="6"/>
      <c r="X72" s="6"/>
      <c r="Y72" s="6"/>
      <c r="Z72" s="6"/>
      <c r="AA72" s="6"/>
      <c r="AB72" s="6"/>
      <c r="AC72" s="6"/>
      <c r="AD72" s="6"/>
      <c r="AE72" s="6"/>
      <c r="AF72" s="6"/>
      <c r="AG72" s="54">
        <f t="shared" si="4"/>
        <v>9</v>
      </c>
    </row>
    <row r="73" spans="1:33" x14ac:dyDescent="0.2">
      <c r="A73" s="16" t="str">
        <f>BUDGET!A25</f>
        <v>Netflix</v>
      </c>
      <c r="B73" s="6">
        <v>0</v>
      </c>
      <c r="C73" s="6"/>
      <c r="D73" s="6"/>
      <c r="E73" s="6"/>
      <c r="F73" s="6"/>
      <c r="G73" s="6"/>
      <c r="H73" s="6"/>
      <c r="I73" s="6"/>
      <c r="J73" s="6"/>
      <c r="K73" s="6"/>
      <c r="L73" s="6"/>
      <c r="M73" s="6"/>
      <c r="N73" s="6"/>
      <c r="O73" s="6"/>
      <c r="P73" s="6"/>
      <c r="Q73" s="6"/>
      <c r="R73" s="6"/>
      <c r="S73" s="6"/>
      <c r="T73" s="6">
        <v>108.57</v>
      </c>
      <c r="U73" s="6"/>
      <c r="V73" s="6"/>
      <c r="W73" s="6"/>
      <c r="X73" s="6"/>
      <c r="Y73" s="6"/>
      <c r="Z73" s="6"/>
      <c r="AA73" s="6"/>
      <c r="AB73" s="6"/>
      <c r="AC73" s="6"/>
      <c r="AD73" s="6"/>
      <c r="AE73" s="6"/>
      <c r="AF73" s="6"/>
      <c r="AG73" s="54">
        <f t="shared" si="4"/>
        <v>108.57</v>
      </c>
    </row>
    <row r="74" spans="1:33" x14ac:dyDescent="0.2">
      <c r="A74" s="16" t="str">
        <f>BUDGET!A26</f>
        <v>Amuse</v>
      </c>
      <c r="B74" s="6">
        <v>0</v>
      </c>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54">
        <f t="shared" si="4"/>
        <v>0</v>
      </c>
    </row>
    <row r="75" spans="1:33" x14ac:dyDescent="0.2">
      <c r="A75" s="16" t="str">
        <f>BUDGET!A27</f>
        <v>electricity</v>
      </c>
      <c r="B75" s="6">
        <v>0</v>
      </c>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54">
        <f t="shared" si="4"/>
        <v>0</v>
      </c>
    </row>
    <row r="76" spans="1:33" ht="16" thickBot="1" x14ac:dyDescent="0.25">
      <c r="A76" s="16" t="str">
        <f>BUDGET!A28</f>
        <v>Account Charges</v>
      </c>
      <c r="B76" s="6">
        <v>0</v>
      </c>
      <c r="C76" s="6"/>
      <c r="D76" s="6"/>
      <c r="E76" s="6"/>
      <c r="F76" s="6"/>
      <c r="G76" s="6"/>
      <c r="H76" s="6"/>
      <c r="I76" s="6"/>
      <c r="J76" s="6"/>
      <c r="K76" s="6"/>
      <c r="L76" s="6"/>
      <c r="M76" s="6"/>
      <c r="N76" s="6"/>
      <c r="O76" s="6"/>
      <c r="P76" s="6"/>
      <c r="Q76" s="6"/>
      <c r="R76" s="6"/>
      <c r="S76" s="6"/>
      <c r="T76" s="6"/>
      <c r="U76" s="6"/>
      <c r="V76" s="6">
        <v>10</v>
      </c>
      <c r="W76" s="6">
        <v>14</v>
      </c>
      <c r="X76" s="6">
        <v>4</v>
      </c>
      <c r="Y76" s="6"/>
      <c r="Z76" s="6"/>
      <c r="AA76" s="6"/>
      <c r="AB76" s="6"/>
      <c r="AC76" s="6"/>
      <c r="AD76" s="6"/>
      <c r="AE76" s="6"/>
      <c r="AF76" s="6"/>
      <c r="AG76" s="54">
        <f t="shared" si="4"/>
        <v>28</v>
      </c>
    </row>
    <row r="77" spans="1:33" ht="17" thickBot="1" x14ac:dyDescent="0.25">
      <c r="A77" s="20" t="s">
        <v>11</v>
      </c>
      <c r="B77" s="21">
        <f>SUM(B57:B76)</f>
        <v>48</v>
      </c>
      <c r="C77" s="21">
        <f>SUM(C57:C76)</f>
        <v>49</v>
      </c>
      <c r="D77" s="21">
        <f>SUM(D57:D76)</f>
        <v>165</v>
      </c>
      <c r="E77" s="21">
        <f>SUM(E57:E76)</f>
        <v>432</v>
      </c>
      <c r="F77" s="21">
        <f>SUM(F57:F76)</f>
        <v>146.9</v>
      </c>
      <c r="G77" s="21">
        <f t="shared" ref="G77:AG77" si="5">SUM(G57:G76)</f>
        <v>79</v>
      </c>
      <c r="H77" s="21">
        <f t="shared" si="5"/>
        <v>150</v>
      </c>
      <c r="I77" s="21">
        <f t="shared" si="5"/>
        <v>6</v>
      </c>
      <c r="J77" s="21">
        <f t="shared" si="5"/>
        <v>27.5</v>
      </c>
      <c r="K77" s="21">
        <f t="shared" si="5"/>
        <v>278</v>
      </c>
      <c r="L77" s="21">
        <f t="shared" si="5"/>
        <v>75</v>
      </c>
      <c r="M77" s="21">
        <f t="shared" si="5"/>
        <v>10</v>
      </c>
      <c r="N77" s="21">
        <f>SUM(N57:N76)</f>
        <v>2</v>
      </c>
      <c r="O77" s="21">
        <f t="shared" si="5"/>
        <v>42</v>
      </c>
      <c r="P77" s="21">
        <f t="shared" si="5"/>
        <v>263.5</v>
      </c>
      <c r="Q77" s="21">
        <f t="shared" si="5"/>
        <v>210</v>
      </c>
      <c r="R77" s="21">
        <f t="shared" si="5"/>
        <v>130.5</v>
      </c>
      <c r="S77" s="21">
        <f t="shared" si="5"/>
        <v>72.400000000000006</v>
      </c>
      <c r="T77" s="21">
        <f t="shared" si="5"/>
        <v>223.57</v>
      </c>
      <c r="U77" s="21">
        <f t="shared" si="5"/>
        <v>26.5</v>
      </c>
      <c r="V77" s="21">
        <f t="shared" si="5"/>
        <v>128</v>
      </c>
      <c r="W77" s="21">
        <f t="shared" si="5"/>
        <v>1486.5</v>
      </c>
      <c r="X77" s="21">
        <f t="shared" si="5"/>
        <v>565.5</v>
      </c>
      <c r="Y77" s="21">
        <f t="shared" si="5"/>
        <v>114.47999999999999</v>
      </c>
      <c r="Z77" s="21">
        <f t="shared" si="5"/>
        <v>145</v>
      </c>
      <c r="AA77" s="21">
        <f t="shared" si="5"/>
        <v>23.25</v>
      </c>
      <c r="AB77" s="21">
        <f t="shared" si="5"/>
        <v>543.5</v>
      </c>
      <c r="AC77" s="21">
        <f t="shared" si="5"/>
        <v>30.5</v>
      </c>
      <c r="AD77" s="21">
        <f t="shared" si="5"/>
        <v>48</v>
      </c>
      <c r="AE77" s="21">
        <f t="shared" si="5"/>
        <v>37.5</v>
      </c>
      <c r="AF77" s="21">
        <f t="shared" si="5"/>
        <v>91</v>
      </c>
      <c r="AG77" s="56">
        <f t="shared" si="5"/>
        <v>5650.0999999999995</v>
      </c>
    </row>
    <row r="78" spans="1:33" ht="17" thickTop="1" x14ac:dyDescent="0.2">
      <c r="A78" s="5"/>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57"/>
    </row>
    <row r="79" spans="1:33" ht="16" x14ac:dyDescent="0.2">
      <c r="A79" s="5"/>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57"/>
    </row>
    <row r="80" spans="1:33" ht="16" x14ac:dyDescent="0.2">
      <c r="A80" s="5"/>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57"/>
    </row>
    <row r="81" spans="1:36" x14ac:dyDescent="0.2">
      <c r="A81" s="14" t="s">
        <v>190</v>
      </c>
      <c r="B81" s="7">
        <v>1</v>
      </c>
      <c r="C81" s="7">
        <v>2</v>
      </c>
      <c r="D81" s="7">
        <v>3</v>
      </c>
      <c r="E81" s="2">
        <v>4</v>
      </c>
      <c r="F81" s="2">
        <v>5</v>
      </c>
      <c r="G81" s="2">
        <v>6</v>
      </c>
      <c r="H81" s="2">
        <v>7</v>
      </c>
      <c r="I81" s="2">
        <v>8</v>
      </c>
      <c r="J81" s="2">
        <v>9</v>
      </c>
      <c r="K81" s="2">
        <v>10</v>
      </c>
      <c r="L81" s="2">
        <v>11</v>
      </c>
      <c r="M81" s="2">
        <v>12</v>
      </c>
      <c r="N81" s="2">
        <v>13</v>
      </c>
      <c r="O81" s="2">
        <v>14</v>
      </c>
      <c r="P81" s="2">
        <v>15</v>
      </c>
      <c r="Q81" s="2">
        <v>16</v>
      </c>
      <c r="R81" s="2">
        <v>17</v>
      </c>
      <c r="S81" s="2">
        <v>18</v>
      </c>
      <c r="T81" s="2">
        <v>19</v>
      </c>
      <c r="U81" s="2">
        <v>20</v>
      </c>
      <c r="V81" s="2">
        <v>21</v>
      </c>
      <c r="W81" s="2">
        <v>22</v>
      </c>
      <c r="X81" s="2">
        <v>23</v>
      </c>
      <c r="Y81" s="2">
        <v>24</v>
      </c>
      <c r="Z81" s="2">
        <v>25</v>
      </c>
      <c r="AA81" s="2">
        <v>26</v>
      </c>
      <c r="AB81" s="2">
        <v>27</v>
      </c>
      <c r="AC81" s="2">
        <v>28</v>
      </c>
      <c r="AD81" s="2">
        <v>29</v>
      </c>
      <c r="AE81" s="2">
        <v>30</v>
      </c>
      <c r="AF81" s="2">
        <v>31</v>
      </c>
      <c r="AG81" s="52" t="s">
        <v>0</v>
      </c>
    </row>
    <row r="82" spans="1:36" x14ac:dyDescent="0.2">
      <c r="A82" s="3"/>
      <c r="B82" s="3" t="s">
        <v>1</v>
      </c>
      <c r="C82" s="3" t="s">
        <v>1</v>
      </c>
      <c r="D82" s="3" t="s">
        <v>1</v>
      </c>
      <c r="E82" s="3" t="s">
        <v>1</v>
      </c>
      <c r="F82" s="3" t="s">
        <v>1</v>
      </c>
      <c r="G82" s="3" t="s">
        <v>1</v>
      </c>
      <c r="H82" s="3" t="s">
        <v>1</v>
      </c>
      <c r="I82" s="3" t="s">
        <v>1</v>
      </c>
      <c r="J82" s="3" t="s">
        <v>1</v>
      </c>
      <c r="K82" s="3" t="s">
        <v>1</v>
      </c>
      <c r="L82" s="3" t="s">
        <v>1</v>
      </c>
      <c r="M82" s="3" t="s">
        <v>1</v>
      </c>
      <c r="N82" s="3" t="s">
        <v>1</v>
      </c>
      <c r="O82" s="3" t="s">
        <v>1</v>
      </c>
      <c r="P82" s="3" t="s">
        <v>1</v>
      </c>
      <c r="Q82" s="3" t="s">
        <v>1</v>
      </c>
      <c r="R82" s="3" t="s">
        <v>1</v>
      </c>
      <c r="S82" s="3" t="s">
        <v>1</v>
      </c>
      <c r="T82" s="3" t="s">
        <v>1</v>
      </c>
      <c r="U82" s="3" t="s">
        <v>1</v>
      </c>
      <c r="V82" s="3" t="s">
        <v>1</v>
      </c>
      <c r="W82" s="3" t="s">
        <v>1</v>
      </c>
      <c r="X82" s="3" t="s">
        <v>1</v>
      </c>
      <c r="Y82" s="3" t="s">
        <v>1</v>
      </c>
      <c r="Z82" s="3" t="s">
        <v>1</v>
      </c>
      <c r="AA82" s="3" t="s">
        <v>1</v>
      </c>
      <c r="AB82" s="3" t="s">
        <v>1</v>
      </c>
      <c r="AC82" s="3" t="s">
        <v>1</v>
      </c>
      <c r="AD82" s="3" t="s">
        <v>1</v>
      </c>
      <c r="AE82" s="3" t="s">
        <v>1</v>
      </c>
      <c r="AF82" s="3" t="s">
        <v>1</v>
      </c>
      <c r="AG82" s="53" t="s">
        <v>1</v>
      </c>
    </row>
    <row r="83" spans="1:36" x14ac:dyDescent="0.2">
      <c r="A83" s="16" t="str">
        <f>BUDGET!A9</f>
        <v>Rent</v>
      </c>
      <c r="B83" s="6">
        <v>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54">
        <f t="shared" ref="AG83:AG102" si="6">SUM(B83:AF83)</f>
        <v>0</v>
      </c>
    </row>
    <row r="84" spans="1:36" x14ac:dyDescent="0.2">
      <c r="A84" s="16" t="str">
        <f>BUDGET!A10</f>
        <v>Tithe</v>
      </c>
      <c r="B84" s="6"/>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385</v>
      </c>
      <c r="Y84" s="6">
        <v>0</v>
      </c>
      <c r="Z84" s="6">
        <v>0</v>
      </c>
      <c r="AA84" s="6">
        <v>0</v>
      </c>
      <c r="AB84" s="6">
        <v>0</v>
      </c>
      <c r="AC84" s="6">
        <v>0</v>
      </c>
      <c r="AD84" s="6">
        <v>0</v>
      </c>
      <c r="AE84" s="6">
        <v>0</v>
      </c>
      <c r="AF84" s="6">
        <v>0</v>
      </c>
      <c r="AG84" s="54">
        <f t="shared" si="6"/>
        <v>385</v>
      </c>
    </row>
    <row r="85" spans="1:36" x14ac:dyDescent="0.2">
      <c r="A85" s="16" t="str">
        <f>BUDGET!A11</f>
        <v>Data</v>
      </c>
      <c r="B85" s="6">
        <v>0</v>
      </c>
      <c r="C85" s="6">
        <v>0</v>
      </c>
      <c r="D85" s="6">
        <v>0</v>
      </c>
      <c r="E85" s="6">
        <v>0</v>
      </c>
      <c r="F85" s="6">
        <v>0</v>
      </c>
      <c r="G85" s="6">
        <v>300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54">
        <f t="shared" si="6"/>
        <v>300</v>
      </c>
    </row>
    <row r="86" spans="1:36" x14ac:dyDescent="0.2">
      <c r="A86" s="16" t="str">
        <f>BUDGET!A12</f>
        <v xml:space="preserve">Savings/ Investment </v>
      </c>
      <c r="B86" s="6"/>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500</v>
      </c>
      <c r="V86" s="6">
        <v>0</v>
      </c>
      <c r="W86" s="6">
        <v>0</v>
      </c>
      <c r="X86" s="6">
        <v>0</v>
      </c>
      <c r="Y86" s="6">
        <v>0</v>
      </c>
      <c r="Z86" s="6">
        <v>0</v>
      </c>
      <c r="AA86" s="6">
        <v>0</v>
      </c>
      <c r="AB86" s="6">
        <v>0</v>
      </c>
      <c r="AC86" s="6">
        <v>0</v>
      </c>
      <c r="AD86" s="6">
        <v>0</v>
      </c>
      <c r="AE86" s="6">
        <v>0</v>
      </c>
      <c r="AF86" s="6">
        <v>0</v>
      </c>
      <c r="AG86" s="54">
        <f t="shared" si="6"/>
        <v>500</v>
      </c>
      <c r="AI86">
        <f>23+7</f>
        <v>30</v>
      </c>
      <c r="AJ86">
        <f>7+50</f>
        <v>57</v>
      </c>
    </row>
    <row r="87" spans="1:36" x14ac:dyDescent="0.2">
      <c r="A87" s="16" t="str">
        <f>BUDGET!A13</f>
        <v>Hair / Gym</v>
      </c>
      <c r="B87" s="6">
        <v>0</v>
      </c>
      <c r="C87" s="6">
        <v>0</v>
      </c>
      <c r="D87" s="6">
        <v>0</v>
      </c>
      <c r="E87" s="6">
        <v>0</v>
      </c>
      <c r="F87" s="6">
        <v>0</v>
      </c>
      <c r="G87" s="6">
        <v>0</v>
      </c>
      <c r="H87" s="6">
        <v>0</v>
      </c>
      <c r="I87" s="6">
        <v>0</v>
      </c>
      <c r="J87" s="6">
        <v>0</v>
      </c>
      <c r="K87" s="6">
        <v>0</v>
      </c>
      <c r="L87" s="6">
        <v>0</v>
      </c>
      <c r="M87" s="6">
        <v>0</v>
      </c>
      <c r="N87" s="6">
        <v>0</v>
      </c>
      <c r="O87" s="6">
        <v>0</v>
      </c>
      <c r="P87" s="6">
        <v>0</v>
      </c>
      <c r="Q87" s="6">
        <v>0</v>
      </c>
      <c r="R87" s="6">
        <v>0</v>
      </c>
      <c r="S87" s="6">
        <v>0</v>
      </c>
      <c r="T87" s="6">
        <v>0</v>
      </c>
      <c r="U87" s="6">
        <v>20</v>
      </c>
      <c r="V87" s="6">
        <v>0</v>
      </c>
      <c r="W87" s="6">
        <v>0</v>
      </c>
      <c r="X87" s="6">
        <v>0</v>
      </c>
      <c r="Y87" s="6">
        <v>0</v>
      </c>
      <c r="Z87" s="6">
        <v>0</v>
      </c>
      <c r="AA87" s="6">
        <v>0</v>
      </c>
      <c r="AB87" s="6">
        <v>0</v>
      </c>
      <c r="AC87" s="6">
        <v>0</v>
      </c>
      <c r="AD87" s="6">
        <v>0</v>
      </c>
      <c r="AE87" s="6">
        <v>0</v>
      </c>
      <c r="AF87" s="6">
        <v>0</v>
      </c>
      <c r="AG87" s="54">
        <f t="shared" si="6"/>
        <v>20</v>
      </c>
    </row>
    <row r="88" spans="1:36" x14ac:dyDescent="0.2">
      <c r="A88" s="16" t="str">
        <f>BUDGET!A14</f>
        <v>Food</v>
      </c>
      <c r="B88" s="6">
        <f>8+100.35</f>
        <v>108.35</v>
      </c>
      <c r="C88" s="6">
        <v>0</v>
      </c>
      <c r="D88" s="6">
        <f>6+12.5+2.5</f>
        <v>21</v>
      </c>
      <c r="E88" s="6">
        <f>2.5+5</f>
        <v>7.5</v>
      </c>
      <c r="F88" s="6">
        <v>20</v>
      </c>
      <c r="G88" s="6">
        <v>0</v>
      </c>
      <c r="H88" s="6">
        <f>10+7</f>
        <v>17</v>
      </c>
      <c r="I88" s="6">
        <v>0</v>
      </c>
      <c r="J88" s="6">
        <v>0</v>
      </c>
      <c r="K88" s="6">
        <f>10+10</f>
        <v>20</v>
      </c>
      <c r="L88" s="6">
        <v>0</v>
      </c>
      <c r="M88" s="6">
        <f>10+10</f>
        <v>20</v>
      </c>
      <c r="N88" s="6">
        <v>8</v>
      </c>
      <c r="O88" s="6">
        <f>9+6</f>
        <v>15</v>
      </c>
      <c r="P88" s="6">
        <v>0</v>
      </c>
      <c r="Q88" s="104">
        <f>5+17.5+10</f>
        <v>32.5</v>
      </c>
      <c r="R88" s="6">
        <v>0</v>
      </c>
      <c r="S88" s="6">
        <v>0</v>
      </c>
      <c r="T88" s="104">
        <f>3+19+10+8</f>
        <v>40</v>
      </c>
      <c r="U88" s="6">
        <f>3+10</f>
        <v>13</v>
      </c>
      <c r="V88" s="6">
        <f>54+17+30</f>
        <v>101</v>
      </c>
      <c r="W88" s="6">
        <f>99+29+3+60+40</f>
        <v>231</v>
      </c>
      <c r="X88" s="6">
        <v>12</v>
      </c>
      <c r="Y88" s="6">
        <f>38+10</f>
        <v>48</v>
      </c>
      <c r="Z88" s="6">
        <f>5+9</f>
        <v>14</v>
      </c>
      <c r="AA88" s="6">
        <v>5</v>
      </c>
      <c r="AB88" s="6">
        <v>20</v>
      </c>
      <c r="AC88" s="6">
        <f>5+80+12</f>
        <v>97</v>
      </c>
      <c r="AD88" s="6">
        <v>0</v>
      </c>
      <c r="AE88" s="6">
        <v>0</v>
      </c>
      <c r="AF88" s="6">
        <v>0</v>
      </c>
      <c r="AG88" s="54">
        <f t="shared" si="6"/>
        <v>850.35</v>
      </c>
      <c r="AI88">
        <f>AI86+AJ86</f>
        <v>87</v>
      </c>
    </row>
    <row r="89" spans="1:36" x14ac:dyDescent="0.2">
      <c r="A89" s="16" t="str">
        <f>BUDGET!A15</f>
        <v>Healthcare</v>
      </c>
      <c r="B89" s="6">
        <v>0</v>
      </c>
      <c r="C89" s="6">
        <v>0</v>
      </c>
      <c r="D89" s="6">
        <v>0</v>
      </c>
      <c r="E89" s="6">
        <v>0</v>
      </c>
      <c r="F89" s="6">
        <v>0</v>
      </c>
      <c r="G89" s="6">
        <v>0</v>
      </c>
      <c r="H89" s="6">
        <v>0</v>
      </c>
      <c r="I89" s="6">
        <v>0</v>
      </c>
      <c r="J89" s="6">
        <v>0</v>
      </c>
      <c r="K89" s="6">
        <v>0</v>
      </c>
      <c r="L89" s="6">
        <v>0</v>
      </c>
      <c r="M89" s="6">
        <v>0</v>
      </c>
      <c r="N89" s="6">
        <v>0</v>
      </c>
      <c r="O89" s="6">
        <v>0</v>
      </c>
      <c r="P89" s="6">
        <v>0</v>
      </c>
      <c r="Q89" s="6">
        <v>0</v>
      </c>
      <c r="R89" s="6">
        <v>0</v>
      </c>
      <c r="S89" s="6">
        <v>17</v>
      </c>
      <c r="T89" s="6">
        <v>0</v>
      </c>
      <c r="U89" s="6">
        <v>0</v>
      </c>
      <c r="V89" s="6">
        <v>0</v>
      </c>
      <c r="W89" s="6"/>
      <c r="X89" s="6">
        <v>0</v>
      </c>
      <c r="Y89" s="6">
        <v>0</v>
      </c>
      <c r="Z89" s="6">
        <v>0</v>
      </c>
      <c r="AA89" s="6">
        <v>0</v>
      </c>
      <c r="AB89" s="6">
        <v>0</v>
      </c>
      <c r="AC89" s="6">
        <v>0</v>
      </c>
      <c r="AD89" s="6">
        <v>0</v>
      </c>
      <c r="AE89" s="6">
        <v>0</v>
      </c>
      <c r="AF89" s="6">
        <v>0</v>
      </c>
      <c r="AG89" s="54">
        <f t="shared" si="6"/>
        <v>17</v>
      </c>
    </row>
    <row r="90" spans="1:36" x14ac:dyDescent="0.2">
      <c r="A90" s="16" t="str">
        <f>BUDGET!A16</f>
        <v xml:space="preserve">Clothes/ Shoes/ Jewelry </v>
      </c>
      <c r="B90" s="6"/>
      <c r="C90" s="6">
        <v>0</v>
      </c>
      <c r="D90" s="6">
        <v>0</v>
      </c>
      <c r="E90" s="6">
        <v>0</v>
      </c>
      <c r="F90" s="6">
        <v>0</v>
      </c>
      <c r="G90" s="6">
        <v>0</v>
      </c>
      <c r="H90" s="6">
        <v>0</v>
      </c>
      <c r="I90" s="6">
        <v>0</v>
      </c>
      <c r="J90" s="6">
        <v>0</v>
      </c>
      <c r="K90" s="6">
        <v>0</v>
      </c>
      <c r="L90" s="6">
        <v>0</v>
      </c>
      <c r="M90" s="6">
        <v>0</v>
      </c>
      <c r="N90" s="6">
        <v>0</v>
      </c>
      <c r="O90" s="6">
        <v>0</v>
      </c>
      <c r="P90" s="6">
        <v>0</v>
      </c>
      <c r="Q90" s="6">
        <v>0</v>
      </c>
      <c r="R90" s="6">
        <v>0</v>
      </c>
      <c r="S90" s="6">
        <v>0</v>
      </c>
      <c r="T90" s="6">
        <v>0</v>
      </c>
      <c r="U90" s="6">
        <v>470</v>
      </c>
      <c r="V90" s="6">
        <v>0</v>
      </c>
      <c r="W90" s="6">
        <v>0</v>
      </c>
      <c r="X90" s="6">
        <v>0</v>
      </c>
      <c r="Y90" s="6">
        <v>0</v>
      </c>
      <c r="Z90" s="6">
        <v>0</v>
      </c>
      <c r="AA90" s="6">
        <v>0</v>
      </c>
      <c r="AB90" s="6">
        <v>0</v>
      </c>
      <c r="AC90" s="6">
        <v>0</v>
      </c>
      <c r="AD90" s="6">
        <v>0</v>
      </c>
      <c r="AE90" s="6">
        <v>0</v>
      </c>
      <c r="AF90" s="6">
        <v>0</v>
      </c>
      <c r="AG90" s="54">
        <f t="shared" si="6"/>
        <v>470</v>
      </c>
    </row>
    <row r="91" spans="1:36" x14ac:dyDescent="0.2">
      <c r="A91" s="16" t="str">
        <f>BUDGET!A17</f>
        <v>shoes</v>
      </c>
      <c r="B91" s="6">
        <v>0</v>
      </c>
      <c r="C91" s="6">
        <v>0</v>
      </c>
      <c r="D91" s="6">
        <v>0</v>
      </c>
      <c r="E91" s="6">
        <v>0</v>
      </c>
      <c r="F91" s="6">
        <v>0</v>
      </c>
      <c r="G91" s="6">
        <v>0</v>
      </c>
      <c r="H91" s="6">
        <v>0</v>
      </c>
      <c r="I91" s="6">
        <v>0</v>
      </c>
      <c r="J91" s="6">
        <v>0</v>
      </c>
      <c r="K91" s="6">
        <v>0</v>
      </c>
      <c r="L91" s="6">
        <v>0</v>
      </c>
      <c r="M91" s="6">
        <v>0</v>
      </c>
      <c r="N91" s="6">
        <v>0</v>
      </c>
      <c r="O91" s="6">
        <v>0</v>
      </c>
      <c r="P91" s="6">
        <v>0</v>
      </c>
      <c r="Q91" s="6">
        <v>0</v>
      </c>
      <c r="R91" s="6">
        <v>0</v>
      </c>
      <c r="S91" s="6">
        <v>0</v>
      </c>
      <c r="T91" s="6">
        <v>0</v>
      </c>
      <c r="U91" s="6">
        <v>0</v>
      </c>
      <c r="V91" s="6">
        <v>0</v>
      </c>
      <c r="W91" s="6">
        <v>0</v>
      </c>
      <c r="X91" s="6">
        <v>0</v>
      </c>
      <c r="Y91" s="6">
        <v>0</v>
      </c>
      <c r="Z91" s="6">
        <v>0</v>
      </c>
      <c r="AA91" s="6">
        <v>0</v>
      </c>
      <c r="AB91" s="6">
        <v>0</v>
      </c>
      <c r="AC91" s="6">
        <v>0</v>
      </c>
      <c r="AD91" s="6">
        <v>0</v>
      </c>
      <c r="AE91" s="6">
        <v>0</v>
      </c>
      <c r="AF91" s="6">
        <v>0</v>
      </c>
      <c r="AG91" s="54">
        <f t="shared" si="6"/>
        <v>0</v>
      </c>
    </row>
    <row r="92" spans="1:36" x14ac:dyDescent="0.2">
      <c r="A92" s="16" t="str">
        <f>BUDGET!A18</f>
        <v xml:space="preserve">Travel/ Vacations </v>
      </c>
      <c r="B92" s="6"/>
      <c r="C92" s="6">
        <v>0</v>
      </c>
      <c r="D92" s="6">
        <v>0</v>
      </c>
      <c r="E92" s="6">
        <v>0</v>
      </c>
      <c r="F92" s="6">
        <v>0</v>
      </c>
      <c r="G92" s="6">
        <v>0</v>
      </c>
      <c r="H92" s="6">
        <v>0</v>
      </c>
      <c r="I92" s="6">
        <v>0</v>
      </c>
      <c r="J92" s="6">
        <v>0</v>
      </c>
      <c r="K92" s="6">
        <v>0</v>
      </c>
      <c r="L92" s="6">
        <v>0</v>
      </c>
      <c r="M92" s="6">
        <v>0</v>
      </c>
      <c r="N92" s="6">
        <v>0</v>
      </c>
      <c r="O92" s="6">
        <v>0</v>
      </c>
      <c r="P92" s="6">
        <v>0</v>
      </c>
      <c r="Q92" s="6">
        <v>0</v>
      </c>
      <c r="R92" s="6">
        <v>0</v>
      </c>
      <c r="S92" s="6">
        <v>0</v>
      </c>
      <c r="T92" s="6">
        <v>0</v>
      </c>
      <c r="U92" s="6">
        <v>0</v>
      </c>
      <c r="V92" s="6">
        <v>0</v>
      </c>
      <c r="W92" s="6">
        <v>0</v>
      </c>
      <c r="X92" s="6">
        <v>0</v>
      </c>
      <c r="Y92" s="6">
        <v>0</v>
      </c>
      <c r="Z92" s="6">
        <v>0</v>
      </c>
      <c r="AA92" s="6">
        <v>0</v>
      </c>
      <c r="AB92" s="6">
        <v>0</v>
      </c>
      <c r="AC92" s="6">
        <v>0</v>
      </c>
      <c r="AD92" s="6">
        <v>0</v>
      </c>
      <c r="AE92" s="6">
        <v>0</v>
      </c>
      <c r="AF92" s="6">
        <v>0</v>
      </c>
      <c r="AG92" s="54">
        <f t="shared" si="6"/>
        <v>0</v>
      </c>
    </row>
    <row r="93" spans="1:36" x14ac:dyDescent="0.2">
      <c r="A93" s="16" t="str">
        <f>BUDGET!A19</f>
        <v>Outings</v>
      </c>
      <c r="B93" s="6"/>
      <c r="C93" s="6">
        <v>0</v>
      </c>
      <c r="D93" s="6">
        <v>0</v>
      </c>
      <c r="E93" s="6">
        <v>100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54">
        <f t="shared" si="6"/>
        <v>100</v>
      </c>
    </row>
    <row r="94" spans="1:36" x14ac:dyDescent="0.2">
      <c r="A94" s="16" t="str">
        <f>BUDGET!A20</f>
        <v>Toiletries/Groceries</v>
      </c>
      <c r="B94" s="6"/>
      <c r="C94" s="6">
        <v>136.91999999999999</v>
      </c>
      <c r="D94" s="6">
        <v>39</v>
      </c>
      <c r="E94" s="6">
        <v>0</v>
      </c>
      <c r="F94" s="6">
        <v>0</v>
      </c>
      <c r="G94" s="6">
        <v>0</v>
      </c>
      <c r="H94" s="6">
        <v>0</v>
      </c>
      <c r="I94" s="6">
        <v>0</v>
      </c>
      <c r="J94" s="6">
        <v>4</v>
      </c>
      <c r="K94" s="6">
        <v>4.5</v>
      </c>
      <c r="L94" s="6">
        <v>0</v>
      </c>
      <c r="M94" s="6">
        <v>0</v>
      </c>
      <c r="N94" s="6">
        <v>0</v>
      </c>
      <c r="O94" s="6">
        <v>0</v>
      </c>
      <c r="P94" s="6">
        <v>0</v>
      </c>
      <c r="Q94" s="6">
        <v>0</v>
      </c>
      <c r="R94" s="6">
        <v>0</v>
      </c>
      <c r="S94" s="6">
        <v>0</v>
      </c>
      <c r="T94" s="6">
        <v>0</v>
      </c>
      <c r="U94" s="6">
        <v>0</v>
      </c>
      <c r="V94" s="6">
        <v>0</v>
      </c>
      <c r="W94" s="6">
        <f>69.47+18+8.5</f>
        <v>95.97</v>
      </c>
      <c r="X94" s="6">
        <v>0</v>
      </c>
      <c r="Y94" s="6">
        <f>68+4.5</f>
        <v>72.5</v>
      </c>
      <c r="Z94" s="6">
        <v>0</v>
      </c>
      <c r="AA94" s="6">
        <v>0</v>
      </c>
      <c r="AB94" s="6">
        <v>0</v>
      </c>
      <c r="AC94" s="6">
        <v>0</v>
      </c>
      <c r="AD94" s="6">
        <v>0</v>
      </c>
      <c r="AE94" s="6">
        <v>0</v>
      </c>
      <c r="AF94" s="6">
        <v>0</v>
      </c>
      <c r="AG94" s="54">
        <f t="shared" si="6"/>
        <v>352.89</v>
      </c>
    </row>
    <row r="95" spans="1:36" x14ac:dyDescent="0.2">
      <c r="A95" s="16" t="str">
        <f>BUDGET!A21</f>
        <v xml:space="preserve">Transportation </v>
      </c>
      <c r="B95" s="6"/>
      <c r="C95" s="6">
        <v>62</v>
      </c>
      <c r="D95" s="6">
        <v>0</v>
      </c>
      <c r="E95" s="6">
        <f>5+12</f>
        <v>17</v>
      </c>
      <c r="F95" s="6">
        <v>20</v>
      </c>
      <c r="G95" s="6">
        <v>13</v>
      </c>
      <c r="H95" s="6">
        <f>3+10</f>
        <v>13</v>
      </c>
      <c r="I95" s="6">
        <v>0</v>
      </c>
      <c r="J95" s="6">
        <v>45</v>
      </c>
      <c r="K95" s="104">
        <v>32</v>
      </c>
      <c r="L95" s="6">
        <v>0</v>
      </c>
      <c r="M95" s="6">
        <v>0</v>
      </c>
      <c r="N95" s="6">
        <v>0</v>
      </c>
      <c r="O95" s="6">
        <f>4.5+5+4.5</f>
        <v>14</v>
      </c>
      <c r="P95" s="6">
        <v>50</v>
      </c>
      <c r="Q95" s="6">
        <v>49</v>
      </c>
      <c r="R95" s="6">
        <v>0</v>
      </c>
      <c r="S95" s="6">
        <v>0</v>
      </c>
      <c r="T95" s="6">
        <v>30</v>
      </c>
      <c r="U95" s="6">
        <v>0</v>
      </c>
      <c r="V95" s="6">
        <v>53</v>
      </c>
      <c r="W95" s="6">
        <f>3+3+10</f>
        <v>16</v>
      </c>
      <c r="X95" s="6">
        <v>40</v>
      </c>
      <c r="Y95" s="6">
        <v>0</v>
      </c>
      <c r="Z95" s="6">
        <v>0</v>
      </c>
      <c r="AA95" s="6">
        <v>0</v>
      </c>
      <c r="AB95" s="6">
        <v>0</v>
      </c>
      <c r="AC95" s="6">
        <f>4+2</f>
        <v>6</v>
      </c>
      <c r="AD95" s="6">
        <v>0</v>
      </c>
      <c r="AE95" s="6">
        <v>0</v>
      </c>
      <c r="AF95" s="6">
        <v>0</v>
      </c>
      <c r="AG95" s="54">
        <f t="shared" si="6"/>
        <v>460</v>
      </c>
    </row>
    <row r="96" spans="1:36" x14ac:dyDescent="0.2">
      <c r="A96" s="16" t="str">
        <f>BUDGET!A22</f>
        <v>Miscellaneous</v>
      </c>
      <c r="B96" s="6"/>
      <c r="C96" s="6">
        <v>0</v>
      </c>
      <c r="D96" s="6">
        <v>0</v>
      </c>
      <c r="E96" s="6">
        <v>0</v>
      </c>
      <c r="F96" s="6">
        <v>5</v>
      </c>
      <c r="G96" s="6">
        <v>0</v>
      </c>
      <c r="H96" s="6">
        <v>208</v>
      </c>
      <c r="I96" s="6">
        <v>0</v>
      </c>
      <c r="J96" s="6">
        <v>100</v>
      </c>
      <c r="K96" s="104">
        <v>35</v>
      </c>
      <c r="L96" s="6">
        <v>0</v>
      </c>
      <c r="M96" s="6">
        <v>0</v>
      </c>
      <c r="N96" s="6">
        <v>0</v>
      </c>
      <c r="O96" s="6">
        <v>0</v>
      </c>
      <c r="P96" s="6">
        <v>0</v>
      </c>
      <c r="Q96" s="6">
        <v>0</v>
      </c>
      <c r="R96" s="6">
        <v>50</v>
      </c>
      <c r="S96" s="6">
        <v>0</v>
      </c>
      <c r="T96" s="6">
        <v>0</v>
      </c>
      <c r="U96" s="6">
        <v>15</v>
      </c>
      <c r="V96" s="6">
        <v>0</v>
      </c>
      <c r="W96" s="6">
        <v>0</v>
      </c>
      <c r="X96" s="6">
        <v>0</v>
      </c>
      <c r="Y96" s="6">
        <v>0</v>
      </c>
      <c r="Z96" s="6">
        <v>0</v>
      </c>
      <c r="AA96" s="6">
        <v>0</v>
      </c>
      <c r="AB96" s="6">
        <v>0</v>
      </c>
      <c r="AC96" s="6">
        <v>150</v>
      </c>
      <c r="AD96" s="6">
        <v>0</v>
      </c>
      <c r="AE96" s="6">
        <v>0</v>
      </c>
      <c r="AF96" s="6">
        <v>0</v>
      </c>
      <c r="AG96" s="54">
        <f t="shared" si="6"/>
        <v>563</v>
      </c>
    </row>
    <row r="97" spans="1:33" x14ac:dyDescent="0.2">
      <c r="A97" s="16" t="str">
        <f>BUDGET!A23</f>
        <v>Apple Subscriptions</v>
      </c>
      <c r="B97" s="6"/>
      <c r="C97" s="6">
        <v>0</v>
      </c>
      <c r="D97" s="6">
        <v>0</v>
      </c>
      <c r="E97" s="6">
        <v>0</v>
      </c>
      <c r="F97" s="6">
        <v>0</v>
      </c>
      <c r="G97" s="6">
        <v>0</v>
      </c>
      <c r="H97" s="6">
        <v>0</v>
      </c>
      <c r="I97" s="6">
        <v>0</v>
      </c>
      <c r="J97" s="6">
        <v>0</v>
      </c>
      <c r="K97" s="6">
        <v>0</v>
      </c>
      <c r="L97" s="6">
        <v>0</v>
      </c>
      <c r="M97" s="6">
        <v>0</v>
      </c>
      <c r="N97" s="6">
        <v>0</v>
      </c>
      <c r="O97" s="6">
        <v>0</v>
      </c>
      <c r="P97" s="6">
        <v>0</v>
      </c>
      <c r="Q97" s="6">
        <v>0</v>
      </c>
      <c r="R97" s="6">
        <v>0</v>
      </c>
      <c r="S97" s="6">
        <v>0</v>
      </c>
      <c r="T97" s="6">
        <v>0</v>
      </c>
      <c r="U97" s="6">
        <v>0</v>
      </c>
      <c r="V97" s="6">
        <v>0</v>
      </c>
      <c r="W97" s="6">
        <v>0</v>
      </c>
      <c r="X97" s="6">
        <v>0</v>
      </c>
      <c r="Y97" s="6">
        <v>0</v>
      </c>
      <c r="Z97" s="6">
        <v>0</v>
      </c>
      <c r="AA97" s="6">
        <v>12.82</v>
      </c>
      <c r="AB97" s="6">
        <v>0</v>
      </c>
      <c r="AC97" s="6">
        <v>0</v>
      </c>
      <c r="AD97" s="6">
        <v>0</v>
      </c>
      <c r="AE97" s="6">
        <v>0</v>
      </c>
      <c r="AF97" s="6">
        <v>0</v>
      </c>
      <c r="AG97" s="54">
        <f t="shared" si="6"/>
        <v>12.82</v>
      </c>
    </row>
    <row r="98" spans="1:33" x14ac:dyDescent="0.2">
      <c r="A98" s="16" t="str">
        <f>BUDGET!A24</f>
        <v>Google 1</v>
      </c>
      <c r="B98" s="6"/>
      <c r="C98" s="6">
        <v>0</v>
      </c>
      <c r="D98" s="6">
        <v>0</v>
      </c>
      <c r="E98" s="6">
        <v>0</v>
      </c>
      <c r="F98" s="6">
        <v>0</v>
      </c>
      <c r="G98" s="6">
        <v>0</v>
      </c>
      <c r="H98" s="6">
        <v>0</v>
      </c>
      <c r="I98" s="6">
        <v>0</v>
      </c>
      <c r="J98" s="6">
        <v>0</v>
      </c>
      <c r="K98" s="6">
        <v>9</v>
      </c>
      <c r="L98" s="6">
        <v>0</v>
      </c>
      <c r="M98" s="6">
        <v>0</v>
      </c>
      <c r="N98" s="6">
        <v>0</v>
      </c>
      <c r="O98" s="6">
        <v>0</v>
      </c>
      <c r="P98" s="6">
        <v>0</v>
      </c>
      <c r="Q98" s="6">
        <v>0</v>
      </c>
      <c r="R98" s="6">
        <v>0</v>
      </c>
      <c r="S98" s="6">
        <v>0</v>
      </c>
      <c r="T98" s="6">
        <v>0</v>
      </c>
      <c r="U98" s="6">
        <v>0</v>
      </c>
      <c r="V98" s="6">
        <v>0</v>
      </c>
      <c r="W98" s="6">
        <v>0</v>
      </c>
      <c r="X98" s="6">
        <v>0</v>
      </c>
      <c r="Y98" s="6">
        <v>0</v>
      </c>
      <c r="Z98" s="6">
        <v>0</v>
      </c>
      <c r="AA98" s="6">
        <v>0</v>
      </c>
      <c r="AB98" s="6">
        <v>0</v>
      </c>
      <c r="AC98" s="6">
        <v>0</v>
      </c>
      <c r="AD98" s="6">
        <v>0</v>
      </c>
      <c r="AE98" s="6">
        <v>0</v>
      </c>
      <c r="AF98" s="6">
        <v>0</v>
      </c>
      <c r="AG98" s="54">
        <f t="shared" si="6"/>
        <v>9</v>
      </c>
    </row>
    <row r="99" spans="1:33" x14ac:dyDescent="0.2">
      <c r="A99" s="16" t="str">
        <f>BUDGET!A25</f>
        <v>Netflix</v>
      </c>
      <c r="B99" s="6"/>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101.74</v>
      </c>
      <c r="X99" s="6">
        <v>0</v>
      </c>
      <c r="Y99" s="6">
        <v>0</v>
      </c>
      <c r="Z99" s="6">
        <v>0</v>
      </c>
      <c r="AA99" s="6">
        <v>0</v>
      </c>
      <c r="AB99" s="6">
        <v>0</v>
      </c>
      <c r="AC99" s="6">
        <v>0</v>
      </c>
      <c r="AD99" s="6">
        <v>0</v>
      </c>
      <c r="AE99" s="6">
        <v>0</v>
      </c>
      <c r="AF99" s="6">
        <v>0</v>
      </c>
      <c r="AG99" s="54">
        <f t="shared" si="6"/>
        <v>101.74</v>
      </c>
    </row>
    <row r="100" spans="1:33" x14ac:dyDescent="0.2">
      <c r="A100" s="16" t="str">
        <f>BUDGET!A26</f>
        <v>Amuse</v>
      </c>
      <c r="B100" s="6"/>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54">
        <f t="shared" si="6"/>
        <v>0</v>
      </c>
    </row>
    <row r="101" spans="1:33" x14ac:dyDescent="0.2">
      <c r="A101" s="16" t="str">
        <f>BUDGET!A27</f>
        <v>electricity</v>
      </c>
      <c r="B101" s="6"/>
      <c r="C101" s="6">
        <v>0</v>
      </c>
      <c r="D101" s="6">
        <v>0</v>
      </c>
      <c r="E101" s="6">
        <v>0</v>
      </c>
      <c r="F101" s="6">
        <v>0</v>
      </c>
      <c r="G101" s="6">
        <v>0</v>
      </c>
      <c r="H101" s="6">
        <v>0</v>
      </c>
      <c r="I101" s="6">
        <v>0</v>
      </c>
      <c r="J101" s="6">
        <v>0</v>
      </c>
      <c r="K101" s="6">
        <v>0</v>
      </c>
      <c r="L101" s="6">
        <v>0</v>
      </c>
      <c r="M101" s="6">
        <v>0</v>
      </c>
      <c r="N101" s="6">
        <v>0</v>
      </c>
      <c r="O101" s="6">
        <v>0</v>
      </c>
      <c r="P101" s="6">
        <v>0</v>
      </c>
      <c r="Q101" s="6">
        <v>0</v>
      </c>
      <c r="R101" s="6">
        <v>0</v>
      </c>
      <c r="S101" s="6">
        <v>0</v>
      </c>
      <c r="T101" s="6">
        <v>0</v>
      </c>
      <c r="U101" s="6">
        <v>0</v>
      </c>
      <c r="V101" s="6">
        <v>0</v>
      </c>
      <c r="W101" s="6">
        <v>0</v>
      </c>
      <c r="X101" s="6">
        <v>0</v>
      </c>
      <c r="Y101" s="6">
        <v>0</v>
      </c>
      <c r="Z101" s="6">
        <v>0</v>
      </c>
      <c r="AA101" s="6">
        <v>0</v>
      </c>
      <c r="AB101" s="6">
        <v>0</v>
      </c>
      <c r="AC101" s="6">
        <v>0</v>
      </c>
      <c r="AD101" s="6">
        <v>0</v>
      </c>
      <c r="AE101" s="6">
        <v>0</v>
      </c>
      <c r="AF101" s="6">
        <v>0</v>
      </c>
      <c r="AG101" s="54">
        <f t="shared" si="6"/>
        <v>0</v>
      </c>
    </row>
    <row r="102" spans="1:33" ht="16" thickBot="1" x14ac:dyDescent="0.25">
      <c r="A102" s="16" t="str">
        <f>BUDGET!A28</f>
        <v>Account Charges</v>
      </c>
      <c r="B102" s="6"/>
      <c r="C102" s="6">
        <v>0</v>
      </c>
      <c r="D102" s="6">
        <v>0</v>
      </c>
      <c r="E102" s="6">
        <v>0</v>
      </c>
      <c r="F102" s="6">
        <v>0</v>
      </c>
      <c r="G102" s="6">
        <v>0</v>
      </c>
      <c r="H102" s="6">
        <v>0</v>
      </c>
      <c r="I102" s="6">
        <v>0</v>
      </c>
      <c r="J102" s="6">
        <v>0</v>
      </c>
      <c r="K102" s="6">
        <v>0</v>
      </c>
      <c r="L102" s="6">
        <v>0</v>
      </c>
      <c r="M102" s="6">
        <v>0</v>
      </c>
      <c r="N102" s="6">
        <v>0</v>
      </c>
      <c r="O102" s="6">
        <v>0</v>
      </c>
      <c r="P102" s="6">
        <v>0</v>
      </c>
      <c r="Q102" s="6">
        <v>0</v>
      </c>
      <c r="R102" s="6">
        <v>0</v>
      </c>
      <c r="S102" s="6">
        <v>0</v>
      </c>
      <c r="T102" s="6">
        <v>0</v>
      </c>
      <c r="U102" s="6">
        <v>5</v>
      </c>
      <c r="V102" s="6">
        <v>0</v>
      </c>
      <c r="W102" s="6">
        <v>0</v>
      </c>
      <c r="X102" s="6">
        <v>3</v>
      </c>
      <c r="Y102" s="6">
        <v>0</v>
      </c>
      <c r="Z102" s="6">
        <v>0</v>
      </c>
      <c r="AA102" s="6">
        <v>0</v>
      </c>
      <c r="AB102" s="6">
        <v>0</v>
      </c>
      <c r="AC102" s="6">
        <f>1+5</f>
        <v>6</v>
      </c>
      <c r="AD102" s="6">
        <v>0</v>
      </c>
      <c r="AE102" s="6">
        <v>0</v>
      </c>
      <c r="AF102" s="6">
        <v>0</v>
      </c>
      <c r="AG102" s="54">
        <f t="shared" si="6"/>
        <v>14</v>
      </c>
    </row>
    <row r="103" spans="1:33" ht="17" thickBot="1" x14ac:dyDescent="0.25">
      <c r="A103" s="20" t="s">
        <v>11</v>
      </c>
      <c r="B103" s="21">
        <f>SUM(B83:B102)</f>
        <v>108.35</v>
      </c>
      <c r="C103" s="21">
        <f t="shared" ref="C103:AF103" si="7">SUM(C83:C102)</f>
        <v>198.92</v>
      </c>
      <c r="D103" s="21">
        <f t="shared" si="7"/>
        <v>60</v>
      </c>
      <c r="E103" s="21">
        <f t="shared" si="7"/>
        <v>124.5</v>
      </c>
      <c r="F103" s="21">
        <f t="shared" si="7"/>
        <v>45</v>
      </c>
      <c r="G103" s="21">
        <f t="shared" si="7"/>
        <v>313</v>
      </c>
      <c r="H103" s="21">
        <f t="shared" si="7"/>
        <v>238</v>
      </c>
      <c r="I103" s="21">
        <f t="shared" si="7"/>
        <v>0</v>
      </c>
      <c r="J103" s="21">
        <f t="shared" si="7"/>
        <v>149</v>
      </c>
      <c r="K103" s="21">
        <f t="shared" si="7"/>
        <v>100.5</v>
      </c>
      <c r="L103" s="21">
        <f t="shared" si="7"/>
        <v>0</v>
      </c>
      <c r="M103" s="21">
        <f t="shared" si="7"/>
        <v>20</v>
      </c>
      <c r="N103" s="21">
        <f t="shared" si="7"/>
        <v>8</v>
      </c>
      <c r="O103" s="21">
        <f t="shared" si="7"/>
        <v>29</v>
      </c>
      <c r="P103" s="21">
        <f t="shared" si="7"/>
        <v>50</v>
      </c>
      <c r="Q103" s="21">
        <f t="shared" si="7"/>
        <v>81.5</v>
      </c>
      <c r="R103" s="21">
        <f t="shared" si="7"/>
        <v>50</v>
      </c>
      <c r="S103" s="21">
        <f t="shared" si="7"/>
        <v>17</v>
      </c>
      <c r="T103" s="21">
        <f t="shared" si="7"/>
        <v>70</v>
      </c>
      <c r="U103" s="21">
        <f>SUM(U83:U102)</f>
        <v>1023</v>
      </c>
      <c r="V103" s="21">
        <f t="shared" si="7"/>
        <v>154</v>
      </c>
      <c r="W103" s="21">
        <f t="shared" si="7"/>
        <v>444.71000000000004</v>
      </c>
      <c r="X103" s="21">
        <f t="shared" si="7"/>
        <v>440</v>
      </c>
      <c r="Y103" s="21">
        <f>SUM(Y83:Y102)</f>
        <v>120.5</v>
      </c>
      <c r="Z103" s="21">
        <f t="shared" si="7"/>
        <v>14</v>
      </c>
      <c r="AA103" s="21">
        <f t="shared" si="7"/>
        <v>17.82</v>
      </c>
      <c r="AB103" s="21">
        <f t="shared" si="7"/>
        <v>20</v>
      </c>
      <c r="AC103" s="21">
        <f>SUM(AC83:AC102)</f>
        <v>259</v>
      </c>
      <c r="AD103" s="21">
        <f t="shared" si="7"/>
        <v>0</v>
      </c>
      <c r="AE103" s="21">
        <f>SUM(AE83:AE102)</f>
        <v>0</v>
      </c>
      <c r="AF103" s="21">
        <f t="shared" si="7"/>
        <v>0</v>
      </c>
      <c r="AG103" s="21">
        <f>SUM(AG83:AG102)</f>
        <v>4155.8</v>
      </c>
    </row>
    <row r="104" spans="1:33" ht="17" thickTop="1" x14ac:dyDescent="0.2">
      <c r="A104" s="5"/>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57"/>
    </row>
    <row r="105" spans="1:33" ht="16" x14ac:dyDescent="0.2">
      <c r="A105" s="5"/>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57"/>
    </row>
    <row r="106" spans="1:33" ht="16" x14ac:dyDescent="0.2">
      <c r="A106" s="5"/>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57"/>
    </row>
    <row r="107" spans="1:33" x14ac:dyDescent="0.2">
      <c r="A107" s="14" t="s">
        <v>191</v>
      </c>
      <c r="B107" s="7">
        <v>1</v>
      </c>
      <c r="C107" s="7">
        <v>2</v>
      </c>
      <c r="D107" s="7">
        <v>3</v>
      </c>
      <c r="E107" s="2">
        <v>4</v>
      </c>
      <c r="F107" s="2">
        <v>5</v>
      </c>
      <c r="G107" s="2">
        <v>6</v>
      </c>
      <c r="H107" s="2">
        <v>7</v>
      </c>
      <c r="I107" s="2">
        <v>8</v>
      </c>
      <c r="J107" s="2">
        <v>9</v>
      </c>
      <c r="K107" s="2">
        <v>10</v>
      </c>
      <c r="L107" s="2">
        <v>11</v>
      </c>
      <c r="M107" s="2">
        <v>12</v>
      </c>
      <c r="N107" s="2">
        <v>13</v>
      </c>
      <c r="O107" s="2">
        <v>14</v>
      </c>
      <c r="P107" s="2">
        <v>15</v>
      </c>
      <c r="Q107" s="2">
        <v>16</v>
      </c>
      <c r="R107" s="2">
        <v>17</v>
      </c>
      <c r="S107" s="2">
        <v>18</v>
      </c>
      <c r="T107" s="2">
        <v>19</v>
      </c>
      <c r="U107" s="2">
        <v>20</v>
      </c>
      <c r="V107" s="2">
        <v>21</v>
      </c>
      <c r="W107" s="2">
        <v>22</v>
      </c>
      <c r="X107" s="2">
        <v>23</v>
      </c>
      <c r="Y107" s="2">
        <v>24</v>
      </c>
      <c r="Z107" s="2">
        <v>25</v>
      </c>
      <c r="AA107" s="2">
        <v>26</v>
      </c>
      <c r="AB107" s="2">
        <v>27</v>
      </c>
      <c r="AC107" s="2">
        <v>28</v>
      </c>
      <c r="AD107" s="2">
        <v>29</v>
      </c>
      <c r="AE107" s="2">
        <v>30</v>
      </c>
      <c r="AF107" s="2">
        <v>31</v>
      </c>
      <c r="AG107" s="52" t="s">
        <v>0</v>
      </c>
    </row>
    <row r="108" spans="1:33" x14ac:dyDescent="0.2">
      <c r="A108" s="3"/>
      <c r="B108" s="3" t="s">
        <v>1</v>
      </c>
      <c r="C108" s="3" t="s">
        <v>1</v>
      </c>
      <c r="D108" s="3" t="s">
        <v>1</v>
      </c>
      <c r="E108" s="3" t="s">
        <v>1</v>
      </c>
      <c r="F108" s="3" t="s">
        <v>1</v>
      </c>
      <c r="G108" s="3" t="s">
        <v>1</v>
      </c>
      <c r="H108" s="3" t="s">
        <v>1</v>
      </c>
      <c r="I108" s="3" t="s">
        <v>1</v>
      </c>
      <c r="J108" s="3" t="s">
        <v>1</v>
      </c>
      <c r="K108" s="3" t="s">
        <v>1</v>
      </c>
      <c r="L108" s="3" t="s">
        <v>1</v>
      </c>
      <c r="M108" s="3" t="s">
        <v>1</v>
      </c>
      <c r="N108" s="3" t="s">
        <v>1</v>
      </c>
      <c r="O108" s="3" t="s">
        <v>1</v>
      </c>
      <c r="P108" s="3" t="s">
        <v>1</v>
      </c>
      <c r="Q108" s="3" t="s">
        <v>1</v>
      </c>
      <c r="R108" s="3" t="s">
        <v>1</v>
      </c>
      <c r="S108" s="3" t="s">
        <v>1</v>
      </c>
      <c r="T108" s="3" t="s">
        <v>1</v>
      </c>
      <c r="U108" s="3" t="s">
        <v>1</v>
      </c>
      <c r="V108" s="3" t="s">
        <v>1</v>
      </c>
      <c r="W108" s="3" t="s">
        <v>1</v>
      </c>
      <c r="X108" s="3" t="s">
        <v>1</v>
      </c>
      <c r="Y108" s="3" t="s">
        <v>1</v>
      </c>
      <c r="Z108" s="3" t="s">
        <v>1</v>
      </c>
      <c r="AA108" s="3" t="s">
        <v>1</v>
      </c>
      <c r="AB108" s="3" t="s">
        <v>1</v>
      </c>
      <c r="AC108" s="3" t="s">
        <v>1</v>
      </c>
      <c r="AD108" s="3" t="s">
        <v>1</v>
      </c>
      <c r="AE108" s="3" t="s">
        <v>1</v>
      </c>
      <c r="AF108" s="3" t="s">
        <v>1</v>
      </c>
      <c r="AG108" s="53" t="s">
        <v>1</v>
      </c>
    </row>
    <row r="109" spans="1:33" x14ac:dyDescent="0.2">
      <c r="A109" s="16" t="str">
        <f>BUDGET!A9</f>
        <v>Rent</v>
      </c>
      <c r="B109" s="6">
        <v>0</v>
      </c>
      <c r="C109" s="6">
        <v>0</v>
      </c>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54">
        <f t="shared" ref="AG109:AG128" si="8">SUM(B109:AF109)</f>
        <v>0</v>
      </c>
    </row>
    <row r="110" spans="1:33" x14ac:dyDescent="0.2">
      <c r="A110" s="16" t="str">
        <f>BUDGET!A10</f>
        <v>Tithe</v>
      </c>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54">
        <f t="shared" si="8"/>
        <v>0</v>
      </c>
    </row>
    <row r="111" spans="1:33" x14ac:dyDescent="0.2">
      <c r="A111" s="16" t="str">
        <f>BUDGET!A11</f>
        <v>Data</v>
      </c>
      <c r="B111" s="6">
        <v>0</v>
      </c>
      <c r="C111" s="6">
        <v>0</v>
      </c>
      <c r="D111" s="6"/>
      <c r="E111" s="6"/>
      <c r="F111" s="6"/>
      <c r="G111" s="6">
        <v>300</v>
      </c>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54">
        <f t="shared" si="8"/>
        <v>300</v>
      </c>
    </row>
    <row r="112" spans="1:33" x14ac:dyDescent="0.2">
      <c r="A112" s="16" t="str">
        <f>BUDGET!A12</f>
        <v xml:space="preserve">Savings/ Investment </v>
      </c>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54">
        <f t="shared" si="8"/>
        <v>0</v>
      </c>
    </row>
    <row r="113" spans="1:33" x14ac:dyDescent="0.2">
      <c r="A113" s="16" t="str">
        <f>BUDGET!A13</f>
        <v>Hair / Gym</v>
      </c>
      <c r="B113" s="6">
        <v>0</v>
      </c>
      <c r="C113" s="6">
        <v>0</v>
      </c>
      <c r="D113" s="6"/>
      <c r="E113" s="6"/>
      <c r="F113" s="6"/>
      <c r="G113" s="6"/>
      <c r="H113" s="6"/>
      <c r="I113" s="6"/>
      <c r="J113" s="6"/>
      <c r="K113" s="6"/>
      <c r="L113" s="6"/>
      <c r="M113" s="6"/>
      <c r="N113" s="6"/>
      <c r="O113" s="6"/>
      <c r="P113" s="6"/>
      <c r="Q113" s="6"/>
      <c r="R113" s="6"/>
      <c r="S113" s="6"/>
      <c r="T113" s="6"/>
      <c r="U113" s="6"/>
      <c r="W113" s="6"/>
      <c r="X113" s="6"/>
      <c r="Y113" s="6"/>
      <c r="Z113" s="6"/>
      <c r="AA113" s="6"/>
      <c r="AB113" s="6"/>
      <c r="AC113" s="6"/>
      <c r="AD113" s="6"/>
      <c r="AE113" s="6"/>
      <c r="AF113" s="6"/>
      <c r="AG113" s="54">
        <f t="shared" si="8"/>
        <v>0</v>
      </c>
    </row>
    <row r="114" spans="1:33" x14ac:dyDescent="0.2">
      <c r="A114" s="16" t="str">
        <f>BUDGET!A14</f>
        <v>Food</v>
      </c>
      <c r="B114" s="6">
        <v>40</v>
      </c>
      <c r="C114" s="6">
        <v>8</v>
      </c>
      <c r="D114" s="6">
        <f>10+90</f>
        <v>100</v>
      </c>
      <c r="E114" s="6">
        <v>5</v>
      </c>
      <c r="F114" s="6">
        <f>5</f>
        <v>5</v>
      </c>
      <c r="G114" s="6">
        <f>36+80+25</f>
        <v>141</v>
      </c>
      <c r="H114" s="6">
        <v>10</v>
      </c>
      <c r="I114" s="6">
        <v>5</v>
      </c>
      <c r="J114" s="6">
        <f>7+15</f>
        <v>22</v>
      </c>
      <c r="K114" s="6">
        <v>7</v>
      </c>
      <c r="L114" s="6">
        <v>7</v>
      </c>
      <c r="M114" s="6">
        <v>8.5</v>
      </c>
      <c r="N114" s="6">
        <v>34</v>
      </c>
      <c r="O114" s="6">
        <f>10+6</f>
        <v>16</v>
      </c>
      <c r="P114" s="6">
        <v>7</v>
      </c>
      <c r="Q114" s="6">
        <v>8</v>
      </c>
      <c r="R114" s="6">
        <f>8+10</f>
        <v>18</v>
      </c>
      <c r="S114" s="6">
        <v>7</v>
      </c>
      <c r="T114" s="6">
        <v>140</v>
      </c>
      <c r="U114" s="6">
        <f>10+40</f>
        <v>50</v>
      </c>
      <c r="V114" s="6">
        <v>125</v>
      </c>
      <c r="W114" s="6">
        <v>165</v>
      </c>
      <c r="X114" s="6">
        <f>4+5</f>
        <v>9</v>
      </c>
      <c r="Y114" s="6">
        <f>6+4+6</f>
        <v>16</v>
      </c>
      <c r="Z114" s="6">
        <v>17</v>
      </c>
      <c r="AA114" s="6">
        <v>20</v>
      </c>
      <c r="AB114" s="6">
        <f>65+24</f>
        <v>89</v>
      </c>
      <c r="AC114" s="6">
        <v>10</v>
      </c>
      <c r="AD114" s="6">
        <v>5</v>
      </c>
      <c r="AE114" s="6">
        <v>10</v>
      </c>
      <c r="AF114" s="6">
        <v>8</v>
      </c>
      <c r="AG114" s="54">
        <f>SUM(B114:AF114)</f>
        <v>1112.5</v>
      </c>
    </row>
    <row r="115" spans="1:33" x14ac:dyDescent="0.2">
      <c r="A115" s="16" t="str">
        <f>BUDGET!A15</f>
        <v>Healthcare</v>
      </c>
      <c r="B115" s="6">
        <v>0</v>
      </c>
      <c r="C115" s="6">
        <v>0</v>
      </c>
      <c r="D115" s="6"/>
      <c r="E115" s="6"/>
      <c r="F115" s="6"/>
      <c r="G115" s="6">
        <v>52</v>
      </c>
      <c r="H115" s="6"/>
      <c r="I115" s="6"/>
      <c r="J115" s="6"/>
      <c r="K115" s="6"/>
      <c r="L115" s="6"/>
      <c r="M115" s="6"/>
      <c r="N115" s="6"/>
      <c r="O115" s="6"/>
      <c r="P115" s="6"/>
      <c r="Q115" s="6"/>
      <c r="R115" s="6"/>
      <c r="S115" s="104" t="s">
        <v>75</v>
      </c>
      <c r="T115" s="6"/>
      <c r="U115" s="6"/>
      <c r="V115" s="6"/>
      <c r="W115" s="6"/>
      <c r="X115" s="6"/>
      <c r="Y115" s="6"/>
      <c r="Z115" s="6"/>
      <c r="AA115" s="6"/>
      <c r="AB115" s="6"/>
      <c r="AC115" s="6"/>
      <c r="AD115" s="6"/>
      <c r="AE115" s="6"/>
      <c r="AF115" s="6"/>
      <c r="AG115" s="54">
        <f t="shared" si="8"/>
        <v>52</v>
      </c>
    </row>
    <row r="116" spans="1:33" x14ac:dyDescent="0.2">
      <c r="A116" s="16" t="str">
        <f>BUDGET!A16</f>
        <v xml:space="preserve">Clothes/ Shoes/ Jewelry </v>
      </c>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f>225+65</f>
        <v>290</v>
      </c>
      <c r="AE116" s="6"/>
      <c r="AF116" s="6"/>
      <c r="AG116" s="54">
        <f t="shared" si="8"/>
        <v>290</v>
      </c>
    </row>
    <row r="117" spans="1:33" x14ac:dyDescent="0.2">
      <c r="A117" s="16" t="str">
        <f>BUDGET!A17</f>
        <v>shoes</v>
      </c>
      <c r="B117" s="6">
        <v>0</v>
      </c>
      <c r="C117" s="6">
        <v>0</v>
      </c>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54">
        <f t="shared" si="8"/>
        <v>0</v>
      </c>
    </row>
    <row r="118" spans="1:33" x14ac:dyDescent="0.2">
      <c r="A118" s="16" t="str">
        <f>BUDGET!A18</f>
        <v xml:space="preserve">Travel/ Vacations </v>
      </c>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54">
        <f t="shared" si="8"/>
        <v>0</v>
      </c>
    </row>
    <row r="119" spans="1:33" x14ac:dyDescent="0.2">
      <c r="A119" s="16" t="str">
        <f>BUDGET!A19</f>
        <v>Outings</v>
      </c>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v>100</v>
      </c>
      <c r="AC119" s="6"/>
      <c r="AD119" s="6"/>
      <c r="AE119" s="6"/>
      <c r="AF119" s="6"/>
      <c r="AG119" s="54">
        <f t="shared" si="8"/>
        <v>100</v>
      </c>
    </row>
    <row r="120" spans="1:33" x14ac:dyDescent="0.2">
      <c r="A120" s="16" t="str">
        <f>BUDGET!A20</f>
        <v>Toiletries/Groceries</v>
      </c>
      <c r="B120" s="6"/>
      <c r="C120" s="6">
        <v>39</v>
      </c>
      <c r="D120" s="6"/>
      <c r="E120" s="6">
        <v>137.94999999999999</v>
      </c>
      <c r="F120" s="6"/>
      <c r="G120" s="6">
        <f>20+10+20.49</f>
        <v>50.489999999999995</v>
      </c>
      <c r="H120" s="6">
        <v>23</v>
      </c>
      <c r="I120" s="6"/>
      <c r="J120" s="6"/>
      <c r="K120" s="6"/>
      <c r="L120" s="6"/>
      <c r="M120" s="6"/>
      <c r="N120" s="6"/>
      <c r="O120" s="6"/>
      <c r="P120" s="6">
        <v>16</v>
      </c>
      <c r="Q120" s="6">
        <v>91</v>
      </c>
      <c r="R120" s="6">
        <f>4+5+4</f>
        <v>13</v>
      </c>
      <c r="S120" s="6">
        <f>36</f>
        <v>36</v>
      </c>
      <c r="T120" s="6">
        <v>57</v>
      </c>
      <c r="U120" s="6"/>
      <c r="V120" s="6"/>
      <c r="W120" s="6">
        <f>45+205</f>
        <v>250</v>
      </c>
      <c r="X120" s="6"/>
      <c r="Y120" s="6"/>
      <c r="Z120" s="6"/>
      <c r="AA120" s="6"/>
      <c r="AB120" s="6"/>
      <c r="AC120" s="6"/>
      <c r="AD120" s="6"/>
      <c r="AE120" s="6"/>
      <c r="AF120" s="6"/>
      <c r="AG120" s="54">
        <f t="shared" si="8"/>
        <v>713.44</v>
      </c>
    </row>
    <row r="121" spans="1:33" x14ac:dyDescent="0.2">
      <c r="A121" s="16" t="str">
        <f>BUDGET!A21</f>
        <v xml:space="preserve">Transportation </v>
      </c>
      <c r="B121" s="6"/>
      <c r="C121" s="6">
        <v>70</v>
      </c>
      <c r="D121" s="6"/>
      <c r="E121" s="6">
        <v>63</v>
      </c>
      <c r="F121" s="6">
        <f>79+43+42+45</f>
        <v>209</v>
      </c>
      <c r="G121" s="6">
        <f>2.5+2</f>
        <v>4.5</v>
      </c>
      <c r="H121" s="6">
        <v>34</v>
      </c>
      <c r="J121" s="6">
        <v>52</v>
      </c>
      <c r="K121" s="6"/>
      <c r="L121" s="6"/>
      <c r="M121" s="6">
        <v>44</v>
      </c>
      <c r="N121" s="6">
        <f>5+4.5+15</f>
        <v>24.5</v>
      </c>
      <c r="O121" s="6"/>
      <c r="P121" s="6">
        <v>56</v>
      </c>
      <c r="Q121" s="6">
        <f>7+5.5</f>
        <v>12.5</v>
      </c>
      <c r="R121" s="6">
        <v>3</v>
      </c>
      <c r="S121" s="6">
        <v>55</v>
      </c>
      <c r="T121" s="6">
        <f>11+16</f>
        <v>27</v>
      </c>
      <c r="U121" s="6"/>
      <c r="V121" s="6">
        <v>47</v>
      </c>
      <c r="W121" s="6">
        <f>22+32</f>
        <v>54</v>
      </c>
      <c r="X121" s="6">
        <f>47+60</f>
        <v>107</v>
      </c>
      <c r="Y121" s="6"/>
      <c r="Z121" s="6">
        <v>5</v>
      </c>
      <c r="AA121" s="6">
        <v>40</v>
      </c>
      <c r="AB121" s="6">
        <v>22</v>
      </c>
      <c r="AC121" s="6"/>
      <c r="AD121" s="6">
        <f>77+26+20</f>
        <v>123</v>
      </c>
      <c r="AE121" s="6"/>
      <c r="AF121" s="6">
        <v>54</v>
      </c>
      <c r="AG121" s="54">
        <f t="shared" si="8"/>
        <v>1106.5</v>
      </c>
    </row>
    <row r="122" spans="1:33" x14ac:dyDescent="0.2">
      <c r="A122" s="16" t="str">
        <f>BUDGET!A22</f>
        <v>Miscellaneous</v>
      </c>
      <c r="B122" s="6"/>
      <c r="C122" s="6">
        <v>260</v>
      </c>
      <c r="D122" s="6"/>
      <c r="E122" s="6"/>
      <c r="F122" s="6"/>
      <c r="G122" s="6">
        <v>20</v>
      </c>
      <c r="H122" s="6"/>
      <c r="I122" s="6"/>
      <c r="J122" s="6"/>
      <c r="K122" s="6"/>
      <c r="L122" s="6"/>
      <c r="M122" s="6"/>
      <c r="N122" s="6"/>
      <c r="O122" s="6"/>
      <c r="P122" s="6"/>
      <c r="Q122" s="6"/>
      <c r="R122" s="6"/>
      <c r="S122" s="6"/>
      <c r="T122" s="6"/>
      <c r="U122" s="6"/>
      <c r="V122" s="6"/>
      <c r="W122" s="6"/>
      <c r="X122" s="6"/>
      <c r="Y122" s="6">
        <v>20</v>
      </c>
      <c r="Z122" s="6"/>
      <c r="AA122" s="6"/>
      <c r="AB122" s="6">
        <v>20</v>
      </c>
      <c r="AC122" s="6"/>
      <c r="AD122" s="6"/>
      <c r="AE122" s="6"/>
      <c r="AF122" s="6">
        <v>750</v>
      </c>
      <c r="AG122" s="54">
        <f t="shared" si="8"/>
        <v>1070</v>
      </c>
    </row>
    <row r="123" spans="1:33" x14ac:dyDescent="0.2">
      <c r="A123" s="16" t="str">
        <f>BUDGET!A23</f>
        <v>Apple Subscriptions</v>
      </c>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v>12.19</v>
      </c>
      <c r="AB123" s="6"/>
      <c r="AC123" s="6"/>
      <c r="AD123" s="6"/>
      <c r="AE123" s="6"/>
      <c r="AF123" s="6"/>
      <c r="AG123" s="54">
        <f t="shared" si="8"/>
        <v>12.19</v>
      </c>
    </row>
    <row r="124" spans="1:33" x14ac:dyDescent="0.2">
      <c r="A124" s="16" t="str">
        <f>BUDGET!A24</f>
        <v>Google 1</v>
      </c>
      <c r="B124" s="6"/>
      <c r="C124" s="6"/>
      <c r="D124" s="6"/>
      <c r="E124" s="6"/>
      <c r="F124" s="6"/>
      <c r="G124" s="6"/>
      <c r="H124" s="6"/>
      <c r="I124" s="6"/>
      <c r="J124" s="6"/>
      <c r="K124" s="6">
        <v>9</v>
      </c>
      <c r="L124" s="6"/>
      <c r="M124" s="6"/>
      <c r="N124" s="6"/>
      <c r="O124" s="6"/>
      <c r="P124" s="6"/>
      <c r="Q124" s="6"/>
      <c r="R124" s="6"/>
      <c r="S124" s="6"/>
      <c r="T124" s="6"/>
      <c r="U124" s="6"/>
      <c r="V124" s="6"/>
      <c r="W124" s="6"/>
      <c r="X124" s="6"/>
      <c r="Y124" s="6"/>
      <c r="Z124" s="6"/>
      <c r="AA124" s="6"/>
      <c r="AB124" s="6"/>
      <c r="AC124" s="6"/>
      <c r="AD124" s="6"/>
      <c r="AE124" s="6"/>
      <c r="AF124" s="6"/>
      <c r="AG124" s="54">
        <f t="shared" si="8"/>
        <v>9</v>
      </c>
    </row>
    <row r="125" spans="1:33" x14ac:dyDescent="0.2">
      <c r="A125" s="16" t="str">
        <f>BUDGET!A25</f>
        <v>Netflix</v>
      </c>
      <c r="B125" s="6"/>
      <c r="C125" s="6"/>
      <c r="D125" s="6"/>
      <c r="E125" s="6"/>
      <c r="F125" s="6"/>
      <c r="G125" s="6"/>
      <c r="H125" s="6"/>
      <c r="I125" s="6"/>
      <c r="J125" s="6"/>
      <c r="K125" s="6"/>
      <c r="L125" s="6"/>
      <c r="M125" s="6"/>
      <c r="N125" s="6"/>
      <c r="O125" s="6"/>
      <c r="P125" s="6"/>
      <c r="Q125" s="6"/>
      <c r="R125" s="6"/>
      <c r="S125" s="6"/>
      <c r="T125" s="6"/>
      <c r="U125" s="6"/>
      <c r="V125" s="6"/>
      <c r="W125" s="6"/>
      <c r="X125" s="6">
        <v>93.61</v>
      </c>
      <c r="Y125" s="6"/>
      <c r="Z125" s="6"/>
      <c r="AA125" s="6"/>
      <c r="AB125" s="6"/>
      <c r="AC125" s="6"/>
      <c r="AD125" s="6"/>
      <c r="AE125" s="6"/>
      <c r="AF125" s="6"/>
      <c r="AG125" s="54">
        <f t="shared" si="8"/>
        <v>93.61</v>
      </c>
    </row>
    <row r="126" spans="1:33" x14ac:dyDescent="0.2">
      <c r="A126" s="16" t="str">
        <f>BUDGET!A26</f>
        <v>Amuse</v>
      </c>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54">
        <f t="shared" si="8"/>
        <v>0</v>
      </c>
    </row>
    <row r="127" spans="1:33" x14ac:dyDescent="0.2">
      <c r="A127" s="16" t="str">
        <f>BUDGET!A27</f>
        <v>electricity</v>
      </c>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54">
        <f t="shared" si="8"/>
        <v>0</v>
      </c>
    </row>
    <row r="128" spans="1:33" ht="16" thickBot="1" x14ac:dyDescent="0.25">
      <c r="A128" s="16" t="str">
        <f>BUDGET!A28</f>
        <v>Account Charges</v>
      </c>
      <c r="B128" s="6"/>
      <c r="C128" s="6">
        <v>3.55</v>
      </c>
      <c r="D128" s="6">
        <v>1</v>
      </c>
      <c r="E128" s="6"/>
      <c r="F128" s="6"/>
      <c r="G128" s="6">
        <f>3+2</f>
        <v>5</v>
      </c>
      <c r="H128" s="6"/>
      <c r="I128" s="6"/>
      <c r="J128" s="6">
        <v>1</v>
      </c>
      <c r="K128" s="6"/>
      <c r="L128" s="6"/>
      <c r="M128" s="6"/>
      <c r="N128" s="6"/>
      <c r="O128" s="6"/>
      <c r="P128" s="6"/>
      <c r="Q128" s="6"/>
      <c r="R128" s="6"/>
      <c r="S128" s="6"/>
      <c r="T128" s="6"/>
      <c r="U128" s="6"/>
      <c r="V128" s="6"/>
      <c r="W128" s="6"/>
      <c r="X128" s="6"/>
      <c r="Y128" s="6"/>
      <c r="Z128" s="6"/>
      <c r="AA128" s="6"/>
      <c r="AB128" s="6"/>
      <c r="AC128" s="6"/>
      <c r="AD128" s="6">
        <v>1</v>
      </c>
      <c r="AE128" s="6"/>
      <c r="AF128" s="6">
        <v>5</v>
      </c>
      <c r="AG128" s="54">
        <f t="shared" si="8"/>
        <v>16.55</v>
      </c>
    </row>
    <row r="129" spans="1:33" ht="17" thickBot="1" x14ac:dyDescent="0.25">
      <c r="A129" s="20" t="s">
        <v>11</v>
      </c>
      <c r="B129" s="21">
        <f t="shared" ref="B129:AG129" si="9">SUM(B109:B128)</f>
        <v>40</v>
      </c>
      <c r="C129" s="21">
        <f t="shared" si="9"/>
        <v>380.55</v>
      </c>
      <c r="D129" s="21">
        <f t="shared" si="9"/>
        <v>101</v>
      </c>
      <c r="E129" s="21">
        <f t="shared" si="9"/>
        <v>205.95</v>
      </c>
      <c r="F129" s="21">
        <f t="shared" si="9"/>
        <v>214</v>
      </c>
      <c r="G129" s="21">
        <f t="shared" si="9"/>
        <v>572.99</v>
      </c>
      <c r="H129" s="21">
        <f t="shared" si="9"/>
        <v>67</v>
      </c>
      <c r="I129" s="21">
        <f t="shared" si="9"/>
        <v>5</v>
      </c>
      <c r="J129" s="21">
        <f t="shared" si="9"/>
        <v>75</v>
      </c>
      <c r="K129" s="21">
        <f t="shared" si="9"/>
        <v>16</v>
      </c>
      <c r="L129" s="21">
        <f t="shared" si="9"/>
        <v>7</v>
      </c>
      <c r="M129" s="21">
        <f t="shared" si="9"/>
        <v>52.5</v>
      </c>
      <c r="N129" s="21">
        <f t="shared" si="9"/>
        <v>58.5</v>
      </c>
      <c r="O129" s="21">
        <f t="shared" si="9"/>
        <v>16</v>
      </c>
      <c r="P129" s="21">
        <f t="shared" si="9"/>
        <v>79</v>
      </c>
      <c r="Q129" s="21">
        <f t="shared" si="9"/>
        <v>111.5</v>
      </c>
      <c r="R129" s="21">
        <f t="shared" si="9"/>
        <v>34</v>
      </c>
      <c r="S129" s="21">
        <f t="shared" si="9"/>
        <v>98</v>
      </c>
      <c r="T129" s="21">
        <f t="shared" si="9"/>
        <v>224</v>
      </c>
      <c r="U129" s="21">
        <f t="shared" si="9"/>
        <v>50</v>
      </c>
      <c r="V129" s="21">
        <f t="shared" si="9"/>
        <v>172</v>
      </c>
      <c r="W129" s="21">
        <f t="shared" si="9"/>
        <v>469</v>
      </c>
      <c r="X129" s="21">
        <f t="shared" si="9"/>
        <v>209.61</v>
      </c>
      <c r="Y129" s="21">
        <f t="shared" si="9"/>
        <v>36</v>
      </c>
      <c r="Z129" s="21">
        <f t="shared" si="9"/>
        <v>22</v>
      </c>
      <c r="AA129" s="21">
        <f t="shared" si="9"/>
        <v>72.19</v>
      </c>
      <c r="AB129" s="21">
        <f t="shared" si="9"/>
        <v>231</v>
      </c>
      <c r="AC129" s="21">
        <f t="shared" si="9"/>
        <v>10</v>
      </c>
      <c r="AD129" s="21">
        <f t="shared" si="9"/>
        <v>419</v>
      </c>
      <c r="AE129" s="21">
        <f t="shared" si="9"/>
        <v>10</v>
      </c>
      <c r="AF129" s="21">
        <f t="shared" si="9"/>
        <v>817</v>
      </c>
      <c r="AG129" s="56">
        <f t="shared" si="9"/>
        <v>4875.79</v>
      </c>
    </row>
    <row r="130" spans="1:33" ht="17" thickTop="1" x14ac:dyDescent="0.2">
      <c r="A130" s="5"/>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57"/>
    </row>
    <row r="131" spans="1:33" ht="16" x14ac:dyDescent="0.2">
      <c r="A131" s="5"/>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57"/>
    </row>
    <row r="132" spans="1:33" ht="16" x14ac:dyDescent="0.2">
      <c r="A132" s="5"/>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57"/>
    </row>
    <row r="133" spans="1:33" x14ac:dyDescent="0.2">
      <c r="A133" s="14" t="s">
        <v>192</v>
      </c>
      <c r="B133" s="7">
        <v>1</v>
      </c>
      <c r="C133" s="7">
        <v>2</v>
      </c>
      <c r="D133" s="7">
        <v>3</v>
      </c>
      <c r="E133" s="2">
        <v>4</v>
      </c>
      <c r="F133" s="2">
        <v>5</v>
      </c>
      <c r="G133" s="2">
        <v>6</v>
      </c>
      <c r="H133" s="2">
        <v>7</v>
      </c>
      <c r="I133" s="2">
        <v>8</v>
      </c>
      <c r="J133" s="2">
        <v>9</v>
      </c>
      <c r="K133" s="2">
        <v>10</v>
      </c>
      <c r="L133" s="2">
        <v>11</v>
      </c>
      <c r="M133" s="2">
        <v>12</v>
      </c>
      <c r="N133" s="2">
        <v>13</v>
      </c>
      <c r="O133" s="2">
        <v>14</v>
      </c>
      <c r="P133" s="2">
        <v>15</v>
      </c>
      <c r="Q133" s="2">
        <v>16</v>
      </c>
      <c r="R133" s="2">
        <v>17</v>
      </c>
      <c r="S133" s="2">
        <v>18</v>
      </c>
      <c r="T133" s="2">
        <v>19</v>
      </c>
      <c r="U133" s="2">
        <v>20</v>
      </c>
      <c r="V133" s="2">
        <v>21</v>
      </c>
      <c r="W133" s="2">
        <v>22</v>
      </c>
      <c r="X133" s="2">
        <v>23</v>
      </c>
      <c r="Y133" s="2">
        <v>24</v>
      </c>
      <c r="Z133" s="2">
        <v>25</v>
      </c>
      <c r="AA133" s="2">
        <v>26</v>
      </c>
      <c r="AB133" s="2">
        <v>27</v>
      </c>
      <c r="AC133" s="2">
        <v>28</v>
      </c>
      <c r="AD133" s="2">
        <v>29</v>
      </c>
      <c r="AE133" s="2">
        <v>30</v>
      </c>
      <c r="AF133" s="2">
        <v>31</v>
      </c>
      <c r="AG133" s="52" t="s">
        <v>0</v>
      </c>
    </row>
    <row r="134" spans="1:33" x14ac:dyDescent="0.2">
      <c r="A134" s="3"/>
      <c r="B134" s="3" t="s">
        <v>1</v>
      </c>
      <c r="C134" s="3" t="s">
        <v>1</v>
      </c>
      <c r="D134" s="3" t="s">
        <v>1</v>
      </c>
      <c r="E134" s="3" t="s">
        <v>1</v>
      </c>
      <c r="F134" s="3" t="s">
        <v>1</v>
      </c>
      <c r="G134" s="3" t="s">
        <v>1</v>
      </c>
      <c r="H134" s="3" t="s">
        <v>1</v>
      </c>
      <c r="I134" s="3" t="s">
        <v>1</v>
      </c>
      <c r="J134" s="3" t="s">
        <v>1</v>
      </c>
      <c r="K134" s="3" t="s">
        <v>1</v>
      </c>
      <c r="L134" s="3" t="s">
        <v>1</v>
      </c>
      <c r="M134" s="3" t="s">
        <v>1</v>
      </c>
      <c r="N134" s="3" t="s">
        <v>1</v>
      </c>
      <c r="O134" s="3" t="s">
        <v>1</v>
      </c>
      <c r="P134" s="3" t="s">
        <v>1</v>
      </c>
      <c r="Q134" s="3" t="s">
        <v>1</v>
      </c>
      <c r="R134" s="3" t="s">
        <v>1</v>
      </c>
      <c r="S134" s="3" t="s">
        <v>1</v>
      </c>
      <c r="T134" s="3" t="s">
        <v>1</v>
      </c>
      <c r="U134" s="3" t="s">
        <v>1</v>
      </c>
      <c r="V134" s="3" t="s">
        <v>1</v>
      </c>
      <c r="W134" s="3" t="s">
        <v>1</v>
      </c>
      <c r="X134" s="3" t="s">
        <v>1</v>
      </c>
      <c r="Y134" s="3" t="s">
        <v>1</v>
      </c>
      <c r="Z134" s="3" t="s">
        <v>1</v>
      </c>
      <c r="AA134" s="3" t="s">
        <v>1</v>
      </c>
      <c r="AB134" s="3" t="s">
        <v>1</v>
      </c>
      <c r="AC134" s="3" t="s">
        <v>1</v>
      </c>
      <c r="AD134" s="3" t="s">
        <v>1</v>
      </c>
      <c r="AE134" s="3" t="s">
        <v>1</v>
      </c>
      <c r="AF134" s="3" t="s">
        <v>1</v>
      </c>
      <c r="AG134" s="53" t="s">
        <v>1</v>
      </c>
    </row>
    <row r="135" spans="1:33" x14ac:dyDescent="0.2">
      <c r="A135" s="16" t="str">
        <f>BUDGET!A9</f>
        <v>Rent</v>
      </c>
      <c r="B135" s="6">
        <v>0</v>
      </c>
      <c r="C135" s="6">
        <v>0</v>
      </c>
      <c r="D135" s="6"/>
      <c r="E135" s="6"/>
      <c r="F135" s="6"/>
      <c r="G135" s="6"/>
      <c r="H135" s="6"/>
      <c r="I135" s="6"/>
      <c r="J135" s="6"/>
      <c r="K135" s="6"/>
      <c r="L135" s="6"/>
      <c r="M135" s="6"/>
      <c r="N135" s="6"/>
      <c r="O135" s="6"/>
      <c r="P135" s="6"/>
      <c r="Q135" s="6"/>
      <c r="R135" s="6"/>
      <c r="S135" s="6"/>
      <c r="T135" s="6"/>
      <c r="U135" s="6"/>
      <c r="V135" s="6"/>
      <c r="W135" s="6"/>
      <c r="X135" s="6"/>
      <c r="Y135" s="6"/>
      <c r="Z135" s="6"/>
      <c r="AA135" s="6"/>
      <c r="AB135" s="6">
        <v>500</v>
      </c>
      <c r="AC135" s="6"/>
      <c r="AD135" s="6"/>
      <c r="AE135" s="6"/>
      <c r="AF135" s="6"/>
      <c r="AG135" s="54">
        <f t="shared" ref="AG135:AG154" si="10">SUM(B135:AF135)</f>
        <v>500</v>
      </c>
    </row>
    <row r="136" spans="1:33" x14ac:dyDescent="0.2">
      <c r="A136" s="16" t="str">
        <f>BUDGET!A10</f>
        <v>Tithe</v>
      </c>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54">
        <f t="shared" si="10"/>
        <v>0</v>
      </c>
    </row>
    <row r="137" spans="1:33" x14ac:dyDescent="0.2">
      <c r="A137" s="16" t="str">
        <f>BUDGET!A11</f>
        <v>Data</v>
      </c>
      <c r="B137" s="6">
        <v>0</v>
      </c>
      <c r="C137" s="6">
        <v>0</v>
      </c>
      <c r="D137" s="6"/>
      <c r="E137" s="6"/>
      <c r="F137" s="6">
        <v>300</v>
      </c>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54">
        <f t="shared" si="10"/>
        <v>300</v>
      </c>
    </row>
    <row r="138" spans="1:33" x14ac:dyDescent="0.2">
      <c r="A138" s="16" t="str">
        <f>BUDGET!A12</f>
        <v xml:space="preserve">Savings/ Investment </v>
      </c>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v>350</v>
      </c>
      <c r="AC138" s="6"/>
      <c r="AD138" s="6"/>
      <c r="AE138" s="6"/>
      <c r="AF138" s="6"/>
      <c r="AG138" s="54">
        <f t="shared" si="10"/>
        <v>350</v>
      </c>
    </row>
    <row r="139" spans="1:33" x14ac:dyDescent="0.2">
      <c r="A139" s="16" t="str">
        <f>BUDGET!A13</f>
        <v>Hair / Gym</v>
      </c>
      <c r="B139" s="6">
        <v>0</v>
      </c>
      <c r="C139" s="6">
        <v>0</v>
      </c>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54">
        <f t="shared" si="10"/>
        <v>0</v>
      </c>
    </row>
    <row r="140" spans="1:33" x14ac:dyDescent="0.2">
      <c r="A140" s="16" t="str">
        <f>BUDGET!A14</f>
        <v>Food</v>
      </c>
      <c r="B140" s="6">
        <f>12+1</f>
        <v>13</v>
      </c>
      <c r="C140" s="6">
        <f>10+40+99+23</f>
        <v>172</v>
      </c>
      <c r="D140" s="6">
        <f>10+13</f>
        <v>23</v>
      </c>
      <c r="E140" s="6">
        <v>11.5</v>
      </c>
      <c r="F140" s="6">
        <f>5+3</f>
        <v>8</v>
      </c>
      <c r="G140" s="6">
        <f>6+8+10</f>
        <v>24</v>
      </c>
      <c r="H140" s="6">
        <v>7</v>
      </c>
      <c r="I140" s="6">
        <f>7+5</f>
        <v>12</v>
      </c>
      <c r="J140" s="6">
        <f>6+11</f>
        <v>17</v>
      </c>
      <c r="K140" s="6">
        <v>37</v>
      </c>
      <c r="L140" s="6"/>
      <c r="M140" s="6">
        <v>7</v>
      </c>
      <c r="N140" s="6">
        <f>7+50</f>
        <v>57</v>
      </c>
      <c r="O140" s="6">
        <v>7</v>
      </c>
      <c r="P140" s="6">
        <v>8</v>
      </c>
      <c r="Q140" s="6">
        <f>9</f>
        <v>9</v>
      </c>
      <c r="R140" s="6">
        <f>50+20+10</f>
        <v>80</v>
      </c>
      <c r="S140" s="6"/>
      <c r="T140" s="6"/>
      <c r="U140" s="6">
        <f>7+10</f>
        <v>17</v>
      </c>
      <c r="V140" s="6">
        <f>20+4</f>
        <v>24</v>
      </c>
      <c r="W140" s="6">
        <f>5+4+2+2+11</f>
        <v>24</v>
      </c>
      <c r="X140" s="6"/>
      <c r="Y140" s="6"/>
      <c r="Z140" s="6">
        <v>10</v>
      </c>
      <c r="AA140" s="6"/>
      <c r="AB140" s="6">
        <f>5+4+2+2</f>
        <v>13</v>
      </c>
      <c r="AC140" s="6">
        <f>17+5</f>
        <v>22</v>
      </c>
      <c r="AD140" s="6">
        <v>7</v>
      </c>
      <c r="AE140" s="6">
        <f>34</f>
        <v>34</v>
      </c>
      <c r="AF140" s="6"/>
      <c r="AG140" s="54">
        <f t="shared" si="10"/>
        <v>643.5</v>
      </c>
    </row>
    <row r="141" spans="1:33" x14ac:dyDescent="0.2">
      <c r="A141" s="16" t="str">
        <f>BUDGET!A15</f>
        <v>Healthcare</v>
      </c>
      <c r="B141" s="6">
        <v>0</v>
      </c>
      <c r="C141" s="6">
        <v>0</v>
      </c>
      <c r="D141" s="6"/>
      <c r="E141" s="6"/>
      <c r="F141" s="6">
        <v>20</v>
      </c>
      <c r="G141" s="6"/>
      <c r="H141" s="6"/>
      <c r="I141" s="6"/>
      <c r="J141" s="6"/>
      <c r="K141" s="6"/>
      <c r="L141" s="6"/>
      <c r="M141" s="6"/>
      <c r="N141" s="6"/>
      <c r="O141" s="6"/>
      <c r="P141" s="6"/>
      <c r="Q141" s="6"/>
      <c r="R141" s="6"/>
      <c r="S141" s="6"/>
      <c r="T141" s="6"/>
      <c r="U141" s="6"/>
      <c r="V141" s="6"/>
      <c r="W141" s="6">
        <v>15.5</v>
      </c>
      <c r="X141" s="6"/>
      <c r="Y141" s="6">
        <v>40</v>
      </c>
      <c r="Z141" s="6"/>
      <c r="AA141" s="6"/>
      <c r="AB141" s="6"/>
      <c r="AC141" s="6"/>
      <c r="AD141" s="6"/>
      <c r="AE141" s="6"/>
      <c r="AF141" s="6"/>
      <c r="AG141" s="54">
        <f t="shared" si="10"/>
        <v>75.5</v>
      </c>
    </row>
    <row r="142" spans="1:33" x14ac:dyDescent="0.2">
      <c r="A142" s="16" t="str">
        <f>BUDGET!A16</f>
        <v xml:space="preserve">Clothes/ Shoes/ Jewelry </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54">
        <f t="shared" si="10"/>
        <v>0</v>
      </c>
    </row>
    <row r="143" spans="1:33" x14ac:dyDescent="0.2">
      <c r="A143" s="16" t="str">
        <f>BUDGET!A17</f>
        <v>shoes</v>
      </c>
      <c r="B143" s="6">
        <v>0</v>
      </c>
      <c r="C143" s="6">
        <v>0</v>
      </c>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54">
        <f t="shared" si="10"/>
        <v>0</v>
      </c>
    </row>
    <row r="144" spans="1:33" x14ac:dyDescent="0.2">
      <c r="A144" s="16" t="str">
        <f>BUDGET!A18</f>
        <v xml:space="preserve">Travel/ Vacations </v>
      </c>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54">
        <f t="shared" si="10"/>
        <v>0</v>
      </c>
    </row>
    <row r="145" spans="1:33" x14ac:dyDescent="0.2">
      <c r="A145" s="16" t="str">
        <f>BUDGET!A19</f>
        <v>Outings</v>
      </c>
      <c r="B145" s="6"/>
      <c r="C145" s="6"/>
      <c r="D145" s="6"/>
      <c r="E145" s="6"/>
      <c r="F145" s="6"/>
      <c r="G145" s="6"/>
      <c r="H145" s="6"/>
      <c r="I145" s="6"/>
      <c r="J145" s="6"/>
      <c r="K145" s="6"/>
      <c r="L145" s="6"/>
      <c r="M145" s="6"/>
      <c r="N145" s="6"/>
      <c r="O145" s="6"/>
      <c r="P145" s="6"/>
      <c r="Q145" s="6"/>
      <c r="R145" s="6"/>
      <c r="S145" s="6"/>
      <c r="T145" s="6"/>
      <c r="U145" s="6"/>
      <c r="V145" s="6"/>
      <c r="W145" s="6"/>
      <c r="X145" s="6">
        <v>100</v>
      </c>
      <c r="Y145" s="6"/>
      <c r="Z145" s="6"/>
      <c r="AA145" s="6"/>
      <c r="AB145" s="6"/>
      <c r="AC145" s="6"/>
      <c r="AD145" s="6"/>
      <c r="AE145" s="6"/>
      <c r="AF145" s="6"/>
      <c r="AG145" s="54">
        <f t="shared" si="10"/>
        <v>100</v>
      </c>
    </row>
    <row r="146" spans="1:33" x14ac:dyDescent="0.2">
      <c r="A146" s="16" t="str">
        <f>BUDGET!A20</f>
        <v>Toiletries/Groceries</v>
      </c>
      <c r="B146" s="6">
        <f>20+87.96</f>
        <v>107.96</v>
      </c>
      <c r="C146" s="6"/>
      <c r="D146" s="6"/>
      <c r="E146" s="6"/>
      <c r="F146" s="6"/>
      <c r="G146" s="6"/>
      <c r="H146" s="6"/>
      <c r="I146" s="6"/>
      <c r="J146" s="6"/>
      <c r="K146" s="6"/>
      <c r="L146" s="6"/>
      <c r="M146" s="6"/>
      <c r="N146" s="6"/>
      <c r="O146" s="6"/>
      <c r="P146" s="6">
        <v>23</v>
      </c>
      <c r="Q146" s="6"/>
      <c r="R146" s="6"/>
      <c r="S146" s="6"/>
      <c r="T146" s="6"/>
      <c r="U146" s="6"/>
      <c r="V146" s="6"/>
      <c r="W146" s="6">
        <v>40</v>
      </c>
      <c r="X146" s="6"/>
      <c r="Y146" s="6">
        <v>575.45000000000005</v>
      </c>
      <c r="Z146" s="6"/>
      <c r="AA146" s="6"/>
      <c r="AB146" s="6"/>
      <c r="AC146" s="6"/>
      <c r="AD146" s="6"/>
      <c r="AE146" s="6"/>
      <c r="AF146" s="6"/>
      <c r="AG146" s="54">
        <f t="shared" si="10"/>
        <v>746.41000000000008</v>
      </c>
    </row>
    <row r="147" spans="1:33" x14ac:dyDescent="0.2">
      <c r="A147" s="16" t="str">
        <f>BUDGET!A21</f>
        <v xml:space="preserve">Transportation </v>
      </c>
      <c r="B147" s="6">
        <v>3</v>
      </c>
      <c r="C147" s="6">
        <f>64+46</f>
        <v>110</v>
      </c>
      <c r="D147" s="6"/>
      <c r="E147" s="6"/>
      <c r="F147" s="6"/>
      <c r="G147" s="6"/>
      <c r="H147" s="6"/>
      <c r="I147" s="6"/>
      <c r="J147" s="6">
        <f>10+68</f>
        <v>78</v>
      </c>
      <c r="K147" s="6"/>
      <c r="L147" s="6"/>
      <c r="M147" s="6"/>
      <c r="N147" s="6"/>
      <c r="O147" s="6">
        <f>7+5.5</f>
        <v>12.5</v>
      </c>
      <c r="P147" s="6"/>
      <c r="Q147" s="6">
        <v>55</v>
      </c>
      <c r="R147" s="6">
        <f>35</f>
        <v>35</v>
      </c>
      <c r="S147" s="6">
        <v>20</v>
      </c>
      <c r="T147" s="6">
        <v>97</v>
      </c>
      <c r="U147" s="6">
        <f>5+7.5</f>
        <v>12.5</v>
      </c>
      <c r="V147" s="6">
        <v>90</v>
      </c>
      <c r="W147" s="6">
        <f>6+5.5</f>
        <v>11.5</v>
      </c>
      <c r="X147" s="6">
        <f>32+47</f>
        <v>79</v>
      </c>
      <c r="Y147" s="6">
        <v>16</v>
      </c>
      <c r="Z147" s="6"/>
      <c r="AA147" s="6">
        <f>50+2.5+7</f>
        <v>59.5</v>
      </c>
      <c r="AB147" s="6">
        <f>7+5.5+5+7.5</f>
        <v>25</v>
      </c>
      <c r="AC147" s="6">
        <f>7+4.5</f>
        <v>11.5</v>
      </c>
      <c r="AD147" s="6">
        <f>47+7.5</f>
        <v>54.5</v>
      </c>
      <c r="AE147" s="6">
        <f>14+11+48</f>
        <v>73</v>
      </c>
      <c r="AF147" s="6"/>
      <c r="AG147" s="54">
        <f t="shared" si="10"/>
        <v>843</v>
      </c>
    </row>
    <row r="148" spans="1:33" x14ac:dyDescent="0.2">
      <c r="A148" s="16" t="str">
        <f>BUDGET!A22</f>
        <v>Miscellaneous</v>
      </c>
      <c r="B148" s="6"/>
      <c r="C148" s="6"/>
      <c r="D148" s="6"/>
      <c r="E148" s="6"/>
      <c r="F148" s="6">
        <v>30</v>
      </c>
      <c r="G148" s="6"/>
      <c r="H148" s="6"/>
      <c r="I148" s="6"/>
      <c r="J148" s="6"/>
      <c r="K148" s="6"/>
      <c r="L148" s="6"/>
      <c r="M148" s="6"/>
      <c r="N148" s="6"/>
      <c r="O148" s="6">
        <v>20</v>
      </c>
      <c r="P148" s="6"/>
      <c r="Q148" s="6">
        <v>14</v>
      </c>
      <c r="R148" s="6">
        <f>35+4</f>
        <v>39</v>
      </c>
      <c r="S148" s="6"/>
      <c r="T148" s="6"/>
      <c r="U148" s="6"/>
      <c r="V148" s="6"/>
      <c r="W148" s="6">
        <v>5</v>
      </c>
      <c r="X148" s="6"/>
      <c r="Y148" s="6"/>
      <c r="Z148" s="6">
        <v>31</v>
      </c>
      <c r="AA148" s="6"/>
      <c r="AB148" s="6"/>
      <c r="AC148" s="6"/>
      <c r="AD148" s="6">
        <v>600</v>
      </c>
      <c r="AE148" s="6"/>
      <c r="AF148" s="6"/>
      <c r="AG148" s="54">
        <f t="shared" si="10"/>
        <v>739</v>
      </c>
    </row>
    <row r="149" spans="1:33" x14ac:dyDescent="0.2">
      <c r="A149" s="16" t="str">
        <f>BUDGET!A23</f>
        <v>Apple Subscriptions</v>
      </c>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v>12.55</v>
      </c>
      <c r="AC149" s="6"/>
      <c r="AD149" s="6"/>
      <c r="AE149" s="6"/>
      <c r="AF149" s="6"/>
      <c r="AG149" s="54">
        <f t="shared" si="10"/>
        <v>12.55</v>
      </c>
    </row>
    <row r="150" spans="1:33" x14ac:dyDescent="0.2">
      <c r="A150" s="16" t="str">
        <f>BUDGET!A24</f>
        <v>Google 1</v>
      </c>
      <c r="B150" s="6"/>
      <c r="C150" s="6"/>
      <c r="D150" s="6"/>
      <c r="E150" s="6"/>
      <c r="F150" s="6"/>
      <c r="G150" s="6"/>
      <c r="H150" s="6"/>
      <c r="I150" s="6"/>
      <c r="J150" s="6"/>
      <c r="K150" s="6">
        <v>9</v>
      </c>
      <c r="L150" s="6"/>
      <c r="M150" s="6"/>
      <c r="N150" s="6"/>
      <c r="O150" s="6"/>
      <c r="P150" s="6"/>
      <c r="Q150" s="6"/>
      <c r="R150" s="6"/>
      <c r="S150" s="6"/>
      <c r="T150" s="6"/>
      <c r="U150" s="6"/>
      <c r="V150" s="6"/>
      <c r="W150" s="6"/>
      <c r="X150" s="6"/>
      <c r="Y150" s="6"/>
      <c r="Z150" s="6"/>
      <c r="AA150" s="6"/>
      <c r="AB150" s="6"/>
      <c r="AC150" s="6"/>
      <c r="AD150" s="6"/>
      <c r="AE150" s="6"/>
      <c r="AF150" s="6"/>
      <c r="AG150" s="54">
        <f t="shared" si="10"/>
        <v>9</v>
      </c>
    </row>
    <row r="151" spans="1:33" x14ac:dyDescent="0.2">
      <c r="A151" s="16" t="str">
        <f>BUDGET!A25</f>
        <v>Netflix</v>
      </c>
      <c r="B151" s="6"/>
      <c r="C151" s="6"/>
      <c r="D151" s="6"/>
      <c r="E151" s="6"/>
      <c r="F151" s="6"/>
      <c r="G151" s="6"/>
      <c r="H151" s="6"/>
      <c r="I151" s="6"/>
      <c r="J151" s="6"/>
      <c r="K151" s="6"/>
      <c r="L151" s="6"/>
      <c r="M151" s="6"/>
      <c r="N151" s="6"/>
      <c r="O151" s="6"/>
      <c r="P151" s="6"/>
      <c r="Q151" s="6"/>
      <c r="R151" s="6"/>
      <c r="S151" s="6"/>
      <c r="T151" s="6">
        <v>100.02</v>
      </c>
      <c r="U151" s="6"/>
      <c r="V151" s="6"/>
      <c r="W151" s="6"/>
      <c r="X151" s="6"/>
      <c r="Y151" s="6"/>
      <c r="Z151" s="6"/>
      <c r="AA151" s="6"/>
      <c r="AB151" s="6"/>
      <c r="AC151" s="6"/>
      <c r="AD151" s="6"/>
      <c r="AE151" s="6"/>
      <c r="AF151" s="6"/>
      <c r="AG151" s="54">
        <f t="shared" si="10"/>
        <v>100.02</v>
      </c>
    </row>
    <row r="152" spans="1:33" x14ac:dyDescent="0.2">
      <c r="A152" s="16" t="str">
        <f>BUDGET!A26</f>
        <v>Amuse</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54">
        <f t="shared" si="10"/>
        <v>0</v>
      </c>
    </row>
    <row r="153" spans="1:33" x14ac:dyDescent="0.2">
      <c r="A153" s="16" t="str">
        <f>BUDGET!A27</f>
        <v>electricity</v>
      </c>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54">
        <f t="shared" si="10"/>
        <v>0</v>
      </c>
    </row>
    <row r="154" spans="1:33" ht="16" thickBot="1" x14ac:dyDescent="0.25">
      <c r="A154" s="16" t="str">
        <f>BUDGET!A28</f>
        <v>Account Charges</v>
      </c>
      <c r="B154" s="6"/>
      <c r="C154" s="6"/>
      <c r="D154" s="6"/>
      <c r="E154" s="6"/>
      <c r="F154" s="6"/>
      <c r="G154" s="6"/>
      <c r="H154" s="6"/>
      <c r="I154" s="6"/>
      <c r="J154" s="6"/>
      <c r="K154" s="6"/>
      <c r="L154" s="6"/>
      <c r="M154" s="6"/>
      <c r="N154" s="6"/>
      <c r="O154" s="6"/>
      <c r="P154" s="6"/>
      <c r="Q154" s="6"/>
      <c r="R154" s="6"/>
      <c r="S154" s="6"/>
      <c r="T154" s="6"/>
      <c r="U154" s="6"/>
      <c r="V154" s="6"/>
      <c r="W154" s="6"/>
      <c r="X154" s="6"/>
      <c r="Y154" s="6"/>
      <c r="Z154" s="6">
        <v>3</v>
      </c>
      <c r="AA154" s="6"/>
      <c r="AB154" s="6">
        <v>8.5</v>
      </c>
      <c r="AC154" s="6"/>
      <c r="AD154" s="6"/>
      <c r="AE154" s="6">
        <v>5</v>
      </c>
      <c r="AF154" s="6"/>
      <c r="AG154" s="54">
        <f t="shared" si="10"/>
        <v>16.5</v>
      </c>
    </row>
    <row r="155" spans="1:33" ht="17" thickBot="1" x14ac:dyDescent="0.25">
      <c r="A155" s="20" t="s">
        <v>11</v>
      </c>
      <c r="B155" s="21">
        <f t="shared" ref="B155:AG155" si="11">SUM(B135:B154)</f>
        <v>123.96</v>
      </c>
      <c r="C155" s="21">
        <f t="shared" si="11"/>
        <v>282</v>
      </c>
      <c r="D155" s="21">
        <f t="shared" si="11"/>
        <v>23</v>
      </c>
      <c r="E155" s="21">
        <f t="shared" si="11"/>
        <v>11.5</v>
      </c>
      <c r="F155" s="21">
        <f t="shared" si="11"/>
        <v>358</v>
      </c>
      <c r="G155" s="21">
        <f t="shared" si="11"/>
        <v>24</v>
      </c>
      <c r="H155" s="21">
        <f t="shared" si="11"/>
        <v>7</v>
      </c>
      <c r="I155" s="21">
        <f t="shared" si="11"/>
        <v>12</v>
      </c>
      <c r="J155" s="21">
        <f t="shared" si="11"/>
        <v>95</v>
      </c>
      <c r="K155" s="21">
        <f t="shared" si="11"/>
        <v>46</v>
      </c>
      <c r="L155" s="21">
        <f t="shared" si="11"/>
        <v>0</v>
      </c>
      <c r="M155" s="21">
        <f t="shared" si="11"/>
        <v>7</v>
      </c>
      <c r="N155" s="21">
        <f t="shared" si="11"/>
        <v>57</v>
      </c>
      <c r="O155" s="21">
        <f t="shared" si="11"/>
        <v>39.5</v>
      </c>
      <c r="P155" s="21">
        <f>SUM(P135:P154)</f>
        <v>31</v>
      </c>
      <c r="Q155" s="21">
        <f t="shared" si="11"/>
        <v>78</v>
      </c>
      <c r="R155" s="21">
        <f t="shared" si="11"/>
        <v>154</v>
      </c>
      <c r="S155" s="21">
        <f t="shared" si="11"/>
        <v>20</v>
      </c>
      <c r="T155" s="21">
        <f t="shared" si="11"/>
        <v>197.01999999999998</v>
      </c>
      <c r="U155" s="21">
        <f t="shared" si="11"/>
        <v>29.5</v>
      </c>
      <c r="V155" s="21">
        <f t="shared" si="11"/>
        <v>114</v>
      </c>
      <c r="W155" s="21">
        <f t="shared" si="11"/>
        <v>96</v>
      </c>
      <c r="X155" s="21">
        <f t="shared" si="11"/>
        <v>179</v>
      </c>
      <c r="Y155" s="21">
        <f t="shared" si="11"/>
        <v>631.45000000000005</v>
      </c>
      <c r="Z155" s="21">
        <f t="shared" si="11"/>
        <v>44</v>
      </c>
      <c r="AA155" s="21">
        <f t="shared" si="11"/>
        <v>59.5</v>
      </c>
      <c r="AB155" s="21">
        <f t="shared" si="11"/>
        <v>909.05</v>
      </c>
      <c r="AC155" s="21">
        <f t="shared" si="11"/>
        <v>33.5</v>
      </c>
      <c r="AD155" s="21">
        <f t="shared" si="11"/>
        <v>661.5</v>
      </c>
      <c r="AE155" s="21">
        <f t="shared" si="11"/>
        <v>112</v>
      </c>
      <c r="AF155" s="21">
        <f t="shared" si="11"/>
        <v>0</v>
      </c>
      <c r="AG155" s="56">
        <f t="shared" si="11"/>
        <v>4435.4800000000005</v>
      </c>
    </row>
    <row r="156" spans="1:33" ht="17" thickTop="1" x14ac:dyDescent="0.2">
      <c r="A156" s="5"/>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57"/>
    </row>
    <row r="157" spans="1:33" ht="16" x14ac:dyDescent="0.2">
      <c r="A157" s="5"/>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57"/>
    </row>
    <row r="158" spans="1:33" ht="16" x14ac:dyDescent="0.2">
      <c r="A158" s="5"/>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57"/>
    </row>
    <row r="159" spans="1:33" x14ac:dyDescent="0.2">
      <c r="A159" s="14" t="s">
        <v>193</v>
      </c>
      <c r="B159" s="7">
        <v>1</v>
      </c>
      <c r="C159" s="7">
        <v>2</v>
      </c>
      <c r="D159" s="7">
        <v>3</v>
      </c>
      <c r="E159" s="2">
        <v>4</v>
      </c>
      <c r="F159" s="2">
        <v>5</v>
      </c>
      <c r="G159" s="2">
        <v>6</v>
      </c>
      <c r="H159" s="2">
        <v>7</v>
      </c>
      <c r="I159" s="2">
        <v>8</v>
      </c>
      <c r="J159" s="2">
        <v>9</v>
      </c>
      <c r="K159" s="2">
        <v>10</v>
      </c>
      <c r="L159" s="2">
        <v>11</v>
      </c>
      <c r="M159" s="2">
        <v>12</v>
      </c>
      <c r="N159" s="2">
        <v>13</v>
      </c>
      <c r="O159" s="2">
        <v>14</v>
      </c>
      <c r="P159" s="2">
        <v>15</v>
      </c>
      <c r="Q159" s="2">
        <v>16</v>
      </c>
      <c r="R159" s="2">
        <v>17</v>
      </c>
      <c r="S159" s="2">
        <v>18</v>
      </c>
      <c r="T159" s="2">
        <v>19</v>
      </c>
      <c r="U159" s="2">
        <v>20</v>
      </c>
      <c r="V159" s="2">
        <v>21</v>
      </c>
      <c r="W159" s="2">
        <v>22</v>
      </c>
      <c r="X159" s="2">
        <v>23</v>
      </c>
      <c r="Y159" s="2">
        <v>24</v>
      </c>
      <c r="Z159" s="2">
        <v>25</v>
      </c>
      <c r="AA159" s="2">
        <v>26</v>
      </c>
      <c r="AB159" s="2">
        <v>27</v>
      </c>
      <c r="AC159" s="2">
        <v>28</v>
      </c>
      <c r="AD159" s="2">
        <v>29</v>
      </c>
      <c r="AE159" s="2">
        <v>30</v>
      </c>
      <c r="AF159" s="2">
        <v>31</v>
      </c>
      <c r="AG159" s="52" t="s">
        <v>0</v>
      </c>
    </row>
    <row r="160" spans="1:33" x14ac:dyDescent="0.2">
      <c r="A160" s="3"/>
      <c r="B160" s="3" t="s">
        <v>1</v>
      </c>
      <c r="C160" s="3" t="s">
        <v>1</v>
      </c>
      <c r="D160" s="3" t="s">
        <v>1</v>
      </c>
      <c r="E160" s="3" t="s">
        <v>1</v>
      </c>
      <c r="F160" s="3" t="s">
        <v>1</v>
      </c>
      <c r="G160" s="3" t="s">
        <v>1</v>
      </c>
      <c r="H160" s="3" t="s">
        <v>1</v>
      </c>
      <c r="I160" s="3" t="s">
        <v>1</v>
      </c>
      <c r="J160" s="3" t="s">
        <v>1</v>
      </c>
      <c r="K160" s="3" t="s">
        <v>1</v>
      </c>
      <c r="L160" s="3" t="s">
        <v>1</v>
      </c>
      <c r="M160" s="3" t="s">
        <v>1</v>
      </c>
      <c r="N160" s="3" t="s">
        <v>1</v>
      </c>
      <c r="O160" s="3" t="s">
        <v>1</v>
      </c>
      <c r="P160" s="3" t="s">
        <v>1</v>
      </c>
      <c r="Q160" s="3" t="s">
        <v>1</v>
      </c>
      <c r="R160" s="3" t="s">
        <v>1</v>
      </c>
      <c r="S160" s="3" t="s">
        <v>1</v>
      </c>
      <c r="T160" s="3" t="s">
        <v>1</v>
      </c>
      <c r="U160" s="3" t="s">
        <v>1</v>
      </c>
      <c r="V160" s="3" t="s">
        <v>1</v>
      </c>
      <c r="W160" s="3" t="s">
        <v>1</v>
      </c>
      <c r="X160" s="3" t="s">
        <v>1</v>
      </c>
      <c r="Y160" s="3" t="s">
        <v>1</v>
      </c>
      <c r="Z160" s="3" t="s">
        <v>1</v>
      </c>
      <c r="AA160" s="3" t="s">
        <v>1</v>
      </c>
      <c r="AB160" s="3" t="s">
        <v>1</v>
      </c>
      <c r="AC160" s="3" t="s">
        <v>1</v>
      </c>
      <c r="AD160" s="3" t="s">
        <v>1</v>
      </c>
      <c r="AE160" s="3" t="s">
        <v>1</v>
      </c>
      <c r="AF160" s="3" t="s">
        <v>1</v>
      </c>
      <c r="AG160" s="53" t="s">
        <v>1</v>
      </c>
    </row>
    <row r="161" spans="1:33" x14ac:dyDescent="0.2">
      <c r="A161" s="16" t="str">
        <f>BUDGET!A9</f>
        <v>Rent</v>
      </c>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54">
        <f>SUM(B161:AF161)</f>
        <v>0</v>
      </c>
    </row>
    <row r="162" spans="1:33" x14ac:dyDescent="0.2">
      <c r="A162" s="16" t="str">
        <f>BUDGET!A10</f>
        <v>Tithe</v>
      </c>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54">
        <f t="shared" ref="AG162:AG180" si="12">SUM(B162:AF162)</f>
        <v>0</v>
      </c>
    </row>
    <row r="163" spans="1:33" x14ac:dyDescent="0.2">
      <c r="A163" s="16" t="str">
        <f>BUDGET!A11</f>
        <v>Data</v>
      </c>
      <c r="B163" s="6"/>
      <c r="C163" s="6"/>
      <c r="D163" s="6"/>
      <c r="E163" s="6">
        <v>300</v>
      </c>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54">
        <f t="shared" si="12"/>
        <v>300</v>
      </c>
    </row>
    <row r="164" spans="1:33" x14ac:dyDescent="0.2">
      <c r="A164" s="16" t="str">
        <f>BUDGET!A12</f>
        <v xml:space="preserve">Savings/ Investment </v>
      </c>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v>750</v>
      </c>
      <c r="AE164" s="6"/>
      <c r="AF164" s="6"/>
      <c r="AG164" s="54">
        <f t="shared" si="12"/>
        <v>750</v>
      </c>
    </row>
    <row r="165" spans="1:33" x14ac:dyDescent="0.2">
      <c r="A165" s="16" t="str">
        <f>BUDGET!A13</f>
        <v>Hair / Gym</v>
      </c>
      <c r="B165" s="6"/>
      <c r="C165" s="6"/>
      <c r="D165" s="6"/>
      <c r="E165" s="6"/>
      <c r="F165" s="6"/>
      <c r="G165" s="6"/>
      <c r="H165" s="6"/>
      <c r="I165" s="6"/>
      <c r="J165" s="6"/>
      <c r="K165" s="6"/>
      <c r="L165" s="6"/>
      <c r="M165" s="6"/>
      <c r="N165" s="6"/>
      <c r="O165" s="6"/>
      <c r="P165" s="6"/>
      <c r="Q165" s="6"/>
      <c r="R165" s="6"/>
      <c r="S165" s="6"/>
      <c r="T165" s="6"/>
      <c r="U165" s="6">
        <v>20</v>
      </c>
      <c r="V165" s="6"/>
      <c r="W165" s="6"/>
      <c r="X165" s="6"/>
      <c r="Y165" s="6"/>
      <c r="Z165" s="6"/>
      <c r="AA165" s="6"/>
      <c r="AB165" s="6"/>
      <c r="AC165" s="6"/>
      <c r="AD165" s="6"/>
      <c r="AE165" s="6"/>
      <c r="AF165" s="6"/>
      <c r="AG165" s="54">
        <f t="shared" si="12"/>
        <v>20</v>
      </c>
    </row>
    <row r="166" spans="1:33" x14ac:dyDescent="0.2">
      <c r="A166" s="16" t="str">
        <f>BUDGET!A14</f>
        <v>Food</v>
      </c>
      <c r="B166" s="6">
        <v>39</v>
      </c>
      <c r="C166" s="6">
        <v>70</v>
      </c>
      <c r="D166" s="6">
        <f>39</f>
        <v>39</v>
      </c>
      <c r="E166" s="6">
        <f>9</f>
        <v>9</v>
      </c>
      <c r="F166" s="6">
        <f>5</f>
        <v>5</v>
      </c>
      <c r="G166" s="6">
        <f>8</f>
        <v>8</v>
      </c>
      <c r="H166" s="6">
        <f>4+35.5</f>
        <v>39.5</v>
      </c>
      <c r="I166" s="6">
        <v>150</v>
      </c>
      <c r="J166" s="6"/>
      <c r="K166" s="6">
        <f>7</f>
        <v>7</v>
      </c>
      <c r="L166" s="6">
        <v>8.5</v>
      </c>
      <c r="M166" s="6">
        <v>8</v>
      </c>
      <c r="N166" s="6">
        <v>8</v>
      </c>
      <c r="O166" s="6">
        <f>42.7+20+25</f>
        <v>87.7</v>
      </c>
      <c r="P166" s="6"/>
      <c r="Q166" s="6"/>
      <c r="R166" s="6">
        <v>7</v>
      </c>
      <c r="S166" s="6">
        <f>6+10.5</f>
        <v>16.5</v>
      </c>
      <c r="T166" s="6">
        <v>14</v>
      </c>
      <c r="U166" s="6">
        <f>8+10</f>
        <v>18</v>
      </c>
      <c r="V166" s="6"/>
      <c r="W166" s="6">
        <v>11</v>
      </c>
      <c r="X166" s="6"/>
      <c r="Y166" s="6"/>
      <c r="Z166" s="6">
        <f>8+6</f>
        <v>14</v>
      </c>
      <c r="AA166" s="6">
        <v>116.47</v>
      </c>
      <c r="AB166" s="6">
        <v>10</v>
      </c>
      <c r="AC166" s="6">
        <f>71+10</f>
        <v>81</v>
      </c>
      <c r="AD166" s="6">
        <f>5+80</f>
        <v>85</v>
      </c>
      <c r="AE166" s="6"/>
      <c r="AF166" s="6">
        <f>7+20</f>
        <v>27</v>
      </c>
      <c r="AG166" s="54">
        <f>SUM(B166:AF166)</f>
        <v>878.67000000000007</v>
      </c>
    </row>
    <row r="167" spans="1:33" x14ac:dyDescent="0.2">
      <c r="A167" s="16" t="str">
        <f>BUDGET!A15</f>
        <v>Healthcare</v>
      </c>
      <c r="B167" s="6"/>
      <c r="C167" s="6"/>
      <c r="D167" s="6"/>
      <c r="E167" s="6"/>
      <c r="F167" s="6"/>
      <c r="G167" s="6"/>
      <c r="H167" s="6"/>
      <c r="I167" s="6">
        <v>31</v>
      </c>
      <c r="J167" s="6"/>
      <c r="K167" s="6">
        <v>22</v>
      </c>
      <c r="L167" s="6"/>
      <c r="M167" s="6"/>
      <c r="N167" s="6"/>
      <c r="O167" s="6"/>
      <c r="P167" s="6"/>
      <c r="Q167" s="6"/>
      <c r="R167" s="6"/>
      <c r="S167" s="6"/>
      <c r="T167" s="6"/>
      <c r="U167" s="6"/>
      <c r="V167" s="6"/>
      <c r="W167" s="6"/>
      <c r="X167" s="6"/>
      <c r="Y167" s="6"/>
      <c r="Z167" s="6"/>
      <c r="AA167" s="6"/>
      <c r="AB167" s="6"/>
      <c r="AC167" s="6"/>
      <c r="AD167" s="6"/>
      <c r="AE167" s="6"/>
      <c r="AF167" s="6"/>
      <c r="AG167" s="54">
        <f t="shared" si="12"/>
        <v>53</v>
      </c>
    </row>
    <row r="168" spans="1:33" x14ac:dyDescent="0.2">
      <c r="A168" s="16" t="str">
        <f>BUDGET!A16</f>
        <v xml:space="preserve">Clothes/ Shoes/ Jewelry </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54">
        <f t="shared" si="12"/>
        <v>0</v>
      </c>
    </row>
    <row r="169" spans="1:33" x14ac:dyDescent="0.2">
      <c r="A169" s="16" t="str">
        <f>BUDGET!A17</f>
        <v>shoes</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54">
        <f t="shared" si="12"/>
        <v>0</v>
      </c>
    </row>
    <row r="170" spans="1:33" x14ac:dyDescent="0.2">
      <c r="A170" s="16" t="str">
        <f>BUDGET!A18</f>
        <v xml:space="preserve">Travel/ Vacations </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54">
        <f>SUM(B170:AF170)</f>
        <v>0</v>
      </c>
    </row>
    <row r="171" spans="1:33" x14ac:dyDescent="0.2">
      <c r="A171" s="16" t="str">
        <f>BUDGET!A19</f>
        <v>Outings</v>
      </c>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54">
        <f t="shared" si="12"/>
        <v>0</v>
      </c>
    </row>
    <row r="172" spans="1:33" x14ac:dyDescent="0.2">
      <c r="A172" s="16" t="str">
        <f>BUDGET!A20</f>
        <v>Toiletries/Groceries</v>
      </c>
      <c r="B172" s="6"/>
      <c r="C172" s="6"/>
      <c r="D172" s="6"/>
      <c r="E172" s="6"/>
      <c r="F172" s="6"/>
      <c r="G172" s="6"/>
      <c r="H172" s="6"/>
      <c r="I172" s="6"/>
      <c r="J172" s="6"/>
      <c r="K172" s="6"/>
      <c r="L172" s="6"/>
      <c r="M172" s="6"/>
      <c r="N172" s="6"/>
      <c r="O172" s="6"/>
      <c r="P172" s="6"/>
      <c r="Q172" s="6"/>
      <c r="R172" s="6"/>
      <c r="S172" s="6"/>
      <c r="T172" s="6"/>
      <c r="U172" s="6">
        <v>28</v>
      </c>
      <c r="V172" s="6"/>
      <c r="W172" s="6">
        <v>597.91</v>
      </c>
      <c r="X172" s="6">
        <v>120</v>
      </c>
      <c r="Y172" s="6"/>
      <c r="Z172" s="6"/>
      <c r="AA172" s="6"/>
      <c r="AB172" s="6"/>
      <c r="AC172" s="6">
        <v>38</v>
      </c>
      <c r="AD172" s="6">
        <v>90</v>
      </c>
      <c r="AE172" s="6"/>
      <c r="AF172" s="6"/>
      <c r="AG172" s="54">
        <f t="shared" si="12"/>
        <v>873.91</v>
      </c>
    </row>
    <row r="173" spans="1:33" x14ac:dyDescent="0.2">
      <c r="A173" s="16" t="str">
        <f>BUDGET!A21</f>
        <v xml:space="preserve">Transportation </v>
      </c>
      <c r="B173" s="6"/>
      <c r="C173" s="6">
        <f>14+21</f>
        <v>35</v>
      </c>
      <c r="D173" s="6">
        <f>66+4.5</f>
        <v>70.5</v>
      </c>
      <c r="E173" s="6">
        <f>7+5.5+5+7.5</f>
        <v>25</v>
      </c>
      <c r="F173" s="6">
        <f>7+5.5+15</f>
        <v>27.5</v>
      </c>
      <c r="G173" s="6">
        <f>25+5+15</f>
        <v>45</v>
      </c>
      <c r="H173" s="6">
        <f>35.25+50</f>
        <v>85.25</v>
      </c>
      <c r="I173" s="6">
        <f>20+19</f>
        <v>39</v>
      </c>
      <c r="J173" s="6"/>
      <c r="K173" s="6">
        <f>82</f>
        <v>82</v>
      </c>
      <c r="L173" s="6"/>
      <c r="M173" s="6"/>
      <c r="N173" s="6"/>
      <c r="O173" s="6">
        <v>47</v>
      </c>
      <c r="P173" s="6"/>
      <c r="Q173" s="6"/>
      <c r="R173" s="6">
        <v>56</v>
      </c>
      <c r="S173" s="6"/>
      <c r="T173" s="6"/>
      <c r="U173" s="6"/>
      <c r="V173" s="6">
        <f>51+31</f>
        <v>82</v>
      </c>
      <c r="W173" s="6">
        <f>9+10+13+13+11+13</f>
        <v>69</v>
      </c>
      <c r="X173" s="6">
        <f>13+42</f>
        <v>55</v>
      </c>
      <c r="Y173" s="6">
        <v>51</v>
      </c>
      <c r="Z173" s="6">
        <f>3+2+7+5.5+43</f>
        <v>60.5</v>
      </c>
      <c r="AA173" s="6">
        <f>4+7+5</f>
        <v>16</v>
      </c>
      <c r="AB173" s="6"/>
      <c r="AC173" s="6">
        <f>14+11+73</f>
        <v>98</v>
      </c>
      <c r="AD173" s="6">
        <f>30+20</f>
        <v>50</v>
      </c>
      <c r="AE173" s="6">
        <v>18</v>
      </c>
      <c r="AF173" s="6"/>
      <c r="AG173" s="54">
        <f t="shared" si="12"/>
        <v>1011.75</v>
      </c>
    </row>
    <row r="174" spans="1:33" x14ac:dyDescent="0.2">
      <c r="A174" s="16" t="str">
        <f>BUDGET!A22</f>
        <v>Miscellaneous</v>
      </c>
      <c r="B174" s="6"/>
      <c r="C174" s="6"/>
      <c r="D174" s="6"/>
      <c r="E174" s="6"/>
      <c r="F174" s="6"/>
      <c r="G174" s="6"/>
      <c r="H174" s="6">
        <v>364.6</v>
      </c>
      <c r="I174" s="6"/>
      <c r="J174" s="6"/>
      <c r="K174" s="6"/>
      <c r="L174" s="6"/>
      <c r="M174" s="6">
        <v>28</v>
      </c>
      <c r="N174" s="6">
        <v>36</v>
      </c>
      <c r="O174" s="6"/>
      <c r="P174" s="6"/>
      <c r="Q174" s="6"/>
      <c r="R174" s="6"/>
      <c r="S174" s="6"/>
      <c r="T174" s="6"/>
      <c r="U174" s="6"/>
      <c r="V174" s="6"/>
      <c r="W174" s="6">
        <v>24</v>
      </c>
      <c r="X174" s="6">
        <v>205</v>
      </c>
      <c r="Y174" s="6"/>
      <c r="Z174" s="6"/>
      <c r="AA174" s="6"/>
      <c r="AB174" s="6"/>
      <c r="AC174" s="6"/>
      <c r="AD174" s="6">
        <v>50</v>
      </c>
      <c r="AE174" s="6"/>
      <c r="AF174" s="6"/>
      <c r="AG174" s="54">
        <f t="shared" si="12"/>
        <v>707.6</v>
      </c>
    </row>
    <row r="175" spans="1:33" x14ac:dyDescent="0.2">
      <c r="A175" s="16" t="str">
        <f>BUDGET!A23</f>
        <v>Apple Subscriptions</v>
      </c>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v>12.31</v>
      </c>
      <c r="AB175" s="6"/>
      <c r="AC175" s="6"/>
      <c r="AD175" s="6"/>
      <c r="AE175" s="6"/>
      <c r="AF175" s="6"/>
      <c r="AG175" s="54">
        <f t="shared" si="12"/>
        <v>12.31</v>
      </c>
    </row>
    <row r="176" spans="1:33" x14ac:dyDescent="0.2">
      <c r="A176" s="16" t="str">
        <f>BUDGET!A24</f>
        <v>Google 1</v>
      </c>
      <c r="B176" s="6"/>
      <c r="C176" s="6"/>
      <c r="D176" s="6"/>
      <c r="E176" s="6"/>
      <c r="F176" s="6"/>
      <c r="G176" s="6"/>
      <c r="H176" s="6"/>
      <c r="I176" s="6"/>
      <c r="J176" s="6"/>
      <c r="K176" s="6">
        <v>9</v>
      </c>
      <c r="L176" s="6"/>
      <c r="M176" s="6"/>
      <c r="N176" s="6"/>
      <c r="O176" s="6"/>
      <c r="P176" s="6"/>
      <c r="Q176" s="6"/>
      <c r="R176" s="6"/>
      <c r="S176" s="6"/>
      <c r="T176" s="6"/>
      <c r="U176" s="6"/>
      <c r="V176" s="6"/>
      <c r="W176" s="6"/>
      <c r="X176" s="6"/>
      <c r="Y176" s="6"/>
      <c r="Z176" s="6"/>
      <c r="AA176" s="6"/>
      <c r="AB176" s="6"/>
      <c r="AC176" s="6"/>
      <c r="AD176" s="6"/>
      <c r="AE176" s="6"/>
      <c r="AF176" s="6"/>
      <c r="AG176" s="54">
        <f>SUM(B176:AF176)</f>
        <v>9</v>
      </c>
    </row>
    <row r="177" spans="1:33" x14ac:dyDescent="0.2">
      <c r="A177" s="16" t="str">
        <f>BUDGET!A25</f>
        <v>Netflix</v>
      </c>
      <c r="B177" s="6"/>
      <c r="C177" s="6"/>
      <c r="D177" s="6"/>
      <c r="E177" s="6"/>
      <c r="F177" s="6"/>
      <c r="G177" s="6"/>
      <c r="H177" s="6"/>
      <c r="I177" s="6"/>
      <c r="J177" s="6"/>
      <c r="K177" s="6"/>
      <c r="L177" s="6"/>
      <c r="M177" s="6"/>
      <c r="N177" s="6"/>
      <c r="O177" s="6"/>
      <c r="P177" s="6"/>
      <c r="Q177" s="6"/>
      <c r="R177" s="6"/>
      <c r="S177" s="6"/>
      <c r="T177" s="6"/>
      <c r="U177" s="6"/>
      <c r="V177" s="6">
        <v>99.6</v>
      </c>
      <c r="W177" s="6"/>
      <c r="X177" s="6"/>
      <c r="Y177" s="6"/>
      <c r="Z177" s="6"/>
      <c r="AA177" s="6"/>
      <c r="AB177" s="6"/>
      <c r="AC177" s="6"/>
      <c r="AD177" s="6"/>
      <c r="AE177" s="6"/>
      <c r="AF177" s="6"/>
      <c r="AG177" s="54">
        <f t="shared" si="12"/>
        <v>99.6</v>
      </c>
    </row>
    <row r="178" spans="1:33" x14ac:dyDescent="0.2">
      <c r="A178" s="16" t="str">
        <f>BUDGET!A26</f>
        <v>Amuse</v>
      </c>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54">
        <f t="shared" si="12"/>
        <v>0</v>
      </c>
    </row>
    <row r="179" spans="1:33" x14ac:dyDescent="0.2">
      <c r="A179" s="16" t="str">
        <f>BUDGET!A27</f>
        <v>electricity</v>
      </c>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54">
        <f t="shared" si="12"/>
        <v>0</v>
      </c>
    </row>
    <row r="180" spans="1:33" ht="16" thickBot="1" x14ac:dyDescent="0.25">
      <c r="A180" s="16" t="str">
        <f>BUDGET!A28</f>
        <v>Account Charges</v>
      </c>
      <c r="B180" s="6"/>
      <c r="C180" s="6">
        <v>1</v>
      </c>
      <c r="D180" s="6"/>
      <c r="E180" s="6"/>
      <c r="F180" s="6"/>
      <c r="G180" s="6"/>
      <c r="H180" s="6"/>
      <c r="I180" s="6"/>
      <c r="J180" s="6"/>
      <c r="K180" s="6"/>
      <c r="L180" s="6"/>
      <c r="M180" s="6"/>
      <c r="N180" s="6"/>
      <c r="O180" s="6"/>
      <c r="P180" s="6"/>
      <c r="Q180" s="6"/>
      <c r="R180" s="6"/>
      <c r="S180" s="6"/>
      <c r="T180" s="6"/>
      <c r="U180" s="6"/>
      <c r="V180" s="6">
        <v>7</v>
      </c>
      <c r="W180" s="6"/>
      <c r="X180" s="6">
        <f>1.5+2.05</f>
        <v>3.55</v>
      </c>
      <c r="Y180" s="6"/>
      <c r="Z180" s="6"/>
      <c r="AA180" s="6"/>
      <c r="AB180" s="6"/>
      <c r="AC180" s="6"/>
      <c r="AD180" s="6">
        <f>1+7.5</f>
        <v>8.5</v>
      </c>
      <c r="AE180" s="6"/>
      <c r="AF180" s="6"/>
      <c r="AG180" s="54">
        <f t="shared" si="12"/>
        <v>20.05</v>
      </c>
    </row>
    <row r="181" spans="1:33" ht="17" thickBot="1" x14ac:dyDescent="0.25">
      <c r="A181" s="20" t="s">
        <v>11</v>
      </c>
      <c r="B181" s="21">
        <f>SUM(B161:B180)</f>
        <v>39</v>
      </c>
      <c r="C181" s="21">
        <f t="shared" ref="C181:AF181" si="13">SUM(C161:C180)</f>
        <v>106</v>
      </c>
      <c r="D181" s="21">
        <f>SUM(D161:D180)</f>
        <v>109.5</v>
      </c>
      <c r="E181" s="21">
        <f>SUM(E161:E180)</f>
        <v>334</v>
      </c>
      <c r="F181" s="21">
        <f t="shared" si="13"/>
        <v>32.5</v>
      </c>
      <c r="G181" s="21">
        <f t="shared" si="13"/>
        <v>53</v>
      </c>
      <c r="H181" s="21">
        <f t="shared" si="13"/>
        <v>489.35</v>
      </c>
      <c r="I181" s="21">
        <f t="shared" si="13"/>
        <v>220</v>
      </c>
      <c r="J181" s="21">
        <f t="shared" si="13"/>
        <v>0</v>
      </c>
      <c r="K181" s="21">
        <f t="shared" si="13"/>
        <v>120</v>
      </c>
      <c r="L181" s="21">
        <f t="shared" si="13"/>
        <v>8.5</v>
      </c>
      <c r="M181" s="21">
        <f t="shared" si="13"/>
        <v>36</v>
      </c>
      <c r="N181" s="21">
        <f t="shared" si="13"/>
        <v>44</v>
      </c>
      <c r="O181" s="21">
        <f t="shared" si="13"/>
        <v>134.69999999999999</v>
      </c>
      <c r="P181" s="21">
        <f t="shared" si="13"/>
        <v>0</v>
      </c>
      <c r="Q181" s="21">
        <f t="shared" si="13"/>
        <v>0</v>
      </c>
      <c r="R181" s="21">
        <f t="shared" si="13"/>
        <v>63</v>
      </c>
      <c r="S181" s="21">
        <f t="shared" si="13"/>
        <v>16.5</v>
      </c>
      <c r="T181" s="21">
        <f t="shared" si="13"/>
        <v>14</v>
      </c>
      <c r="U181" s="21">
        <f t="shared" si="13"/>
        <v>66</v>
      </c>
      <c r="V181" s="21">
        <f t="shared" si="13"/>
        <v>188.6</v>
      </c>
      <c r="W181" s="21">
        <f t="shared" si="13"/>
        <v>701.91</v>
      </c>
      <c r="X181" s="21">
        <f t="shared" si="13"/>
        <v>383.55</v>
      </c>
      <c r="Y181" s="21">
        <f t="shared" si="13"/>
        <v>51</v>
      </c>
      <c r="Z181" s="21">
        <f t="shared" si="13"/>
        <v>74.5</v>
      </c>
      <c r="AA181" s="21">
        <f t="shared" si="13"/>
        <v>144.78</v>
      </c>
      <c r="AB181" s="21">
        <f t="shared" si="13"/>
        <v>10</v>
      </c>
      <c r="AC181" s="21">
        <f t="shared" si="13"/>
        <v>217</v>
      </c>
      <c r="AD181" s="21">
        <f t="shared" si="13"/>
        <v>1033.5</v>
      </c>
      <c r="AE181" s="21">
        <f t="shared" si="13"/>
        <v>18</v>
      </c>
      <c r="AF181" s="21">
        <f t="shared" si="13"/>
        <v>27</v>
      </c>
      <c r="AG181" s="56">
        <f>SUM(AG161:AG180)</f>
        <v>4735.8900000000012</v>
      </c>
    </row>
    <row r="182" spans="1:33" ht="17" thickTop="1" x14ac:dyDescent="0.2">
      <c r="A182" s="5"/>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57"/>
    </row>
    <row r="183" spans="1:33" ht="16" x14ac:dyDescent="0.2">
      <c r="A183" s="5"/>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57"/>
    </row>
    <row r="184" spans="1:33" ht="16" x14ac:dyDescent="0.2">
      <c r="A184" s="5"/>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57"/>
    </row>
    <row r="185" spans="1:33" x14ac:dyDescent="0.2">
      <c r="A185" s="14" t="s">
        <v>194</v>
      </c>
      <c r="B185" s="7">
        <v>1</v>
      </c>
      <c r="C185" s="7">
        <v>2</v>
      </c>
      <c r="D185" s="7">
        <v>3</v>
      </c>
      <c r="E185" s="2">
        <v>4</v>
      </c>
      <c r="F185" s="2">
        <v>5</v>
      </c>
      <c r="G185" s="2">
        <v>6</v>
      </c>
      <c r="H185" s="2">
        <v>7</v>
      </c>
      <c r="I185" s="2">
        <v>8</v>
      </c>
      <c r="J185" s="2">
        <v>9</v>
      </c>
      <c r="K185" s="2">
        <v>10</v>
      </c>
      <c r="L185" s="2">
        <v>11</v>
      </c>
      <c r="M185" s="2">
        <v>12</v>
      </c>
      <c r="N185" s="2">
        <v>13</v>
      </c>
      <c r="O185" s="2">
        <v>14</v>
      </c>
      <c r="P185" s="2">
        <v>15</v>
      </c>
      <c r="Q185" s="2">
        <v>16</v>
      </c>
      <c r="R185" s="2">
        <v>17</v>
      </c>
      <c r="S185" s="2">
        <v>18</v>
      </c>
      <c r="T185" s="2">
        <v>19</v>
      </c>
      <c r="U185" s="2">
        <v>20</v>
      </c>
      <c r="V185" s="2">
        <v>21</v>
      </c>
      <c r="W185" s="2">
        <v>22</v>
      </c>
      <c r="X185" s="2">
        <v>23</v>
      </c>
      <c r="Y185" s="2">
        <v>24</v>
      </c>
      <c r="Z185" s="2">
        <v>25</v>
      </c>
      <c r="AA185" s="2">
        <v>26</v>
      </c>
      <c r="AB185" s="2">
        <v>27</v>
      </c>
      <c r="AC185" s="2">
        <v>28</v>
      </c>
      <c r="AD185" s="2">
        <v>29</v>
      </c>
      <c r="AE185" s="2">
        <v>30</v>
      </c>
      <c r="AF185" s="2">
        <v>31</v>
      </c>
      <c r="AG185" s="52" t="s">
        <v>0</v>
      </c>
    </row>
    <row r="186" spans="1:33" x14ac:dyDescent="0.2">
      <c r="A186" s="3"/>
      <c r="B186" s="3" t="s">
        <v>1</v>
      </c>
      <c r="C186" s="3" t="s">
        <v>1</v>
      </c>
      <c r="D186" s="3" t="s">
        <v>1</v>
      </c>
      <c r="E186" s="3" t="s">
        <v>1</v>
      </c>
      <c r="F186" s="3" t="s">
        <v>1</v>
      </c>
      <c r="G186" s="3" t="s">
        <v>1</v>
      </c>
      <c r="H186" s="3" t="s">
        <v>1</v>
      </c>
      <c r="I186" s="3" t="s">
        <v>1</v>
      </c>
      <c r="J186" s="3" t="s">
        <v>1</v>
      </c>
      <c r="K186" s="3" t="s">
        <v>1</v>
      </c>
      <c r="L186" s="3" t="s">
        <v>1</v>
      </c>
      <c r="M186" s="3" t="s">
        <v>1</v>
      </c>
      <c r="N186" s="3" t="s">
        <v>1</v>
      </c>
      <c r="O186" s="3" t="s">
        <v>1</v>
      </c>
      <c r="P186" s="3" t="s">
        <v>1</v>
      </c>
      <c r="Q186" s="3" t="s">
        <v>1</v>
      </c>
      <c r="R186" s="3" t="s">
        <v>1</v>
      </c>
      <c r="S186" s="3" t="s">
        <v>1</v>
      </c>
      <c r="T186" s="3" t="s">
        <v>1</v>
      </c>
      <c r="U186" s="3" t="s">
        <v>1</v>
      </c>
      <c r="V186" s="3" t="s">
        <v>1</v>
      </c>
      <c r="W186" s="3" t="s">
        <v>1</v>
      </c>
      <c r="X186" s="3" t="s">
        <v>1</v>
      </c>
      <c r="Y186" s="3" t="s">
        <v>1</v>
      </c>
      <c r="Z186" s="3" t="s">
        <v>1</v>
      </c>
      <c r="AA186" s="3" t="s">
        <v>1</v>
      </c>
      <c r="AB186" s="3" t="s">
        <v>1</v>
      </c>
      <c r="AC186" s="3" t="s">
        <v>1</v>
      </c>
      <c r="AD186" s="3" t="s">
        <v>1</v>
      </c>
      <c r="AE186" s="3" t="s">
        <v>1</v>
      </c>
      <c r="AF186" s="3" t="s">
        <v>1</v>
      </c>
      <c r="AG186" s="53" t="s">
        <v>1</v>
      </c>
    </row>
    <row r="187" spans="1:33" x14ac:dyDescent="0.2">
      <c r="A187" s="16" t="str">
        <f>BUDGET!A9</f>
        <v>Rent</v>
      </c>
      <c r="B187" s="6">
        <v>0</v>
      </c>
      <c r="C187" s="6">
        <v>0</v>
      </c>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54">
        <f>SUM(B187:AF187)</f>
        <v>0</v>
      </c>
    </row>
    <row r="188" spans="1:33" x14ac:dyDescent="0.2">
      <c r="A188" s="16" t="str">
        <f>BUDGET!A10</f>
        <v>Tithe</v>
      </c>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54">
        <f t="shared" ref="AG188:AG206" si="14">SUM(B188:AF188)</f>
        <v>0</v>
      </c>
    </row>
    <row r="189" spans="1:33" x14ac:dyDescent="0.2">
      <c r="A189" s="16" t="str">
        <f>BUDGET!A11</f>
        <v>Data</v>
      </c>
      <c r="B189" s="6">
        <v>0</v>
      </c>
      <c r="C189" s="6">
        <v>0</v>
      </c>
      <c r="D189" s="6"/>
      <c r="E189" s="6"/>
      <c r="F189" s="6">
        <v>300</v>
      </c>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54">
        <f t="shared" si="14"/>
        <v>300</v>
      </c>
    </row>
    <row r="190" spans="1:33" x14ac:dyDescent="0.2">
      <c r="A190" s="16" t="str">
        <f>BUDGET!A12</f>
        <v xml:space="preserve">Savings/ Investment </v>
      </c>
      <c r="B190" s="6"/>
      <c r="C190" s="6"/>
      <c r="D190" s="6"/>
      <c r="E190" s="6"/>
      <c r="F190" s="6"/>
      <c r="G190" s="6"/>
      <c r="H190" s="6"/>
      <c r="I190" s="6"/>
      <c r="J190" s="6"/>
      <c r="K190" s="6"/>
      <c r="L190" s="6"/>
      <c r="M190" s="6"/>
      <c r="N190" s="6"/>
      <c r="O190" s="6"/>
      <c r="P190" s="6"/>
      <c r="Q190" s="6"/>
      <c r="R190" s="6"/>
      <c r="S190" s="6"/>
      <c r="T190" s="6"/>
      <c r="U190" s="6"/>
      <c r="V190" s="6"/>
      <c r="W190" s="6"/>
      <c r="X190" s="6">
        <v>1000</v>
      </c>
      <c r="Y190" s="6"/>
      <c r="Z190" s="6"/>
      <c r="AA190" s="6"/>
      <c r="AB190" s="6"/>
      <c r="AC190" s="6"/>
      <c r="AD190" s="6"/>
      <c r="AE190" s="6"/>
      <c r="AF190" s="6"/>
      <c r="AG190" s="54">
        <f t="shared" si="14"/>
        <v>1000</v>
      </c>
    </row>
    <row r="191" spans="1:33" x14ac:dyDescent="0.2">
      <c r="A191" s="16" t="str">
        <f>BUDGET!A13</f>
        <v>Hair / Gym</v>
      </c>
      <c r="B191" s="6">
        <v>0</v>
      </c>
      <c r="C191" s="6">
        <v>0</v>
      </c>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54">
        <f t="shared" si="14"/>
        <v>0</v>
      </c>
    </row>
    <row r="192" spans="1:33" x14ac:dyDescent="0.2">
      <c r="A192" s="16" t="str">
        <f>BUDGET!A14</f>
        <v>Food</v>
      </c>
      <c r="B192" s="6">
        <f>7+106.99</f>
        <v>113.99</v>
      </c>
      <c r="C192" s="6">
        <f>5+30+12</f>
        <v>47</v>
      </c>
      <c r="D192" s="6">
        <v>10</v>
      </c>
      <c r="E192" s="6">
        <v>111</v>
      </c>
      <c r="F192" s="6">
        <v>18.5</v>
      </c>
      <c r="G192" s="6"/>
      <c r="H192" s="6">
        <v>5</v>
      </c>
      <c r="I192" s="6">
        <v>6</v>
      </c>
      <c r="J192" s="6">
        <f>3+4.5</f>
        <v>7.5</v>
      </c>
      <c r="K192" s="6">
        <v>4</v>
      </c>
      <c r="L192" s="6">
        <v>4</v>
      </c>
      <c r="M192" s="6"/>
      <c r="N192" s="6"/>
      <c r="O192" s="6">
        <v>11</v>
      </c>
      <c r="P192" s="6"/>
      <c r="Q192" s="6">
        <v>2</v>
      </c>
      <c r="R192" s="6">
        <v>2</v>
      </c>
      <c r="S192" s="6">
        <v>4</v>
      </c>
      <c r="T192" s="6">
        <v>32</v>
      </c>
      <c r="U192" s="6"/>
      <c r="V192" s="6"/>
      <c r="W192" s="6"/>
      <c r="X192" s="6">
        <v>4</v>
      </c>
      <c r="Y192" s="6">
        <v>5</v>
      </c>
      <c r="Z192" s="6">
        <f>5+32+10</f>
        <v>47</v>
      </c>
      <c r="AA192" s="6">
        <v>100</v>
      </c>
      <c r="AB192" s="6"/>
      <c r="AC192" s="6">
        <f>3+5</f>
        <v>8</v>
      </c>
      <c r="AD192" s="6">
        <v>22</v>
      </c>
      <c r="AE192" s="6">
        <v>18</v>
      </c>
      <c r="AF192" s="6">
        <f>5+9</f>
        <v>14</v>
      </c>
      <c r="AG192" s="54">
        <f t="shared" si="14"/>
        <v>595.99</v>
      </c>
    </row>
    <row r="193" spans="1:33" x14ac:dyDescent="0.2">
      <c r="A193" s="16" t="str">
        <f>BUDGET!A15</f>
        <v>Healthcare</v>
      </c>
      <c r="B193" s="6">
        <v>0</v>
      </c>
      <c r="C193" s="6">
        <v>0</v>
      </c>
      <c r="D193" s="6"/>
      <c r="E193" s="6"/>
      <c r="F193" s="6">
        <v>12</v>
      </c>
      <c r="G193" s="6"/>
      <c r="H193" s="6"/>
      <c r="I193" s="6"/>
      <c r="J193" s="6"/>
      <c r="K193" s="6"/>
      <c r="L193" s="6"/>
      <c r="M193" s="6"/>
      <c r="N193" s="6"/>
      <c r="O193" s="6"/>
      <c r="P193" s="6"/>
      <c r="Q193" s="6"/>
      <c r="R193" s="6"/>
      <c r="S193" s="6"/>
      <c r="T193" s="6"/>
      <c r="U193" s="6"/>
      <c r="V193" s="6"/>
      <c r="W193" s="6"/>
      <c r="X193" s="6"/>
      <c r="Y193" s="6"/>
      <c r="Z193" s="6"/>
      <c r="AA193" s="6"/>
      <c r="AB193" s="6"/>
      <c r="AC193" s="6"/>
      <c r="AD193" s="6">
        <v>40</v>
      </c>
      <c r="AE193" s="6"/>
      <c r="AF193" s="6"/>
      <c r="AG193" s="54">
        <f t="shared" si="14"/>
        <v>52</v>
      </c>
    </row>
    <row r="194" spans="1:33" x14ac:dyDescent="0.2">
      <c r="A194" s="16" t="str">
        <f>BUDGET!A16</f>
        <v xml:space="preserve">Clothes/ Shoes/ Jewelry </v>
      </c>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54">
        <f t="shared" si="14"/>
        <v>0</v>
      </c>
    </row>
    <row r="195" spans="1:33" x14ac:dyDescent="0.2">
      <c r="A195" s="16" t="str">
        <f>BUDGET!A17</f>
        <v>shoes</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54">
        <f t="shared" si="14"/>
        <v>0</v>
      </c>
    </row>
    <row r="196" spans="1:33" x14ac:dyDescent="0.2">
      <c r="A196" s="16" t="str">
        <f>BUDGET!A18</f>
        <v xml:space="preserve">Travel/ Vacations </v>
      </c>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54">
        <f t="shared" si="14"/>
        <v>0</v>
      </c>
    </row>
    <row r="197" spans="1:33" x14ac:dyDescent="0.2">
      <c r="A197" s="16" t="str">
        <f>BUDGET!A19</f>
        <v>Outings</v>
      </c>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54">
        <f t="shared" si="14"/>
        <v>0</v>
      </c>
    </row>
    <row r="198" spans="1:33" x14ac:dyDescent="0.2">
      <c r="A198" s="16" t="str">
        <f>BUDGET!A20</f>
        <v>Toiletries/Groceries</v>
      </c>
      <c r="B198" s="6"/>
      <c r="C198" s="6"/>
      <c r="D198" s="6"/>
      <c r="E198" s="6"/>
      <c r="F198" s="6"/>
      <c r="G198" s="6"/>
      <c r="H198" s="6"/>
      <c r="I198" s="6"/>
      <c r="J198" s="6"/>
      <c r="K198" s="6"/>
      <c r="L198" s="6"/>
      <c r="M198" s="6"/>
      <c r="N198" s="6"/>
      <c r="O198" s="6"/>
      <c r="P198" s="6"/>
      <c r="Q198" s="6"/>
      <c r="R198" s="6"/>
      <c r="S198" s="6"/>
      <c r="T198" s="6">
        <v>544.20000000000005</v>
      </c>
      <c r="U198" s="6"/>
      <c r="V198" s="6"/>
      <c r="W198" s="6"/>
      <c r="X198" s="6"/>
      <c r="Y198" s="6"/>
      <c r="Z198" s="6">
        <f>120+38</f>
        <v>158</v>
      </c>
      <c r="AA198" s="6"/>
      <c r="AB198" s="6"/>
      <c r="AC198" s="6"/>
      <c r="AD198" s="6"/>
      <c r="AE198" s="6"/>
      <c r="AF198" s="6"/>
      <c r="AG198" s="54">
        <f t="shared" si="14"/>
        <v>702.2</v>
      </c>
    </row>
    <row r="199" spans="1:33" x14ac:dyDescent="0.2">
      <c r="A199" s="16" t="str">
        <f>BUDGET!A21</f>
        <v xml:space="preserve">Transportation </v>
      </c>
      <c r="B199" s="6"/>
      <c r="C199" s="6"/>
      <c r="D199" s="6"/>
      <c r="E199" s="6">
        <f>12+54</f>
        <v>66</v>
      </c>
      <c r="F199" s="6">
        <f>17+20</f>
        <v>37</v>
      </c>
      <c r="G199" s="6">
        <f>28+32</f>
        <v>60</v>
      </c>
      <c r="H199" s="6">
        <f>101+8</f>
        <v>109</v>
      </c>
      <c r="I199" s="6"/>
      <c r="J199" s="6"/>
      <c r="K199" s="6">
        <v>10</v>
      </c>
      <c r="L199" s="6">
        <f>5+15</f>
        <v>20</v>
      </c>
      <c r="M199" s="6"/>
      <c r="N199" s="6"/>
      <c r="O199" s="104">
        <f>100+72</f>
        <v>172</v>
      </c>
      <c r="P199" s="6">
        <f>43+5</f>
        <v>48</v>
      </c>
      <c r="Q199" s="6">
        <v>12</v>
      </c>
      <c r="R199" s="6"/>
      <c r="S199" s="6">
        <v>61</v>
      </c>
      <c r="T199" s="6">
        <v>22</v>
      </c>
      <c r="U199" s="6"/>
      <c r="V199" s="6">
        <v>50</v>
      </c>
      <c r="W199" s="6"/>
      <c r="X199" s="6"/>
      <c r="Y199" s="6">
        <v>4.5</v>
      </c>
      <c r="Z199" s="6">
        <f>38+48</f>
        <v>86</v>
      </c>
      <c r="AA199" s="6"/>
      <c r="AB199" s="6">
        <v>13</v>
      </c>
      <c r="AC199" s="6">
        <f>72+20</f>
        <v>92</v>
      </c>
      <c r="AD199" s="6"/>
      <c r="AE199" s="6"/>
      <c r="AF199" s="6"/>
      <c r="AG199" s="54">
        <f t="shared" si="14"/>
        <v>862.5</v>
      </c>
    </row>
    <row r="200" spans="1:33" x14ac:dyDescent="0.2">
      <c r="A200" s="16" t="str">
        <f>BUDGET!A22</f>
        <v>Miscellaneous</v>
      </c>
      <c r="B200" s="6">
        <v>0</v>
      </c>
      <c r="C200" s="6">
        <v>0</v>
      </c>
      <c r="D200" s="6">
        <v>10.5</v>
      </c>
      <c r="E200" s="6"/>
      <c r="F200" s="6">
        <v>25</v>
      </c>
      <c r="G200" s="6"/>
      <c r="H200" s="6"/>
      <c r="I200" s="6"/>
      <c r="J200" s="6">
        <v>31</v>
      </c>
      <c r="K200" s="6">
        <v>50</v>
      </c>
      <c r="L200" s="6"/>
      <c r="M200" s="6"/>
      <c r="N200" s="6"/>
      <c r="O200" s="6">
        <v>50</v>
      </c>
      <c r="P200" s="6"/>
      <c r="Q200" s="6"/>
      <c r="R200" s="6"/>
      <c r="S200" s="6"/>
      <c r="T200" s="6"/>
      <c r="U200" s="6"/>
      <c r="V200" s="6"/>
      <c r="W200" s="6"/>
      <c r="X200" s="6"/>
      <c r="Y200" s="6">
        <v>15</v>
      </c>
      <c r="Z200" s="6"/>
      <c r="AA200" s="6"/>
      <c r="AB200" s="6"/>
      <c r="AC200" s="6">
        <v>0</v>
      </c>
      <c r="AD200" s="6"/>
      <c r="AE200" s="6"/>
      <c r="AF200" s="6"/>
      <c r="AG200" s="54">
        <f t="shared" si="14"/>
        <v>181.5</v>
      </c>
    </row>
    <row r="201" spans="1:33" x14ac:dyDescent="0.2">
      <c r="A201" s="16" t="str">
        <f>BUDGET!A23</f>
        <v>Apple Subscriptions</v>
      </c>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v>12.13</v>
      </c>
      <c r="AB201" s="6"/>
      <c r="AC201" s="6"/>
      <c r="AD201" s="6"/>
      <c r="AE201" s="6"/>
      <c r="AF201" s="6"/>
      <c r="AG201" s="54">
        <f t="shared" si="14"/>
        <v>12.13</v>
      </c>
    </row>
    <row r="202" spans="1:33" x14ac:dyDescent="0.2">
      <c r="A202" s="16" t="str">
        <f>BUDGET!A24</f>
        <v>Google 1</v>
      </c>
      <c r="B202" s="6"/>
      <c r="C202" s="6"/>
      <c r="D202" s="6"/>
      <c r="E202" s="6"/>
      <c r="F202" s="6"/>
      <c r="G202" s="6"/>
      <c r="H202" s="6"/>
      <c r="I202" s="6"/>
      <c r="J202" s="6"/>
      <c r="K202" s="6">
        <v>9</v>
      </c>
      <c r="L202" s="6"/>
      <c r="M202" s="6"/>
      <c r="N202" s="6"/>
      <c r="O202" s="6"/>
      <c r="P202" s="6"/>
      <c r="Q202" s="6"/>
      <c r="R202" s="6"/>
      <c r="S202" s="6"/>
      <c r="T202" s="6"/>
      <c r="U202" s="6"/>
      <c r="V202" s="6"/>
      <c r="W202" s="6"/>
      <c r="X202" s="6"/>
      <c r="Y202" s="6"/>
      <c r="Z202" s="6"/>
      <c r="AA202" s="6"/>
      <c r="AB202" s="6"/>
      <c r="AC202" s="6"/>
      <c r="AD202" s="6"/>
      <c r="AE202" s="6"/>
      <c r="AF202" s="6"/>
      <c r="AG202" s="54">
        <f t="shared" si="14"/>
        <v>9</v>
      </c>
    </row>
    <row r="203" spans="1:33" x14ac:dyDescent="0.2">
      <c r="A203" s="16" t="str">
        <f>BUDGET!A25</f>
        <v>Netflix</v>
      </c>
      <c r="B203" s="6"/>
      <c r="C203" s="6"/>
      <c r="D203" s="6"/>
      <c r="E203" s="6"/>
      <c r="F203" s="6"/>
      <c r="G203" s="6"/>
      <c r="H203" s="6"/>
      <c r="I203" s="6"/>
      <c r="J203" s="6"/>
      <c r="K203" s="6"/>
      <c r="L203" s="6"/>
      <c r="M203" s="6"/>
      <c r="N203" s="6"/>
      <c r="O203" s="6"/>
      <c r="P203" s="6"/>
      <c r="Q203" s="6"/>
      <c r="R203" s="6"/>
      <c r="S203" s="6"/>
      <c r="T203" s="6"/>
      <c r="U203" s="6"/>
      <c r="V203" s="6"/>
      <c r="W203" s="6"/>
      <c r="X203" s="6">
        <v>97.44</v>
      </c>
      <c r="Y203" s="6"/>
      <c r="Z203" s="6"/>
      <c r="AA203" s="6"/>
      <c r="AB203" s="6"/>
      <c r="AC203" s="6"/>
      <c r="AD203" s="6"/>
      <c r="AE203" s="6"/>
      <c r="AF203" s="6"/>
      <c r="AG203" s="54">
        <f t="shared" si="14"/>
        <v>97.44</v>
      </c>
    </row>
    <row r="204" spans="1:33" x14ac:dyDescent="0.2">
      <c r="A204" s="16" t="str">
        <f>BUDGET!A26</f>
        <v>Amuse</v>
      </c>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54">
        <f t="shared" si="14"/>
        <v>0</v>
      </c>
    </row>
    <row r="205" spans="1:33" x14ac:dyDescent="0.2">
      <c r="A205" s="16" t="str">
        <f>BUDGET!A27</f>
        <v>electricity</v>
      </c>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54">
        <f t="shared" si="14"/>
        <v>0</v>
      </c>
    </row>
    <row r="206" spans="1:33" ht="16" thickBot="1" x14ac:dyDescent="0.25">
      <c r="A206" s="16" t="str">
        <f>BUDGET!A28</f>
        <v>Account Charges</v>
      </c>
      <c r="B206" s="6"/>
      <c r="C206" s="6"/>
      <c r="D206" s="6"/>
      <c r="E206" s="6"/>
      <c r="F206" s="6"/>
      <c r="G206" s="6"/>
      <c r="H206" s="6"/>
      <c r="I206" s="6"/>
      <c r="J206" s="6"/>
      <c r="K206" s="6"/>
      <c r="L206" s="6"/>
      <c r="M206" s="6"/>
      <c r="N206" s="6"/>
      <c r="O206" s="6"/>
      <c r="P206" s="6"/>
      <c r="Q206" s="6"/>
      <c r="R206" s="6"/>
      <c r="S206" s="6"/>
      <c r="T206" s="6"/>
      <c r="U206" s="6"/>
      <c r="V206" s="6"/>
      <c r="W206" s="6"/>
      <c r="X206" s="6">
        <v>5</v>
      </c>
      <c r="Y206" s="6">
        <v>1</v>
      </c>
      <c r="Z206" s="6">
        <v>1.72</v>
      </c>
      <c r="AA206" s="6"/>
      <c r="AB206" s="6"/>
      <c r="AC206" s="6"/>
      <c r="AD206" s="6">
        <v>3</v>
      </c>
      <c r="AE206" s="6"/>
      <c r="AF206" s="6"/>
      <c r="AG206" s="54">
        <f t="shared" si="14"/>
        <v>10.719999999999999</v>
      </c>
    </row>
    <row r="207" spans="1:33" ht="17" thickBot="1" x14ac:dyDescent="0.25">
      <c r="A207" s="20" t="s">
        <v>11</v>
      </c>
      <c r="B207" s="21">
        <f>SUM(B187:B206)</f>
        <v>113.99</v>
      </c>
      <c r="C207" s="21">
        <f t="shared" ref="C207:AG207" si="15">SUM(C187:C206)</f>
        <v>47</v>
      </c>
      <c r="D207" s="21">
        <f t="shared" si="15"/>
        <v>20.5</v>
      </c>
      <c r="E207" s="21">
        <f t="shared" si="15"/>
        <v>177</v>
      </c>
      <c r="F207" s="21">
        <f t="shared" si="15"/>
        <v>392.5</v>
      </c>
      <c r="G207" s="21">
        <f t="shared" si="15"/>
        <v>60</v>
      </c>
      <c r="H207" s="21">
        <f t="shared" si="15"/>
        <v>114</v>
      </c>
      <c r="I207" s="21">
        <f t="shared" si="15"/>
        <v>6</v>
      </c>
      <c r="J207" s="21">
        <f t="shared" si="15"/>
        <v>38.5</v>
      </c>
      <c r="K207" s="21">
        <f t="shared" si="15"/>
        <v>73</v>
      </c>
      <c r="L207" s="21">
        <f t="shared" si="15"/>
        <v>24</v>
      </c>
      <c r="M207" s="21">
        <f t="shared" si="15"/>
        <v>0</v>
      </c>
      <c r="N207" s="21">
        <f t="shared" si="15"/>
        <v>0</v>
      </c>
      <c r="O207" s="21">
        <f t="shared" si="15"/>
        <v>233</v>
      </c>
      <c r="P207" s="21">
        <f t="shared" si="15"/>
        <v>48</v>
      </c>
      <c r="Q207" s="21">
        <f t="shared" si="15"/>
        <v>14</v>
      </c>
      <c r="R207" s="21">
        <f t="shared" si="15"/>
        <v>2</v>
      </c>
      <c r="S207" s="21">
        <f t="shared" si="15"/>
        <v>65</v>
      </c>
      <c r="T207" s="21">
        <f t="shared" si="15"/>
        <v>598.20000000000005</v>
      </c>
      <c r="U207" s="21">
        <f t="shared" si="15"/>
        <v>0</v>
      </c>
      <c r="V207" s="21">
        <f t="shared" si="15"/>
        <v>50</v>
      </c>
      <c r="W207" s="21">
        <f t="shared" si="15"/>
        <v>0</v>
      </c>
      <c r="X207" s="21">
        <f t="shared" si="15"/>
        <v>1106.44</v>
      </c>
      <c r="Y207" s="21">
        <f t="shared" si="15"/>
        <v>25.5</v>
      </c>
      <c r="Z207" s="21">
        <f t="shared" si="15"/>
        <v>292.72000000000003</v>
      </c>
      <c r="AA207" s="21">
        <f t="shared" si="15"/>
        <v>112.13</v>
      </c>
      <c r="AB207" s="21">
        <f t="shared" si="15"/>
        <v>13</v>
      </c>
      <c r="AC207" s="21">
        <f t="shared" si="15"/>
        <v>100</v>
      </c>
      <c r="AD207" s="21">
        <f t="shared" si="15"/>
        <v>65</v>
      </c>
      <c r="AE207" s="21">
        <f t="shared" si="15"/>
        <v>18</v>
      </c>
      <c r="AF207" s="21">
        <f t="shared" si="15"/>
        <v>14</v>
      </c>
      <c r="AG207" s="56">
        <f t="shared" si="15"/>
        <v>3823.48</v>
      </c>
    </row>
    <row r="208" spans="1:33" ht="17" thickTop="1" x14ac:dyDescent="0.2">
      <c r="A208" s="5"/>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57"/>
    </row>
    <row r="209" spans="1:33" ht="16" x14ac:dyDescent="0.2">
      <c r="A209" s="5"/>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57"/>
    </row>
    <row r="210" spans="1:33" x14ac:dyDescent="0.2">
      <c r="AG210" s="49"/>
    </row>
    <row r="211" spans="1:33" x14ac:dyDescent="0.2">
      <c r="AG211" s="49"/>
    </row>
    <row r="212" spans="1:33" x14ac:dyDescent="0.2">
      <c r="A212" s="14" t="s">
        <v>195</v>
      </c>
      <c r="B212" s="7">
        <v>1</v>
      </c>
      <c r="C212" s="7">
        <v>2</v>
      </c>
      <c r="D212" s="7">
        <v>3</v>
      </c>
      <c r="E212" s="2">
        <v>4</v>
      </c>
      <c r="F212" s="2">
        <v>5</v>
      </c>
      <c r="G212" s="2">
        <v>6</v>
      </c>
      <c r="H212" s="2">
        <v>7</v>
      </c>
      <c r="I212" s="2">
        <v>8</v>
      </c>
      <c r="J212" s="2">
        <v>9</v>
      </c>
      <c r="K212" s="2">
        <v>10</v>
      </c>
      <c r="L212" s="2">
        <v>11</v>
      </c>
      <c r="M212" s="2">
        <v>12</v>
      </c>
      <c r="N212" s="2">
        <v>13</v>
      </c>
      <c r="O212" s="2">
        <v>14</v>
      </c>
      <c r="P212" s="2">
        <v>15</v>
      </c>
      <c r="Q212" s="2">
        <v>16</v>
      </c>
      <c r="R212" s="2">
        <v>17</v>
      </c>
      <c r="S212" s="2">
        <v>18</v>
      </c>
      <c r="T212" s="2">
        <v>19</v>
      </c>
      <c r="U212" s="2">
        <v>20</v>
      </c>
      <c r="V212" s="2">
        <v>21</v>
      </c>
      <c r="W212" s="2">
        <v>22</v>
      </c>
      <c r="X212" s="2">
        <v>23</v>
      </c>
      <c r="Y212" s="2">
        <v>24</v>
      </c>
      <c r="Z212" s="2">
        <v>25</v>
      </c>
      <c r="AA212" s="2">
        <v>26</v>
      </c>
      <c r="AB212" s="2">
        <v>27</v>
      </c>
      <c r="AC212" s="2">
        <v>28</v>
      </c>
      <c r="AD212" s="2">
        <v>29</v>
      </c>
      <c r="AE212" s="2">
        <v>30</v>
      </c>
      <c r="AG212" s="52" t="s">
        <v>0</v>
      </c>
    </row>
    <row r="213" spans="1:33" x14ac:dyDescent="0.2">
      <c r="A213" s="3"/>
      <c r="B213" s="3" t="s">
        <v>1</v>
      </c>
      <c r="C213" s="3" t="s">
        <v>1</v>
      </c>
      <c r="D213" s="3" t="s">
        <v>1</v>
      </c>
      <c r="E213" s="3" t="s">
        <v>1</v>
      </c>
      <c r="F213" s="3" t="s">
        <v>1</v>
      </c>
      <c r="G213" s="3" t="s">
        <v>1</v>
      </c>
      <c r="H213" s="3" t="s">
        <v>1</v>
      </c>
      <c r="I213" s="3" t="s">
        <v>1</v>
      </c>
      <c r="J213" s="3" t="s">
        <v>1</v>
      </c>
      <c r="K213" s="3" t="s">
        <v>1</v>
      </c>
      <c r="L213" s="3" t="s">
        <v>1</v>
      </c>
      <c r="M213" s="3" t="s">
        <v>1</v>
      </c>
      <c r="N213" s="3" t="s">
        <v>1</v>
      </c>
      <c r="O213" s="3" t="s">
        <v>1</v>
      </c>
      <c r="P213" s="3" t="s">
        <v>1</v>
      </c>
      <c r="Q213" s="3" t="s">
        <v>1</v>
      </c>
      <c r="R213" s="3" t="s">
        <v>1</v>
      </c>
      <c r="S213" s="3" t="s">
        <v>1</v>
      </c>
      <c r="T213" s="3" t="s">
        <v>1</v>
      </c>
      <c r="U213" s="3" t="s">
        <v>1</v>
      </c>
      <c r="V213" s="3" t="s">
        <v>1</v>
      </c>
      <c r="W213" s="3" t="s">
        <v>1</v>
      </c>
      <c r="X213" s="3" t="s">
        <v>1</v>
      </c>
      <c r="Y213" s="3" t="s">
        <v>1</v>
      </c>
      <c r="Z213" s="3" t="s">
        <v>1</v>
      </c>
      <c r="AA213" s="3" t="s">
        <v>1</v>
      </c>
      <c r="AB213" s="3" t="s">
        <v>1</v>
      </c>
      <c r="AC213" s="3" t="s">
        <v>1</v>
      </c>
      <c r="AD213" s="3" t="s">
        <v>1</v>
      </c>
      <c r="AE213" s="3" t="s">
        <v>1</v>
      </c>
      <c r="AF213" s="3"/>
      <c r="AG213" s="53" t="s">
        <v>1</v>
      </c>
    </row>
    <row r="214" spans="1:33" x14ac:dyDescent="0.2">
      <c r="A214" s="16" t="str">
        <f>BUDGET!A9</f>
        <v>Rent</v>
      </c>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G214" s="54">
        <f t="shared" ref="AG214:AG233" si="16">SUM(B214:AE214)</f>
        <v>0</v>
      </c>
    </row>
    <row r="215" spans="1:33" ht="17" customHeight="1" x14ac:dyDescent="0.2">
      <c r="A215" s="16" t="str">
        <f>BUDGET!A10</f>
        <v>Tithe</v>
      </c>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G215" s="54">
        <f t="shared" si="16"/>
        <v>0</v>
      </c>
    </row>
    <row r="216" spans="1:33" x14ac:dyDescent="0.2">
      <c r="A216" s="16" t="str">
        <f>BUDGET!A11</f>
        <v>Data</v>
      </c>
      <c r="B216" s="6"/>
      <c r="C216" s="6"/>
      <c r="D216" s="6"/>
      <c r="E216" s="6"/>
      <c r="F216" s="6"/>
      <c r="G216" s="6"/>
      <c r="H216" s="6"/>
      <c r="I216" s="6"/>
      <c r="J216" s="6"/>
      <c r="K216" s="6"/>
      <c r="L216" s="6"/>
      <c r="M216" s="6"/>
      <c r="N216" s="6"/>
      <c r="O216" s="6"/>
      <c r="P216" s="6"/>
      <c r="Q216" s="6"/>
      <c r="R216" s="6"/>
      <c r="S216" s="6"/>
      <c r="T216" s="6"/>
      <c r="U216" s="6"/>
      <c r="V216" s="6"/>
      <c r="W216" s="6">
        <v>300</v>
      </c>
      <c r="X216" s="6"/>
      <c r="Y216" s="6"/>
      <c r="Z216" s="6"/>
      <c r="AA216" s="6"/>
      <c r="AB216" s="6"/>
      <c r="AC216" s="6"/>
      <c r="AD216" s="6"/>
      <c r="AE216" s="6"/>
      <c r="AG216" s="54">
        <f t="shared" si="16"/>
        <v>300</v>
      </c>
    </row>
    <row r="217" spans="1:33" s="6" customFormat="1" x14ac:dyDescent="0.2">
      <c r="A217" s="16" t="str">
        <f>BUDGET!A12</f>
        <v xml:space="preserve">Savings/ Investment </v>
      </c>
      <c r="H217" s="1"/>
      <c r="W217" s="6">
        <v>250</v>
      </c>
      <c r="AG217" s="54">
        <f t="shared" si="16"/>
        <v>250</v>
      </c>
    </row>
    <row r="218" spans="1:33" s="6" customFormat="1" x14ac:dyDescent="0.2">
      <c r="A218" s="16" t="str">
        <f>BUDGET!A13</f>
        <v>Hair / Gym</v>
      </c>
      <c r="H218" s="1"/>
      <c r="AG218" s="54">
        <f t="shared" si="16"/>
        <v>0</v>
      </c>
    </row>
    <row r="219" spans="1:33" s="6" customFormat="1" x14ac:dyDescent="0.2">
      <c r="A219" s="16" t="str">
        <f>BUDGET!A14</f>
        <v>Food</v>
      </c>
      <c r="C219" s="6">
        <f>47.96+30+27</f>
        <v>104.96000000000001</v>
      </c>
      <c r="E219" s="6">
        <f>3</f>
        <v>3</v>
      </c>
      <c r="F219" s="6">
        <v>8</v>
      </c>
      <c r="H219" s="1">
        <v>6</v>
      </c>
      <c r="I219" s="6">
        <f>40+8</f>
        <v>48</v>
      </c>
      <c r="J219" s="6">
        <f>40+5+5+9</f>
        <v>59</v>
      </c>
      <c r="K219" s="6">
        <v>51</v>
      </c>
      <c r="L219" s="6">
        <v>9</v>
      </c>
      <c r="M219" s="6">
        <v>8</v>
      </c>
      <c r="N219" s="6">
        <f>8+5</f>
        <v>13</v>
      </c>
      <c r="O219" s="6">
        <f>18+18</f>
        <v>36</v>
      </c>
      <c r="P219" s="6">
        <f>18+8</f>
        <v>26</v>
      </c>
      <c r="Q219" s="6">
        <f>32</f>
        <v>32</v>
      </c>
      <c r="S219" s="6">
        <f>8</f>
        <v>8</v>
      </c>
      <c r="T219" s="6">
        <f>6</f>
        <v>6</v>
      </c>
      <c r="U219" s="6">
        <f>9+10</f>
        <v>19</v>
      </c>
      <c r="V219" s="6">
        <f>32</f>
        <v>32</v>
      </c>
      <c r="AA219" s="6">
        <v>8</v>
      </c>
      <c r="AB219" s="6">
        <f>6+6</f>
        <v>12</v>
      </c>
      <c r="AC219" s="6">
        <v>20</v>
      </c>
      <c r="AD219" s="6">
        <v>4</v>
      </c>
      <c r="AE219" s="6">
        <f>16+10</f>
        <v>26</v>
      </c>
      <c r="AG219" s="54">
        <f t="shared" si="16"/>
        <v>538.96</v>
      </c>
    </row>
    <row r="220" spans="1:33" s="6" customFormat="1" x14ac:dyDescent="0.2">
      <c r="A220" s="16" t="str">
        <f>BUDGET!A15</f>
        <v>Healthcare</v>
      </c>
      <c r="E220" s="6">
        <v>46.9</v>
      </c>
      <c r="H220" s="1"/>
      <c r="AG220" s="54">
        <f t="shared" si="16"/>
        <v>46.9</v>
      </c>
    </row>
    <row r="221" spans="1:33" s="6" customFormat="1" x14ac:dyDescent="0.2">
      <c r="A221" s="16" t="str">
        <f>BUDGET!A16</f>
        <v xml:space="preserve">Clothes/ Shoes/ Jewelry </v>
      </c>
      <c r="H221" s="1"/>
      <c r="AG221" s="54">
        <f t="shared" si="16"/>
        <v>0</v>
      </c>
    </row>
    <row r="222" spans="1:33" s="6" customFormat="1" x14ac:dyDescent="0.2">
      <c r="A222" s="16" t="str">
        <f>BUDGET!A17</f>
        <v>shoes</v>
      </c>
      <c r="H222" s="1"/>
      <c r="AG222" s="54">
        <f t="shared" si="16"/>
        <v>0</v>
      </c>
    </row>
    <row r="223" spans="1:33" x14ac:dyDescent="0.2">
      <c r="A223" s="16" t="str">
        <f>BUDGET!A18</f>
        <v xml:space="preserve">Travel/ Vacations </v>
      </c>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G223" s="54">
        <f t="shared" si="16"/>
        <v>0</v>
      </c>
    </row>
    <row r="224" spans="1:33" x14ac:dyDescent="0.2">
      <c r="A224" s="16" t="str">
        <f>BUDGET!A19</f>
        <v>Outings</v>
      </c>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G224" s="54">
        <f t="shared" si="16"/>
        <v>0</v>
      </c>
    </row>
    <row r="225" spans="1:33" x14ac:dyDescent="0.2">
      <c r="A225" s="16" t="str">
        <f>BUDGET!A20</f>
        <v>Toiletries/Groceries</v>
      </c>
      <c r="C225" s="6"/>
      <c r="D225" s="6"/>
      <c r="E225" s="6"/>
      <c r="F225" s="6"/>
      <c r="G225" s="6"/>
      <c r="H225" s="6"/>
      <c r="I225" s="6"/>
      <c r="J225" s="6">
        <f>80+30</f>
        <v>110</v>
      </c>
      <c r="K225" s="6"/>
      <c r="L225" s="6"/>
      <c r="M225" s="6"/>
      <c r="N225" s="6"/>
      <c r="O225" s="6"/>
      <c r="P225" s="6"/>
      <c r="Q225" s="6"/>
      <c r="R225" s="6"/>
      <c r="S225" s="6"/>
      <c r="T225" s="6"/>
      <c r="U225" s="6"/>
      <c r="V225" s="6"/>
      <c r="W225" s="6">
        <v>744.73</v>
      </c>
      <c r="X225" s="6">
        <f>11.49+126.5+82.81</f>
        <v>220.8</v>
      </c>
      <c r="Y225" s="6"/>
      <c r="Z225" s="6"/>
      <c r="AA225" s="6">
        <v>2</v>
      </c>
      <c r="AB225" s="6"/>
      <c r="AC225" s="6">
        <v>38</v>
      </c>
      <c r="AD225" s="6"/>
      <c r="AE225" s="6"/>
      <c r="AG225" s="54">
        <f t="shared" si="16"/>
        <v>1115.53</v>
      </c>
    </row>
    <row r="226" spans="1:33" x14ac:dyDescent="0.2">
      <c r="A226" s="16" t="str">
        <f>BUDGET!A21</f>
        <v xml:space="preserve">Transportation </v>
      </c>
      <c r="B226" s="6">
        <f>45+44</f>
        <v>89</v>
      </c>
      <c r="C226" s="6"/>
      <c r="D226" s="6"/>
      <c r="E226" s="6">
        <v>60</v>
      </c>
      <c r="F226" s="6">
        <v>14</v>
      </c>
      <c r="G226" s="6"/>
      <c r="H226" s="6">
        <v>44</v>
      </c>
      <c r="I226" s="6">
        <f>36+17+48+49</f>
        <v>150</v>
      </c>
      <c r="J226" s="6"/>
      <c r="K226" s="6"/>
      <c r="L226" s="6"/>
      <c r="M226" s="6">
        <v>40</v>
      </c>
      <c r="N226" s="6"/>
      <c r="O226" s="6"/>
      <c r="P226" s="6">
        <v>50</v>
      </c>
      <c r="Q226" s="6">
        <f>10+10</f>
        <v>20</v>
      </c>
      <c r="R226" s="6">
        <f>10+23</f>
        <v>33</v>
      </c>
      <c r="S226" s="6">
        <v>57</v>
      </c>
      <c r="T226" s="6"/>
      <c r="U226" s="6"/>
      <c r="V226" s="6">
        <f>10+10</f>
        <v>20</v>
      </c>
      <c r="W226" s="6">
        <f>21+22</f>
        <v>43</v>
      </c>
      <c r="X226" s="6">
        <v>10</v>
      </c>
      <c r="Y226" s="6"/>
      <c r="Z226" s="6">
        <v>71</v>
      </c>
      <c r="AA226" s="6"/>
      <c r="AB226" s="6"/>
      <c r="AC226" s="6">
        <f>51+41</f>
        <v>92</v>
      </c>
      <c r="AD226" s="6">
        <v>15</v>
      </c>
      <c r="AE226" s="6">
        <v>53</v>
      </c>
      <c r="AG226" s="54">
        <f>SUM(B226:AE226)</f>
        <v>861</v>
      </c>
    </row>
    <row r="227" spans="1:33" x14ac:dyDescent="0.2">
      <c r="A227" s="16" t="str">
        <f>BUDGET!A22</f>
        <v>Miscellaneous</v>
      </c>
      <c r="B227" s="6">
        <v>27</v>
      </c>
      <c r="C227" s="6"/>
      <c r="D227" s="6"/>
      <c r="E227" s="6">
        <v>28</v>
      </c>
      <c r="F227" s="6">
        <v>100</v>
      </c>
      <c r="G227" s="6"/>
      <c r="H227" s="6"/>
      <c r="I227" s="6"/>
      <c r="J227" s="6">
        <v>20</v>
      </c>
      <c r="K227" s="6"/>
      <c r="L227" s="6"/>
      <c r="M227" s="6"/>
      <c r="N227" s="6">
        <v>20</v>
      </c>
      <c r="O227" s="6"/>
      <c r="P227" s="6"/>
      <c r="Q227" s="6"/>
      <c r="R227" s="6">
        <v>19</v>
      </c>
      <c r="S227" s="6"/>
      <c r="T227" s="6">
        <f>90+19</f>
        <v>109</v>
      </c>
      <c r="U227" s="6"/>
      <c r="V227" s="6"/>
      <c r="W227" s="6">
        <v>400</v>
      </c>
      <c r="X227" s="6"/>
      <c r="Y227" s="6"/>
      <c r="Z227" s="6"/>
      <c r="AA227" s="6"/>
      <c r="AB227" s="6"/>
      <c r="AD227" s="6"/>
      <c r="AE227" s="6"/>
      <c r="AG227" s="54">
        <f t="shared" si="16"/>
        <v>723</v>
      </c>
    </row>
    <row r="228" spans="1:33" x14ac:dyDescent="0.2">
      <c r="A228" s="16" t="str">
        <f>BUDGET!A23</f>
        <v>Apple Subscriptions</v>
      </c>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v>12.28</v>
      </c>
      <c r="AB228" s="6"/>
      <c r="AC228" s="6"/>
      <c r="AD228" s="6"/>
      <c r="AE228" s="6"/>
      <c r="AG228" s="54">
        <f t="shared" si="16"/>
        <v>12.28</v>
      </c>
    </row>
    <row r="229" spans="1:33" x14ac:dyDescent="0.2">
      <c r="A229" s="16" t="str">
        <f>BUDGET!A24</f>
        <v>Google 1</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G229" s="54">
        <f t="shared" si="16"/>
        <v>0</v>
      </c>
    </row>
    <row r="230" spans="1:33" x14ac:dyDescent="0.2">
      <c r="A230" s="16" t="str">
        <f>BUDGET!A25</f>
        <v>Netflix</v>
      </c>
      <c r="B230" s="6"/>
      <c r="C230" s="6"/>
      <c r="D230" s="6"/>
      <c r="E230" s="6"/>
      <c r="F230" s="6"/>
      <c r="G230" s="6"/>
      <c r="H230" s="6"/>
      <c r="I230" s="6"/>
      <c r="J230" s="6"/>
      <c r="K230" s="6"/>
      <c r="L230" s="6"/>
      <c r="M230" s="6"/>
      <c r="N230" s="6"/>
      <c r="O230" s="6"/>
      <c r="P230" s="6"/>
      <c r="Q230" s="6"/>
      <c r="R230" s="6"/>
      <c r="S230" s="6"/>
      <c r="T230" s="6"/>
      <c r="U230" s="6"/>
      <c r="V230" s="6"/>
      <c r="W230" s="6"/>
      <c r="X230" s="6">
        <v>98.83</v>
      </c>
      <c r="Y230" s="6"/>
      <c r="Z230" s="6"/>
      <c r="AA230" s="6"/>
      <c r="AB230" s="6"/>
      <c r="AC230" s="6"/>
      <c r="AD230" s="6"/>
      <c r="AE230" s="6"/>
      <c r="AG230" s="54">
        <f t="shared" si="16"/>
        <v>98.83</v>
      </c>
    </row>
    <row r="231" spans="1:33" x14ac:dyDescent="0.2">
      <c r="A231" s="16" t="str">
        <f>BUDGET!A26</f>
        <v>Amuse</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G231" s="54">
        <f t="shared" si="16"/>
        <v>0</v>
      </c>
    </row>
    <row r="232" spans="1:33" x14ac:dyDescent="0.2">
      <c r="A232" s="16" t="str">
        <f>BUDGET!A27</f>
        <v>electricity</v>
      </c>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G232" s="54">
        <f t="shared" si="16"/>
        <v>0</v>
      </c>
    </row>
    <row r="233" spans="1:33" ht="16" thickBot="1" x14ac:dyDescent="0.25">
      <c r="A233" s="16" t="str">
        <f>BUDGET!A28</f>
        <v>Account Charges</v>
      </c>
      <c r="B233" s="6"/>
      <c r="C233" s="6"/>
      <c r="D233" s="6"/>
      <c r="E233" s="6"/>
      <c r="F233" s="6"/>
      <c r="G233" s="6"/>
      <c r="H233" s="6"/>
      <c r="I233" s="6"/>
      <c r="J233" s="6"/>
      <c r="K233" s="6"/>
      <c r="L233" s="6"/>
      <c r="M233" s="6"/>
      <c r="N233" s="6"/>
      <c r="O233" s="6"/>
      <c r="P233" s="6"/>
      <c r="Q233" s="6"/>
      <c r="R233" s="6"/>
      <c r="S233" s="6">
        <v>7</v>
      </c>
      <c r="T233" s="6">
        <v>3</v>
      </c>
      <c r="U233" s="6"/>
      <c r="V233" s="6"/>
      <c r="W233" s="6">
        <v>2.5</v>
      </c>
      <c r="X233" s="6"/>
      <c r="Y233" s="6"/>
      <c r="Z233" s="6"/>
      <c r="AA233" s="6"/>
      <c r="AB233" s="6"/>
      <c r="AC233" s="6"/>
      <c r="AD233" s="6">
        <v>5</v>
      </c>
      <c r="AE233" s="6"/>
      <c r="AG233" s="54">
        <f t="shared" si="16"/>
        <v>17.5</v>
      </c>
    </row>
    <row r="234" spans="1:33" ht="16.5" customHeight="1" thickBot="1" x14ac:dyDescent="0.25">
      <c r="A234" s="20" t="s">
        <v>11</v>
      </c>
      <c r="B234" s="21">
        <f t="shared" ref="B234:AE234" si="17">SUM(B214:B233)</f>
        <v>116</v>
      </c>
      <c r="C234" s="21">
        <f t="shared" si="17"/>
        <v>104.96000000000001</v>
      </c>
      <c r="D234" s="21">
        <f t="shared" si="17"/>
        <v>0</v>
      </c>
      <c r="E234" s="21">
        <f t="shared" si="17"/>
        <v>137.9</v>
      </c>
      <c r="F234" s="21">
        <f t="shared" si="17"/>
        <v>122</v>
      </c>
      <c r="G234" s="21">
        <f t="shared" si="17"/>
        <v>0</v>
      </c>
      <c r="H234" s="21">
        <f>SUM(H214:H233)</f>
        <v>50</v>
      </c>
      <c r="I234" s="21">
        <f t="shared" si="17"/>
        <v>198</v>
      </c>
      <c r="J234" s="21">
        <f t="shared" si="17"/>
        <v>189</v>
      </c>
      <c r="K234" s="21">
        <f t="shared" si="17"/>
        <v>51</v>
      </c>
      <c r="L234" s="21">
        <f t="shared" si="17"/>
        <v>9</v>
      </c>
      <c r="M234" s="21">
        <f t="shared" si="17"/>
        <v>48</v>
      </c>
      <c r="N234" s="21">
        <f t="shared" si="17"/>
        <v>33</v>
      </c>
      <c r="O234" s="21">
        <f t="shared" si="17"/>
        <v>36</v>
      </c>
      <c r="P234" s="21">
        <f t="shared" si="17"/>
        <v>76</v>
      </c>
      <c r="Q234" s="21">
        <f t="shared" si="17"/>
        <v>52</v>
      </c>
      <c r="R234" s="21">
        <f t="shared" si="17"/>
        <v>52</v>
      </c>
      <c r="S234" s="21">
        <f t="shared" si="17"/>
        <v>72</v>
      </c>
      <c r="T234" s="21">
        <f t="shared" si="17"/>
        <v>118</v>
      </c>
      <c r="U234" s="21">
        <f t="shared" si="17"/>
        <v>19</v>
      </c>
      <c r="V234" s="21">
        <f t="shared" si="17"/>
        <v>52</v>
      </c>
      <c r="W234" s="21">
        <f t="shared" si="17"/>
        <v>1740.23</v>
      </c>
      <c r="X234" s="21">
        <f t="shared" si="17"/>
        <v>329.63</v>
      </c>
      <c r="Y234" s="21">
        <f t="shared" si="17"/>
        <v>0</v>
      </c>
      <c r="Z234" s="21">
        <f t="shared" si="17"/>
        <v>71</v>
      </c>
      <c r="AA234" s="21">
        <f t="shared" si="17"/>
        <v>22.28</v>
      </c>
      <c r="AB234" s="21">
        <f t="shared" si="17"/>
        <v>12</v>
      </c>
      <c r="AC234" s="21">
        <f t="shared" si="17"/>
        <v>150</v>
      </c>
      <c r="AD234" s="21">
        <f t="shared" si="17"/>
        <v>24</v>
      </c>
      <c r="AE234" s="21">
        <f t="shared" si="17"/>
        <v>79</v>
      </c>
      <c r="AF234" s="22"/>
      <c r="AG234" s="56">
        <f>SUM(AG214:AG233)</f>
        <v>3964.0000000000005</v>
      </c>
    </row>
    <row r="235" spans="1:33" ht="16" thickTop="1" x14ac:dyDescent="0.2">
      <c r="AG235" s="49"/>
    </row>
    <row r="236" spans="1:33" x14ac:dyDescent="0.2">
      <c r="AG236" s="49"/>
    </row>
    <row r="237" spans="1:33" x14ac:dyDescent="0.2">
      <c r="AG237" s="49"/>
    </row>
    <row r="238" spans="1:33" x14ac:dyDescent="0.2">
      <c r="A238" s="14" t="s">
        <v>196</v>
      </c>
      <c r="B238" s="7">
        <v>1</v>
      </c>
      <c r="C238" s="7">
        <v>2</v>
      </c>
      <c r="D238" s="7">
        <v>3</v>
      </c>
      <c r="E238" s="2">
        <v>4</v>
      </c>
      <c r="F238" s="2">
        <v>5</v>
      </c>
      <c r="G238" s="2">
        <v>6</v>
      </c>
      <c r="H238" s="2">
        <v>7</v>
      </c>
      <c r="I238" s="2">
        <v>8</v>
      </c>
      <c r="J238" s="2">
        <v>9</v>
      </c>
      <c r="K238" s="2">
        <v>10</v>
      </c>
      <c r="L238" s="2">
        <v>11</v>
      </c>
      <c r="M238" s="2">
        <v>12</v>
      </c>
      <c r="N238" s="2">
        <v>13</v>
      </c>
      <c r="O238" s="2">
        <v>14</v>
      </c>
      <c r="P238" s="2">
        <v>15</v>
      </c>
      <c r="Q238" s="2">
        <v>16</v>
      </c>
      <c r="R238" s="2">
        <v>17</v>
      </c>
      <c r="S238" s="2">
        <v>18</v>
      </c>
      <c r="T238" s="2">
        <v>19</v>
      </c>
      <c r="U238" s="2">
        <v>20</v>
      </c>
      <c r="V238" s="2">
        <v>21</v>
      </c>
      <c r="W238" s="2">
        <v>22</v>
      </c>
      <c r="X238" s="2">
        <v>23</v>
      </c>
      <c r="Y238" s="2">
        <v>24</v>
      </c>
      <c r="Z238" s="2">
        <v>25</v>
      </c>
      <c r="AA238" s="2">
        <v>26</v>
      </c>
      <c r="AB238" s="2">
        <v>27</v>
      </c>
      <c r="AC238" s="2">
        <v>28</v>
      </c>
      <c r="AD238" s="2">
        <v>29</v>
      </c>
      <c r="AE238" s="2">
        <v>30</v>
      </c>
      <c r="AF238" s="2">
        <v>31</v>
      </c>
      <c r="AG238" s="52" t="s">
        <v>0</v>
      </c>
    </row>
    <row r="239" spans="1:33" x14ac:dyDescent="0.2">
      <c r="A239" s="3"/>
      <c r="B239" s="3" t="s">
        <v>1</v>
      </c>
      <c r="C239" s="3" t="s">
        <v>1</v>
      </c>
      <c r="D239" s="3" t="s">
        <v>1</v>
      </c>
      <c r="E239" s="3" t="s">
        <v>1</v>
      </c>
      <c r="F239" s="3" t="s">
        <v>1</v>
      </c>
      <c r="G239" s="3" t="s">
        <v>1</v>
      </c>
      <c r="H239" s="3" t="s">
        <v>1</v>
      </c>
      <c r="I239" s="3" t="s">
        <v>1</v>
      </c>
      <c r="J239" s="3" t="s">
        <v>1</v>
      </c>
      <c r="K239" s="3" t="s">
        <v>1</v>
      </c>
      <c r="L239" s="3" t="s">
        <v>1</v>
      </c>
      <c r="M239" s="3" t="s">
        <v>1</v>
      </c>
      <c r="N239" s="3" t="s">
        <v>1</v>
      </c>
      <c r="O239" s="3" t="s">
        <v>1</v>
      </c>
      <c r="P239" s="3" t="s">
        <v>1</v>
      </c>
      <c r="Q239" s="3" t="s">
        <v>1</v>
      </c>
      <c r="R239" s="3" t="s">
        <v>1</v>
      </c>
      <c r="S239" s="3" t="s">
        <v>1</v>
      </c>
      <c r="T239" s="3" t="s">
        <v>1</v>
      </c>
      <c r="U239" s="3" t="s">
        <v>1</v>
      </c>
      <c r="V239" s="3" t="s">
        <v>1</v>
      </c>
      <c r="W239" s="3" t="s">
        <v>1</v>
      </c>
      <c r="X239" s="3" t="s">
        <v>1</v>
      </c>
      <c r="Y239" s="3" t="s">
        <v>1</v>
      </c>
      <c r="Z239" s="3" t="s">
        <v>1</v>
      </c>
      <c r="AA239" s="3" t="s">
        <v>1</v>
      </c>
      <c r="AB239" s="3" t="s">
        <v>1</v>
      </c>
      <c r="AC239" s="3" t="s">
        <v>1</v>
      </c>
      <c r="AD239" s="3" t="s">
        <v>1</v>
      </c>
      <c r="AE239" s="3" t="s">
        <v>1</v>
      </c>
      <c r="AF239" s="3" t="s">
        <v>1</v>
      </c>
      <c r="AG239" s="53" t="s">
        <v>1</v>
      </c>
    </row>
    <row r="240" spans="1:33" x14ac:dyDescent="0.2">
      <c r="A240" s="16" t="str">
        <f>BUDGET!A9</f>
        <v>Rent</v>
      </c>
      <c r="B240" s="6"/>
      <c r="C240" s="6"/>
      <c r="D240" s="6"/>
      <c r="E240" s="6"/>
      <c r="F240" s="6">
        <v>6000</v>
      </c>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54">
        <f t="shared" ref="AG240:AG259" si="18">SUM(B240:AF240)</f>
        <v>6000</v>
      </c>
    </row>
    <row r="241" spans="1:33" x14ac:dyDescent="0.2">
      <c r="A241" s="16" t="str">
        <f>BUDGET!A10</f>
        <v>Tithe</v>
      </c>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54">
        <f t="shared" si="18"/>
        <v>0</v>
      </c>
    </row>
    <row r="242" spans="1:33" x14ac:dyDescent="0.2">
      <c r="A242" s="16" t="str">
        <f>BUDGET!A11</f>
        <v>Data</v>
      </c>
      <c r="B242" s="6"/>
      <c r="C242" s="6"/>
      <c r="D242" s="6"/>
      <c r="E242" s="6"/>
      <c r="F242" s="6"/>
      <c r="G242" s="6"/>
      <c r="H242" s="6"/>
      <c r="I242" s="6"/>
      <c r="J242" s="6"/>
      <c r="K242" s="6"/>
      <c r="L242" s="6"/>
      <c r="M242" s="6"/>
      <c r="N242" s="6"/>
      <c r="O242" s="6"/>
      <c r="P242" s="6">
        <v>330</v>
      </c>
      <c r="Q242" s="6"/>
      <c r="R242" s="6"/>
      <c r="S242" s="6"/>
      <c r="T242" s="6"/>
      <c r="U242" s="6"/>
      <c r="V242" s="6"/>
      <c r="W242" s="6"/>
      <c r="X242" s="6"/>
      <c r="Y242" s="6"/>
      <c r="Z242" s="6"/>
      <c r="AA242" s="6"/>
      <c r="AB242" s="6"/>
      <c r="AC242" s="6"/>
      <c r="AD242" s="6"/>
      <c r="AE242" s="6"/>
      <c r="AF242" s="6"/>
      <c r="AG242" s="54">
        <f t="shared" si="18"/>
        <v>330</v>
      </c>
    </row>
    <row r="243" spans="1:33" x14ac:dyDescent="0.2">
      <c r="A243" s="16" t="str">
        <f>BUDGET!A12</f>
        <v xml:space="preserve">Savings/ Investment </v>
      </c>
      <c r="B243" s="6"/>
      <c r="C243" s="6"/>
      <c r="D243" s="6"/>
      <c r="E243" s="6"/>
      <c r="F243" s="6"/>
      <c r="G243" s="6"/>
      <c r="H243" s="6"/>
      <c r="I243" s="6"/>
      <c r="J243" s="6"/>
      <c r="K243" s="6"/>
      <c r="L243" s="6"/>
      <c r="M243" s="6"/>
      <c r="N243" s="6"/>
      <c r="O243" s="6"/>
      <c r="P243" s="6"/>
      <c r="Q243" s="6"/>
      <c r="R243" s="6"/>
      <c r="S243" s="6"/>
      <c r="T243" s="6"/>
      <c r="U243" s="6"/>
      <c r="V243" s="6"/>
      <c r="W243" s="6"/>
      <c r="X243" s="6"/>
      <c r="Y243" s="6"/>
      <c r="Z243" s="6">
        <v>250</v>
      </c>
      <c r="AA243" s="6"/>
      <c r="AB243" s="6"/>
      <c r="AC243" s="6"/>
      <c r="AD243" s="6"/>
      <c r="AE243" s="6"/>
      <c r="AF243" s="6"/>
      <c r="AG243" s="54">
        <f t="shared" si="18"/>
        <v>250</v>
      </c>
    </row>
    <row r="244" spans="1:33" x14ac:dyDescent="0.2">
      <c r="A244" s="16" t="str">
        <f>BUDGET!A13</f>
        <v>Hair / Gym</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54">
        <f t="shared" si="18"/>
        <v>0</v>
      </c>
    </row>
    <row r="245" spans="1:33" x14ac:dyDescent="0.2">
      <c r="A245" s="16" t="str">
        <f>BUDGET!A14</f>
        <v>Food</v>
      </c>
      <c r="B245" s="6"/>
      <c r="C245" s="6">
        <v>8</v>
      </c>
      <c r="D245" s="6">
        <f>3+4</f>
        <v>7</v>
      </c>
      <c r="E245" s="6">
        <f>18+12</f>
        <v>30</v>
      </c>
      <c r="F245" s="6">
        <v>8</v>
      </c>
      <c r="G245" s="6">
        <f>2+10+5</f>
        <v>17</v>
      </c>
      <c r="H245" s="6">
        <f>17+23+10</f>
        <v>50</v>
      </c>
      <c r="I245" s="6">
        <v>91</v>
      </c>
      <c r="J245" s="6"/>
      <c r="K245" s="6">
        <f>8</f>
        <v>8</v>
      </c>
      <c r="L245" s="6">
        <f>2+20</f>
        <v>22</v>
      </c>
      <c r="M245" s="6">
        <f>4+21</f>
        <v>25</v>
      </c>
      <c r="N245" s="6"/>
      <c r="O245" s="6">
        <v>23</v>
      </c>
      <c r="P245" s="6">
        <f>10+3</f>
        <v>13</v>
      </c>
      <c r="Q245" s="6"/>
      <c r="R245" s="6">
        <f>3+4+25</f>
        <v>32</v>
      </c>
      <c r="S245" s="6">
        <f>6+2</f>
        <v>8</v>
      </c>
      <c r="T245" s="6"/>
      <c r="U245" s="6"/>
      <c r="V245" s="6">
        <f>32</f>
        <v>32</v>
      </c>
      <c r="W245" s="6"/>
      <c r="X245" s="6">
        <f>10+13+30</f>
        <v>53</v>
      </c>
      <c r="Y245" s="6">
        <f>6+10+11.49</f>
        <v>27.490000000000002</v>
      </c>
      <c r="Z245" s="6">
        <f>11</f>
        <v>11</v>
      </c>
      <c r="AA245" s="6"/>
      <c r="AB245" s="6">
        <f>10+10+234+50</f>
        <v>304</v>
      </c>
      <c r="AC245" s="6">
        <f>73</f>
        <v>73</v>
      </c>
      <c r="AD245" s="6"/>
      <c r="AE245" s="6">
        <f>10+30</f>
        <v>40</v>
      </c>
      <c r="AF245" s="6">
        <v>10</v>
      </c>
      <c r="AG245" s="54">
        <f t="shared" si="18"/>
        <v>892.49</v>
      </c>
    </row>
    <row r="246" spans="1:33" x14ac:dyDescent="0.2">
      <c r="A246" s="16" t="str">
        <f>BUDGET!A15</f>
        <v>Healthcare</v>
      </c>
      <c r="B246" s="6"/>
      <c r="C246" s="6"/>
      <c r="D246" s="6"/>
      <c r="E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54">
        <f t="shared" si="18"/>
        <v>0</v>
      </c>
    </row>
    <row r="247" spans="1:33" x14ac:dyDescent="0.2">
      <c r="A247" s="16" t="str">
        <f>BUDGET!A16</f>
        <v xml:space="preserve">Clothes/ Shoes/ Jewelry </v>
      </c>
      <c r="B247" s="6"/>
      <c r="C247" s="6"/>
      <c r="D247" s="6"/>
      <c r="E247" s="6"/>
      <c r="F247" s="6"/>
      <c r="G247" s="6"/>
      <c r="H247" s="6"/>
      <c r="I247" s="6"/>
      <c r="J247" s="6"/>
      <c r="K247" s="6"/>
      <c r="L247" s="6"/>
      <c r="M247" s="6"/>
      <c r="N247" s="6"/>
      <c r="O247" s="6"/>
      <c r="P247" s="6"/>
      <c r="Q247" s="6"/>
      <c r="R247" s="6"/>
      <c r="S247" s="6"/>
      <c r="T247" s="6"/>
      <c r="U247" s="6"/>
      <c r="V247" s="6"/>
      <c r="W247" s="6"/>
      <c r="X247" s="6"/>
      <c r="Y247" s="6"/>
      <c r="Z247" s="6">
        <v>380</v>
      </c>
      <c r="AA247" s="6"/>
      <c r="AB247" s="6"/>
      <c r="AC247" s="6"/>
      <c r="AD247" s="6"/>
      <c r="AE247" s="6"/>
      <c r="AF247" s="6"/>
      <c r="AG247" s="54">
        <f t="shared" si="18"/>
        <v>380</v>
      </c>
    </row>
    <row r="248" spans="1:33" x14ac:dyDescent="0.2">
      <c r="A248" s="16" t="str">
        <f>BUDGET!A17</f>
        <v>shoes</v>
      </c>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54">
        <f t="shared" si="18"/>
        <v>0</v>
      </c>
    </row>
    <row r="249" spans="1:33" x14ac:dyDescent="0.2">
      <c r="A249" s="16" t="str">
        <f>BUDGET!A18</f>
        <v xml:space="preserve">Travel/ Vacations </v>
      </c>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54">
        <f t="shared" si="18"/>
        <v>0</v>
      </c>
    </row>
    <row r="250" spans="1:33" x14ac:dyDescent="0.2">
      <c r="A250" s="16" t="str">
        <f>BUDGET!A19</f>
        <v>Outings</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54">
        <f t="shared" si="18"/>
        <v>0</v>
      </c>
    </row>
    <row r="251" spans="1:33" x14ac:dyDescent="0.2">
      <c r="A251" s="16" t="str">
        <f>BUDGET!A20</f>
        <v>Toiletries/Groceries</v>
      </c>
      <c r="B251" s="6"/>
      <c r="C251" s="6"/>
      <c r="D251" s="6">
        <v>4</v>
      </c>
      <c r="E251" s="6"/>
      <c r="F251" s="6"/>
      <c r="G251" s="6"/>
      <c r="H251" s="6"/>
      <c r="I251" s="6"/>
      <c r="J251" s="6"/>
      <c r="K251" s="6"/>
      <c r="L251" s="6"/>
      <c r="M251" s="6"/>
      <c r="N251" s="6"/>
      <c r="O251" s="6">
        <v>30</v>
      </c>
      <c r="P251" s="6">
        <v>37.799999999999997</v>
      </c>
      <c r="Q251" s="6"/>
      <c r="R251" s="6">
        <v>10.8</v>
      </c>
      <c r="S251" s="6"/>
      <c r="T251" s="6"/>
      <c r="U251" s="6"/>
      <c r="V251" s="6"/>
      <c r="W251" s="6">
        <v>569.34</v>
      </c>
      <c r="X251" s="6"/>
      <c r="Y251" s="6"/>
      <c r="Z251" s="6"/>
      <c r="AA251" s="6"/>
      <c r="AB251" s="6"/>
      <c r="AC251" s="6"/>
      <c r="AD251" s="6"/>
      <c r="AE251" s="6"/>
      <c r="AF251" s="6"/>
      <c r="AG251" s="54">
        <f t="shared" si="18"/>
        <v>651.94000000000005</v>
      </c>
    </row>
    <row r="252" spans="1:33" x14ac:dyDescent="0.2">
      <c r="A252" s="16" t="str">
        <f>BUDGET!A21</f>
        <v xml:space="preserve">Transportation </v>
      </c>
      <c r="B252" s="6"/>
      <c r="C252" s="6">
        <v>37</v>
      </c>
      <c r="D252" s="6"/>
      <c r="E252" s="6">
        <v>51</v>
      </c>
      <c r="F252" s="6">
        <v>38</v>
      </c>
      <c r="G252" s="6">
        <v>86</v>
      </c>
      <c r="H252" s="6"/>
      <c r="I252" s="6">
        <v>14</v>
      </c>
      <c r="J252" s="6">
        <v>86</v>
      </c>
      <c r="K252" s="6">
        <v>18</v>
      </c>
      <c r="L252" s="6"/>
      <c r="M252" s="6">
        <v>14</v>
      </c>
      <c r="N252" s="6">
        <f>19+60</f>
        <v>79</v>
      </c>
      <c r="O252" s="6">
        <f>11+2+13</f>
        <v>26</v>
      </c>
      <c r="P252" s="6"/>
      <c r="Q252" s="6">
        <v>35</v>
      </c>
      <c r="R252" s="6"/>
      <c r="S252" s="6">
        <f>20+60</f>
        <v>80</v>
      </c>
      <c r="T252" s="6"/>
      <c r="U252" s="6">
        <v>59</v>
      </c>
      <c r="V252" s="6">
        <f>20+21</f>
        <v>41</v>
      </c>
      <c r="W252" s="6">
        <f>19+19+31+12+17</f>
        <v>98</v>
      </c>
      <c r="X252" s="6"/>
      <c r="Y252" s="6">
        <v>49</v>
      </c>
      <c r="Z252" s="6"/>
      <c r="AA252" s="6"/>
      <c r="AB252" s="6">
        <v>63</v>
      </c>
      <c r="AC252" s="6"/>
      <c r="AD252" s="6">
        <f>22+18</f>
        <v>40</v>
      </c>
      <c r="AE252" s="6">
        <v>94</v>
      </c>
      <c r="AF252" s="6"/>
      <c r="AG252" s="54">
        <f t="shared" si="18"/>
        <v>1008</v>
      </c>
    </row>
    <row r="253" spans="1:33" x14ac:dyDescent="0.2">
      <c r="A253" s="16" t="str">
        <f>BUDGET!A22</f>
        <v>Miscellaneous</v>
      </c>
      <c r="B253" s="6"/>
      <c r="C253" s="6"/>
      <c r="D253" s="6"/>
      <c r="E253" s="6"/>
      <c r="F253" s="6">
        <v>121</v>
      </c>
      <c r="G253" s="6"/>
      <c r="H253" s="6">
        <v>40</v>
      </c>
      <c r="I253" s="6"/>
      <c r="J253" s="6">
        <f>50+30</f>
        <v>80</v>
      </c>
      <c r="K253" s="6"/>
      <c r="L253" s="6"/>
      <c r="M253" s="6"/>
      <c r="N253" s="6"/>
      <c r="O253" s="6"/>
      <c r="P253" s="6">
        <v>101</v>
      </c>
      <c r="Q253" s="6">
        <v>51</v>
      </c>
      <c r="R253" s="6"/>
      <c r="S253" s="6">
        <v>100</v>
      </c>
      <c r="T253" s="6"/>
      <c r="U253" s="6">
        <v>100</v>
      </c>
      <c r="V253" s="6">
        <v>2.5</v>
      </c>
      <c r="W253" s="6"/>
      <c r="X253" s="6">
        <v>20</v>
      </c>
      <c r="Y253" s="6"/>
      <c r="Z253" s="6"/>
      <c r="AA253" s="6"/>
      <c r="AB253" s="6"/>
      <c r="AC253" s="6"/>
      <c r="AD253" s="6"/>
      <c r="AE253" s="6"/>
      <c r="AF253" s="6">
        <v>100</v>
      </c>
      <c r="AG253" s="54">
        <f t="shared" si="18"/>
        <v>715.5</v>
      </c>
    </row>
    <row r="254" spans="1:33" x14ac:dyDescent="0.2">
      <c r="A254" s="16" t="str">
        <f>BUDGET!A23</f>
        <v>Apple Subscriptions</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v>12.57</v>
      </c>
      <c r="AC254" s="6"/>
      <c r="AD254" s="6"/>
      <c r="AE254" s="6"/>
      <c r="AF254" s="6"/>
      <c r="AG254" s="54">
        <f t="shared" si="18"/>
        <v>12.57</v>
      </c>
    </row>
    <row r="255" spans="1:33" x14ac:dyDescent="0.2">
      <c r="A255" s="16" t="str">
        <f>BUDGET!A24</f>
        <v>Google 1</v>
      </c>
      <c r="B255" s="6"/>
      <c r="C255" s="6"/>
      <c r="D255" s="6"/>
      <c r="E255" s="6"/>
      <c r="F255" s="6"/>
      <c r="G255" s="6"/>
      <c r="H255" s="6"/>
      <c r="I255" s="6"/>
      <c r="J255" s="6"/>
      <c r="K255" s="6">
        <v>9</v>
      </c>
      <c r="L255" s="6"/>
      <c r="M255" s="6"/>
      <c r="N255" s="6"/>
      <c r="O255" s="6"/>
      <c r="P255" s="6"/>
      <c r="Q255" s="6"/>
      <c r="R255" s="6"/>
      <c r="S255" s="6"/>
      <c r="T255" s="6"/>
      <c r="U255" s="6"/>
      <c r="V255" s="6"/>
      <c r="W255" s="6"/>
      <c r="X255" s="6"/>
      <c r="Y255" s="6"/>
      <c r="Z255" s="6"/>
      <c r="AA255" s="6"/>
      <c r="AB255" s="6"/>
      <c r="AC255" s="6"/>
      <c r="AD255" s="6"/>
      <c r="AE255" s="6"/>
      <c r="AF255" s="6"/>
      <c r="AG255" s="54">
        <f t="shared" si="18"/>
        <v>9</v>
      </c>
    </row>
    <row r="256" spans="1:33" x14ac:dyDescent="0.2">
      <c r="A256" s="16" t="str">
        <f>BUDGET!A25</f>
        <v>Netflix</v>
      </c>
      <c r="B256" s="6"/>
      <c r="C256" s="6"/>
      <c r="D256" s="6"/>
      <c r="E256" s="6"/>
      <c r="F256" s="6"/>
      <c r="G256" s="6"/>
      <c r="H256" s="6"/>
      <c r="I256" s="6"/>
      <c r="J256" s="6"/>
      <c r="K256" s="6"/>
      <c r="L256" s="6"/>
      <c r="M256" s="6"/>
      <c r="N256" s="6"/>
      <c r="O256" s="6"/>
      <c r="P256" s="6"/>
      <c r="Q256" s="6"/>
      <c r="R256" s="6"/>
      <c r="S256" s="6">
        <v>100.84</v>
      </c>
      <c r="T256" s="6"/>
      <c r="U256" s="6"/>
      <c r="V256" s="6"/>
      <c r="W256" s="6"/>
      <c r="X256" s="6"/>
      <c r="Y256" s="6"/>
      <c r="Z256" s="6"/>
      <c r="AA256" s="6"/>
      <c r="AB256" s="6"/>
      <c r="AC256" s="6"/>
      <c r="AD256" s="6"/>
      <c r="AE256" s="6"/>
      <c r="AF256" s="6"/>
      <c r="AG256" s="54">
        <f t="shared" si="18"/>
        <v>100.84</v>
      </c>
    </row>
    <row r="257" spans="1:67" x14ac:dyDescent="0.2">
      <c r="A257" s="16" t="str">
        <f>BUDGET!A26</f>
        <v>Amuse</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54">
        <f t="shared" si="18"/>
        <v>0</v>
      </c>
    </row>
    <row r="258" spans="1:67" x14ac:dyDescent="0.2">
      <c r="A258" s="16" t="str">
        <f>BUDGET!A27</f>
        <v>electricity</v>
      </c>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54">
        <f t="shared" si="18"/>
        <v>0</v>
      </c>
    </row>
    <row r="259" spans="1:67" ht="16" thickBot="1" x14ac:dyDescent="0.25">
      <c r="A259" s="16" t="str">
        <f>BUDGET!A28</f>
        <v>Account Charges</v>
      </c>
      <c r="B259" s="6"/>
      <c r="C259" s="6"/>
      <c r="D259" s="6"/>
      <c r="E259" s="6"/>
      <c r="F259" s="6"/>
      <c r="G259" s="6"/>
      <c r="H259" s="6"/>
      <c r="I259" s="6"/>
      <c r="J259" s="6"/>
      <c r="K259" s="6"/>
      <c r="L259" s="6"/>
      <c r="M259" s="6"/>
      <c r="N259" s="6"/>
      <c r="O259" s="6"/>
      <c r="P259" s="6"/>
      <c r="Q259" s="6"/>
      <c r="R259" s="6"/>
      <c r="S259" s="6"/>
      <c r="T259" s="6"/>
      <c r="U259" s="6">
        <v>10</v>
      </c>
      <c r="V259" s="6"/>
      <c r="W259" s="6"/>
      <c r="X259" s="6"/>
      <c r="Y259" s="6"/>
      <c r="Z259" s="6">
        <v>8.1999999999999993</v>
      </c>
      <c r="AA259" s="6"/>
      <c r="AB259" s="6"/>
      <c r="AC259" s="6"/>
      <c r="AD259" s="6"/>
      <c r="AE259" s="6"/>
      <c r="AF259" s="6"/>
      <c r="AG259" s="54">
        <f t="shared" si="18"/>
        <v>18.2</v>
      </c>
    </row>
    <row r="260" spans="1:67" ht="16.5" customHeight="1" thickBot="1" x14ac:dyDescent="0.25">
      <c r="A260" s="20" t="s">
        <v>11</v>
      </c>
      <c r="B260" s="21">
        <f t="shared" ref="B260:AG260" si="19">SUM(B240:B259)</f>
        <v>0</v>
      </c>
      <c r="C260" s="21">
        <f>SUM(C240:C259)</f>
        <v>45</v>
      </c>
      <c r="D260" s="21">
        <f t="shared" si="19"/>
        <v>11</v>
      </c>
      <c r="E260" s="21">
        <f t="shared" si="19"/>
        <v>81</v>
      </c>
      <c r="F260" s="21">
        <f t="shared" si="19"/>
        <v>6167</v>
      </c>
      <c r="G260" s="21">
        <f t="shared" si="19"/>
        <v>103</v>
      </c>
      <c r="H260" s="21">
        <f t="shared" si="19"/>
        <v>90</v>
      </c>
      <c r="I260" s="21">
        <f t="shared" si="19"/>
        <v>105</v>
      </c>
      <c r="J260" s="21">
        <f t="shared" si="19"/>
        <v>166</v>
      </c>
      <c r="K260" s="21">
        <f t="shared" si="19"/>
        <v>35</v>
      </c>
      <c r="L260" s="21">
        <f t="shared" si="19"/>
        <v>22</v>
      </c>
      <c r="M260" s="21">
        <f t="shared" si="19"/>
        <v>39</v>
      </c>
      <c r="N260" s="21">
        <f t="shared" si="19"/>
        <v>79</v>
      </c>
      <c r="O260" s="21">
        <f t="shared" si="19"/>
        <v>79</v>
      </c>
      <c r="P260" s="21">
        <f t="shared" si="19"/>
        <v>481.8</v>
      </c>
      <c r="Q260" s="21">
        <f t="shared" si="19"/>
        <v>86</v>
      </c>
      <c r="R260" s="21">
        <f t="shared" si="19"/>
        <v>42.8</v>
      </c>
      <c r="S260" s="21">
        <f t="shared" si="19"/>
        <v>288.84000000000003</v>
      </c>
      <c r="T260" s="21">
        <f t="shared" si="19"/>
        <v>0</v>
      </c>
      <c r="U260" s="21">
        <f t="shared" si="19"/>
        <v>169</v>
      </c>
      <c r="V260" s="21">
        <f t="shared" si="19"/>
        <v>75.5</v>
      </c>
      <c r="W260" s="21">
        <f t="shared" si="19"/>
        <v>667.34</v>
      </c>
      <c r="X260" s="21">
        <f t="shared" si="19"/>
        <v>73</v>
      </c>
      <c r="Y260" s="21">
        <f t="shared" si="19"/>
        <v>76.490000000000009</v>
      </c>
      <c r="Z260" s="21">
        <f t="shared" si="19"/>
        <v>649.20000000000005</v>
      </c>
      <c r="AA260" s="21">
        <f t="shared" si="19"/>
        <v>0</v>
      </c>
      <c r="AB260" s="21">
        <f t="shared" si="19"/>
        <v>379.57</v>
      </c>
      <c r="AC260" s="21">
        <f t="shared" si="19"/>
        <v>73</v>
      </c>
      <c r="AD260" s="21">
        <f t="shared" si="19"/>
        <v>40</v>
      </c>
      <c r="AE260" s="21">
        <f t="shared" si="19"/>
        <v>134</v>
      </c>
      <c r="AF260" s="21">
        <f t="shared" si="19"/>
        <v>110</v>
      </c>
      <c r="AG260" s="56">
        <f t="shared" si="19"/>
        <v>10368.540000000001</v>
      </c>
    </row>
    <row r="261" spans="1:67" ht="16" thickTop="1" x14ac:dyDescent="0.2">
      <c r="AG261" s="49"/>
    </row>
    <row r="262" spans="1:67" x14ac:dyDescent="0.2">
      <c r="AG262" s="49"/>
    </row>
    <row r="263" spans="1:67" x14ac:dyDescent="0.2">
      <c r="AG263" s="49"/>
    </row>
    <row r="264" spans="1:67" x14ac:dyDescent="0.2">
      <c r="A264" s="14" t="s">
        <v>197</v>
      </c>
      <c r="B264" s="7">
        <v>1</v>
      </c>
      <c r="C264" s="7">
        <v>2</v>
      </c>
      <c r="D264" s="7">
        <v>3</v>
      </c>
      <c r="E264" s="2">
        <v>4</v>
      </c>
      <c r="F264" s="2">
        <v>5</v>
      </c>
      <c r="G264" s="2">
        <v>6</v>
      </c>
      <c r="H264" s="2">
        <v>7</v>
      </c>
      <c r="I264" s="2">
        <v>8</v>
      </c>
      <c r="J264" s="2">
        <v>9</v>
      </c>
      <c r="K264" s="2">
        <v>10</v>
      </c>
      <c r="L264" s="2">
        <v>11</v>
      </c>
      <c r="M264" s="2">
        <v>12</v>
      </c>
      <c r="N264" s="2">
        <v>13</v>
      </c>
      <c r="O264" s="2">
        <v>14</v>
      </c>
      <c r="P264" s="2">
        <v>15</v>
      </c>
      <c r="Q264" s="2">
        <v>16</v>
      </c>
      <c r="R264" s="2">
        <v>17</v>
      </c>
      <c r="S264" s="2">
        <v>18</v>
      </c>
      <c r="T264" s="2">
        <v>19</v>
      </c>
      <c r="U264" s="2">
        <v>20</v>
      </c>
      <c r="V264" s="2">
        <v>21</v>
      </c>
      <c r="W264" s="2">
        <v>22</v>
      </c>
      <c r="X264" s="2">
        <v>23</v>
      </c>
      <c r="Y264" s="2">
        <v>24</v>
      </c>
      <c r="Z264" s="2">
        <v>25</v>
      </c>
      <c r="AA264" s="2">
        <v>26</v>
      </c>
      <c r="AB264" s="2">
        <v>27</v>
      </c>
      <c r="AC264" s="2">
        <v>28</v>
      </c>
      <c r="AD264" s="2">
        <v>29</v>
      </c>
      <c r="AE264" s="2">
        <v>30</v>
      </c>
      <c r="AG264" s="52" t="s">
        <v>0</v>
      </c>
      <c r="AI264" s="14" t="s">
        <v>197</v>
      </c>
      <c r="AJ264" s="7">
        <v>1</v>
      </c>
      <c r="AK264" s="7">
        <v>2</v>
      </c>
      <c r="AL264" s="7">
        <v>3</v>
      </c>
      <c r="AM264" s="2">
        <v>4</v>
      </c>
      <c r="AN264" s="2">
        <v>5</v>
      </c>
      <c r="AO264" s="2">
        <v>6</v>
      </c>
      <c r="AP264" s="2">
        <v>7</v>
      </c>
      <c r="AQ264" s="2">
        <v>8</v>
      </c>
      <c r="AR264" s="2">
        <v>9</v>
      </c>
      <c r="AS264" s="2">
        <v>10</v>
      </c>
      <c r="AT264" s="2">
        <v>11</v>
      </c>
      <c r="AU264" s="2">
        <v>12</v>
      </c>
      <c r="AV264" s="2">
        <v>13</v>
      </c>
      <c r="AW264" s="2">
        <v>14</v>
      </c>
      <c r="AX264" s="2">
        <v>15</v>
      </c>
      <c r="AY264" s="2">
        <v>16</v>
      </c>
      <c r="AZ264" s="2">
        <v>17</v>
      </c>
      <c r="BA264" s="2">
        <v>18</v>
      </c>
      <c r="BB264" s="2">
        <v>19</v>
      </c>
      <c r="BC264" s="2">
        <v>20</v>
      </c>
      <c r="BD264" s="2">
        <v>21</v>
      </c>
      <c r="BE264" s="2">
        <v>22</v>
      </c>
      <c r="BF264" s="2">
        <v>23</v>
      </c>
      <c r="BG264" s="2">
        <v>24</v>
      </c>
      <c r="BH264" s="2">
        <v>25</v>
      </c>
      <c r="BI264" s="2">
        <v>26</v>
      </c>
      <c r="BJ264" s="2">
        <v>27</v>
      </c>
      <c r="BK264" s="2">
        <v>28</v>
      </c>
      <c r="BL264" s="2">
        <v>29</v>
      </c>
      <c r="BM264" s="2">
        <v>30</v>
      </c>
      <c r="BO264" s="52" t="s">
        <v>0</v>
      </c>
    </row>
    <row r="265" spans="1:67" x14ac:dyDescent="0.2">
      <c r="A265" s="3"/>
      <c r="B265" s="3" t="s">
        <v>1</v>
      </c>
      <c r="C265" s="3" t="s">
        <v>1</v>
      </c>
      <c r="D265" s="3" t="s">
        <v>1</v>
      </c>
      <c r="E265" s="3" t="s">
        <v>1</v>
      </c>
      <c r="F265" s="3" t="s">
        <v>1</v>
      </c>
      <c r="G265" s="3" t="s">
        <v>1</v>
      </c>
      <c r="H265" s="3" t="s">
        <v>1</v>
      </c>
      <c r="I265" s="3" t="s">
        <v>1</v>
      </c>
      <c r="J265" s="3" t="s">
        <v>1</v>
      </c>
      <c r="K265" s="3" t="s">
        <v>1</v>
      </c>
      <c r="L265" s="3" t="s">
        <v>1</v>
      </c>
      <c r="M265" s="3" t="s">
        <v>1</v>
      </c>
      <c r="N265" s="3" t="s">
        <v>1</v>
      </c>
      <c r="O265" s="3" t="s">
        <v>1</v>
      </c>
      <c r="P265" s="3" t="s">
        <v>1</v>
      </c>
      <c r="Q265" s="3" t="s">
        <v>1</v>
      </c>
      <c r="R265" s="3" t="s">
        <v>1</v>
      </c>
      <c r="S265" s="3" t="s">
        <v>1</v>
      </c>
      <c r="T265" s="3" t="s">
        <v>1</v>
      </c>
      <c r="U265" s="3" t="s">
        <v>1</v>
      </c>
      <c r="V265" s="3" t="s">
        <v>1</v>
      </c>
      <c r="W265" s="3" t="s">
        <v>1</v>
      </c>
      <c r="X265" s="3" t="s">
        <v>1</v>
      </c>
      <c r="Y265" s="3" t="s">
        <v>1</v>
      </c>
      <c r="Z265" s="3" t="s">
        <v>1</v>
      </c>
      <c r="AA265" s="3" t="s">
        <v>1</v>
      </c>
      <c r="AB265" s="3" t="s">
        <v>1</v>
      </c>
      <c r="AC265" s="3" t="s">
        <v>1</v>
      </c>
      <c r="AD265" s="3" t="s">
        <v>1</v>
      </c>
      <c r="AE265" s="3" t="s">
        <v>1</v>
      </c>
      <c r="AF265" s="3"/>
      <c r="AG265" s="53" t="s">
        <v>1</v>
      </c>
      <c r="AI265" s="3"/>
      <c r="AJ265" s="3" t="s">
        <v>1</v>
      </c>
      <c r="AK265" s="3" t="s">
        <v>1</v>
      </c>
      <c r="AL265" s="3" t="s">
        <v>1</v>
      </c>
      <c r="AM265" s="3" t="s">
        <v>1</v>
      </c>
      <c r="AN265" s="3" t="s">
        <v>1</v>
      </c>
      <c r="AO265" s="3" t="s">
        <v>1</v>
      </c>
      <c r="AP265" s="3" t="s">
        <v>1</v>
      </c>
      <c r="AQ265" s="3" t="s">
        <v>1</v>
      </c>
      <c r="AR265" s="3" t="s">
        <v>1</v>
      </c>
      <c r="AS265" s="3" t="s">
        <v>1</v>
      </c>
      <c r="AT265" s="3" t="s">
        <v>1</v>
      </c>
      <c r="AU265" s="3" t="s">
        <v>1</v>
      </c>
      <c r="AV265" s="3" t="s">
        <v>1</v>
      </c>
      <c r="AW265" s="3" t="s">
        <v>1</v>
      </c>
      <c r="AX265" s="3" t="s">
        <v>1</v>
      </c>
      <c r="AY265" s="3" t="s">
        <v>1</v>
      </c>
      <c r="AZ265" s="3" t="s">
        <v>1</v>
      </c>
      <c r="BA265" s="3" t="s">
        <v>1</v>
      </c>
      <c r="BB265" s="3" t="s">
        <v>1</v>
      </c>
      <c r="BC265" s="3" t="s">
        <v>1</v>
      </c>
      <c r="BD265" s="3" t="s">
        <v>1</v>
      </c>
      <c r="BE265" s="3" t="s">
        <v>1</v>
      </c>
      <c r="BF265" s="3" t="s">
        <v>1</v>
      </c>
      <c r="BG265" s="3" t="s">
        <v>1</v>
      </c>
      <c r="BH265" s="3" t="s">
        <v>1</v>
      </c>
      <c r="BI265" s="3" t="s">
        <v>1</v>
      </c>
      <c r="BJ265" s="3" t="s">
        <v>1</v>
      </c>
      <c r="BK265" s="3" t="s">
        <v>1</v>
      </c>
      <c r="BL265" s="3" t="s">
        <v>1</v>
      </c>
      <c r="BM265" s="3" t="s">
        <v>1</v>
      </c>
      <c r="BN265" s="3"/>
      <c r="BO265" s="53" t="s">
        <v>1</v>
      </c>
    </row>
    <row r="266" spans="1:67" x14ac:dyDescent="0.2">
      <c r="A266" s="16" t="str">
        <f>BUDGET!A9</f>
        <v>Rent</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G266" s="54">
        <f t="shared" ref="AG266:AG285" si="20">SUM(B266:AE266)</f>
        <v>0</v>
      </c>
      <c r="AI266" s="72" t="s">
        <v>46</v>
      </c>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O266" s="54">
        <f t="shared" ref="BO266:BO271" si="21">SUM(AJ266:BM266)</f>
        <v>0</v>
      </c>
    </row>
    <row r="267" spans="1:67" x14ac:dyDescent="0.2">
      <c r="A267" s="16" t="str">
        <f>BUDGET!A10</f>
        <v>Tithe</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G267" s="54">
        <f t="shared" si="20"/>
        <v>0</v>
      </c>
      <c r="AI267" s="72" t="s">
        <v>47</v>
      </c>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O267" s="54">
        <f t="shared" si="21"/>
        <v>0</v>
      </c>
    </row>
    <row r="268" spans="1:67" x14ac:dyDescent="0.2">
      <c r="A268" s="16" t="str">
        <f>BUDGET!A11</f>
        <v>Data</v>
      </c>
      <c r="B268" s="6"/>
      <c r="C268" s="6"/>
      <c r="D268" s="6"/>
      <c r="E268" s="6"/>
      <c r="F268" s="6"/>
      <c r="G268" s="6"/>
      <c r="H268" s="6"/>
      <c r="I268" s="6"/>
      <c r="J268" s="6"/>
      <c r="K268" s="6"/>
      <c r="L268" s="6"/>
      <c r="M268" s="6"/>
      <c r="N268" s="6"/>
      <c r="O268" s="6"/>
      <c r="P268" s="6"/>
      <c r="Q268" s="6">
        <v>330</v>
      </c>
      <c r="R268" s="6"/>
      <c r="S268" s="6"/>
      <c r="T268" s="6"/>
      <c r="U268" s="6"/>
      <c r="V268" s="6"/>
      <c r="W268" s="6"/>
      <c r="X268" s="6"/>
      <c r="Y268" s="6"/>
      <c r="Z268" s="6"/>
      <c r="AA268" s="6"/>
      <c r="AB268" s="6"/>
      <c r="AC268" s="6"/>
      <c r="AD268" s="6"/>
      <c r="AE268" s="6"/>
      <c r="AG268" s="54">
        <f t="shared" si="20"/>
        <v>330</v>
      </c>
      <c r="AI268" s="72" t="s">
        <v>52</v>
      </c>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O268" s="54">
        <f t="shared" si="21"/>
        <v>0</v>
      </c>
    </row>
    <row r="269" spans="1:67" x14ac:dyDescent="0.2">
      <c r="A269" s="16" t="str">
        <f>BUDGET!A12</f>
        <v xml:space="preserve">Savings/ Investment </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G269" s="54">
        <f t="shared" si="20"/>
        <v>0</v>
      </c>
      <c r="AI269" s="72" t="s">
        <v>44</v>
      </c>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O269" s="54">
        <f t="shared" si="21"/>
        <v>0</v>
      </c>
    </row>
    <row r="270" spans="1:67" x14ac:dyDescent="0.2">
      <c r="A270" s="16" t="str">
        <f>BUDGET!A13</f>
        <v>Hair / Gym</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G270" s="54">
        <f t="shared" si="20"/>
        <v>0</v>
      </c>
      <c r="AI270" s="72" t="s">
        <v>161</v>
      </c>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O270" s="54">
        <f t="shared" si="21"/>
        <v>0</v>
      </c>
    </row>
    <row r="271" spans="1:67" x14ac:dyDescent="0.2">
      <c r="A271" s="16" t="str">
        <f>BUDGET!A14</f>
        <v>Food</v>
      </c>
      <c r="B271" s="6">
        <f>50+50</f>
        <v>100</v>
      </c>
      <c r="C271" s="6"/>
      <c r="D271" s="6"/>
      <c r="E271" s="6">
        <f>10+18</f>
        <v>28</v>
      </c>
      <c r="F271" s="6"/>
      <c r="G271" s="6">
        <f>5+11</f>
        <v>16</v>
      </c>
      <c r="H271" s="6">
        <f>10+8</f>
        <v>18</v>
      </c>
      <c r="I271" s="6"/>
      <c r="J271" s="6">
        <f>10</f>
        <v>10</v>
      </c>
      <c r="K271" s="6">
        <f>10+25+8</f>
        <v>43</v>
      </c>
      <c r="L271" s="6">
        <f>88+25</f>
        <v>113</v>
      </c>
      <c r="M271" s="6"/>
      <c r="N271" s="6">
        <v>5</v>
      </c>
      <c r="O271" s="6">
        <f>10</f>
        <v>10</v>
      </c>
      <c r="P271" s="6"/>
      <c r="Q271" s="6">
        <v>10</v>
      </c>
      <c r="R271" s="6">
        <f>10+25</f>
        <v>35</v>
      </c>
      <c r="S271" s="6">
        <f>135+10</f>
        <v>145</v>
      </c>
      <c r="T271" s="6"/>
      <c r="U271" s="6">
        <v>10</v>
      </c>
      <c r="V271" s="6"/>
      <c r="W271" s="6">
        <f>5+11</f>
        <v>16</v>
      </c>
      <c r="X271" s="6">
        <f>10</f>
        <v>10</v>
      </c>
      <c r="Y271" s="6">
        <f>9+12</f>
        <v>21</v>
      </c>
      <c r="Z271" s="6">
        <f>95+10+15</f>
        <v>120</v>
      </c>
      <c r="AA271" s="6"/>
      <c r="AB271" s="6">
        <f>10+60+23</f>
        <v>93</v>
      </c>
      <c r="AC271" s="6"/>
      <c r="AD271" s="6"/>
      <c r="AE271" s="6">
        <f>40+10</f>
        <v>50</v>
      </c>
      <c r="AG271" s="54">
        <f t="shared" si="20"/>
        <v>853</v>
      </c>
      <c r="AI271" s="72" t="s">
        <v>41</v>
      </c>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O271" s="54">
        <f t="shared" si="21"/>
        <v>0</v>
      </c>
    </row>
    <row r="272" spans="1:67" x14ac:dyDescent="0.2">
      <c r="A272" s="16" t="str">
        <f>BUDGET!A15</f>
        <v>Healthcare</v>
      </c>
      <c r="B272" s="6"/>
      <c r="C272" s="6"/>
      <c r="D272" s="6"/>
      <c r="E272" s="6">
        <v>48.5</v>
      </c>
      <c r="F272" s="6"/>
      <c r="G272" s="6">
        <v>2</v>
      </c>
      <c r="H272" s="6"/>
      <c r="I272" s="6">
        <v>23.3</v>
      </c>
      <c r="J272" s="6"/>
      <c r="K272" s="6"/>
      <c r="L272" s="6"/>
      <c r="M272" s="6"/>
      <c r="N272" s="6"/>
      <c r="O272" s="6"/>
      <c r="P272" s="6"/>
      <c r="Q272" s="6"/>
      <c r="R272" s="6">
        <v>17</v>
      </c>
      <c r="S272" s="6"/>
      <c r="T272" s="6"/>
      <c r="U272" s="6"/>
      <c r="V272" s="6"/>
      <c r="W272" s="6"/>
      <c r="X272" s="6"/>
      <c r="Y272" s="6"/>
      <c r="Z272" s="6"/>
      <c r="AA272" s="6"/>
      <c r="AB272">
        <v>46</v>
      </c>
      <c r="AC272" s="6"/>
      <c r="AD272" s="6"/>
      <c r="AE272" s="6">
        <v>15</v>
      </c>
      <c r="AG272" s="54">
        <f t="shared" si="20"/>
        <v>151.80000000000001</v>
      </c>
      <c r="AI272" s="72" t="s">
        <v>61</v>
      </c>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O272" s="54"/>
    </row>
    <row r="273" spans="1:67" x14ac:dyDescent="0.2">
      <c r="A273" s="16" t="str">
        <f>BUDGET!A16</f>
        <v xml:space="preserve">Clothes/ Shoes/ Jewelry </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G273" s="54">
        <f t="shared" si="20"/>
        <v>0</v>
      </c>
      <c r="AI273" s="72" t="s">
        <v>45</v>
      </c>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O273" s="54"/>
    </row>
    <row r="274" spans="1:67" x14ac:dyDescent="0.2">
      <c r="A274" s="16" t="str">
        <f>BUDGET!A17</f>
        <v>shoes</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G274" s="54">
        <f t="shared" si="20"/>
        <v>0</v>
      </c>
      <c r="AI274" s="72" t="s">
        <v>128</v>
      </c>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O274" s="54"/>
    </row>
    <row r="275" spans="1:67" x14ac:dyDescent="0.2">
      <c r="A275" s="16" t="str">
        <f>BUDGET!A18</f>
        <v xml:space="preserve">Travel/ Vacations </v>
      </c>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G275" s="54">
        <f t="shared" si="20"/>
        <v>0</v>
      </c>
      <c r="AI275" s="72" t="s">
        <v>42</v>
      </c>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O275" s="54"/>
    </row>
    <row r="276" spans="1:67" x14ac:dyDescent="0.2">
      <c r="A276" s="16" t="str">
        <f>BUDGET!A19</f>
        <v>Outings</v>
      </c>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G276" s="54">
        <f t="shared" si="20"/>
        <v>0</v>
      </c>
      <c r="AI276" s="72" t="s">
        <v>43</v>
      </c>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O276" s="54"/>
    </row>
    <row r="277" spans="1:67" x14ac:dyDescent="0.2">
      <c r="A277" s="16" t="str">
        <f>BUDGET!A20</f>
        <v>Toiletries/Groceries</v>
      </c>
      <c r="B277" s="6">
        <v>120</v>
      </c>
      <c r="C277" s="6"/>
      <c r="D277" s="6"/>
      <c r="E277" s="6"/>
      <c r="F277" s="6"/>
      <c r="G277" s="6"/>
      <c r="H277" s="6"/>
      <c r="I277" s="6"/>
      <c r="J277" s="6"/>
      <c r="K277" s="6"/>
      <c r="L277" s="6"/>
      <c r="M277" s="6"/>
      <c r="N277" s="6"/>
      <c r="O277" s="6"/>
      <c r="P277" s="6"/>
      <c r="Q277" s="6"/>
      <c r="R277" s="6">
        <v>50</v>
      </c>
      <c r="S277" s="6">
        <v>1047.5999999999999</v>
      </c>
      <c r="T277" s="6">
        <v>133.37</v>
      </c>
      <c r="U277" s="6"/>
      <c r="V277" s="6"/>
      <c r="W277" s="6"/>
      <c r="X277" s="6"/>
      <c r="Y277" s="6"/>
      <c r="Z277" s="6">
        <f>70+128</f>
        <v>198</v>
      </c>
      <c r="AA277" s="6"/>
      <c r="AB277" s="6"/>
      <c r="AC277" s="6">
        <v>10</v>
      </c>
      <c r="AD277" s="6"/>
      <c r="AE277" s="6"/>
      <c r="AG277" s="54">
        <f t="shared" si="20"/>
        <v>1558.9699999999998</v>
      </c>
      <c r="AI277" s="72" t="s">
        <v>53</v>
      </c>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O277" s="54">
        <f t="shared" ref="BO277:BO285" si="22">SUM(AJ277:BM277)</f>
        <v>0</v>
      </c>
    </row>
    <row r="278" spans="1:67" x14ac:dyDescent="0.2">
      <c r="A278" s="16" t="str">
        <f>BUDGET!A21</f>
        <v xml:space="preserve">Transportation </v>
      </c>
      <c r="B278" s="6">
        <v>14</v>
      </c>
      <c r="C278" s="6">
        <f>63+21</f>
        <v>84</v>
      </c>
      <c r="D278" s="6">
        <f>58+59</f>
        <v>117</v>
      </c>
      <c r="E278" s="6"/>
      <c r="F278" s="6"/>
      <c r="G278" s="6"/>
      <c r="H278" s="6"/>
      <c r="I278" s="6">
        <v>36</v>
      </c>
      <c r="J278" s="6">
        <f>4+5.5+32</f>
        <v>41.5</v>
      </c>
      <c r="K278" s="6">
        <v>92</v>
      </c>
      <c r="L278" s="6"/>
      <c r="M278" s="6"/>
      <c r="N278" s="6">
        <v>50</v>
      </c>
      <c r="O278" s="6">
        <v>18</v>
      </c>
      <c r="P278" s="6">
        <f>22+23</f>
        <v>45</v>
      </c>
      <c r="Q278" s="6">
        <v>67</v>
      </c>
      <c r="R278" s="6">
        <f>52+68</f>
        <v>120</v>
      </c>
      <c r="S278" s="6">
        <f>47+16+18</f>
        <v>81</v>
      </c>
      <c r="T278" s="6">
        <v>40</v>
      </c>
      <c r="U278" s="6">
        <v>63</v>
      </c>
      <c r="V278" s="6">
        <v>4</v>
      </c>
      <c r="W278" s="6">
        <f>4.5</f>
        <v>4.5</v>
      </c>
      <c r="X278" s="6"/>
      <c r="Y278" s="6">
        <f>48+33+63</f>
        <v>144</v>
      </c>
      <c r="Z278" s="6">
        <f>3+14+37</f>
        <v>54</v>
      </c>
      <c r="AA278" s="6">
        <f>65</f>
        <v>65</v>
      </c>
      <c r="AB278" s="6">
        <f>2.5+7</f>
        <v>9.5</v>
      </c>
      <c r="AC278" s="6">
        <f>5.5</f>
        <v>5.5</v>
      </c>
      <c r="AD278" s="6">
        <f>7+5.5+65</f>
        <v>77.5</v>
      </c>
      <c r="AE278" s="6">
        <f>57+7+4+2+33</f>
        <v>103</v>
      </c>
      <c r="AG278" s="54">
        <f t="shared" si="20"/>
        <v>1335.5</v>
      </c>
      <c r="AI278" s="72" t="s">
        <v>39</v>
      </c>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O278" s="54">
        <f t="shared" si="22"/>
        <v>0</v>
      </c>
    </row>
    <row r="279" spans="1:67" x14ac:dyDescent="0.2">
      <c r="A279" s="16" t="str">
        <f>BUDGET!A22</f>
        <v>Miscellaneous</v>
      </c>
      <c r="B279" s="6"/>
      <c r="C279" s="6"/>
      <c r="D279" s="6">
        <v>65</v>
      </c>
      <c r="E279" s="6">
        <v>22</v>
      </c>
      <c r="F279" s="6"/>
      <c r="G279" s="6"/>
      <c r="H279" s="6"/>
      <c r="I279" s="6">
        <v>50</v>
      </c>
      <c r="J279" s="6"/>
      <c r="K279" s="6"/>
      <c r="L279" s="6"/>
      <c r="M279" s="6"/>
      <c r="N279" s="6">
        <v>30</v>
      </c>
      <c r="O279" s="6"/>
      <c r="P279" s="6">
        <v>28</v>
      </c>
      <c r="Q279" s="6"/>
      <c r="R279" s="6"/>
      <c r="S279" s="6">
        <v>3</v>
      </c>
      <c r="T279" s="6"/>
      <c r="U279" s="6">
        <v>150</v>
      </c>
      <c r="V279" s="6"/>
      <c r="W279" s="6"/>
      <c r="X279" s="6">
        <v>65</v>
      </c>
      <c r="Y279" s="6"/>
      <c r="Z279" s="127">
        <v>400</v>
      </c>
      <c r="AA279" s="6"/>
      <c r="AB279" s="6">
        <f>3</f>
        <v>3</v>
      </c>
      <c r="AC279" s="6"/>
      <c r="AD279" s="127">
        <f>510+40+50</f>
        <v>600</v>
      </c>
      <c r="AE279" s="6">
        <v>100</v>
      </c>
      <c r="AG279" s="54">
        <f t="shared" si="20"/>
        <v>1516</v>
      </c>
      <c r="AI279" s="72" t="s">
        <v>127</v>
      </c>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v>400</v>
      </c>
      <c r="BI279" s="6"/>
      <c r="BJ279" s="6"/>
      <c r="BK279" s="6"/>
      <c r="BL279" s="6">
        <v>510</v>
      </c>
      <c r="BM279" s="6"/>
      <c r="BO279" s="54">
        <f t="shared" si="22"/>
        <v>910</v>
      </c>
    </row>
    <row r="280" spans="1:67" x14ac:dyDescent="0.2">
      <c r="A280" s="16" t="str">
        <f>BUDGET!A23</f>
        <v>Apple Subscriptions</v>
      </c>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v>12.74</v>
      </c>
      <c r="AB280" s="6"/>
      <c r="AC280" s="6"/>
      <c r="AD280" s="6"/>
      <c r="AE280" s="6"/>
      <c r="AG280" s="54">
        <f t="shared" si="20"/>
        <v>12.74</v>
      </c>
      <c r="AI280" s="72" t="s">
        <v>48</v>
      </c>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O280" s="54">
        <f t="shared" si="22"/>
        <v>0</v>
      </c>
    </row>
    <row r="281" spans="1:67" x14ac:dyDescent="0.2">
      <c r="A281" s="16" t="str">
        <f>BUDGET!A24</f>
        <v>Google 1</v>
      </c>
      <c r="B281" s="6"/>
      <c r="C281" s="6"/>
      <c r="D281" s="6"/>
      <c r="E281" s="6"/>
      <c r="F281" s="6"/>
      <c r="G281" s="6"/>
      <c r="H281" s="6"/>
      <c r="I281" s="6"/>
      <c r="J281" s="6"/>
      <c r="K281" s="6">
        <v>9</v>
      </c>
      <c r="L281" s="6"/>
      <c r="M281" s="6"/>
      <c r="N281" s="6"/>
      <c r="O281" s="6"/>
      <c r="P281" s="6"/>
      <c r="Q281" s="6"/>
      <c r="R281" s="6"/>
      <c r="S281" s="6"/>
      <c r="T281" s="6"/>
      <c r="U281" s="6"/>
      <c r="V281" s="6"/>
      <c r="W281" s="6"/>
      <c r="X281" s="6"/>
      <c r="Y281" s="6"/>
      <c r="Z281" s="6"/>
      <c r="AB281" s="6"/>
      <c r="AC281" s="6"/>
      <c r="AD281" s="6"/>
      <c r="AE281" s="6"/>
      <c r="AG281" s="54">
        <f t="shared" si="20"/>
        <v>9</v>
      </c>
      <c r="AI281" s="72" t="s">
        <v>49</v>
      </c>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O281" s="54">
        <f t="shared" si="22"/>
        <v>0</v>
      </c>
    </row>
    <row r="282" spans="1:67" x14ac:dyDescent="0.2">
      <c r="A282" s="16" t="str">
        <f>BUDGET!A25</f>
        <v>Netflix</v>
      </c>
      <c r="B282" s="6"/>
      <c r="C282" s="6"/>
      <c r="D282" s="6"/>
      <c r="E282" s="6"/>
      <c r="F282" s="6"/>
      <c r="G282" s="6"/>
      <c r="H282" s="6"/>
      <c r="I282" s="6"/>
      <c r="J282" s="6"/>
      <c r="K282" s="6"/>
      <c r="L282" s="6"/>
      <c r="M282" s="6"/>
      <c r="N282" s="6"/>
      <c r="O282" s="6"/>
      <c r="P282" s="6"/>
      <c r="Q282" s="6"/>
      <c r="R282" s="6"/>
      <c r="S282" s="6"/>
      <c r="T282" s="6">
        <v>102.58</v>
      </c>
      <c r="U282" s="6"/>
      <c r="V282" s="6"/>
      <c r="W282" s="6"/>
      <c r="X282" s="6"/>
      <c r="Y282" s="6"/>
      <c r="Z282" s="6"/>
      <c r="AA282" s="6"/>
      <c r="AB282" s="6"/>
      <c r="AC282" s="6"/>
      <c r="AD282" s="6"/>
      <c r="AE282" s="6"/>
      <c r="AG282" s="54">
        <f t="shared" si="20"/>
        <v>102.58</v>
      </c>
      <c r="AI282" s="72" t="s">
        <v>126</v>
      </c>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O282" s="54">
        <f t="shared" si="22"/>
        <v>0</v>
      </c>
    </row>
    <row r="283" spans="1:67" x14ac:dyDescent="0.2">
      <c r="A283" s="16" t="str">
        <f>BUDGET!A26</f>
        <v>Amuse</v>
      </c>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G283" s="54">
        <f t="shared" si="20"/>
        <v>0</v>
      </c>
      <c r="AI283" s="72" t="s">
        <v>50</v>
      </c>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O283" s="54">
        <f t="shared" si="22"/>
        <v>0</v>
      </c>
    </row>
    <row r="284" spans="1:67" x14ac:dyDescent="0.2">
      <c r="A284" s="16" t="str">
        <f>BUDGET!A27</f>
        <v>electricity</v>
      </c>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f>50+20</f>
        <v>70</v>
      </c>
      <c r="AC284" s="6"/>
      <c r="AD284" s="6"/>
      <c r="AE284" s="6"/>
      <c r="AG284" s="54">
        <f t="shared" si="20"/>
        <v>70</v>
      </c>
      <c r="AI284" s="72" t="s">
        <v>73</v>
      </c>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O284" s="54">
        <f t="shared" si="22"/>
        <v>0</v>
      </c>
    </row>
    <row r="285" spans="1:67" ht="16" thickBot="1" x14ac:dyDescent="0.25">
      <c r="A285" s="16" t="str">
        <f>BUDGET!A28</f>
        <v>Account Charges</v>
      </c>
      <c r="B285" s="6">
        <f>1.4+1.5</f>
        <v>2.9</v>
      </c>
      <c r="C285" s="6"/>
      <c r="D285" s="6"/>
      <c r="E285" s="6"/>
      <c r="F285" s="6"/>
      <c r="G285" s="6"/>
      <c r="H285" s="6"/>
      <c r="I285" s="6"/>
      <c r="J285" s="6"/>
      <c r="K285" s="6"/>
      <c r="L285" s="6"/>
      <c r="M285" s="6"/>
      <c r="N285" s="6"/>
      <c r="O285" s="6"/>
      <c r="P285" s="6"/>
      <c r="Q285" s="6"/>
      <c r="R285" s="6"/>
      <c r="S285" s="6"/>
      <c r="T285" s="6"/>
      <c r="U285" s="6"/>
      <c r="V285" s="6"/>
      <c r="W285" s="6">
        <f>7+3</f>
        <v>10</v>
      </c>
      <c r="X285" s="6"/>
      <c r="Y285" s="6"/>
      <c r="Z285" s="6">
        <v>8</v>
      </c>
      <c r="AA285" s="6"/>
      <c r="AB285" s="6"/>
      <c r="AC285" s="6"/>
      <c r="AD285" s="6"/>
      <c r="AE285" s="6"/>
      <c r="AG285" s="54">
        <f t="shared" si="20"/>
        <v>20.9</v>
      </c>
      <c r="AI285" s="72" t="s">
        <v>51</v>
      </c>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O285" s="54">
        <f t="shared" si="22"/>
        <v>0</v>
      </c>
    </row>
    <row r="286" spans="1:67" ht="16.5" customHeight="1" thickBot="1" x14ac:dyDescent="0.25">
      <c r="A286" s="20" t="s">
        <v>11</v>
      </c>
      <c r="B286" s="21">
        <f t="shared" ref="B286:AD286" si="23">SUM(B266:B285)</f>
        <v>236.9</v>
      </c>
      <c r="C286" s="21">
        <f t="shared" si="23"/>
        <v>84</v>
      </c>
      <c r="D286" s="21">
        <f t="shared" si="23"/>
        <v>182</v>
      </c>
      <c r="E286" s="21">
        <f t="shared" si="23"/>
        <v>98.5</v>
      </c>
      <c r="F286" s="21">
        <f>SUM(F266:F285)</f>
        <v>0</v>
      </c>
      <c r="G286" s="21">
        <f t="shared" si="23"/>
        <v>18</v>
      </c>
      <c r="H286" s="21">
        <f t="shared" si="23"/>
        <v>18</v>
      </c>
      <c r="I286" s="21">
        <f t="shared" si="23"/>
        <v>109.3</v>
      </c>
      <c r="J286" s="21">
        <f t="shared" si="23"/>
        <v>51.5</v>
      </c>
      <c r="K286" s="21">
        <f t="shared" si="23"/>
        <v>144</v>
      </c>
      <c r="L286" s="21">
        <f t="shared" si="23"/>
        <v>113</v>
      </c>
      <c r="M286" s="21">
        <f t="shared" si="23"/>
        <v>0</v>
      </c>
      <c r="N286" s="21">
        <f t="shared" si="23"/>
        <v>85</v>
      </c>
      <c r="O286" s="21">
        <f t="shared" si="23"/>
        <v>28</v>
      </c>
      <c r="P286" s="21">
        <f t="shared" si="23"/>
        <v>73</v>
      </c>
      <c r="Q286" s="21">
        <f t="shared" si="23"/>
        <v>407</v>
      </c>
      <c r="R286" s="21">
        <f t="shared" si="23"/>
        <v>222</v>
      </c>
      <c r="S286" s="21">
        <f t="shared" si="23"/>
        <v>1276.5999999999999</v>
      </c>
      <c r="T286" s="21">
        <f t="shared" si="23"/>
        <v>275.95</v>
      </c>
      <c r="U286" s="21">
        <f t="shared" si="23"/>
        <v>223</v>
      </c>
      <c r="V286" s="21">
        <f t="shared" si="23"/>
        <v>4</v>
      </c>
      <c r="W286" s="21">
        <f t="shared" si="23"/>
        <v>30.5</v>
      </c>
      <c r="X286" s="21">
        <f t="shared" si="23"/>
        <v>75</v>
      </c>
      <c r="Y286" s="21">
        <f t="shared" si="23"/>
        <v>165</v>
      </c>
      <c r="Z286" s="21">
        <f t="shared" si="23"/>
        <v>780</v>
      </c>
      <c r="AA286" s="21">
        <f t="shared" si="23"/>
        <v>77.739999999999995</v>
      </c>
      <c r="AB286" s="21">
        <f t="shared" si="23"/>
        <v>221.5</v>
      </c>
      <c r="AC286" s="21">
        <f t="shared" si="23"/>
        <v>15.5</v>
      </c>
      <c r="AD286" s="21">
        <f t="shared" si="23"/>
        <v>677.5</v>
      </c>
      <c r="AE286" s="21">
        <f>SUM(AE266:AE285)</f>
        <v>268</v>
      </c>
      <c r="AF286" s="22"/>
      <c r="AG286" s="56">
        <f>SUM(AG266:AG285)</f>
        <v>5960.4899999999989</v>
      </c>
      <c r="AI286" s="20" t="s">
        <v>11</v>
      </c>
      <c r="AJ286" s="21">
        <f t="shared" ref="AJ286:AM286" si="24">SUM(AJ266:AJ285)</f>
        <v>0</v>
      </c>
      <c r="AK286" s="21">
        <f t="shared" si="24"/>
        <v>0</v>
      </c>
      <c r="AL286" s="21">
        <f t="shared" si="24"/>
        <v>0</v>
      </c>
      <c r="AM286" s="21">
        <f t="shared" si="24"/>
        <v>0</v>
      </c>
      <c r="AN286" s="21">
        <f>SUM(AN266:AN285)</f>
        <v>0</v>
      </c>
      <c r="AO286" s="21">
        <f t="shared" ref="AO286:BL286" si="25">SUM(AO266:AO285)</f>
        <v>0</v>
      </c>
      <c r="AP286" s="21">
        <f t="shared" si="25"/>
        <v>0</v>
      </c>
      <c r="AQ286" s="21">
        <f t="shared" si="25"/>
        <v>0</v>
      </c>
      <c r="AR286" s="21">
        <f t="shared" si="25"/>
        <v>0</v>
      </c>
      <c r="AS286" s="21">
        <f t="shared" si="25"/>
        <v>0</v>
      </c>
      <c r="AT286" s="21">
        <f t="shared" si="25"/>
        <v>0</v>
      </c>
      <c r="AU286" s="21">
        <f t="shared" si="25"/>
        <v>0</v>
      </c>
      <c r="AV286" s="21">
        <f t="shared" si="25"/>
        <v>0</v>
      </c>
      <c r="AW286" s="21">
        <f>SUM(AW266:AW285)</f>
        <v>0</v>
      </c>
      <c r="AX286" s="21">
        <f t="shared" si="25"/>
        <v>0</v>
      </c>
      <c r="AY286" s="21">
        <f t="shared" si="25"/>
        <v>0</v>
      </c>
      <c r="AZ286" s="21">
        <f t="shared" si="25"/>
        <v>0</v>
      </c>
      <c r="BA286" s="21">
        <f t="shared" si="25"/>
        <v>0</v>
      </c>
      <c r="BB286" s="21">
        <f t="shared" si="25"/>
        <v>0</v>
      </c>
      <c r="BC286" s="21">
        <f t="shared" si="25"/>
        <v>0</v>
      </c>
      <c r="BD286" s="21">
        <f t="shared" si="25"/>
        <v>0</v>
      </c>
      <c r="BE286" s="21">
        <f t="shared" si="25"/>
        <v>0</v>
      </c>
      <c r="BF286" s="21">
        <f t="shared" si="25"/>
        <v>0</v>
      </c>
      <c r="BG286" s="21">
        <f t="shared" si="25"/>
        <v>0</v>
      </c>
      <c r="BH286" s="21">
        <f t="shared" si="25"/>
        <v>400</v>
      </c>
      <c r="BI286" s="21">
        <f t="shared" si="25"/>
        <v>0</v>
      </c>
      <c r="BJ286" s="21">
        <f t="shared" si="25"/>
        <v>0</v>
      </c>
      <c r="BK286" s="21">
        <f t="shared" si="25"/>
        <v>0</v>
      </c>
      <c r="BL286" s="21">
        <f t="shared" si="25"/>
        <v>510</v>
      </c>
      <c r="BM286" s="21">
        <f>SUM(BM266:BM285)</f>
        <v>0</v>
      </c>
      <c r="BN286" s="22"/>
      <c r="BO286" s="56">
        <f>SUM(BO266:BO285)</f>
        <v>910</v>
      </c>
    </row>
    <row r="287" spans="1:67" ht="16" thickTop="1" x14ac:dyDescent="0.2">
      <c r="AG287" s="49"/>
    </row>
    <row r="288" spans="1:67" x14ac:dyDescent="0.2">
      <c r="AG288" s="49"/>
    </row>
    <row r="289" spans="1:33" x14ac:dyDescent="0.2">
      <c r="AG289" s="49"/>
    </row>
    <row r="290" spans="1:33" x14ac:dyDescent="0.2">
      <c r="A290" s="14" t="s">
        <v>198</v>
      </c>
      <c r="B290" s="7">
        <v>1</v>
      </c>
      <c r="C290" s="7">
        <v>2</v>
      </c>
      <c r="D290" s="7">
        <v>3</v>
      </c>
      <c r="E290" s="2">
        <v>4</v>
      </c>
      <c r="F290" s="2">
        <v>5</v>
      </c>
      <c r="G290" s="2">
        <v>6</v>
      </c>
      <c r="H290" s="2">
        <v>7</v>
      </c>
      <c r="I290" s="2">
        <v>8</v>
      </c>
      <c r="J290" s="2">
        <v>9</v>
      </c>
      <c r="K290" s="2">
        <v>10</v>
      </c>
      <c r="L290" s="2">
        <v>11</v>
      </c>
      <c r="M290" s="2">
        <v>12</v>
      </c>
      <c r="N290" s="2">
        <v>13</v>
      </c>
      <c r="O290" s="2">
        <v>14</v>
      </c>
      <c r="P290" s="2">
        <v>15</v>
      </c>
      <c r="Q290" s="2">
        <v>16</v>
      </c>
      <c r="R290" s="2">
        <v>17</v>
      </c>
      <c r="S290" s="2">
        <v>18</v>
      </c>
      <c r="T290" s="2">
        <v>19</v>
      </c>
      <c r="U290" s="2">
        <v>20</v>
      </c>
      <c r="V290" s="2">
        <v>21</v>
      </c>
      <c r="W290" s="2">
        <v>22</v>
      </c>
      <c r="X290" s="2">
        <v>23</v>
      </c>
      <c r="Y290" s="2">
        <v>24</v>
      </c>
      <c r="Z290" s="2">
        <v>25</v>
      </c>
      <c r="AA290" s="2">
        <v>26</v>
      </c>
      <c r="AB290" s="2">
        <v>27</v>
      </c>
      <c r="AC290" s="2">
        <v>28</v>
      </c>
      <c r="AD290" s="2">
        <v>29</v>
      </c>
      <c r="AE290" s="2">
        <v>30</v>
      </c>
      <c r="AF290" s="2">
        <v>31</v>
      </c>
      <c r="AG290" s="52" t="s">
        <v>0</v>
      </c>
    </row>
    <row r="291" spans="1:33" x14ac:dyDescent="0.2">
      <c r="A291" s="3"/>
      <c r="B291" s="3" t="s">
        <v>1</v>
      </c>
      <c r="C291" s="3" t="s">
        <v>1</v>
      </c>
      <c r="D291" s="3" t="s">
        <v>1</v>
      </c>
      <c r="E291" s="3" t="s">
        <v>1</v>
      </c>
      <c r="F291" s="3" t="s">
        <v>1</v>
      </c>
      <c r="G291" s="3" t="s">
        <v>1</v>
      </c>
      <c r="H291" s="3" t="s">
        <v>1</v>
      </c>
      <c r="I291" s="3" t="s">
        <v>1</v>
      </c>
      <c r="J291" s="3" t="s">
        <v>1</v>
      </c>
      <c r="K291" s="3" t="s">
        <v>1</v>
      </c>
      <c r="L291" s="3" t="s">
        <v>1</v>
      </c>
      <c r="M291" s="3" t="s">
        <v>1</v>
      </c>
      <c r="N291" s="3" t="s">
        <v>1</v>
      </c>
      <c r="O291" s="3" t="s">
        <v>1</v>
      </c>
      <c r="P291" s="3" t="s">
        <v>1</v>
      </c>
      <c r="Q291" s="3" t="s">
        <v>1</v>
      </c>
      <c r="R291" s="3" t="s">
        <v>1</v>
      </c>
      <c r="S291" s="3" t="s">
        <v>1</v>
      </c>
      <c r="T291" s="3" t="s">
        <v>1</v>
      </c>
      <c r="U291" s="3" t="s">
        <v>1</v>
      </c>
      <c r="V291" s="3" t="s">
        <v>1</v>
      </c>
      <c r="W291" s="3" t="s">
        <v>1</v>
      </c>
      <c r="X291" s="3" t="s">
        <v>1</v>
      </c>
      <c r="Y291" s="3" t="s">
        <v>1</v>
      </c>
      <c r="Z291" s="3" t="s">
        <v>1</v>
      </c>
      <c r="AA291" s="3" t="s">
        <v>1</v>
      </c>
      <c r="AB291" s="3" t="s">
        <v>1</v>
      </c>
      <c r="AC291" s="3" t="s">
        <v>1</v>
      </c>
      <c r="AD291" s="3" t="s">
        <v>1</v>
      </c>
      <c r="AE291" s="3" t="s">
        <v>1</v>
      </c>
      <c r="AF291" s="3" t="s">
        <v>1</v>
      </c>
      <c r="AG291" s="53" t="s">
        <v>1</v>
      </c>
    </row>
    <row r="292" spans="1:33" x14ac:dyDescent="0.2">
      <c r="A292" s="16" t="str">
        <f>BUDGET!A9</f>
        <v>Rent</v>
      </c>
      <c r="B292" s="6">
        <v>0</v>
      </c>
      <c r="C292" s="6">
        <v>0</v>
      </c>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v>1000</v>
      </c>
      <c r="AG292" s="54">
        <f t="shared" ref="AG292:AG311" si="26">SUM(B292:AF292)</f>
        <v>1000</v>
      </c>
    </row>
    <row r="293" spans="1:33" x14ac:dyDescent="0.2">
      <c r="A293" s="16" t="str">
        <f>BUDGET!A10</f>
        <v>Tithe</v>
      </c>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54">
        <f t="shared" si="26"/>
        <v>0</v>
      </c>
    </row>
    <row r="294" spans="1:33" x14ac:dyDescent="0.2">
      <c r="A294" s="16" t="str">
        <f>BUDGET!A11</f>
        <v>Data</v>
      </c>
      <c r="B294" s="6">
        <v>0</v>
      </c>
      <c r="C294" s="6">
        <v>0</v>
      </c>
      <c r="D294" s="6"/>
      <c r="E294" s="6"/>
      <c r="F294" s="6"/>
      <c r="G294" s="6"/>
      <c r="H294" s="6">
        <v>5</v>
      </c>
      <c r="I294" s="6"/>
      <c r="J294" s="6"/>
      <c r="K294" s="6"/>
      <c r="L294" s="6"/>
      <c r="M294" s="6"/>
      <c r="N294" s="6"/>
      <c r="O294" s="6"/>
      <c r="P294" s="6"/>
      <c r="Q294" s="6">
        <v>450</v>
      </c>
      <c r="R294" s="6"/>
      <c r="S294" s="6"/>
      <c r="T294" s="6"/>
      <c r="U294" s="6"/>
      <c r="V294" s="6"/>
      <c r="W294" s="6"/>
      <c r="X294" s="6"/>
      <c r="Y294" s="6"/>
      <c r="Z294" s="6"/>
      <c r="AA294" s="6"/>
      <c r="AB294" s="6"/>
      <c r="AC294" s="6"/>
      <c r="AD294" s="6"/>
      <c r="AE294" s="6"/>
      <c r="AF294" s="6"/>
      <c r="AG294" s="54">
        <f t="shared" si="26"/>
        <v>455</v>
      </c>
    </row>
    <row r="295" spans="1:33" x14ac:dyDescent="0.2">
      <c r="A295" s="16" t="str">
        <f>BUDGET!A12</f>
        <v xml:space="preserve">Savings/ Investment </v>
      </c>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54">
        <f t="shared" si="26"/>
        <v>0</v>
      </c>
    </row>
    <row r="296" spans="1:33" x14ac:dyDescent="0.2">
      <c r="A296" s="16" t="str">
        <f>BUDGET!A13</f>
        <v>Hair / Gym</v>
      </c>
      <c r="B296" s="6">
        <v>0</v>
      </c>
      <c r="C296" s="6">
        <v>0</v>
      </c>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54">
        <f t="shared" si="26"/>
        <v>0</v>
      </c>
    </row>
    <row r="297" spans="1:33" x14ac:dyDescent="0.2">
      <c r="A297" s="16" t="str">
        <f>BUDGET!A14</f>
        <v>Food</v>
      </c>
      <c r="B297" s="6">
        <v>0</v>
      </c>
      <c r="C297" s="6">
        <v>3</v>
      </c>
      <c r="D297" s="6"/>
      <c r="E297" s="6">
        <v>10</v>
      </c>
      <c r="F297" s="6">
        <f>10+42+10</f>
        <v>62</v>
      </c>
      <c r="G297" s="6">
        <f>10</f>
        <v>10</v>
      </c>
      <c r="H297" s="6">
        <f>18+67</f>
        <v>85</v>
      </c>
      <c r="I297" s="6">
        <f>17</f>
        <v>17</v>
      </c>
      <c r="J297" s="6">
        <f>25+10</f>
        <v>35</v>
      </c>
      <c r="K297" s="6"/>
      <c r="L297" s="6">
        <f>10+110</f>
        <v>120</v>
      </c>
      <c r="M297" s="6">
        <f>10+10</f>
        <v>20</v>
      </c>
      <c r="N297" s="104">
        <f>10+10</f>
        <v>20</v>
      </c>
      <c r="O297" s="6">
        <f>10+70+25</f>
        <v>105</v>
      </c>
      <c r="P297" s="6">
        <f>10+12+8</f>
        <v>30</v>
      </c>
      <c r="Q297" s="6">
        <f>86.1+2+10</f>
        <v>98.1</v>
      </c>
      <c r="R297" s="6"/>
      <c r="S297" s="6">
        <v>20</v>
      </c>
      <c r="T297" s="6">
        <f>3+20</f>
        <v>23</v>
      </c>
      <c r="U297" s="6"/>
      <c r="V297" s="6">
        <f>6</f>
        <v>6</v>
      </c>
      <c r="W297" s="6">
        <f>8+50</f>
        <v>58</v>
      </c>
      <c r="X297" s="6">
        <f>155+52</f>
        <v>207</v>
      </c>
      <c r="Y297" s="6"/>
      <c r="Z297" s="6"/>
      <c r="AA297" s="6">
        <f>89+65+20+10</f>
        <v>184</v>
      </c>
      <c r="AB297" s="6"/>
      <c r="AC297" s="6"/>
      <c r="AD297" s="6">
        <f>114.8+20</f>
        <v>134.80000000000001</v>
      </c>
      <c r="AE297" s="6"/>
      <c r="AF297" s="6">
        <f>340+135</f>
        <v>475</v>
      </c>
      <c r="AG297" s="54">
        <f t="shared" si="26"/>
        <v>1722.8999999999999</v>
      </c>
    </row>
    <row r="298" spans="1:33" x14ac:dyDescent="0.2">
      <c r="A298" s="16" t="str">
        <f>BUDGET!A15</f>
        <v>Healthcare</v>
      </c>
      <c r="B298" s="6"/>
      <c r="C298" s="6"/>
      <c r="D298" s="6"/>
      <c r="E298" s="6"/>
      <c r="F298" s="6"/>
      <c r="G298" s="6"/>
      <c r="H298" s="6">
        <v>22</v>
      </c>
      <c r="I298" s="6"/>
      <c r="J298" s="6"/>
      <c r="K298" s="6"/>
      <c r="L298" s="6"/>
      <c r="M298" s="6"/>
      <c r="N298" s="6"/>
      <c r="O298" s="6"/>
      <c r="P298" s="6"/>
      <c r="Q298" s="6">
        <f>18</f>
        <v>18</v>
      </c>
      <c r="R298" s="6"/>
      <c r="S298" s="6"/>
      <c r="T298" s="6"/>
      <c r="U298" s="6"/>
      <c r="V298" s="6"/>
      <c r="W298" s="6"/>
      <c r="X298" s="6"/>
      <c r="Y298" s="6"/>
      <c r="Z298" s="6"/>
      <c r="AA298" s="6">
        <v>16</v>
      </c>
      <c r="AB298" s="6"/>
      <c r="AC298" s="6"/>
      <c r="AD298" s="6"/>
      <c r="AE298" s="6"/>
      <c r="AF298" s="6"/>
      <c r="AG298" s="54">
        <f t="shared" si="26"/>
        <v>56</v>
      </c>
    </row>
    <row r="299" spans="1:33" x14ac:dyDescent="0.2">
      <c r="A299" s="16" t="str">
        <f>BUDGET!A16</f>
        <v xml:space="preserve">Clothes/ Shoes/ Jewelry </v>
      </c>
      <c r="B299" s="6"/>
      <c r="C299" s="6">
        <v>120</v>
      </c>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54">
        <f t="shared" si="26"/>
        <v>120</v>
      </c>
    </row>
    <row r="300" spans="1:33" x14ac:dyDescent="0.2">
      <c r="A300" s="16" t="str">
        <f>BUDGET!A17</f>
        <v>shoes</v>
      </c>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54">
        <f t="shared" si="26"/>
        <v>0</v>
      </c>
    </row>
    <row r="301" spans="1:33" x14ac:dyDescent="0.2">
      <c r="A301" s="16" t="str">
        <f>BUDGET!A18</f>
        <v xml:space="preserve">Travel/ Vacations </v>
      </c>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54">
        <f t="shared" si="26"/>
        <v>0</v>
      </c>
    </row>
    <row r="302" spans="1:33" x14ac:dyDescent="0.2">
      <c r="A302" s="16" t="str">
        <f>BUDGET!A19</f>
        <v>Outings</v>
      </c>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54">
        <f t="shared" si="26"/>
        <v>0</v>
      </c>
    </row>
    <row r="303" spans="1:33" x14ac:dyDescent="0.2">
      <c r="A303" s="16" t="str">
        <f>BUDGET!A20</f>
        <v>Toiletries/Groceries</v>
      </c>
      <c r="B303" s="6">
        <v>0</v>
      </c>
      <c r="C303" s="6">
        <v>0</v>
      </c>
      <c r="D303" s="6"/>
      <c r="E303" s="6"/>
      <c r="F303" s="6"/>
      <c r="G303" s="6"/>
      <c r="H303" s="6"/>
      <c r="J303" s="6"/>
      <c r="K303" s="6"/>
      <c r="L303" s="6"/>
      <c r="M303" s="6"/>
      <c r="N303" s="6"/>
      <c r="O303" s="6"/>
      <c r="P303" s="6"/>
      <c r="Q303" s="6"/>
      <c r="R303" s="6"/>
      <c r="S303" s="6"/>
      <c r="T303" s="6"/>
      <c r="U303" s="6"/>
      <c r="V303" s="6"/>
      <c r="W303" s="6"/>
      <c r="X303" s="6">
        <f>313</f>
        <v>313</v>
      </c>
      <c r="Y303" s="6">
        <v>1179.81</v>
      </c>
      <c r="Z303" s="6"/>
      <c r="AA303" s="6">
        <v>47</v>
      </c>
      <c r="AB303" s="6"/>
      <c r="AC303" s="6"/>
      <c r="AD303" s="6"/>
      <c r="AE303" s="6"/>
      <c r="AF303" s="6"/>
      <c r="AG303" s="54">
        <f t="shared" si="26"/>
        <v>1539.81</v>
      </c>
    </row>
    <row r="304" spans="1:33" x14ac:dyDescent="0.2">
      <c r="A304" s="16" t="str">
        <f>BUDGET!A21</f>
        <v xml:space="preserve">Transportation </v>
      </c>
      <c r="B304" s="6">
        <v>29</v>
      </c>
      <c r="C304" s="6"/>
      <c r="D304" s="6">
        <v>21</v>
      </c>
      <c r="E304" s="6">
        <f>59+64</f>
        <v>123</v>
      </c>
      <c r="F304" s="6">
        <v>24</v>
      </c>
      <c r="G304" s="6">
        <f>75</f>
        <v>75</v>
      </c>
      <c r="H304" s="6">
        <f>59</f>
        <v>59</v>
      </c>
      <c r="I304" s="6">
        <f>52+64</f>
        <v>116</v>
      </c>
      <c r="J304" s="127">
        <f>45+63</f>
        <v>108</v>
      </c>
      <c r="K304" s="6"/>
      <c r="L304" s="6"/>
      <c r="M304" s="6"/>
      <c r="N304" s="6">
        <f>4+7+4.5</f>
        <v>15.5</v>
      </c>
      <c r="O304" s="6">
        <f>30</f>
        <v>30</v>
      </c>
      <c r="P304" s="127">
        <v>108</v>
      </c>
      <c r="Q304" s="6"/>
      <c r="R304" s="6">
        <f>30+27+66+65</f>
        <v>188</v>
      </c>
      <c r="S304" s="6"/>
      <c r="T304" s="6">
        <f>5+7.5</f>
        <v>12.5</v>
      </c>
      <c r="U304" s="6">
        <f>7+5.5+62</f>
        <v>74.5</v>
      </c>
      <c r="V304" s="6">
        <f>14+11+5+7.5</f>
        <v>37.5</v>
      </c>
      <c r="W304" s="6">
        <f>7+5.5+98</f>
        <v>110.5</v>
      </c>
      <c r="X304" s="6">
        <f>45+24+60</f>
        <v>129</v>
      </c>
      <c r="Y304" s="6">
        <f>30+27</f>
        <v>57</v>
      </c>
      <c r="Z304" s="6">
        <f>76</f>
        <v>76</v>
      </c>
      <c r="AA304" s="6">
        <f>29+3.5+2.5</f>
        <v>35</v>
      </c>
      <c r="AB304" s="6">
        <v>19</v>
      </c>
      <c r="AC304" s="6"/>
      <c r="AD304" s="6">
        <v>18</v>
      </c>
      <c r="AE304" s="6"/>
      <c r="AF304" s="6">
        <f>19+21</f>
        <v>40</v>
      </c>
      <c r="AG304" s="54">
        <f t="shared" si="26"/>
        <v>1505.5</v>
      </c>
    </row>
    <row r="305" spans="1:33" x14ac:dyDescent="0.2">
      <c r="A305" s="16" t="str">
        <f>BUDGET!A22</f>
        <v>Miscellaneous</v>
      </c>
      <c r="B305" s="6"/>
      <c r="C305" s="6"/>
      <c r="D305" s="6"/>
      <c r="E305" s="6">
        <f>11+100</f>
        <v>111</v>
      </c>
      <c r="F305" s="6"/>
      <c r="G305" s="6"/>
      <c r="H305" s="6">
        <v>50</v>
      </c>
      <c r="I305" s="6"/>
      <c r="J305" s="6"/>
      <c r="K305" s="127">
        <v>650</v>
      </c>
      <c r="L305" s="6"/>
      <c r="M305" s="6">
        <v>50</v>
      </c>
      <c r="N305" s="6"/>
      <c r="O305" s="6">
        <v>50</v>
      </c>
      <c r="P305" s="6">
        <f>50+10</f>
        <v>60</v>
      </c>
      <c r="Q305" s="6"/>
      <c r="R305" s="6"/>
      <c r="S305" s="6">
        <v>100</v>
      </c>
      <c r="T305" s="6"/>
      <c r="U305" s="6"/>
      <c r="V305" s="6"/>
      <c r="W305" s="6"/>
      <c r="X305" s="6">
        <v>50</v>
      </c>
      <c r="Y305" s="6"/>
      <c r="Z305" s="6"/>
      <c r="AA305" s="6"/>
      <c r="AB305" s="6"/>
      <c r="AC305" s="6">
        <v>21</v>
      </c>
      <c r="AD305" s="6"/>
      <c r="AE305" s="6"/>
      <c r="AF305" s="6"/>
      <c r="AG305" s="54">
        <f t="shared" si="26"/>
        <v>1142</v>
      </c>
    </row>
    <row r="306" spans="1:33" x14ac:dyDescent="0.2">
      <c r="A306" s="16" t="str">
        <f>BUDGET!A23</f>
        <v>Apple Subscriptions</v>
      </c>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v>12.77</v>
      </c>
      <c r="AC306" s="6"/>
      <c r="AD306" s="6"/>
      <c r="AE306" s="6"/>
      <c r="AF306" s="6"/>
      <c r="AG306" s="54">
        <f t="shared" si="26"/>
        <v>12.77</v>
      </c>
    </row>
    <row r="307" spans="1:33" x14ac:dyDescent="0.2">
      <c r="A307" s="16" t="str">
        <f>BUDGET!A24</f>
        <v>Google 1</v>
      </c>
      <c r="B307" s="6"/>
      <c r="C307" s="6"/>
      <c r="D307" s="6"/>
      <c r="E307" s="6"/>
      <c r="F307" s="6"/>
      <c r="G307" s="6"/>
      <c r="H307" s="6"/>
      <c r="I307" s="6"/>
      <c r="J307" s="6"/>
      <c r="K307" s="6"/>
      <c r="L307" s="6">
        <v>9</v>
      </c>
      <c r="M307" s="6"/>
      <c r="N307" s="6"/>
      <c r="O307" s="6"/>
      <c r="P307" s="6"/>
      <c r="Q307" s="6"/>
      <c r="R307" s="6"/>
      <c r="S307" s="6"/>
      <c r="T307" s="6"/>
      <c r="U307" s="6"/>
      <c r="V307" s="6"/>
      <c r="W307" s="6"/>
      <c r="X307" s="6"/>
      <c r="Y307" s="6"/>
      <c r="Z307" s="6"/>
      <c r="AA307" s="6"/>
      <c r="AB307" s="6"/>
      <c r="AC307" s="6"/>
      <c r="AD307" s="6"/>
      <c r="AE307" s="6"/>
      <c r="AF307" s="6"/>
      <c r="AG307" s="54">
        <f t="shared" si="26"/>
        <v>9</v>
      </c>
    </row>
    <row r="308" spans="1:33" x14ac:dyDescent="0.2">
      <c r="A308" s="16" t="str">
        <f>BUDGET!A25</f>
        <v>Netflix</v>
      </c>
      <c r="B308" s="6"/>
      <c r="C308" s="6"/>
      <c r="D308" s="6"/>
      <c r="E308" s="6"/>
      <c r="F308" s="6"/>
      <c r="G308" s="6"/>
      <c r="H308" s="6"/>
      <c r="I308" s="6"/>
      <c r="J308" s="6"/>
      <c r="K308" s="6"/>
      <c r="L308" s="6"/>
      <c r="M308" s="6"/>
      <c r="N308" s="6"/>
      <c r="O308" s="6"/>
      <c r="P308" s="6"/>
      <c r="Q308" s="6"/>
      <c r="R308" s="6"/>
      <c r="S308" s="6"/>
      <c r="T308" s="6"/>
      <c r="U308" s="6"/>
      <c r="V308" s="6"/>
      <c r="W308" s="6"/>
      <c r="X308" s="6">
        <v>103.02</v>
      </c>
      <c r="Y308" s="6"/>
      <c r="Z308" s="6"/>
      <c r="AA308" s="6"/>
      <c r="AB308" s="6"/>
      <c r="AC308" s="6"/>
      <c r="AD308" s="6"/>
      <c r="AE308" s="6"/>
      <c r="AF308" s="6"/>
      <c r="AG308" s="54">
        <f t="shared" si="26"/>
        <v>103.02</v>
      </c>
    </row>
    <row r="309" spans="1:33" x14ac:dyDescent="0.2">
      <c r="A309" s="16" t="str">
        <f>BUDGET!A26</f>
        <v>Amuse</v>
      </c>
      <c r="B309" s="6"/>
      <c r="C309" s="6"/>
      <c r="D309" s="6"/>
      <c r="E309" s="6"/>
      <c r="F309" s="6"/>
      <c r="G309" s="6"/>
      <c r="H309" s="6"/>
      <c r="I309" s="6"/>
      <c r="J309" s="6"/>
      <c r="K309" s="6"/>
      <c r="L309" s="6"/>
      <c r="M309" s="6"/>
      <c r="N309" s="6"/>
      <c r="O309" s="6"/>
      <c r="P309" s="6"/>
      <c r="Q309" s="6"/>
      <c r="R309" s="6"/>
      <c r="S309" s="6"/>
      <c r="T309" s="6"/>
      <c r="U309" s="6"/>
      <c r="V309" s="6"/>
      <c r="W309" s="6"/>
      <c r="Y309" s="6"/>
      <c r="Z309" s="6"/>
      <c r="AA309" s="6"/>
      <c r="AB309" s="6"/>
      <c r="AC309" s="6"/>
      <c r="AD309" s="6"/>
      <c r="AE309" s="6"/>
      <c r="AF309" s="6"/>
      <c r="AG309" s="54">
        <f t="shared" si="26"/>
        <v>0</v>
      </c>
    </row>
    <row r="310" spans="1:33" x14ac:dyDescent="0.2">
      <c r="A310" s="16" t="str">
        <f>BUDGET!A27</f>
        <v>electricity</v>
      </c>
      <c r="B310" s="6">
        <v>0</v>
      </c>
      <c r="C310" s="6">
        <v>0</v>
      </c>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54">
        <f t="shared" si="26"/>
        <v>0</v>
      </c>
    </row>
    <row r="311" spans="1:33" ht="16" thickBot="1" x14ac:dyDescent="0.25">
      <c r="A311" s="16" t="str">
        <f>BUDGET!A28</f>
        <v>Account Charges</v>
      </c>
      <c r="B311" s="6"/>
      <c r="C311" s="6">
        <v>1.2</v>
      </c>
      <c r="D311" s="6"/>
      <c r="E311" s="6"/>
      <c r="F311" s="6"/>
      <c r="G311" s="6"/>
      <c r="H311" s="6"/>
      <c r="I311" s="6"/>
      <c r="J311" s="6"/>
      <c r="K311" s="6">
        <v>6.5</v>
      </c>
      <c r="L311" s="6"/>
      <c r="M311" s="6">
        <v>7</v>
      </c>
      <c r="N311" s="6">
        <v>3</v>
      </c>
      <c r="O311" s="6"/>
      <c r="P311" s="6"/>
      <c r="Q311" s="6"/>
      <c r="R311" s="6"/>
      <c r="S311" s="6"/>
      <c r="T311" s="6"/>
      <c r="U311" s="6"/>
      <c r="V311" s="6"/>
      <c r="W311" s="6"/>
      <c r="X311" s="6"/>
      <c r="Y311" s="6"/>
      <c r="Z311" s="6"/>
      <c r="AA311" s="6"/>
      <c r="AB311" s="6"/>
      <c r="AC311" s="6"/>
      <c r="AD311" s="6"/>
      <c r="AE311" s="6"/>
      <c r="AF311" s="6">
        <v>10</v>
      </c>
      <c r="AG311" s="54">
        <f t="shared" si="26"/>
        <v>27.7</v>
      </c>
    </row>
    <row r="312" spans="1:33" ht="16.5" customHeight="1" thickBot="1" x14ac:dyDescent="0.25">
      <c r="A312" s="20" t="s">
        <v>11</v>
      </c>
      <c r="B312" s="21">
        <f>SUM(B292:B311)</f>
        <v>29</v>
      </c>
      <c r="C312" s="21">
        <f t="shared" ref="C312:AG312" si="27">SUM(C292:C311)</f>
        <v>124.2</v>
      </c>
      <c r="D312" s="21">
        <f>SUM(D292:D311)</f>
        <v>21</v>
      </c>
      <c r="E312" s="21">
        <f t="shared" si="27"/>
        <v>244</v>
      </c>
      <c r="F312" s="21">
        <f t="shared" si="27"/>
        <v>86</v>
      </c>
      <c r="G312" s="21">
        <f t="shared" si="27"/>
        <v>85</v>
      </c>
      <c r="H312" s="21">
        <f t="shared" si="27"/>
        <v>221</v>
      </c>
      <c r="I312" s="21">
        <f t="shared" si="27"/>
        <v>133</v>
      </c>
      <c r="J312" s="21">
        <f t="shared" si="27"/>
        <v>143</v>
      </c>
      <c r="K312" s="21">
        <f t="shared" si="27"/>
        <v>656.5</v>
      </c>
      <c r="L312" s="21">
        <f t="shared" si="27"/>
        <v>129</v>
      </c>
      <c r="M312" s="21">
        <f t="shared" si="27"/>
        <v>77</v>
      </c>
      <c r="N312" s="21">
        <f t="shared" si="27"/>
        <v>38.5</v>
      </c>
      <c r="O312" s="21">
        <f t="shared" si="27"/>
        <v>185</v>
      </c>
      <c r="P312" s="21">
        <f t="shared" si="27"/>
        <v>198</v>
      </c>
      <c r="Q312" s="21">
        <f t="shared" si="27"/>
        <v>566.1</v>
      </c>
      <c r="R312" s="21">
        <f t="shared" si="27"/>
        <v>188</v>
      </c>
      <c r="S312" s="21">
        <f t="shared" si="27"/>
        <v>120</v>
      </c>
      <c r="T312" s="21">
        <f t="shared" si="27"/>
        <v>35.5</v>
      </c>
      <c r="U312" s="21">
        <f t="shared" si="27"/>
        <v>74.5</v>
      </c>
      <c r="V312" s="21">
        <f t="shared" si="27"/>
        <v>43.5</v>
      </c>
      <c r="W312" s="21">
        <f t="shared" si="27"/>
        <v>168.5</v>
      </c>
      <c r="X312" s="21">
        <f t="shared" si="27"/>
        <v>802.02</v>
      </c>
      <c r="Y312" s="21">
        <f t="shared" si="27"/>
        <v>1236.81</v>
      </c>
      <c r="Z312" s="21">
        <f t="shared" si="27"/>
        <v>76</v>
      </c>
      <c r="AA312" s="21">
        <f t="shared" si="27"/>
        <v>282</v>
      </c>
      <c r="AB312" s="21">
        <f t="shared" si="27"/>
        <v>31.77</v>
      </c>
      <c r="AC312" s="21">
        <f t="shared" si="27"/>
        <v>21</v>
      </c>
      <c r="AD312" s="21">
        <f t="shared" si="27"/>
        <v>152.80000000000001</v>
      </c>
      <c r="AE312" s="21">
        <f t="shared" si="27"/>
        <v>0</v>
      </c>
      <c r="AF312" s="21">
        <f t="shared" si="27"/>
        <v>1525</v>
      </c>
      <c r="AG312" s="56">
        <f t="shared" si="27"/>
        <v>7693.7</v>
      </c>
    </row>
    <row r="313" spans="1:33" ht="16" thickTop="1" x14ac:dyDescent="0.2"/>
  </sheetData>
  <pageMargins left="0.7" right="0.7" top="0.75" bottom="0.75" header="0.3" footer="0.3"/>
  <pageSetup scale="47" orientation="portrait" horizontalDpi="4294967293" verticalDpi="0" r:id="rId1"/>
  <rowBreaks count="1" manualBreakCount="1">
    <brk id="190" max="32" man="1"/>
  </rowBreaks>
  <colBreaks count="1" manualBreakCount="1">
    <brk id="17" max="250" man="1"/>
  </col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sheetPr>
  <dimension ref="A1:O17"/>
  <sheetViews>
    <sheetView topLeftCell="D1" zoomScale="140" zoomScaleNormal="140" workbookViewId="0">
      <selection activeCell="K5" sqref="K5"/>
    </sheetView>
  </sheetViews>
  <sheetFormatPr baseColWidth="10" defaultColWidth="8.83203125" defaultRowHeight="15" x14ac:dyDescent="0.2"/>
  <cols>
    <col min="1" max="1" width="16.33203125" bestFit="1" customWidth="1"/>
    <col min="2" max="2" width="10" bestFit="1" customWidth="1"/>
    <col min="3" max="3" width="11" bestFit="1" customWidth="1"/>
    <col min="4" max="4" width="10.5" customWidth="1"/>
    <col min="6" max="6" width="10.5" customWidth="1"/>
    <col min="7" max="7" width="10" customWidth="1"/>
    <col min="8" max="8" width="9.1640625" bestFit="1" customWidth="1"/>
    <col min="10" max="10" width="14.1640625" bestFit="1" customWidth="1"/>
    <col min="11" max="11" width="11.5" bestFit="1" customWidth="1"/>
    <col min="12" max="12" width="13.83203125" bestFit="1" customWidth="1"/>
    <col min="13" max="13" width="13" bestFit="1" customWidth="1"/>
    <col min="14" max="14" width="3" customWidth="1"/>
    <col min="15" max="15" width="10.83203125" bestFit="1" customWidth="1"/>
  </cols>
  <sheetData>
    <row r="1" spans="1:15" ht="16" x14ac:dyDescent="0.2">
      <c r="A1" s="25" t="s">
        <v>29</v>
      </c>
      <c r="B1" s="25" t="str">
        <f>BUDGET!B2</f>
        <v>January</v>
      </c>
      <c r="C1" s="25" t="str">
        <f>BUDGET!C2</f>
        <v>February</v>
      </c>
      <c r="D1" s="25" t="str">
        <f>BUDGET!D2</f>
        <v>March</v>
      </c>
      <c r="E1" s="25" t="str">
        <f>BUDGET!E2</f>
        <v>April</v>
      </c>
      <c r="F1" s="25" t="str">
        <f>BUDGET!F2</f>
        <v>May</v>
      </c>
      <c r="G1" s="25" t="str">
        <f>BUDGET!G2</f>
        <v>June</v>
      </c>
      <c r="H1" s="25" t="str">
        <f>BUDGET!H2</f>
        <v>July</v>
      </c>
      <c r="I1" s="25" t="str">
        <f>BUDGET!I2</f>
        <v>August</v>
      </c>
      <c r="J1" s="25" t="str">
        <f>BUDGET!J2</f>
        <v>September</v>
      </c>
      <c r="K1" s="25" t="str">
        <f>BUDGET!K2</f>
        <v>October</v>
      </c>
      <c r="L1" s="25" t="str">
        <f>BUDGET!L2</f>
        <v>November</v>
      </c>
      <c r="M1" s="25" t="str">
        <f>BUDGET!M2</f>
        <v>December</v>
      </c>
      <c r="N1" s="26"/>
      <c r="O1" s="67" t="s">
        <v>11</v>
      </c>
    </row>
    <row r="2" spans="1:15" ht="16" x14ac:dyDescent="0.2">
      <c r="A2" s="25" t="s">
        <v>14</v>
      </c>
      <c r="B2" s="26" t="s">
        <v>1</v>
      </c>
      <c r="C2" s="26" t="s">
        <v>1</v>
      </c>
      <c r="D2" s="26" t="s">
        <v>1</v>
      </c>
      <c r="E2" s="26" t="s">
        <v>1</v>
      </c>
      <c r="F2" s="26" t="s">
        <v>1</v>
      </c>
      <c r="G2" s="26" t="s">
        <v>1</v>
      </c>
      <c r="H2" s="26" t="s">
        <v>1</v>
      </c>
      <c r="I2" s="26" t="s">
        <v>1</v>
      </c>
      <c r="J2" s="26" t="s">
        <v>1</v>
      </c>
      <c r="K2" s="26" t="s">
        <v>1</v>
      </c>
      <c r="L2" s="26" t="s">
        <v>1</v>
      </c>
      <c r="M2" s="26" t="s">
        <v>1</v>
      </c>
      <c r="N2" s="26"/>
      <c r="O2" s="46" t="s">
        <v>1</v>
      </c>
    </row>
    <row r="3" spans="1:15" ht="16" x14ac:dyDescent="0.2">
      <c r="A3" s="69" t="s">
        <v>12</v>
      </c>
      <c r="B3" s="70"/>
      <c r="C3" s="70"/>
      <c r="D3" s="70"/>
      <c r="E3" s="70"/>
      <c r="F3" s="70"/>
      <c r="G3" s="70"/>
      <c r="H3" s="70"/>
      <c r="I3" s="70"/>
      <c r="J3" s="70"/>
      <c r="K3" s="70"/>
      <c r="L3" s="70"/>
      <c r="M3" s="70"/>
      <c r="N3" s="70"/>
      <c r="O3" s="68">
        <f>SUM(B3:M3)</f>
        <v>0</v>
      </c>
    </row>
    <row r="4" spans="1:15" ht="16" x14ac:dyDescent="0.2">
      <c r="A4" s="16" t="str">
        <f>BUDGET!A4</f>
        <v>Salary</v>
      </c>
      <c r="B4" s="13">
        <v>3945</v>
      </c>
      <c r="C4" s="13">
        <v>3913</v>
      </c>
      <c r="D4" s="13">
        <v>3915</v>
      </c>
      <c r="E4" s="13">
        <v>3850</v>
      </c>
      <c r="F4" s="13">
        <v>3850</v>
      </c>
      <c r="G4" s="13">
        <v>3847</v>
      </c>
      <c r="H4" s="13">
        <f>ACTUAL!H3</f>
        <v>3844</v>
      </c>
      <c r="I4" s="13">
        <f>ACTUAL!I3</f>
        <v>3860</v>
      </c>
      <c r="J4" s="13">
        <f>ACTUAL!J3</f>
        <v>3829</v>
      </c>
      <c r="K4" s="13">
        <f>ACTUAL!K3</f>
        <v>3280</v>
      </c>
      <c r="L4" s="13">
        <f>ACTUAL!L3</f>
        <v>3246</v>
      </c>
      <c r="M4" s="13">
        <f>ACTUAL!M3</f>
        <v>3400</v>
      </c>
      <c r="N4" s="24"/>
      <c r="O4" s="68">
        <f>SUM(B4:M4)</f>
        <v>44779</v>
      </c>
    </row>
    <row r="5" spans="1:15" ht="16" x14ac:dyDescent="0.2">
      <c r="A5" s="16" t="str">
        <f>BUDGET!A5</f>
        <v>Other</v>
      </c>
      <c r="B5" s="13">
        <v>718</v>
      </c>
      <c r="C5" s="13">
        <v>250</v>
      </c>
      <c r="D5" s="13">
        <v>350</v>
      </c>
      <c r="E5" s="13">
        <v>250</v>
      </c>
      <c r="F5" s="13">
        <v>500</v>
      </c>
      <c r="G5" s="13">
        <f>ACTUAL!G4</f>
        <v>140</v>
      </c>
      <c r="H5" s="13">
        <f>ACTUAL!H4</f>
        <v>560</v>
      </c>
      <c r="I5" s="13">
        <f>ACTUAL!I4</f>
        <v>130</v>
      </c>
      <c r="J5" s="13">
        <f>ACTUAL!J4</f>
        <v>410</v>
      </c>
      <c r="K5" s="13">
        <f>ACTUAL!K4</f>
        <v>6700</v>
      </c>
      <c r="L5" s="13">
        <f>ACTUAL!L4</f>
        <v>5660</v>
      </c>
      <c r="M5" s="13">
        <f>ACTUAL!M4</f>
        <v>2750</v>
      </c>
      <c r="N5" s="24"/>
      <c r="O5" s="68">
        <f>SUM(B5:M5)</f>
        <v>18418</v>
      </c>
    </row>
    <row r="6" spans="1:15" ht="16" thickBot="1" x14ac:dyDescent="0.25">
      <c r="A6" s="14" t="s">
        <v>0</v>
      </c>
      <c r="B6" s="36">
        <f>SUM(B3:B5)</f>
        <v>4663</v>
      </c>
      <c r="C6" s="36">
        <f t="shared" ref="C6:M6" si="0">SUM(C3:C5)</f>
        <v>4163</v>
      </c>
      <c r="D6" s="36">
        <f t="shared" si="0"/>
        <v>4265</v>
      </c>
      <c r="E6" s="36">
        <f t="shared" si="0"/>
        <v>4100</v>
      </c>
      <c r="F6" s="36">
        <f t="shared" si="0"/>
        <v>4350</v>
      </c>
      <c r="G6" s="36">
        <f t="shared" si="0"/>
        <v>3987</v>
      </c>
      <c r="H6" s="36">
        <f t="shared" si="0"/>
        <v>4404</v>
      </c>
      <c r="I6" s="36">
        <f t="shared" si="0"/>
        <v>3990</v>
      </c>
      <c r="J6" s="36">
        <f t="shared" si="0"/>
        <v>4239</v>
      </c>
      <c r="K6" s="36">
        <f t="shared" si="0"/>
        <v>9980</v>
      </c>
      <c r="L6" s="36">
        <f t="shared" si="0"/>
        <v>8906</v>
      </c>
      <c r="M6" s="36">
        <f t="shared" si="0"/>
        <v>6150</v>
      </c>
      <c r="N6" s="35"/>
      <c r="O6" s="48">
        <f>SUM(O3:O5)</f>
        <v>63197</v>
      </c>
    </row>
    <row r="7" spans="1:15" ht="16" thickTop="1" x14ac:dyDescent="0.2"/>
    <row r="9" spans="1:15" x14ac:dyDescent="0.2">
      <c r="A9" s="106" t="s">
        <v>69</v>
      </c>
      <c r="B9" s="34">
        <f>$C$15*B4</f>
        <v>394.5</v>
      </c>
      <c r="C9" s="34">
        <f t="shared" ref="C9:I9" si="1">$C$15*C4</f>
        <v>391.3</v>
      </c>
      <c r="D9" s="34">
        <f>$C$15*D4</f>
        <v>391.5</v>
      </c>
      <c r="E9" s="34">
        <f t="shared" si="1"/>
        <v>385</v>
      </c>
      <c r="F9" s="34">
        <f t="shared" si="1"/>
        <v>385</v>
      </c>
      <c r="G9" s="34">
        <f t="shared" si="1"/>
        <v>384.70000000000005</v>
      </c>
      <c r="H9" s="34">
        <f t="shared" si="1"/>
        <v>384.40000000000003</v>
      </c>
      <c r="I9" s="34">
        <f t="shared" si="1"/>
        <v>386</v>
      </c>
      <c r="J9" s="34">
        <f t="shared" ref="J9:M9" si="2">0.1*J4</f>
        <v>382.90000000000003</v>
      </c>
      <c r="K9" s="34">
        <f t="shared" si="2"/>
        <v>328</v>
      </c>
      <c r="L9" s="34">
        <f t="shared" si="2"/>
        <v>324.60000000000002</v>
      </c>
      <c r="M9" s="34">
        <f t="shared" si="2"/>
        <v>340</v>
      </c>
      <c r="O9" s="34">
        <f>SUM(B9:M9)</f>
        <v>4477.9000000000005</v>
      </c>
    </row>
    <row r="10" spans="1:15" x14ac:dyDescent="0.2">
      <c r="A10" t="s">
        <v>155</v>
      </c>
      <c r="B10" s="34">
        <f>$C$16*B4</f>
        <v>591.75</v>
      </c>
      <c r="C10" s="34">
        <f t="shared" ref="C10:M10" si="3">$C$16*C4</f>
        <v>586.94999999999993</v>
      </c>
      <c r="D10" s="34">
        <f t="shared" si="3"/>
        <v>587.25</v>
      </c>
      <c r="E10" s="34">
        <f t="shared" si="3"/>
        <v>577.5</v>
      </c>
      <c r="F10" s="34">
        <f t="shared" si="3"/>
        <v>577.5</v>
      </c>
      <c r="G10" s="34">
        <f t="shared" si="3"/>
        <v>577.04999999999995</v>
      </c>
      <c r="H10" s="34">
        <f t="shared" si="3"/>
        <v>576.6</v>
      </c>
      <c r="I10" s="34">
        <f t="shared" si="3"/>
        <v>579</v>
      </c>
      <c r="J10" s="34">
        <f t="shared" si="3"/>
        <v>574.35</v>
      </c>
      <c r="K10" s="34">
        <f t="shared" si="3"/>
        <v>492</v>
      </c>
      <c r="L10" s="34">
        <f t="shared" si="3"/>
        <v>486.9</v>
      </c>
      <c r="M10" s="34">
        <f t="shared" si="3"/>
        <v>510</v>
      </c>
      <c r="O10" s="34">
        <f>SUM(B10:M10)</f>
        <v>6716.85</v>
      </c>
    </row>
    <row r="11" spans="1:15" x14ac:dyDescent="0.2">
      <c r="A11" t="s">
        <v>156</v>
      </c>
      <c r="B11" s="34">
        <f>$C$17*B4</f>
        <v>591.75</v>
      </c>
      <c r="C11" s="34">
        <f>$C$17*C4</f>
        <v>586.94999999999993</v>
      </c>
      <c r="D11" s="34">
        <f t="shared" ref="D11:M11" si="4">$C$17*D4</f>
        <v>587.25</v>
      </c>
      <c r="E11" s="34">
        <f t="shared" si="4"/>
        <v>577.5</v>
      </c>
      <c r="F11" s="34">
        <f t="shared" si="4"/>
        <v>577.5</v>
      </c>
      <c r="G11" s="34">
        <f t="shared" si="4"/>
        <v>577.04999999999995</v>
      </c>
      <c r="H11" s="34">
        <f t="shared" si="4"/>
        <v>576.6</v>
      </c>
      <c r="I11" s="34">
        <f t="shared" si="4"/>
        <v>579</v>
      </c>
      <c r="J11" s="34">
        <f t="shared" si="4"/>
        <v>574.35</v>
      </c>
      <c r="K11" s="34">
        <f t="shared" si="4"/>
        <v>492</v>
      </c>
      <c r="L11" s="34">
        <f t="shared" si="4"/>
        <v>486.9</v>
      </c>
      <c r="M11" s="34">
        <f t="shared" si="4"/>
        <v>510</v>
      </c>
      <c r="O11" s="34">
        <f t="shared" ref="O11:O13" si="5">SUM(B11:M11)</f>
        <v>6716.85</v>
      </c>
    </row>
    <row r="12" spans="1:15" ht="16" thickBot="1" x14ac:dyDescent="0.25">
      <c r="A12" t="s">
        <v>11</v>
      </c>
      <c r="B12" s="36">
        <f>SUM(B9:B11)</f>
        <v>1578</v>
      </c>
      <c r="C12" s="36">
        <f t="shared" ref="C12:M12" si="6">SUM(C9:C11)</f>
        <v>1565.1999999999998</v>
      </c>
      <c r="D12" s="36">
        <f t="shared" si="6"/>
        <v>1566</v>
      </c>
      <c r="E12" s="36">
        <f t="shared" si="6"/>
        <v>1540</v>
      </c>
      <c r="F12" s="36">
        <f t="shared" si="6"/>
        <v>1540</v>
      </c>
      <c r="G12" s="36">
        <f t="shared" si="6"/>
        <v>1538.8</v>
      </c>
      <c r="H12" s="36">
        <f t="shared" si="6"/>
        <v>1537.6</v>
      </c>
      <c r="I12" s="36">
        <f t="shared" si="6"/>
        <v>1544</v>
      </c>
      <c r="J12" s="36">
        <f t="shared" si="6"/>
        <v>1531.6</v>
      </c>
      <c r="K12" s="36">
        <f t="shared" si="6"/>
        <v>1312</v>
      </c>
      <c r="L12" s="36">
        <f t="shared" si="6"/>
        <v>1298.4000000000001</v>
      </c>
      <c r="M12" s="36">
        <f t="shared" si="6"/>
        <v>1360</v>
      </c>
      <c r="O12" s="34">
        <f t="shared" si="5"/>
        <v>17911.600000000002</v>
      </c>
    </row>
    <row r="13" spans="1:15" ht="16" thickTop="1" x14ac:dyDescent="0.2">
      <c r="A13" t="s">
        <v>160</v>
      </c>
      <c r="B13" s="34">
        <f>B4-B12</f>
        <v>2367</v>
      </c>
      <c r="C13" s="34">
        <f t="shared" ref="C13:M13" si="7">C4-C12</f>
        <v>2347.8000000000002</v>
      </c>
      <c r="D13" s="34">
        <f t="shared" si="7"/>
        <v>2349</v>
      </c>
      <c r="E13" s="34">
        <f t="shared" si="7"/>
        <v>2310</v>
      </c>
      <c r="F13" s="34">
        <f t="shared" si="7"/>
        <v>2310</v>
      </c>
      <c r="G13" s="34">
        <f t="shared" si="7"/>
        <v>2308.1999999999998</v>
      </c>
      <c r="H13" s="34">
        <f t="shared" si="7"/>
        <v>2306.4</v>
      </c>
      <c r="I13" s="34">
        <f t="shared" si="7"/>
        <v>2316</v>
      </c>
      <c r="J13" s="34">
        <f t="shared" si="7"/>
        <v>2297.4</v>
      </c>
      <c r="K13" s="34">
        <f t="shared" si="7"/>
        <v>1968</v>
      </c>
      <c r="L13" s="34">
        <f t="shared" si="7"/>
        <v>1947.6</v>
      </c>
      <c r="M13" s="34">
        <f t="shared" si="7"/>
        <v>2040</v>
      </c>
      <c r="O13" s="34">
        <f t="shared" si="5"/>
        <v>26867.4</v>
      </c>
    </row>
    <row r="15" spans="1:15" x14ac:dyDescent="0.2">
      <c r="A15" t="s">
        <v>157</v>
      </c>
      <c r="B15">
        <v>10</v>
      </c>
      <c r="C15">
        <f>B15%</f>
        <v>0.1</v>
      </c>
    </row>
    <row r="16" spans="1:15" x14ac:dyDescent="0.2">
      <c r="A16" t="s">
        <v>158</v>
      </c>
      <c r="B16">
        <v>15</v>
      </c>
      <c r="C16">
        <f>B16%</f>
        <v>0.15</v>
      </c>
    </row>
    <row r="17" spans="1:3" x14ac:dyDescent="0.2">
      <c r="A17" t="s">
        <v>159</v>
      </c>
      <c r="B17">
        <v>15</v>
      </c>
      <c r="C17">
        <f>B17%</f>
        <v>0.15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70A21-A4CF-DD47-969E-12021E408F58}">
  <dimension ref="A1:P36"/>
  <sheetViews>
    <sheetView zoomScale="140" zoomScaleNormal="140" workbookViewId="0">
      <selection activeCell="F14" sqref="F14"/>
    </sheetView>
  </sheetViews>
  <sheetFormatPr baseColWidth="10" defaultColWidth="11.5" defaultRowHeight="15" x14ac:dyDescent="0.2"/>
  <cols>
    <col min="1" max="1" width="40" bestFit="1" customWidth="1"/>
    <col min="2" max="2" width="10.83203125" style="13"/>
  </cols>
  <sheetData>
    <row r="1" spans="1:16" x14ac:dyDescent="0.2">
      <c r="A1" s="72" t="s">
        <v>54</v>
      </c>
      <c r="B1" s="13" t="s">
        <v>56</v>
      </c>
      <c r="L1">
        <v>3280</v>
      </c>
    </row>
    <row r="2" spans="1:16" x14ac:dyDescent="0.2">
      <c r="A2" s="72" t="s">
        <v>55</v>
      </c>
      <c r="B2" s="13">
        <v>700</v>
      </c>
      <c r="E2">
        <v>4800</v>
      </c>
      <c r="L2">
        <v>4160</v>
      </c>
    </row>
    <row r="3" spans="1:16" x14ac:dyDescent="0.2">
      <c r="A3" s="72" t="s">
        <v>58</v>
      </c>
      <c r="B3" s="13">
        <v>9500</v>
      </c>
      <c r="E3">
        <v>5400</v>
      </c>
      <c r="K3" s="72" t="s">
        <v>67</v>
      </c>
      <c r="L3">
        <f>L1+L2</f>
        <v>7440</v>
      </c>
      <c r="M3">
        <f>K17</f>
        <v>4550</v>
      </c>
      <c r="N3">
        <v>950</v>
      </c>
      <c r="O3">
        <v>130</v>
      </c>
      <c r="P3">
        <v>120</v>
      </c>
    </row>
    <row r="4" spans="1:16" x14ac:dyDescent="0.2">
      <c r="A4" s="72" t="s">
        <v>57</v>
      </c>
      <c r="B4" s="13">
        <v>2000</v>
      </c>
      <c r="E4">
        <v>5760</v>
      </c>
      <c r="K4" s="72" t="s">
        <v>208</v>
      </c>
      <c r="L4">
        <f>L3-M3</f>
        <v>2890</v>
      </c>
    </row>
    <row r="5" spans="1:16" x14ac:dyDescent="0.2">
      <c r="A5" s="72" t="s">
        <v>60</v>
      </c>
      <c r="B5" s="13">
        <v>2800</v>
      </c>
      <c r="E5">
        <v>6000</v>
      </c>
      <c r="K5" s="72" t="s">
        <v>331</v>
      </c>
      <c r="L5">
        <f>L4-N3</f>
        <v>1940</v>
      </c>
    </row>
    <row r="6" spans="1:16" x14ac:dyDescent="0.2">
      <c r="A6" s="72" t="s">
        <v>59</v>
      </c>
      <c r="B6" s="13">
        <v>16000</v>
      </c>
      <c r="E6">
        <v>6600</v>
      </c>
      <c r="K6" s="72" t="s">
        <v>332</v>
      </c>
      <c r="L6">
        <f>L5-O3</f>
        <v>1810</v>
      </c>
    </row>
    <row r="7" spans="1:16" x14ac:dyDescent="0.2">
      <c r="A7" s="72" t="s">
        <v>152</v>
      </c>
      <c r="B7" s="13">
        <v>12000</v>
      </c>
      <c r="K7" s="72" t="s">
        <v>333</v>
      </c>
      <c r="L7">
        <f>L6-P3</f>
        <v>1690</v>
      </c>
    </row>
    <row r="8" spans="1:16" x14ac:dyDescent="0.2">
      <c r="K8" s="72"/>
    </row>
    <row r="10" spans="1:16" x14ac:dyDescent="0.2">
      <c r="A10" s="72" t="s">
        <v>11</v>
      </c>
      <c r="B10" s="13">
        <f>SUM(B2:B9)</f>
        <v>43000</v>
      </c>
      <c r="E10">
        <f>SUM(E2:E6)</f>
        <v>28560</v>
      </c>
    </row>
    <row r="13" spans="1:16" x14ac:dyDescent="0.2">
      <c r="L13">
        <v>1400</v>
      </c>
      <c r="N13" s="72"/>
      <c r="O13" s="72"/>
    </row>
    <row r="14" spans="1:16" x14ac:dyDescent="0.2">
      <c r="A14" s="72" t="s">
        <v>231</v>
      </c>
      <c r="E14" s="72" t="s">
        <v>46</v>
      </c>
      <c r="F14">
        <v>1000</v>
      </c>
      <c r="H14" s="72" t="s">
        <v>202</v>
      </c>
      <c r="K14" s="72">
        <v>300</v>
      </c>
      <c r="M14" s="72"/>
      <c r="N14" s="72"/>
    </row>
    <row r="15" spans="1:16" x14ac:dyDescent="0.2">
      <c r="A15" s="72" t="s">
        <v>232</v>
      </c>
      <c r="B15" s="13">
        <v>200</v>
      </c>
      <c r="E15" s="72" t="s">
        <v>199</v>
      </c>
      <c r="F15">
        <v>1500</v>
      </c>
      <c r="H15" s="72" t="s">
        <v>203</v>
      </c>
      <c r="I15">
        <v>1700</v>
      </c>
      <c r="K15" s="72">
        <v>250</v>
      </c>
      <c r="N15" s="72"/>
    </row>
    <row r="16" spans="1:16" x14ac:dyDescent="0.2">
      <c r="A16" s="72" t="s">
        <v>233</v>
      </c>
      <c r="B16" s="13">
        <v>300</v>
      </c>
      <c r="E16" s="72" t="s">
        <v>200</v>
      </c>
      <c r="F16">
        <v>0</v>
      </c>
      <c r="H16" s="72" t="s">
        <v>204</v>
      </c>
      <c r="I16">
        <v>1200</v>
      </c>
      <c r="K16" s="72">
        <v>4000</v>
      </c>
      <c r="M16" s="72"/>
      <c r="N16" s="72"/>
    </row>
    <row r="17" spans="1:14" x14ac:dyDescent="0.2">
      <c r="A17" s="72" t="s">
        <v>234</v>
      </c>
      <c r="B17" s="13">
        <v>300</v>
      </c>
      <c r="E17" s="72" t="s">
        <v>201</v>
      </c>
      <c r="F17">
        <v>0</v>
      </c>
      <c r="H17" s="72" t="s">
        <v>205</v>
      </c>
      <c r="I17">
        <v>250</v>
      </c>
      <c r="K17" s="72">
        <f>SUM(K14:K16)</f>
        <v>4550</v>
      </c>
      <c r="M17" s="72"/>
      <c r="N17" s="72"/>
    </row>
    <row r="18" spans="1:14" x14ac:dyDescent="0.2">
      <c r="A18" s="72" t="s">
        <v>235</v>
      </c>
      <c r="B18" s="13">
        <v>300</v>
      </c>
      <c r="H18" s="72" t="s">
        <v>207</v>
      </c>
      <c r="I18">
        <v>3900</v>
      </c>
      <c r="N18" s="72"/>
    </row>
    <row r="19" spans="1:14" x14ac:dyDescent="0.2">
      <c r="A19" s="72" t="s">
        <v>236</v>
      </c>
      <c r="B19" s="13">
        <v>300</v>
      </c>
      <c r="H19" s="72"/>
    </row>
    <row r="20" spans="1:14" x14ac:dyDescent="0.2">
      <c r="A20" s="72" t="s">
        <v>248</v>
      </c>
      <c r="B20" s="13">
        <v>300</v>
      </c>
      <c r="E20" s="72" t="s">
        <v>67</v>
      </c>
      <c r="F20">
        <f>SUM(F14:F17)</f>
        <v>2500</v>
      </c>
      <c r="H20" s="72" t="s">
        <v>67</v>
      </c>
      <c r="I20">
        <f>SUM(I15:I18)</f>
        <v>7050</v>
      </c>
    </row>
    <row r="21" spans="1:14" x14ac:dyDescent="0.2">
      <c r="A21" s="72" t="s">
        <v>237</v>
      </c>
      <c r="B21" s="13">
        <v>300</v>
      </c>
    </row>
    <row r="22" spans="1:14" x14ac:dyDescent="0.2">
      <c r="A22" s="72" t="s">
        <v>238</v>
      </c>
      <c r="B22" s="13">
        <v>150</v>
      </c>
      <c r="F22" s="72" t="s">
        <v>208</v>
      </c>
      <c r="G22">
        <f>I20-F20</f>
        <v>4550</v>
      </c>
    </row>
    <row r="23" spans="1:14" x14ac:dyDescent="0.2">
      <c r="A23" s="72" t="s">
        <v>239</v>
      </c>
      <c r="B23" s="13">
        <v>400</v>
      </c>
    </row>
    <row r="24" spans="1:14" x14ac:dyDescent="0.2">
      <c r="A24" s="72" t="s">
        <v>251</v>
      </c>
    </row>
    <row r="25" spans="1:14" x14ac:dyDescent="0.2">
      <c r="A25" s="72" t="s">
        <v>247</v>
      </c>
      <c r="B25" s="13">
        <v>800</v>
      </c>
      <c r="F25" s="72" t="s">
        <v>186</v>
      </c>
      <c r="G25">
        <f>I17+I15</f>
        <v>1950</v>
      </c>
    </row>
    <row r="26" spans="1:14" x14ac:dyDescent="0.2">
      <c r="A26" s="72" t="s">
        <v>0</v>
      </c>
      <c r="B26" s="13">
        <f>SUM(B15:B25)</f>
        <v>3350</v>
      </c>
    </row>
    <row r="27" spans="1:14" x14ac:dyDescent="0.2">
      <c r="G27" s="34">
        <f>G22-B26</f>
        <v>1200</v>
      </c>
    </row>
    <row r="28" spans="1:14" x14ac:dyDescent="0.2">
      <c r="A28" s="72" t="s">
        <v>240</v>
      </c>
    </row>
    <row r="29" spans="1:14" x14ac:dyDescent="0.2">
      <c r="A29" s="72" t="s">
        <v>241</v>
      </c>
    </row>
    <row r="30" spans="1:14" x14ac:dyDescent="0.2">
      <c r="A30" s="72" t="s">
        <v>242</v>
      </c>
    </row>
    <row r="31" spans="1:14" x14ac:dyDescent="0.2">
      <c r="A31" s="72" t="s">
        <v>243</v>
      </c>
    </row>
    <row r="32" spans="1:14" x14ac:dyDescent="0.2">
      <c r="A32" s="72" t="s">
        <v>244</v>
      </c>
    </row>
    <row r="33" spans="1:1" x14ac:dyDescent="0.2">
      <c r="A33" s="72" t="s">
        <v>245</v>
      </c>
    </row>
    <row r="34" spans="1:1" x14ac:dyDescent="0.2">
      <c r="A34" s="72" t="s">
        <v>246</v>
      </c>
    </row>
    <row r="35" spans="1:1" x14ac:dyDescent="0.2">
      <c r="A35" s="72" t="s">
        <v>249</v>
      </c>
    </row>
    <row r="36" spans="1:1" x14ac:dyDescent="0.2">
      <c r="A36" s="72" t="s">
        <v>250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14</vt:i4>
      </vt:variant>
    </vt:vector>
  </HeadingPairs>
  <TitlesOfParts>
    <vt:vector size="25" baseType="lpstr">
      <vt:lpstr>Sheet1</vt:lpstr>
      <vt:lpstr>BUDGET</vt:lpstr>
      <vt:lpstr>Grocery List</vt:lpstr>
      <vt:lpstr>Recaliberation</vt:lpstr>
      <vt:lpstr>ACTUAL</vt:lpstr>
      <vt:lpstr>REPORT </vt:lpstr>
      <vt:lpstr>ACTUAL EXPENSES</vt:lpstr>
      <vt:lpstr>ACTUAL INCOME</vt:lpstr>
      <vt:lpstr>Planned Expenses</vt:lpstr>
      <vt:lpstr>Sheet2</vt:lpstr>
      <vt:lpstr>Sheet3</vt:lpstr>
      <vt:lpstr>Category1</vt:lpstr>
      <vt:lpstr>Category1Total</vt:lpstr>
      <vt:lpstr>Category2</vt:lpstr>
      <vt:lpstr>Category2Total</vt:lpstr>
      <vt:lpstr>Category3</vt:lpstr>
      <vt:lpstr>Category3Total</vt:lpstr>
      <vt:lpstr>Category4</vt:lpstr>
      <vt:lpstr>Category4Total</vt:lpstr>
      <vt:lpstr>Category5</vt:lpstr>
      <vt:lpstr>Category5Total</vt:lpstr>
      <vt:lpstr>CategoryLookup</vt:lpstr>
      <vt:lpstr>ColumnTitle1</vt:lpstr>
      <vt:lpstr>ColumnTitleRegion1..J3.1</vt:lpstr>
      <vt:lpstr>'Grocery List'!Print_Titles</vt:lpstr>
    </vt:vector>
  </TitlesOfParts>
  <Manager/>
  <Company>MS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Android phone</dc:creator>
  <cp:keywords/>
  <dc:description/>
  <cp:lastModifiedBy>Justin Uto-Dieu</cp:lastModifiedBy>
  <cp:lastPrinted>2022-02-24T12:27:42Z</cp:lastPrinted>
  <dcterms:created xsi:type="dcterms:W3CDTF">2015-04-29T15:13:30Z</dcterms:created>
  <dcterms:modified xsi:type="dcterms:W3CDTF">2024-05-15T21:20:43Z</dcterms:modified>
  <cp:category/>
</cp:coreProperties>
</file>