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Sessão 3\"/>
    </mc:Choice>
  </mc:AlternateContent>
  <xr:revisionPtr revIDLastSave="0" documentId="13_ncr:1_{01BE852E-440C-41C6-8487-13A494A9E7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lha1" sheetId="1" r:id="rId1"/>
    <sheet name="Folha2" sheetId="2" r:id="rId2"/>
    <sheet name="Folha3" sheetId="3" r:id="rId3"/>
  </sheets>
  <definedNames>
    <definedName name="altura">Folha1!$C$1:$C$29</definedName>
    <definedName name="peso">Folha1!$B$1:$B$29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1" l="1"/>
  <c r="U14" i="1"/>
  <c r="V14" i="1" s="1"/>
  <c r="U15" i="1"/>
  <c r="V15" i="1" s="1"/>
  <c r="U16" i="1"/>
  <c r="U17" i="1"/>
  <c r="U13" i="1"/>
  <c r="V17" i="1"/>
  <c r="V16" i="1"/>
  <c r="T17" i="1"/>
  <c r="T16" i="1"/>
  <c r="T15" i="1"/>
  <c r="T14" i="1"/>
  <c r="T13" i="1"/>
  <c r="V3" i="1"/>
  <c r="U3" i="1"/>
  <c r="U4" i="1" s="1"/>
  <c r="V4" i="1" s="1"/>
  <c r="U5" i="1" s="1"/>
  <c r="V5" i="1" s="1"/>
  <c r="U6" i="1" s="1"/>
  <c r="V6" i="1" s="1"/>
  <c r="U7" i="1" s="1"/>
  <c r="V7" i="1" s="1"/>
  <c r="K3" i="1"/>
  <c r="L18" i="1"/>
  <c r="L14" i="1"/>
  <c r="L15" i="1"/>
  <c r="L16" i="1"/>
  <c r="L17" i="1"/>
  <c r="L13" i="1"/>
  <c r="K18" i="1"/>
  <c r="K14" i="1"/>
  <c r="K15" i="1"/>
  <c r="K16" i="1"/>
  <c r="K17" i="1"/>
  <c r="K13" i="1"/>
  <c r="U18" i="1" l="1"/>
  <c r="V13" i="1"/>
  <c r="V18" i="1" s="1"/>
  <c r="J17" i="1"/>
  <c r="J15" i="1"/>
  <c r="J16" i="1"/>
  <c r="J14" i="1"/>
  <c r="J13" i="1"/>
  <c r="L4" i="1"/>
  <c r="L3" i="1"/>
  <c r="K5" i="1"/>
  <c r="K4" i="1"/>
  <c r="D13" i="3"/>
  <c r="D12" i="3"/>
  <c r="D11" i="3"/>
  <c r="D10" i="3"/>
  <c r="D9" i="3"/>
  <c r="D8" i="3"/>
  <c r="Q22" i="1"/>
  <c r="Q21" i="1"/>
  <c r="Q24" i="1"/>
  <c r="Q23" i="1"/>
  <c r="Q18" i="1"/>
  <c r="Q17" i="1"/>
  <c r="Q16" i="1"/>
  <c r="Q15" i="1"/>
  <c r="Q14" i="1"/>
  <c r="Q4" i="1"/>
  <c r="Q6" i="1"/>
  <c r="Q5" i="1"/>
  <c r="Q8" i="1"/>
  <c r="G18" i="1"/>
  <c r="G10" i="1"/>
  <c r="G9" i="1"/>
  <c r="G8" i="1"/>
  <c r="H8" i="1"/>
  <c r="L5" i="1" l="1"/>
  <c r="K6" i="1" s="1"/>
  <c r="Q7" i="1"/>
  <c r="Q9" i="1"/>
  <c r="Q10" i="1" s="1"/>
  <c r="L6" i="1" l="1"/>
  <c r="K7" i="1" s="1"/>
  <c r="L7" i="1" s="1"/>
  <c r="G23" i="1"/>
  <c r="G24" i="1"/>
  <c r="G22" i="1"/>
  <c r="G21" i="1"/>
  <c r="G7" i="1"/>
  <c r="G17" i="1"/>
  <c r="G16" i="1"/>
  <c r="G15" i="1"/>
  <c r="G14" i="1"/>
  <c r="G6" i="1"/>
  <c r="G5" i="1"/>
  <c r="G4" i="1"/>
</calcChain>
</file>

<file path=xl/sharedStrings.xml><?xml version="1.0" encoding="utf-8"?>
<sst xmlns="http://schemas.openxmlformats.org/spreadsheetml/2006/main" count="169" uniqueCount="118">
  <si>
    <t>Nomes</t>
  </si>
  <si>
    <t>Peso</t>
  </si>
  <si>
    <t>Altura</t>
  </si>
  <si>
    <t>Maria Carolina</t>
  </si>
  <si>
    <t>João Macedo</t>
  </si>
  <si>
    <t>Jorge Santos</t>
  </si>
  <si>
    <t>Tamanho Amostra</t>
  </si>
  <si>
    <t>Francisca Taveira</t>
  </si>
  <si>
    <t>Máximo</t>
  </si>
  <si>
    <t>Joana Carvalho</t>
  </si>
  <si>
    <t>Mínimo</t>
  </si>
  <si>
    <t>Maria Costa</t>
  </si>
  <si>
    <t>Amplitude</t>
  </si>
  <si>
    <t>Miguel Teixeira</t>
  </si>
  <si>
    <t>Nº Intervalos</t>
  </si>
  <si>
    <t>Francisco Santos</t>
  </si>
  <si>
    <t>Amplitude de Intervalo</t>
  </si>
  <si>
    <t>David Teixeira</t>
  </si>
  <si>
    <t>Amp. Inter. Arrd</t>
  </si>
  <si>
    <t>Afonso Henriques</t>
  </si>
  <si>
    <t>Sofia Fragoso</t>
  </si>
  <si>
    <t>Miguel Alves</t>
  </si>
  <si>
    <t>Diogo Lopes</t>
  </si>
  <si>
    <t>Ester Barbosa</t>
  </si>
  <si>
    <t>Média</t>
  </si>
  <si>
    <t>Francisca Lopes</t>
  </si>
  <si>
    <t>Mediana</t>
  </si>
  <si>
    <t>Mariana Pedrosa</t>
  </si>
  <si>
    <t>Moda</t>
  </si>
  <si>
    <t>Guilherme Ribeiro</t>
  </si>
  <si>
    <t>1º Quartil</t>
  </si>
  <si>
    <t>Gonçalo Cabral</t>
  </si>
  <si>
    <t>3º Quartil</t>
  </si>
  <si>
    <t>Marta Morais</t>
  </si>
  <si>
    <t>Francisco Rangel</t>
  </si>
  <si>
    <t>Manuel João</t>
  </si>
  <si>
    <t>João Peixoto</t>
  </si>
  <si>
    <t>Ana Beatriz</t>
  </si>
  <si>
    <t>Desvio Padrão</t>
  </si>
  <si>
    <t>Bruna Teixeira</t>
  </si>
  <si>
    <t>Variância</t>
  </si>
  <si>
    <t>Catarina Teixeira</t>
  </si>
  <si>
    <t>Pedro Figueiredo</t>
  </si>
  <si>
    <t>Amplitude Inter quartil</t>
  </si>
  <si>
    <t>Gonçalo Monteiro</t>
  </si>
  <si>
    <t>João Rei</t>
  </si>
  <si>
    <t>PESO</t>
  </si>
  <si>
    <t xml:space="preserve">Construir o Histograma </t>
  </si>
  <si>
    <t>Medidas de Localização</t>
  </si>
  <si>
    <t>Medidas de Dispersão</t>
  </si>
  <si>
    <t>Diagrama de extremos e quartis</t>
  </si>
  <si>
    <t>Classes</t>
  </si>
  <si>
    <t>Frequência Absoluta</t>
  </si>
  <si>
    <t>Frequência Relativa</t>
  </si>
  <si>
    <t>Quadro de Frequências</t>
  </si>
  <si>
    <t>ALTURA</t>
  </si>
  <si>
    <t>n&gt;2^k</t>
  </si>
  <si>
    <t>n - tamanho da amostra</t>
  </si>
  <si>
    <t>k - nº de intervalos</t>
  </si>
  <si>
    <t>k&gt;log n (base 2)</t>
  </si>
  <si>
    <t>Calcular o nº de intervalos</t>
  </si>
  <si>
    <t>lim sup</t>
  </si>
  <si>
    <t>lim inf</t>
  </si>
  <si>
    <t>contar</t>
  </si>
  <si>
    <t>máximo</t>
  </si>
  <si>
    <t>mínimo</t>
  </si>
  <si>
    <t>med</t>
  </si>
  <si>
    <t>média</t>
  </si>
  <si>
    <t>moda</t>
  </si>
  <si>
    <t>1º quartil</t>
  </si>
  <si>
    <t>3º quartil</t>
  </si>
  <si>
    <t>quartil</t>
  </si>
  <si>
    <t>quartil.inc</t>
  </si>
  <si>
    <t>M-m</t>
  </si>
  <si>
    <t>m</t>
  </si>
  <si>
    <t>M</t>
  </si>
  <si>
    <t>q1</t>
  </si>
  <si>
    <t>q3</t>
  </si>
  <si>
    <t>mediana</t>
  </si>
  <si>
    <t>tamanho da amostra = 28</t>
  </si>
  <si>
    <t>50% da amostra</t>
  </si>
  <si>
    <t>50% da amostra = 14</t>
  </si>
  <si>
    <t>25% - 7</t>
  </si>
  <si>
    <t>desvpad</t>
  </si>
  <si>
    <t>var</t>
  </si>
  <si>
    <t>3ºQ-1ºQ</t>
  </si>
  <si>
    <t>Erro-padrão</t>
  </si>
  <si>
    <t>Desvio-padrão</t>
  </si>
  <si>
    <t>Variância da amostra</t>
  </si>
  <si>
    <t>Curtose</t>
  </si>
  <si>
    <t>Assimetria</t>
  </si>
  <si>
    <t>Intervalo</t>
  </si>
  <si>
    <t>Soma</t>
  </si>
  <si>
    <t>Contagem</t>
  </si>
  <si>
    <t>Maior(1)</t>
  </si>
  <si>
    <t>Menor(1)</t>
  </si>
  <si>
    <t>Nível de confiança(95,0%)</t>
  </si>
  <si>
    <t>datadif</t>
  </si>
  <si>
    <t>data de fim</t>
  </si>
  <si>
    <t>data de início</t>
  </si>
  <si>
    <t>Y</t>
  </si>
  <si>
    <t>anos</t>
  </si>
  <si>
    <t>meses</t>
  </si>
  <si>
    <t>D</t>
  </si>
  <si>
    <t>dias</t>
  </si>
  <si>
    <t>YD</t>
  </si>
  <si>
    <t>nº de dias desde que fiz anos</t>
  </si>
  <si>
    <t>desde 10/12/2023</t>
  </si>
  <si>
    <t>YM</t>
  </si>
  <si>
    <t>nº de meses completos desde 09/12/2023</t>
  </si>
  <si>
    <t>MD</t>
  </si>
  <si>
    <t>nº de dias no mês incompleto</t>
  </si>
  <si>
    <t>desde 10/01/2024</t>
  </si>
  <si>
    <t>[23;31[</t>
  </si>
  <si>
    <t>&amp; concatenar</t>
  </si>
  <si>
    <t>contar.se.s</t>
  </si>
  <si>
    <t>Se alguém pesar 40kg qual será a altura esperada?</t>
  </si>
  <si>
    <t>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</si>
</sst>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0" applyNumberFormat="1"/>
    <xf numFmtId="0" fontId="2" fillId="0" borderId="2" xfId="0" applyFont="1" applyBorder="1"/>
    <xf numFmtId="1" fontId="2" fillId="0" borderId="3" xfId="0" applyNumberFormat="1" applyFont="1" applyBorder="1"/>
    <xf numFmtId="0" fontId="2" fillId="0" borderId="4" xfId="0" applyFont="1" applyBorder="1"/>
    <xf numFmtId="1" fontId="2" fillId="0" borderId="5" xfId="0" applyNumberFormat="1" applyFont="1" applyBorder="1"/>
    <xf numFmtId="0" fontId="2" fillId="0" borderId="6" xfId="0" applyFont="1" applyBorder="1"/>
    <xf numFmtId="1" fontId="2" fillId="0" borderId="7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0" xfId="0" applyFill="1"/>
    <xf numFmtId="0" fontId="5" fillId="6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/>
    <xf numFmtId="0" fontId="0" fillId="0" borderId="14" xfId="0" applyBorder="1"/>
    <xf numFmtId="0" fontId="0" fillId="0" borderId="17" xfId="0" applyBorder="1"/>
    <xf numFmtId="1" fontId="0" fillId="0" borderId="0" xfId="0" applyNumberFormat="1"/>
    <xf numFmtId="1" fontId="0" fillId="0" borderId="17" xfId="0" applyNumberFormat="1" applyBorder="1"/>
    <xf numFmtId="0" fontId="0" fillId="6" borderId="0" xfId="0" applyFill="1"/>
    <xf numFmtId="164" fontId="0" fillId="0" borderId="0" xfId="0" applyNumberFormat="1"/>
    <xf numFmtId="165" fontId="2" fillId="0" borderId="5" xfId="0" applyNumberFormat="1" applyFont="1" applyBorder="1"/>
    <xf numFmtId="14" fontId="0" fillId="0" borderId="0" xfId="0" applyNumberFormat="1"/>
    <xf numFmtId="0" fontId="0" fillId="0" borderId="1" xfId="0" applyBorder="1"/>
    <xf numFmtId="0" fontId="6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5" fontId="2" fillId="0" borderId="0" xfId="0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Folha1!$K$12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Folha1!$J$13:$J$17</c:f>
              <c:strCache>
                <c:ptCount val="5"/>
                <c:pt idx="0">
                  <c:v>[23;31[</c:v>
                </c:pt>
                <c:pt idx="1">
                  <c:v>[31;39[</c:v>
                </c:pt>
                <c:pt idx="2">
                  <c:v>[39;47[</c:v>
                </c:pt>
                <c:pt idx="3">
                  <c:v>[47;55[</c:v>
                </c:pt>
                <c:pt idx="4">
                  <c:v>[55;63]</c:v>
                </c:pt>
              </c:strCache>
            </c:strRef>
          </c:cat>
          <c:val>
            <c:numRef>
              <c:f>Folha1!$K$13:$K$17</c:f>
              <c:numCache>
                <c:formatCode>General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3-44BD-AD76-BA739A7E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562306656"/>
        <c:axId val="438338608"/>
      </c:barChart>
      <c:catAx>
        <c:axId val="5623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338608"/>
        <c:crosses val="autoZero"/>
        <c:auto val="1"/>
        <c:lblAlgn val="ctr"/>
        <c:lblOffset val="100"/>
        <c:noMultiLvlLbl val="0"/>
      </c:catAx>
      <c:valAx>
        <c:axId val="4383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0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Folha1!$U$12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Folha1!$T$13:$T$17</c:f>
              <c:strCache>
                <c:ptCount val="5"/>
                <c:pt idx="0">
                  <c:v>[122;128[</c:v>
                </c:pt>
                <c:pt idx="1">
                  <c:v>[128;136[</c:v>
                </c:pt>
                <c:pt idx="2">
                  <c:v>[136;144[</c:v>
                </c:pt>
                <c:pt idx="3">
                  <c:v>[144;152[</c:v>
                </c:pt>
                <c:pt idx="4">
                  <c:v>[152;160]</c:v>
                </c:pt>
              </c:strCache>
            </c:strRef>
          </c:cat>
          <c:val>
            <c:numRef>
              <c:f>Folha1!$U$13:$U$17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9-4CA8-AE85-8C93AC5C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694056056"/>
        <c:axId val="694056416"/>
      </c:barChart>
      <c:catAx>
        <c:axId val="69405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4056416"/>
        <c:crosses val="autoZero"/>
        <c:auto val="1"/>
        <c:lblAlgn val="ctr"/>
        <c:lblOffset val="100"/>
        <c:noMultiLvlLbl val="0"/>
      </c:catAx>
      <c:valAx>
        <c:axId val="6940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405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19</xdr:row>
      <xdr:rowOff>1</xdr:rowOff>
    </xdr:from>
    <xdr:to>
      <xdr:col>11</xdr:col>
      <xdr:colOff>1438274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D07E0F-6807-1351-8E1F-81F1423F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20</xdr:row>
      <xdr:rowOff>14287</xdr:rowOff>
    </xdr:from>
    <xdr:to>
      <xdr:col>22</xdr:col>
      <xdr:colOff>600075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15E645-2C7C-E510-2FF3-D9EFC13A6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zoomScaleNormal="100" workbookViewId="0"/>
  </sheetViews>
  <sheetFormatPr defaultRowHeight="15" x14ac:dyDescent="0.25"/>
  <cols>
    <col min="1" max="1" width="18" style="1" customWidth="1"/>
    <col min="2" max="3" width="9.140625" style="4"/>
    <col min="4" max="5" width="9.140625" style="1"/>
    <col min="6" max="6" width="26.140625" style="1" customWidth="1"/>
    <col min="7" max="7" width="13.42578125" style="1" customWidth="1"/>
    <col min="8" max="8" width="15.28515625" customWidth="1"/>
    <col min="10" max="10" width="8.7109375" bestFit="1" customWidth="1"/>
    <col min="11" max="11" width="20.28515625" bestFit="1" customWidth="1"/>
    <col min="12" max="12" width="21.5703125" bestFit="1" customWidth="1"/>
    <col min="15" max="15" width="3.28515625" customWidth="1"/>
    <col min="16" max="16" width="34.140625" customWidth="1"/>
    <col min="20" max="20" width="9.7109375" bestFit="1" customWidth="1"/>
    <col min="21" max="21" width="22.5703125" bestFit="1" customWidth="1"/>
    <col min="22" max="22" width="21.5703125" bestFit="1" customWidth="1"/>
  </cols>
  <sheetData>
    <row r="1" spans="1:22" x14ac:dyDescent="0.25">
      <c r="A1" s="15" t="s">
        <v>0</v>
      </c>
      <c r="B1" s="20" t="s">
        <v>1</v>
      </c>
      <c r="C1" s="21" t="s">
        <v>2</v>
      </c>
      <c r="F1" s="42" t="s">
        <v>46</v>
      </c>
      <c r="G1" s="42"/>
      <c r="P1" s="47" t="s">
        <v>55</v>
      </c>
      <c r="Q1" s="47"/>
    </row>
    <row r="2" spans="1:22" ht="15.75" thickBot="1" x14ac:dyDescent="0.3">
      <c r="A2" s="11" t="s">
        <v>3</v>
      </c>
      <c r="B2" s="16">
        <v>23</v>
      </c>
      <c r="C2" s="17">
        <v>129</v>
      </c>
      <c r="K2" s="25" t="s">
        <v>62</v>
      </c>
      <c r="L2" s="25" t="s">
        <v>61</v>
      </c>
      <c r="U2" s="25" t="s">
        <v>62</v>
      </c>
      <c r="V2" s="25" t="s">
        <v>61</v>
      </c>
    </row>
    <row r="3" spans="1:22" ht="15.75" thickBot="1" x14ac:dyDescent="0.3">
      <c r="A3" s="11" t="s">
        <v>4</v>
      </c>
      <c r="B3" s="16">
        <v>25</v>
      </c>
      <c r="C3" s="17">
        <v>148</v>
      </c>
      <c r="F3" s="43" t="s">
        <v>47</v>
      </c>
      <c r="G3" s="44"/>
      <c r="J3">
        <v>1</v>
      </c>
      <c r="K3" s="31">
        <f>G6</f>
        <v>23</v>
      </c>
      <c r="L3" s="31">
        <f>K3+$G$10</f>
        <v>31</v>
      </c>
      <c r="P3" s="43" t="s">
        <v>47</v>
      </c>
      <c r="Q3" s="44"/>
      <c r="T3">
        <v>1</v>
      </c>
      <c r="U3" s="31">
        <f>Q6</f>
        <v>122</v>
      </c>
      <c r="V3" s="31">
        <f>U3+$Q$10</f>
        <v>128</v>
      </c>
    </row>
    <row r="4" spans="1:22" x14ac:dyDescent="0.25">
      <c r="A4" s="11" t="s">
        <v>5</v>
      </c>
      <c r="B4" s="16">
        <v>26</v>
      </c>
      <c r="C4" s="17">
        <v>123</v>
      </c>
      <c r="E4" s="1" t="s">
        <v>63</v>
      </c>
      <c r="F4" s="9" t="s">
        <v>6</v>
      </c>
      <c r="G4" s="10">
        <f>COUNT(peso)</f>
        <v>28</v>
      </c>
      <c r="J4">
        <v>2</v>
      </c>
      <c r="K4" s="31">
        <f>L3</f>
        <v>31</v>
      </c>
      <c r="L4" s="31">
        <f t="shared" ref="L4:L7" si="0">K4+$G$10</f>
        <v>39</v>
      </c>
      <c r="P4" s="9" t="s">
        <v>6</v>
      </c>
      <c r="Q4" s="10">
        <f>COUNT(altura)</f>
        <v>28</v>
      </c>
      <c r="T4">
        <v>2</v>
      </c>
      <c r="U4" s="31">
        <f>V3</f>
        <v>128</v>
      </c>
      <c r="V4" s="31">
        <f t="shared" ref="V4:V7" si="1">U4+$G$10</f>
        <v>136</v>
      </c>
    </row>
    <row r="5" spans="1:22" x14ac:dyDescent="0.25">
      <c r="A5" s="11" t="s">
        <v>7</v>
      </c>
      <c r="B5" s="16">
        <v>26</v>
      </c>
      <c r="C5" s="17">
        <v>125</v>
      </c>
      <c r="E5" s="1" t="s">
        <v>64</v>
      </c>
      <c r="F5" s="11" t="s">
        <v>8</v>
      </c>
      <c r="G5" s="12">
        <f>MAX(peso)</f>
        <v>59</v>
      </c>
      <c r="J5">
        <v>3</v>
      </c>
      <c r="K5" s="31">
        <f>L4</f>
        <v>39</v>
      </c>
      <c r="L5" s="31">
        <f t="shared" si="0"/>
        <v>47</v>
      </c>
      <c r="P5" s="11" t="s">
        <v>8</v>
      </c>
      <c r="Q5" s="12">
        <f>MAX(altura)</f>
        <v>150</v>
      </c>
      <c r="T5">
        <v>3</v>
      </c>
      <c r="U5" s="31">
        <f>V4</f>
        <v>136</v>
      </c>
      <c r="V5" s="31">
        <f t="shared" si="1"/>
        <v>144</v>
      </c>
    </row>
    <row r="6" spans="1:22" x14ac:dyDescent="0.25">
      <c r="A6" s="11" t="s">
        <v>9</v>
      </c>
      <c r="B6" s="16">
        <v>27</v>
      </c>
      <c r="C6" s="17">
        <v>126</v>
      </c>
      <c r="E6" s="1" t="s">
        <v>65</v>
      </c>
      <c r="F6" s="11" t="s">
        <v>10</v>
      </c>
      <c r="G6" s="12">
        <f>MIN(peso)</f>
        <v>23</v>
      </c>
      <c r="J6">
        <v>4</v>
      </c>
      <c r="K6" s="31">
        <f>L5</f>
        <v>47</v>
      </c>
      <c r="L6" s="31">
        <f t="shared" si="0"/>
        <v>55</v>
      </c>
      <c r="P6" s="11" t="s">
        <v>10</v>
      </c>
      <c r="Q6" s="12">
        <f>MIN(altura)</f>
        <v>122</v>
      </c>
      <c r="T6">
        <v>4</v>
      </c>
      <c r="U6" s="31">
        <f>V5</f>
        <v>144</v>
      </c>
      <c r="V6" s="31">
        <f t="shared" si="1"/>
        <v>152</v>
      </c>
    </row>
    <row r="7" spans="1:22" x14ac:dyDescent="0.25">
      <c r="A7" s="11" t="s">
        <v>11</v>
      </c>
      <c r="B7" s="16">
        <v>27</v>
      </c>
      <c r="C7" s="17">
        <v>132</v>
      </c>
      <c r="E7" s="1" t="s">
        <v>73</v>
      </c>
      <c r="F7" s="11" t="s">
        <v>12</v>
      </c>
      <c r="G7" s="12">
        <f>G5-G6</f>
        <v>36</v>
      </c>
      <c r="J7">
        <v>5</v>
      </c>
      <c r="K7" s="31">
        <f>L6</f>
        <v>55</v>
      </c>
      <c r="L7" s="31">
        <f t="shared" si="0"/>
        <v>63</v>
      </c>
      <c r="P7" s="11" t="s">
        <v>12</v>
      </c>
      <c r="Q7" s="12">
        <f>Q5-Q6</f>
        <v>28</v>
      </c>
      <c r="T7">
        <v>5</v>
      </c>
      <c r="U7" s="31">
        <f>V6</f>
        <v>152</v>
      </c>
      <c r="V7" s="31">
        <f t="shared" si="1"/>
        <v>160</v>
      </c>
    </row>
    <row r="8" spans="1:22" x14ac:dyDescent="0.25">
      <c r="A8" s="11" t="s">
        <v>13</v>
      </c>
      <c r="B8" s="16">
        <v>27</v>
      </c>
      <c r="C8" s="17">
        <v>135</v>
      </c>
      <c r="F8" s="11" t="s">
        <v>14</v>
      </c>
      <c r="G8" s="12">
        <f>ROUNDUP(LOG(G4,2),0)</f>
        <v>5</v>
      </c>
      <c r="H8" s="34">
        <f>LOG(G4,2)</f>
        <v>4.8073549220576037</v>
      </c>
      <c r="L8" s="31"/>
      <c r="P8" s="11" t="s">
        <v>14</v>
      </c>
      <c r="Q8" s="12">
        <f>ROUNDUP(LOG(Q4,2),0)</f>
        <v>5</v>
      </c>
    </row>
    <row r="9" spans="1:22" x14ac:dyDescent="0.25">
      <c r="A9" s="11" t="s">
        <v>15</v>
      </c>
      <c r="B9" s="16">
        <v>27</v>
      </c>
      <c r="C9" s="17">
        <v>136</v>
      </c>
      <c r="F9" s="11" t="s">
        <v>16</v>
      </c>
      <c r="G9" s="35">
        <f>G7/G8</f>
        <v>7.2</v>
      </c>
      <c r="P9" s="11" t="s">
        <v>16</v>
      </c>
      <c r="Q9" s="35">
        <f>Q7/Q8</f>
        <v>5.6</v>
      </c>
    </row>
    <row r="10" spans="1:22" ht="15.75" thickBot="1" x14ac:dyDescent="0.3">
      <c r="A10" s="11" t="s">
        <v>17</v>
      </c>
      <c r="B10" s="16">
        <v>28</v>
      </c>
      <c r="C10" s="17">
        <v>131</v>
      </c>
      <c r="F10" s="13" t="s">
        <v>18</v>
      </c>
      <c r="G10" s="14">
        <f>ROUNDUP(G9,0)</f>
        <v>8</v>
      </c>
      <c r="P10" s="13" t="s">
        <v>18</v>
      </c>
      <c r="Q10" s="14">
        <f>ROUNDUP(Q9,0)</f>
        <v>6</v>
      </c>
    </row>
    <row r="11" spans="1:22" x14ac:dyDescent="0.25">
      <c r="A11" s="11" t="s">
        <v>19</v>
      </c>
      <c r="B11" s="16">
        <v>29</v>
      </c>
      <c r="C11" s="17">
        <v>122</v>
      </c>
      <c r="H11" t="s">
        <v>114</v>
      </c>
      <c r="J11" s="41" t="s">
        <v>54</v>
      </c>
      <c r="K11" s="41"/>
      <c r="L11" s="41"/>
      <c r="P11" s="1"/>
      <c r="Q11" s="1"/>
      <c r="T11" s="41" t="s">
        <v>54</v>
      </c>
      <c r="U11" s="41"/>
      <c r="V11" s="41"/>
    </row>
    <row r="12" spans="1:22" ht="15.75" thickBot="1" x14ac:dyDescent="0.3">
      <c r="A12" s="11" t="s">
        <v>20</v>
      </c>
      <c r="B12" s="16">
        <v>29</v>
      </c>
      <c r="C12" s="17">
        <v>131</v>
      </c>
      <c r="J12" s="4" t="s">
        <v>51</v>
      </c>
      <c r="K12" s="1" t="s">
        <v>52</v>
      </c>
      <c r="L12" s="1" t="s">
        <v>53</v>
      </c>
      <c r="Q12" s="3"/>
      <c r="T12" s="4" t="s">
        <v>51</v>
      </c>
      <c r="U12" s="1" t="s">
        <v>52</v>
      </c>
      <c r="V12" s="1" t="s">
        <v>53</v>
      </c>
    </row>
    <row r="13" spans="1:22" x14ac:dyDescent="0.25">
      <c r="A13" s="11" t="s">
        <v>21</v>
      </c>
      <c r="B13" s="16">
        <v>30</v>
      </c>
      <c r="C13" s="17">
        <v>132</v>
      </c>
      <c r="F13" s="45" t="s">
        <v>48</v>
      </c>
      <c r="G13" s="46"/>
      <c r="H13" t="s">
        <v>113</v>
      </c>
      <c r="J13" t="str">
        <f>"["&amp;K3&amp;";"&amp;L3&amp;"["</f>
        <v>[23;31[</v>
      </c>
      <c r="K13">
        <f>COUNTIFS(peso,"&gt;="&amp;K3,peso,"&lt;"&amp;L3)</f>
        <v>14</v>
      </c>
      <c r="L13" s="7">
        <f>K13/$G$4</f>
        <v>0.5</v>
      </c>
      <c r="P13" s="45" t="s">
        <v>48</v>
      </c>
      <c r="Q13" s="46"/>
      <c r="T13" t="str">
        <f>"["&amp;U3&amp;";"&amp;V3&amp;"["</f>
        <v>[122;128[</v>
      </c>
      <c r="U13">
        <f>COUNTIFS(altura,"&gt;="&amp;U3,altura,"&lt;"&amp;V3)</f>
        <v>4</v>
      </c>
      <c r="V13" s="7">
        <f>U13/$G$4</f>
        <v>0.14285714285714285</v>
      </c>
    </row>
    <row r="14" spans="1:22" x14ac:dyDescent="0.25">
      <c r="A14" s="11" t="s">
        <v>22</v>
      </c>
      <c r="B14" s="16">
        <v>30</v>
      </c>
      <c r="C14" s="17">
        <v>137</v>
      </c>
      <c r="E14" s="1" t="s">
        <v>67</v>
      </c>
      <c r="F14" s="11" t="s">
        <v>24</v>
      </c>
      <c r="G14" s="12">
        <f>AVERAGE(peso)</f>
        <v>32.107142857142854</v>
      </c>
      <c r="H14" t="s">
        <v>115</v>
      </c>
      <c r="J14" t="str">
        <f>"["&amp;K4&amp;";"&amp;L4&amp;"["</f>
        <v>[31;39[</v>
      </c>
      <c r="K14">
        <f>COUNTIFS(peso,"&gt;="&amp;K4,peso,"&lt;"&amp;L4)</f>
        <v>11</v>
      </c>
      <c r="L14" s="7">
        <f t="shared" ref="L14:L17" si="2">K14/$G$4</f>
        <v>0.39285714285714285</v>
      </c>
      <c r="P14" s="11" t="s">
        <v>24</v>
      </c>
      <c r="Q14" s="12">
        <f>AVERAGE(altura)</f>
        <v>134</v>
      </c>
      <c r="T14" t="str">
        <f>"["&amp;U4&amp;";"&amp;V4&amp;"["</f>
        <v>[128;136[</v>
      </c>
      <c r="U14">
        <f>COUNTIFS(altura,"&gt;="&amp;U4,altura,"&lt;"&amp;V4)</f>
        <v>14</v>
      </c>
      <c r="V14" s="7">
        <f t="shared" ref="V14:V17" si="3">U14/$G$4</f>
        <v>0.5</v>
      </c>
    </row>
    <row r="15" spans="1:22" x14ac:dyDescent="0.25">
      <c r="A15" s="11" t="s">
        <v>23</v>
      </c>
      <c r="B15" s="16">
        <v>30</v>
      </c>
      <c r="C15" s="17">
        <v>138</v>
      </c>
      <c r="E15" s="1" t="s">
        <v>66</v>
      </c>
      <c r="F15" s="11" t="s">
        <v>26</v>
      </c>
      <c r="G15" s="12">
        <f>MEDIAN(peso)</f>
        <v>30.5</v>
      </c>
      <c r="J15" t="str">
        <f t="shared" ref="J15:J18" si="4">"["&amp;K5&amp;";"&amp;L5&amp;"["</f>
        <v>[39;47[</v>
      </c>
      <c r="K15">
        <f>COUNTIFS(peso,"&gt;="&amp;K5,peso,"&lt;"&amp;L5)</f>
        <v>1</v>
      </c>
      <c r="L15" s="7">
        <f t="shared" si="2"/>
        <v>3.5714285714285712E-2</v>
      </c>
      <c r="P15" s="11" t="s">
        <v>26</v>
      </c>
      <c r="Q15" s="12">
        <f>MEDIAN(altura)</f>
        <v>135</v>
      </c>
      <c r="T15" t="str">
        <f t="shared" ref="T15:T16" si="5">"["&amp;U5&amp;";"&amp;V5&amp;"["</f>
        <v>[136;144[</v>
      </c>
      <c r="U15">
        <f>COUNTIFS(altura,"&gt;="&amp;U5,altura,"&lt;"&amp;V5)</f>
        <v>8</v>
      </c>
      <c r="V15" s="7">
        <f t="shared" si="3"/>
        <v>0.2857142857142857</v>
      </c>
    </row>
    <row r="16" spans="1:22" x14ac:dyDescent="0.25">
      <c r="A16" s="11" t="s">
        <v>25</v>
      </c>
      <c r="B16" s="16">
        <v>31</v>
      </c>
      <c r="C16" s="17">
        <v>131</v>
      </c>
      <c r="E16" s="1" t="s">
        <v>68</v>
      </c>
      <c r="F16" s="11" t="s">
        <v>28</v>
      </c>
      <c r="G16" s="12">
        <f>MODE(peso)</f>
        <v>31</v>
      </c>
      <c r="J16" t="str">
        <f t="shared" si="4"/>
        <v>[47;55[</v>
      </c>
      <c r="K16">
        <f>COUNTIFS(peso,"&gt;="&amp;K6,peso,"&lt;"&amp;L6)</f>
        <v>0</v>
      </c>
      <c r="L16" s="7">
        <f t="shared" si="2"/>
        <v>0</v>
      </c>
      <c r="P16" s="11" t="s">
        <v>28</v>
      </c>
      <c r="Q16" s="12">
        <f>MODE(altura)</f>
        <v>135</v>
      </c>
      <c r="T16" t="str">
        <f t="shared" si="5"/>
        <v>[144;152[</v>
      </c>
      <c r="U16">
        <f>COUNTIFS(altura,"&gt;="&amp;U6,altura,"&lt;"&amp;V6)</f>
        <v>2</v>
      </c>
      <c r="V16" s="7">
        <f t="shared" si="3"/>
        <v>7.1428571428571425E-2</v>
      </c>
    </row>
    <row r="17" spans="1:22" x14ac:dyDescent="0.25">
      <c r="A17" s="11" t="s">
        <v>27</v>
      </c>
      <c r="B17" s="16">
        <v>31</v>
      </c>
      <c r="C17" s="17">
        <v>131</v>
      </c>
      <c r="E17" s="1" t="s">
        <v>71</v>
      </c>
      <c r="F17" s="11" t="s">
        <v>30</v>
      </c>
      <c r="G17" s="12">
        <f>_xlfn.QUARTILE.INC(peso,1)</f>
        <v>27</v>
      </c>
      <c r="J17" t="str">
        <f>"["&amp;K7&amp;";"&amp;L7&amp;"]"</f>
        <v>[55;63]</v>
      </c>
      <c r="K17">
        <f>COUNTIFS(peso,"&gt;="&amp;K7,peso,"&lt;"&amp;L7)</f>
        <v>2</v>
      </c>
      <c r="L17" s="7">
        <f t="shared" si="2"/>
        <v>7.1428571428571425E-2</v>
      </c>
      <c r="P17" s="11" t="s">
        <v>30</v>
      </c>
      <c r="Q17" s="12">
        <f>_xlfn.QUARTILE.INC(altura,1)</f>
        <v>131</v>
      </c>
      <c r="T17" t="str">
        <f>"["&amp;U7&amp;";"&amp;V7&amp;"]"</f>
        <v>[152;160]</v>
      </c>
      <c r="U17">
        <f>COUNTIFS(altura,"&gt;="&amp;U7,altura,"&lt;"&amp;V7)</f>
        <v>0</v>
      </c>
      <c r="V17" s="7">
        <f t="shared" si="3"/>
        <v>0</v>
      </c>
    </row>
    <row r="18" spans="1:22" ht="15.75" thickBot="1" x14ac:dyDescent="0.3">
      <c r="A18" s="11" t="s">
        <v>29</v>
      </c>
      <c r="B18" s="16">
        <v>31</v>
      </c>
      <c r="C18" s="17">
        <v>135</v>
      </c>
      <c r="E18" s="1" t="s">
        <v>72</v>
      </c>
      <c r="F18" s="13" t="s">
        <v>32</v>
      </c>
      <c r="G18" s="14">
        <f>_xlfn.QUARTILE.INC(peso,3)</f>
        <v>32.25</v>
      </c>
      <c r="K18">
        <f>SUM(K13:K17)</f>
        <v>28</v>
      </c>
      <c r="L18" s="8">
        <f>SUM(L13:L17)</f>
        <v>0.99999999999999989</v>
      </c>
      <c r="P18" s="13" t="s">
        <v>32</v>
      </c>
      <c r="Q18" s="14">
        <f>_xlfn.QUARTILE.INC(altura,3)</f>
        <v>137</v>
      </c>
      <c r="U18">
        <f>SUM(U13:U17)</f>
        <v>28</v>
      </c>
      <c r="V18" s="8">
        <f>SUM(V13:V17)</f>
        <v>0.99999999999999989</v>
      </c>
    </row>
    <row r="19" spans="1:22" ht="15.75" thickBot="1" x14ac:dyDescent="0.3">
      <c r="A19" s="11" t="s">
        <v>31</v>
      </c>
      <c r="B19" s="16">
        <v>31</v>
      </c>
      <c r="C19" s="17">
        <v>136</v>
      </c>
      <c r="P19" s="1"/>
      <c r="Q19" s="1"/>
    </row>
    <row r="20" spans="1:22" x14ac:dyDescent="0.25">
      <c r="A20" s="11" t="s">
        <v>33</v>
      </c>
      <c r="B20" s="16">
        <v>31</v>
      </c>
      <c r="C20" s="17">
        <v>140</v>
      </c>
      <c r="F20" s="39" t="s">
        <v>49</v>
      </c>
      <c r="G20" s="40"/>
      <c r="P20" s="39" t="s">
        <v>49</v>
      </c>
      <c r="Q20" s="40"/>
    </row>
    <row r="21" spans="1:22" x14ac:dyDescent="0.25">
      <c r="A21" s="11" t="s">
        <v>34</v>
      </c>
      <c r="B21" s="16">
        <v>32</v>
      </c>
      <c r="C21" s="17">
        <v>132</v>
      </c>
      <c r="E21" s="1" t="s">
        <v>83</v>
      </c>
      <c r="F21" s="11" t="s">
        <v>38</v>
      </c>
      <c r="G21" s="12">
        <f>STDEV(peso)</f>
        <v>8.3192738541484204</v>
      </c>
      <c r="P21" s="11" t="s">
        <v>38</v>
      </c>
      <c r="Q21" s="12">
        <f>STDEV(altura)</f>
        <v>6.2360956446232354</v>
      </c>
    </row>
    <row r="22" spans="1:22" x14ac:dyDescent="0.25">
      <c r="A22" s="11" t="s">
        <v>35</v>
      </c>
      <c r="B22" s="16">
        <v>32</v>
      </c>
      <c r="C22" s="17">
        <v>135</v>
      </c>
      <c r="E22" s="1" t="s">
        <v>84</v>
      </c>
      <c r="F22" s="11" t="s">
        <v>40</v>
      </c>
      <c r="G22" s="12">
        <f>VAR(peso)</f>
        <v>69.210317460317498</v>
      </c>
      <c r="P22" s="11" t="s">
        <v>40</v>
      </c>
      <c r="Q22" s="12">
        <f>VAR(altura)</f>
        <v>38.888888888888886</v>
      </c>
    </row>
    <row r="23" spans="1:22" x14ac:dyDescent="0.25">
      <c r="A23" s="11" t="s">
        <v>36</v>
      </c>
      <c r="B23" s="16">
        <v>33</v>
      </c>
      <c r="C23" s="17">
        <v>135</v>
      </c>
      <c r="E23" s="1" t="s">
        <v>73</v>
      </c>
      <c r="F23" s="11" t="s">
        <v>12</v>
      </c>
      <c r="G23" s="12">
        <f>G5-G6</f>
        <v>36</v>
      </c>
      <c r="P23" s="11" t="s">
        <v>12</v>
      </c>
      <c r="Q23" s="12">
        <f>Q5-Q6</f>
        <v>28</v>
      </c>
    </row>
    <row r="24" spans="1:22" ht="15.75" thickBot="1" x14ac:dyDescent="0.3">
      <c r="A24" s="11" t="s">
        <v>37</v>
      </c>
      <c r="B24" s="16">
        <v>34</v>
      </c>
      <c r="C24" s="17">
        <v>138</v>
      </c>
      <c r="E24" s="1" t="s">
        <v>85</v>
      </c>
      <c r="F24" s="13" t="s">
        <v>43</v>
      </c>
      <c r="G24" s="14">
        <f>G18-G17</f>
        <v>5.25</v>
      </c>
      <c r="P24" s="13" t="s">
        <v>43</v>
      </c>
      <c r="Q24" s="14">
        <f>Q18-Q17</f>
        <v>6</v>
      </c>
    </row>
    <row r="25" spans="1:22" x14ac:dyDescent="0.25">
      <c r="A25" s="11" t="s">
        <v>39</v>
      </c>
      <c r="B25" s="16">
        <v>34</v>
      </c>
      <c r="C25" s="17">
        <v>138</v>
      </c>
      <c r="P25" s="1"/>
      <c r="Q25" s="1"/>
    </row>
    <row r="26" spans="1:22" ht="15.75" thickBot="1" x14ac:dyDescent="0.3">
      <c r="A26" s="11" t="s">
        <v>41</v>
      </c>
      <c r="B26" s="16">
        <v>35</v>
      </c>
      <c r="C26" s="17">
        <v>134</v>
      </c>
      <c r="P26" s="1"/>
      <c r="Q26" s="1"/>
    </row>
    <row r="27" spans="1:22" x14ac:dyDescent="0.25">
      <c r="A27" s="11" t="s">
        <v>42</v>
      </c>
      <c r="B27" s="16">
        <v>44</v>
      </c>
      <c r="C27" s="17">
        <v>137</v>
      </c>
      <c r="F27" s="39" t="s">
        <v>50</v>
      </c>
      <c r="G27" s="40"/>
      <c r="P27" s="39" t="s">
        <v>50</v>
      </c>
      <c r="Q27" s="40"/>
    </row>
    <row r="28" spans="1:22" x14ac:dyDescent="0.25">
      <c r="A28" s="11" t="s">
        <v>44</v>
      </c>
      <c r="B28" s="16">
        <v>57</v>
      </c>
      <c r="C28" s="17">
        <v>150</v>
      </c>
      <c r="F28" s="11" t="s">
        <v>30</v>
      </c>
      <c r="G28" s="12"/>
      <c r="P28" s="11" t="s">
        <v>30</v>
      </c>
      <c r="Q28" s="12"/>
    </row>
    <row r="29" spans="1:22" ht="15.75" thickBot="1" x14ac:dyDescent="0.3">
      <c r="A29" s="13" t="s">
        <v>45</v>
      </c>
      <c r="B29" s="18">
        <v>59</v>
      </c>
      <c r="C29" s="19">
        <v>135</v>
      </c>
      <c r="F29" s="11" t="s">
        <v>10</v>
      </c>
      <c r="G29" s="12"/>
      <c r="P29" s="11" t="s">
        <v>10</v>
      </c>
      <c r="Q29" s="12"/>
    </row>
    <row r="30" spans="1:22" x14ac:dyDescent="0.25">
      <c r="F30" s="11" t="s">
        <v>26</v>
      </c>
      <c r="G30" s="12"/>
      <c r="P30" s="11" t="s">
        <v>26</v>
      </c>
      <c r="Q30" s="12"/>
    </row>
    <row r="31" spans="1:22" x14ac:dyDescent="0.25">
      <c r="F31" s="11" t="s">
        <v>8</v>
      </c>
      <c r="G31" s="12"/>
      <c r="P31" s="11" t="s">
        <v>8</v>
      </c>
      <c r="Q31" s="12"/>
    </row>
    <row r="32" spans="1:22" ht="15.75" thickBot="1" x14ac:dyDescent="0.3">
      <c r="D32" s="2"/>
      <c r="F32" s="13" t="s">
        <v>32</v>
      </c>
      <c r="G32" s="14"/>
      <c r="P32" s="13" t="s">
        <v>32</v>
      </c>
      <c r="Q32" s="14"/>
    </row>
    <row r="33" spans="1:17" x14ac:dyDescent="0.25">
      <c r="P33" s="1"/>
      <c r="Q33" s="2"/>
    </row>
    <row r="34" spans="1:17" x14ac:dyDescent="0.25">
      <c r="P34" s="1"/>
      <c r="Q34" s="2"/>
    </row>
    <row r="35" spans="1:17" x14ac:dyDescent="0.25">
      <c r="A35" s="5" t="s">
        <v>60</v>
      </c>
      <c r="B35" s="6"/>
      <c r="P35" s="1"/>
      <c r="Q35" s="2"/>
    </row>
    <row r="36" spans="1:17" x14ac:dyDescent="0.25">
      <c r="A36" s="6" t="s">
        <v>56</v>
      </c>
      <c r="B36" s="6"/>
      <c r="P36" s="1"/>
      <c r="Q36" s="2"/>
    </row>
    <row r="37" spans="1:17" x14ac:dyDescent="0.25">
      <c r="A37" s="5"/>
      <c r="B37" s="6"/>
      <c r="P37" s="1"/>
      <c r="Q37" s="1"/>
    </row>
    <row r="38" spans="1:17" x14ac:dyDescent="0.25">
      <c r="A38" s="5" t="s">
        <v>57</v>
      </c>
      <c r="B38" s="6"/>
      <c r="P38" s="1"/>
      <c r="Q38" s="1"/>
    </row>
    <row r="39" spans="1:17" x14ac:dyDescent="0.25">
      <c r="A39" s="5"/>
      <c r="B39" s="6"/>
      <c r="P39" s="1"/>
      <c r="Q39" s="1"/>
    </row>
    <row r="40" spans="1:17" x14ac:dyDescent="0.25">
      <c r="A40" s="5" t="s">
        <v>58</v>
      </c>
      <c r="B40" s="6"/>
      <c r="P40" s="1"/>
      <c r="Q40" s="1"/>
    </row>
    <row r="41" spans="1:17" x14ac:dyDescent="0.25">
      <c r="A41" s="5"/>
      <c r="B41" s="6"/>
      <c r="P41" s="1"/>
      <c r="Q41" s="1"/>
    </row>
    <row r="42" spans="1:17" x14ac:dyDescent="0.25">
      <c r="A42" s="5" t="s">
        <v>59</v>
      </c>
      <c r="B42" s="6"/>
      <c r="P42" s="1"/>
      <c r="Q42" s="1"/>
    </row>
    <row r="43" spans="1:17" x14ac:dyDescent="0.25">
      <c r="P43" s="1"/>
      <c r="Q43" s="1"/>
    </row>
    <row r="44" spans="1:17" x14ac:dyDescent="0.25">
      <c r="P44" s="1"/>
      <c r="Q44" s="1"/>
    </row>
    <row r="45" spans="1:17" ht="15.75" thickBot="1" x14ac:dyDescent="0.3">
      <c r="P45" s="1"/>
      <c r="Q45" s="1"/>
    </row>
    <row r="46" spans="1:17" x14ac:dyDescent="0.25">
      <c r="F46" s="38" t="s">
        <v>1</v>
      </c>
      <c r="G46" s="38"/>
      <c r="P46" s="1"/>
      <c r="Q46" s="1"/>
    </row>
    <row r="47" spans="1:17" x14ac:dyDescent="0.25">
      <c r="F47"/>
      <c r="G47"/>
      <c r="P47" s="1"/>
      <c r="Q47" s="1"/>
    </row>
    <row r="48" spans="1:17" x14ac:dyDescent="0.25">
      <c r="F48" t="s">
        <v>24</v>
      </c>
      <c r="G48" s="31">
        <v>32.107142857142854</v>
      </c>
      <c r="P48" s="1"/>
      <c r="Q48" s="1"/>
    </row>
    <row r="49" spans="6:17" x14ac:dyDescent="0.25">
      <c r="F49" s="23" t="s">
        <v>86</v>
      </c>
      <c r="G49" s="31">
        <v>1.5721949790513252</v>
      </c>
      <c r="P49" s="1"/>
      <c r="Q49" s="1"/>
    </row>
    <row r="50" spans="6:17" x14ac:dyDescent="0.25">
      <c r="F50" t="s">
        <v>26</v>
      </c>
      <c r="G50" s="31">
        <v>30.5</v>
      </c>
      <c r="P50" s="1"/>
      <c r="Q50" s="1"/>
    </row>
    <row r="51" spans="6:17" x14ac:dyDescent="0.25">
      <c r="F51" t="s">
        <v>28</v>
      </c>
      <c r="G51" s="31">
        <v>31</v>
      </c>
      <c r="P51" s="1"/>
      <c r="Q51" s="1"/>
    </row>
    <row r="52" spans="6:17" x14ac:dyDescent="0.25">
      <c r="F52" t="s">
        <v>87</v>
      </c>
      <c r="G52" s="31">
        <v>8.3192738541484204</v>
      </c>
      <c r="P52" s="1"/>
      <c r="Q52" s="1"/>
    </row>
    <row r="53" spans="6:17" x14ac:dyDescent="0.25">
      <c r="F53" t="s">
        <v>88</v>
      </c>
      <c r="G53" s="31">
        <v>69.210317460317498</v>
      </c>
      <c r="P53" s="1"/>
      <c r="Q53" s="1"/>
    </row>
    <row r="54" spans="6:17" x14ac:dyDescent="0.25">
      <c r="F54" s="33" t="s">
        <v>89</v>
      </c>
      <c r="G54" s="31">
        <v>5.7400655344544544</v>
      </c>
      <c r="P54" s="1"/>
      <c r="Q54" s="1"/>
    </row>
    <row r="55" spans="6:17" x14ac:dyDescent="0.25">
      <c r="F55" t="s">
        <v>90</v>
      </c>
      <c r="G55" s="31">
        <v>2.3780292543639696</v>
      </c>
      <c r="P55" s="1"/>
      <c r="Q55" s="1"/>
    </row>
    <row r="56" spans="6:17" x14ac:dyDescent="0.25">
      <c r="F56" t="s">
        <v>91</v>
      </c>
      <c r="G56" s="31">
        <v>36</v>
      </c>
      <c r="P56" s="1"/>
      <c r="Q56" s="1"/>
    </row>
    <row r="57" spans="6:17" x14ac:dyDescent="0.25">
      <c r="F57" t="s">
        <v>10</v>
      </c>
      <c r="G57" s="31">
        <v>23</v>
      </c>
      <c r="P57" s="1"/>
      <c r="Q57" s="1"/>
    </row>
    <row r="58" spans="6:17" x14ac:dyDescent="0.25">
      <c r="F58" t="s">
        <v>8</v>
      </c>
      <c r="G58" s="31">
        <v>59</v>
      </c>
      <c r="P58" s="1"/>
      <c r="Q58" s="1"/>
    </row>
    <row r="59" spans="6:17" x14ac:dyDescent="0.25">
      <c r="F59" s="33" t="s">
        <v>92</v>
      </c>
      <c r="G59" s="31">
        <v>899</v>
      </c>
      <c r="P59" s="1"/>
      <c r="Q59" s="1"/>
    </row>
    <row r="60" spans="6:17" x14ac:dyDescent="0.25">
      <c r="F60" t="s">
        <v>93</v>
      </c>
      <c r="G60" s="31">
        <v>28</v>
      </c>
      <c r="P60" s="1"/>
      <c r="Q60" s="1"/>
    </row>
    <row r="61" spans="6:17" x14ac:dyDescent="0.25">
      <c r="F61" t="s">
        <v>94</v>
      </c>
      <c r="G61" s="31">
        <v>59</v>
      </c>
      <c r="P61" s="1"/>
      <c r="Q61" s="1"/>
    </row>
    <row r="62" spans="6:17" x14ac:dyDescent="0.25">
      <c r="F62" t="s">
        <v>95</v>
      </c>
      <c r="G62" s="31">
        <v>23</v>
      </c>
      <c r="P62" s="1"/>
      <c r="Q62" s="1"/>
    </row>
    <row r="63" spans="6:17" ht="15.75" thickBot="1" x14ac:dyDescent="0.3">
      <c r="F63" s="30" t="s">
        <v>96</v>
      </c>
      <c r="G63" s="32">
        <v>3.22587763587459</v>
      </c>
      <c r="P63" s="1"/>
      <c r="Q63" s="1"/>
    </row>
    <row r="64" spans="6:17" x14ac:dyDescent="0.25">
      <c r="P64" s="1"/>
      <c r="Q64" s="1"/>
    </row>
    <row r="65" spans="1:17" x14ac:dyDescent="0.25">
      <c r="A65" s="1" t="s">
        <v>116</v>
      </c>
      <c r="P65" s="1"/>
      <c r="Q65" s="1"/>
    </row>
    <row r="66" spans="1:17" x14ac:dyDescent="0.25">
      <c r="P66" s="1"/>
      <c r="Q66" s="1"/>
    </row>
    <row r="67" spans="1:17" x14ac:dyDescent="0.25">
      <c r="A67" s="1" t="s">
        <v>117</v>
      </c>
      <c r="P67" s="1"/>
      <c r="Q67" s="1"/>
    </row>
    <row r="68" spans="1:17" x14ac:dyDescent="0.25">
      <c r="A68" s="53">
        <f>FORECAST(40,altura,peso)</f>
        <v>136.64407621887125</v>
      </c>
      <c r="P68" s="1"/>
      <c r="Q68" s="1"/>
    </row>
    <row r="69" spans="1:17" x14ac:dyDescent="0.25">
      <c r="Q69" s="1"/>
    </row>
    <row r="70" spans="1:17" x14ac:dyDescent="0.25">
      <c r="Q70" s="1"/>
    </row>
    <row r="71" spans="1:17" x14ac:dyDescent="0.25">
      <c r="Q71" s="1"/>
    </row>
    <row r="72" spans="1:17" x14ac:dyDescent="0.25">
      <c r="Q72" s="1"/>
    </row>
  </sheetData>
  <mergeCells count="13">
    <mergeCell ref="F46:G46"/>
    <mergeCell ref="F27:G27"/>
    <mergeCell ref="J11:L11"/>
    <mergeCell ref="T11:V11"/>
    <mergeCell ref="F1:G1"/>
    <mergeCell ref="F3:G3"/>
    <mergeCell ref="F13:G13"/>
    <mergeCell ref="F20:G20"/>
    <mergeCell ref="P20:Q20"/>
    <mergeCell ref="P13:Q13"/>
    <mergeCell ref="P27:Q27"/>
    <mergeCell ref="P1:Q1"/>
    <mergeCell ref="P3:Q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AL25"/>
  <sheetViews>
    <sheetView zoomScale="120" zoomScaleNormal="120" workbookViewId="0">
      <selection activeCell="B9" sqref="B9"/>
    </sheetView>
  </sheetViews>
  <sheetFormatPr defaultRowHeight="15" x14ac:dyDescent="0.25"/>
  <cols>
    <col min="1" max="1" width="9.140625" customWidth="1"/>
    <col min="2" max="10" width="3.85546875" bestFit="1" customWidth="1"/>
    <col min="11" max="11" width="3.85546875" customWidth="1"/>
    <col min="12" max="38" width="3.85546875" bestFit="1" customWidth="1"/>
  </cols>
  <sheetData>
    <row r="6" spans="2:38" x14ac:dyDescent="0.25">
      <c r="B6" s="49" t="s">
        <v>79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2:38" x14ac:dyDescent="0.25">
      <c r="B7" s="49" t="s">
        <v>81</v>
      </c>
      <c r="C7" s="49"/>
      <c r="D7" s="49"/>
      <c r="E7" s="49"/>
      <c r="F7" s="49"/>
      <c r="G7" s="49"/>
      <c r="H7" s="49"/>
      <c r="I7" s="49"/>
      <c r="J7" s="49"/>
      <c r="K7" s="49" t="s">
        <v>80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2:38" x14ac:dyDescent="0.25">
      <c r="B8" s="49" t="s">
        <v>82</v>
      </c>
      <c r="C8" s="49"/>
      <c r="D8" s="49"/>
      <c r="E8" s="49"/>
      <c r="F8" s="49"/>
      <c r="G8" s="49" t="s">
        <v>82</v>
      </c>
      <c r="H8" s="49"/>
      <c r="I8" s="49"/>
      <c r="J8" s="49"/>
      <c r="K8" s="29" t="s">
        <v>82</v>
      </c>
      <c r="L8" s="50" t="s">
        <v>82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2"/>
    </row>
    <row r="10" spans="2:38" x14ac:dyDescent="0.25">
      <c r="B10" s="24">
        <v>23</v>
      </c>
      <c r="C10">
        <v>24</v>
      </c>
      <c r="D10">
        <v>25</v>
      </c>
      <c r="E10">
        <v>26</v>
      </c>
      <c r="F10" s="26">
        <v>27</v>
      </c>
      <c r="G10">
        <v>28</v>
      </c>
      <c r="H10">
        <v>29</v>
      </c>
      <c r="I10">
        <v>30</v>
      </c>
      <c r="J10" s="28">
        <v>31</v>
      </c>
      <c r="K10" s="22">
        <v>32</v>
      </c>
      <c r="L10">
        <v>33</v>
      </c>
      <c r="M10">
        <v>34</v>
      </c>
      <c r="N10">
        <v>35</v>
      </c>
      <c r="O10">
        <v>36</v>
      </c>
      <c r="P10">
        <v>37</v>
      </c>
      <c r="Q10">
        <v>38</v>
      </c>
      <c r="R10">
        <v>39</v>
      </c>
      <c r="S10">
        <v>40</v>
      </c>
      <c r="T10">
        <v>41</v>
      </c>
      <c r="U10">
        <v>42</v>
      </c>
      <c r="V10">
        <v>43</v>
      </c>
      <c r="W10">
        <v>44</v>
      </c>
      <c r="X10">
        <v>45</v>
      </c>
      <c r="Y10">
        <v>46</v>
      </c>
      <c r="Z10">
        <v>47</v>
      </c>
      <c r="AA10">
        <v>48</v>
      </c>
      <c r="AB10">
        <v>49</v>
      </c>
      <c r="AC10">
        <v>50</v>
      </c>
      <c r="AD10">
        <v>51</v>
      </c>
      <c r="AE10">
        <v>52</v>
      </c>
      <c r="AF10">
        <v>53</v>
      </c>
      <c r="AG10">
        <v>54</v>
      </c>
      <c r="AH10">
        <v>55</v>
      </c>
      <c r="AI10">
        <v>56</v>
      </c>
      <c r="AJ10">
        <v>57</v>
      </c>
      <c r="AK10">
        <v>58</v>
      </c>
      <c r="AL10" s="23">
        <v>59</v>
      </c>
    </row>
    <row r="11" spans="2:38" x14ac:dyDescent="0.25">
      <c r="B11" s="25" t="s">
        <v>74</v>
      </c>
      <c r="F11" s="25" t="s">
        <v>76</v>
      </c>
      <c r="K11" s="27" t="s">
        <v>77</v>
      </c>
      <c r="AL11" s="25" t="s">
        <v>75</v>
      </c>
    </row>
    <row r="20" spans="3:6" x14ac:dyDescent="0.25">
      <c r="C20" s="24"/>
      <c r="D20" s="48" t="s">
        <v>65</v>
      </c>
      <c r="E20" s="48"/>
      <c r="F20" s="48"/>
    </row>
    <row r="21" spans="3:6" x14ac:dyDescent="0.25">
      <c r="C21" s="26"/>
      <c r="D21" s="48" t="s">
        <v>69</v>
      </c>
      <c r="E21" s="48"/>
      <c r="F21" s="48"/>
    </row>
    <row r="22" spans="3:6" x14ac:dyDescent="0.25">
      <c r="C22" s="22"/>
      <c r="D22" s="48" t="s">
        <v>67</v>
      </c>
      <c r="E22" s="48"/>
      <c r="F22" s="48"/>
    </row>
    <row r="23" spans="3:6" x14ac:dyDescent="0.25">
      <c r="C23" s="27"/>
      <c r="D23" s="48" t="s">
        <v>70</v>
      </c>
      <c r="E23" s="48"/>
      <c r="F23" s="48"/>
    </row>
    <row r="24" spans="3:6" x14ac:dyDescent="0.25">
      <c r="C24" s="23"/>
      <c r="D24" s="48" t="s">
        <v>64</v>
      </c>
      <c r="E24" s="48"/>
      <c r="F24" s="48"/>
    </row>
    <row r="25" spans="3:6" x14ac:dyDescent="0.25">
      <c r="C25" s="28"/>
      <c r="D25" s="48" t="s">
        <v>78</v>
      </c>
      <c r="E25" s="48"/>
      <c r="F25" s="48"/>
    </row>
  </sheetData>
  <mergeCells count="12">
    <mergeCell ref="D25:F25"/>
    <mergeCell ref="B6:AL6"/>
    <mergeCell ref="B7:J7"/>
    <mergeCell ref="K7:AL7"/>
    <mergeCell ref="D20:F20"/>
    <mergeCell ref="B8:F8"/>
    <mergeCell ref="G8:J8"/>
    <mergeCell ref="L8:AL8"/>
    <mergeCell ref="D21:F21"/>
    <mergeCell ref="D22:F22"/>
    <mergeCell ref="D23:F23"/>
    <mergeCell ref="D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L13"/>
  <sheetViews>
    <sheetView workbookViewId="0">
      <selection activeCell="E16" sqref="E16"/>
    </sheetView>
  </sheetViews>
  <sheetFormatPr defaultRowHeight="15" x14ac:dyDescent="0.25"/>
  <cols>
    <col min="5" max="5" width="10.7109375" bestFit="1" customWidth="1"/>
    <col min="8" max="8" width="12.7109375" bestFit="1" customWidth="1"/>
  </cols>
  <sheetData>
    <row r="4" spans="2:12" x14ac:dyDescent="0.25">
      <c r="B4" t="s">
        <v>97</v>
      </c>
      <c r="E4" s="36">
        <v>45306</v>
      </c>
      <c r="H4" s="36">
        <v>36503</v>
      </c>
    </row>
    <row r="5" spans="2:12" x14ac:dyDescent="0.25">
      <c r="E5" t="s">
        <v>98</v>
      </c>
      <c r="H5" t="s">
        <v>99</v>
      </c>
    </row>
    <row r="8" spans="2:12" x14ac:dyDescent="0.25">
      <c r="D8" s="37">
        <f>DATEDIF($H$4,$E$4,"Y")</f>
        <v>24</v>
      </c>
      <c r="G8" t="s">
        <v>100</v>
      </c>
      <c r="H8" t="s">
        <v>101</v>
      </c>
    </row>
    <row r="9" spans="2:12" x14ac:dyDescent="0.25">
      <c r="D9" s="37">
        <f>DATEDIF($H$4,$E$4,"M")</f>
        <v>289</v>
      </c>
      <c r="G9" t="s">
        <v>75</v>
      </c>
      <c r="H9" t="s">
        <v>102</v>
      </c>
    </row>
    <row r="10" spans="2:12" x14ac:dyDescent="0.25">
      <c r="D10" s="37">
        <f>DATEDIF($H$4,$E$4,"d")</f>
        <v>8803</v>
      </c>
      <c r="G10" t="s">
        <v>103</v>
      </c>
      <c r="H10" t="s">
        <v>104</v>
      </c>
    </row>
    <row r="11" spans="2:12" x14ac:dyDescent="0.25">
      <c r="D11" s="37">
        <f>DATEDIF($H$4,$E$4,"YD")</f>
        <v>37</v>
      </c>
      <c r="G11" t="s">
        <v>105</v>
      </c>
      <c r="H11" s="48" t="s">
        <v>106</v>
      </c>
      <c r="I11" s="48"/>
      <c r="J11" s="48"/>
      <c r="K11" s="48" t="s">
        <v>107</v>
      </c>
      <c r="L11" s="48"/>
    </row>
    <row r="12" spans="2:12" x14ac:dyDescent="0.25">
      <c r="D12" s="37">
        <f>DATEDIF($H$4,$E$4,"YM")</f>
        <v>1</v>
      </c>
      <c r="G12" t="s">
        <v>108</v>
      </c>
      <c r="H12" s="48" t="s">
        <v>109</v>
      </c>
      <c r="I12" s="48"/>
      <c r="J12" s="48"/>
      <c r="K12" s="48"/>
    </row>
    <row r="13" spans="2:12" x14ac:dyDescent="0.25">
      <c r="D13" s="37">
        <f>DATEDIF($H$4,$E$4,"MD")</f>
        <v>6</v>
      </c>
      <c r="G13" t="s">
        <v>110</v>
      </c>
      <c r="H13" s="48" t="s">
        <v>111</v>
      </c>
      <c r="I13" s="48"/>
      <c r="J13" s="48"/>
      <c r="K13" s="48" t="s">
        <v>112</v>
      </c>
      <c r="L13" s="48"/>
    </row>
  </sheetData>
  <mergeCells count="5">
    <mergeCell ref="H11:J11"/>
    <mergeCell ref="K11:L11"/>
    <mergeCell ref="H12:K12"/>
    <mergeCell ref="H13:J13"/>
    <mergeCell ref="K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Folha1</vt:lpstr>
      <vt:lpstr>Folha2</vt:lpstr>
      <vt:lpstr>Folha3</vt:lpstr>
      <vt:lpstr>altura</vt:lpstr>
      <vt:lpstr>peso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José Filipe Alves Carneiro</cp:lastModifiedBy>
  <dcterms:created xsi:type="dcterms:W3CDTF">2010-10-11T08:43:26Z</dcterms:created>
  <dcterms:modified xsi:type="dcterms:W3CDTF">2024-01-17T21:00:27Z</dcterms:modified>
</cp:coreProperties>
</file>