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5F001C01-FD35-4222-9920-67702FB392D2}" xr6:coauthVersionLast="47" xr6:coauthVersionMax="47" xr10:uidLastSave="{00000000-0000-0000-0000-000000000000}"/>
  <bookViews>
    <workbookView xWindow="-83" yWindow="0" windowWidth="10965" windowHeight="12863" xr2:uid="{00000000-000D-0000-FFFF-FFFF00000000}"/>
  </bookViews>
  <sheets>
    <sheet name="总览 Overview" sheetId="1" r:id="rId1"/>
    <sheet name="规格书 Datasheet" sheetId="2" r:id="rId2"/>
    <sheet name="驱动系统原理图 TS Schematics" sheetId="3" r:id="rId3"/>
    <sheet name="电池箱 Accumulator" sheetId="4" r:id="rId4"/>
    <sheet name="备用电池箱 Spare Accumulator" sheetId="12" r:id="rId5"/>
    <sheet name="预充电放电 PrechargeDischarge" sheetId="5" r:id="rId6"/>
    <sheet name="充电 Charging" sheetId="6" r:id="rId7"/>
    <sheet name="安全系统 Shutdown circuit" sheetId="7" r:id="rId8"/>
    <sheet name="扭矩指令 Torque Security" sheetId="8" r:id="rId9"/>
    <sheet name="其他 Others" sheetId="9" r:id="rId10"/>
    <sheet name="接地 Grounding" sheetId="10" r:id="rId11"/>
    <sheet name="修订历史 Revision" sheetId="11" r:id="rId12"/>
  </sheets>
  <definedNames>
    <definedName name="BattCellCapacity">'规格书 Datasheet'!$C$5</definedName>
    <definedName name="BattCellMaxV">'规格书 Datasheet'!$C$6</definedName>
    <definedName name="BattCellNomV">'规格书 Datasheet'!$C$7</definedName>
    <definedName name="BusCap">'预充电放电 PrechargeDischarge'!$D$10</definedName>
    <definedName name="CellsPerTempSensor" localSheetId="4">'备用电池箱 Spare Accumulator'!$O$27</definedName>
    <definedName name="CellsPerTempSensor">'电池箱 Accumulator'!$O$25</definedName>
    <definedName name="ConnectorNames">'规格书 Datasheet'!$B$74:$B$92</definedName>
    <definedName name="ConnectorsTable">'规格书 Datasheet'!$A$74:$H$92</definedName>
    <definedName name="ConnectorTable">'规格书 Datasheet'!$B$74:$H$92</definedName>
    <definedName name="ContactorNames">'规格书 Datasheet'!$B$66:$B$70</definedName>
    <definedName name="ContactorsTable">'规格书 Datasheet'!$B$66:$H$70</definedName>
    <definedName name="DischargeRes">'预充电放电 PrechargeDischarge'!$J$6</definedName>
    <definedName name="ErrorText">"WARNING"</definedName>
    <definedName name="FuseName">'规格书 Datasheet'!$B$42:$B$53</definedName>
    <definedName name="FuseNames">#REF!</definedName>
    <definedName name="FuseNoiCur" localSheetId="4">'备用电池箱 Spare Accumulator'!$U$22</definedName>
    <definedName name="FuseNoiCur">'电池箱 Accumulator'!$U$20</definedName>
    <definedName name="FusesTable">#REF!</definedName>
    <definedName name="FuseTable">'规格书 Datasheet'!$B$42:$H$53</definedName>
    <definedName name="IncompleteText">"BLANK"</definedName>
    <definedName name="InsulationNames">'规格书 Datasheet'!$B$96:$B$105</definedName>
    <definedName name="InsulationsTable">'规格书 Datasheet'!$B$96:$I$105</definedName>
    <definedName name="MaxTSVoltage" localSheetId="4">'备用电池箱 Spare Accumulator'!$E$6</definedName>
    <definedName name="MaxTSVoltage">'电池箱 Accumulator'!$E$4</definedName>
    <definedName name="NominalTSVoltage">#REF!</definedName>
    <definedName name="OKText">"OK"</definedName>
    <definedName name="PrechargeRes">'预充电放电 PrechargeDischarge'!$D$6</definedName>
    <definedName name="ResistorsNames">'规格书 Datasheet'!$B$57:$B$62</definedName>
    <definedName name="ResistorsTable">'规格书 Datasheet'!$B$57:$H$62</definedName>
    <definedName name="TotalCells" localSheetId="4">'备用电池箱 Spare Accumulator'!$E$8</definedName>
    <definedName name="TotalCells">'电池箱 Accumulator'!$E$6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8" l="1"/>
  <c r="O14" i="10" l="1"/>
  <c r="I14" i="10"/>
  <c r="O13" i="10"/>
  <c r="I13" i="10"/>
  <c r="O12" i="10"/>
  <c r="I12" i="10"/>
  <c r="E12" i="10"/>
  <c r="O11" i="10"/>
  <c r="I11" i="10"/>
  <c r="E11" i="10"/>
  <c r="O10" i="10"/>
  <c r="I10" i="10"/>
  <c r="E10" i="10"/>
  <c r="O9" i="10"/>
  <c r="I9" i="10"/>
  <c r="E9" i="10"/>
  <c r="O8" i="10"/>
  <c r="I8" i="10"/>
  <c r="E8" i="10" a="1"/>
  <c r="E8" i="10"/>
  <c r="O7" i="10"/>
  <c r="I7" i="10"/>
  <c r="E7" i="10" a="1"/>
  <c r="E7" i="10"/>
  <c r="O6" i="10"/>
  <c r="I6" i="10"/>
  <c r="E6" i="10" a="1"/>
  <c r="E6" i="10"/>
  <c r="O5" i="10"/>
  <c r="I5" i="10"/>
  <c r="E5" i="10"/>
  <c r="O4" i="10"/>
  <c r="I4" i="10"/>
  <c r="E4" i="10" a="1"/>
  <c r="E4" i="10"/>
  <c r="O2" i="10"/>
  <c r="I2" i="10"/>
  <c r="E2" i="10"/>
  <c r="B1" i="10" a="1"/>
  <c r="Z39" i="9"/>
  <c r="Y39" i="9"/>
  <c r="Z38" i="9"/>
  <c r="Z37" i="9"/>
  <c r="AI36" i="9"/>
  <c r="Z36" i="9"/>
  <c r="AI35" i="9"/>
  <c r="Z35" i="9"/>
  <c r="AI34" i="9"/>
  <c r="Z34" i="9"/>
  <c r="AI33" i="9"/>
  <c r="Z33" i="9"/>
  <c r="AI32" i="9"/>
  <c r="Z32" i="9"/>
  <c r="AI31" i="9"/>
  <c r="Z31" i="9"/>
  <c r="AI30" i="9"/>
  <c r="Z30" i="9"/>
  <c r="Q30" i="9"/>
  <c r="AI29" i="9"/>
  <c r="Z29" i="9"/>
  <c r="Q29" i="9"/>
  <c r="H29" i="9"/>
  <c r="AI28" i="9"/>
  <c r="Z28" i="9"/>
  <c r="Q28" i="9"/>
  <c r="H28" i="9"/>
  <c r="Z8" i="9" a="1"/>
  <c r="F6" i="9"/>
  <c r="L5" i="9"/>
  <c r="F5" i="9"/>
  <c r="L4" i="9"/>
  <c r="F4" i="9"/>
  <c r="L3" i="9"/>
  <c r="F3" i="9"/>
  <c r="L2" i="9"/>
  <c r="F2" i="9"/>
  <c r="B1" i="9" a="1"/>
  <c r="F13" i="8"/>
  <c r="F12" i="8"/>
  <c r="S11" i="8"/>
  <c r="H11" i="8"/>
  <c r="F11" i="8"/>
  <c r="S10" i="8"/>
  <c r="H10" i="8"/>
  <c r="F10" i="8"/>
  <c r="S9" i="8"/>
  <c r="H9" i="8"/>
  <c r="F9" i="8"/>
  <c r="S8" i="8"/>
  <c r="F8" i="8"/>
  <c r="S7" i="8"/>
  <c r="F7" i="8"/>
  <c r="S6" i="8"/>
  <c r="F4" i="8"/>
  <c r="F3" i="8"/>
  <c r="S2" i="8"/>
  <c r="F2" i="8"/>
  <c r="B1" i="8" a="1"/>
  <c r="AU100" i="7"/>
  <c r="W100" i="7"/>
  <c r="AU99" i="7"/>
  <c r="W99" i="7"/>
  <c r="K99" i="7"/>
  <c r="AU98" i="7"/>
  <c r="AT98" i="7"/>
  <c r="W98" i="7"/>
  <c r="K98" i="7"/>
  <c r="AU97" i="7"/>
  <c r="K97" i="7"/>
  <c r="AU96" i="7"/>
  <c r="W96" i="7"/>
  <c r="AU95" i="7"/>
  <c r="K95" i="7"/>
  <c r="AU94" i="7"/>
  <c r="AU93" i="7"/>
  <c r="AU92" i="7"/>
  <c r="AU91" i="7"/>
  <c r="AU90" i="7"/>
  <c r="AU89" i="7"/>
  <c r="AU88" i="7"/>
  <c r="AU87" i="7"/>
  <c r="AU86" i="7"/>
  <c r="AU85" i="7"/>
  <c r="AU84" i="7"/>
  <c r="AT84" i="7"/>
  <c r="AU83" i="7"/>
  <c r="AU82" i="7"/>
  <c r="AU81" i="7"/>
  <c r="BG80" i="7"/>
  <c r="AU80" i="7"/>
  <c r="AT80" i="7"/>
  <c r="BG79" i="7"/>
  <c r="AU79" i="7"/>
  <c r="BG78" i="7"/>
  <c r="AU78" i="7"/>
  <c r="BG76" i="7"/>
  <c r="AU76" i="7"/>
  <c r="AI63" i="7"/>
  <c r="AI62" i="7"/>
  <c r="K62" i="7"/>
  <c r="AI61" i="7"/>
  <c r="K61" i="7"/>
  <c r="AI60" i="7"/>
  <c r="K60" i="7"/>
  <c r="AI59" i="7"/>
  <c r="K59" i="7"/>
  <c r="AI58" i="7"/>
  <c r="K58" i="7"/>
  <c r="K57" i="7"/>
  <c r="K56" i="7"/>
  <c r="AI55" i="7"/>
  <c r="K55" i="7"/>
  <c r="K54" i="7"/>
  <c r="K53" i="7"/>
  <c r="AI52" i="7"/>
  <c r="K52" i="7"/>
  <c r="AI51" i="7"/>
  <c r="K51" i="7"/>
  <c r="K50" i="7"/>
  <c r="AI49" i="7"/>
  <c r="K49" i="7"/>
  <c r="AU48" i="7"/>
  <c r="K48" i="7"/>
  <c r="AU47" i="7"/>
  <c r="K47" i="7"/>
  <c r="AU46" i="7"/>
  <c r="K46" i="7"/>
  <c r="AU45" i="7"/>
  <c r="AT45" i="7"/>
  <c r="K45" i="7"/>
  <c r="AU44" i="7"/>
  <c r="K44" i="7"/>
  <c r="AU43" i="7"/>
  <c r="K43" i="7"/>
  <c r="AU42" i="7"/>
  <c r="K42" i="7"/>
  <c r="AU41" i="7"/>
  <c r="AI41" i="7"/>
  <c r="W41" i="7"/>
  <c r="K41" i="7"/>
  <c r="AU40" i="7"/>
  <c r="AI40" i="7"/>
  <c r="W40" i="7"/>
  <c r="K40" i="7"/>
  <c r="AU39" i="7"/>
  <c r="AI39" i="7"/>
  <c r="W39" i="7"/>
  <c r="K39" i="7"/>
  <c r="AU38" i="7"/>
  <c r="AI38" i="7"/>
  <c r="W38" i="7"/>
  <c r="K38" i="7"/>
  <c r="AU37" i="7"/>
  <c r="AI37" i="7"/>
  <c r="W36" i="7"/>
  <c r="K36" i="7"/>
  <c r="AU35" i="7"/>
  <c r="AI35" i="7"/>
  <c r="Z8" i="7" a="1"/>
  <c r="M8" i="7"/>
  <c r="F8" i="7"/>
  <c r="M7" i="7"/>
  <c r="F7" i="7"/>
  <c r="M6" i="7"/>
  <c r="F6" i="7"/>
  <c r="M5" i="7"/>
  <c r="F5" i="7"/>
  <c r="M4" i="7"/>
  <c r="F4" i="7"/>
  <c r="M2" i="7"/>
  <c r="F2" i="7"/>
  <c r="B1" i="7" a="1"/>
  <c r="Q38" i="6"/>
  <c r="H38" i="6"/>
  <c r="Q37" i="6"/>
  <c r="H37" i="6"/>
  <c r="Q36" i="6"/>
  <c r="H36" i="6"/>
  <c r="Q35" i="6"/>
  <c r="H35" i="6"/>
  <c r="Z34" i="6"/>
  <c r="Q34" i="6"/>
  <c r="H34" i="6"/>
  <c r="Z33" i="6"/>
  <c r="Q33" i="6"/>
  <c r="H33" i="6"/>
  <c r="Z31" i="6"/>
  <c r="Q31" i="6"/>
  <c r="H31" i="6"/>
  <c r="F10" i="6"/>
  <c r="F9" i="6"/>
  <c r="F8" i="6"/>
  <c r="F7" i="6"/>
  <c r="F6" i="6"/>
  <c r="F5" i="6"/>
  <c r="F4" i="6"/>
  <c r="F3" i="6"/>
  <c r="F2" i="6"/>
  <c r="B1" i="6" a="1"/>
  <c r="F19" i="5"/>
  <c r="D19" i="5"/>
  <c r="F18" i="5"/>
  <c r="D18" i="5"/>
  <c r="F17" i="5"/>
  <c r="D16" i="5"/>
  <c r="L15" i="5"/>
  <c r="J15" i="5"/>
  <c r="D15" i="5"/>
  <c r="L14" i="5"/>
  <c r="J14" i="5"/>
  <c r="D14" i="5"/>
  <c r="L13" i="5"/>
  <c r="J13" i="5"/>
  <c r="D13" i="5"/>
  <c r="L12" i="5"/>
  <c r="D12" i="5"/>
  <c r="J11" i="5"/>
  <c r="F11" i="5"/>
  <c r="J10" i="5"/>
  <c r="F10" i="5"/>
  <c r="R9" i="5"/>
  <c r="P9" i="5"/>
  <c r="J9" i="5"/>
  <c r="F9" i="5"/>
  <c r="D9" i="5"/>
  <c r="R8" i="5"/>
  <c r="P8" i="5"/>
  <c r="L8" i="5"/>
  <c r="J8" i="5"/>
  <c r="F8" i="5"/>
  <c r="R7" i="5"/>
  <c r="P7" i="5"/>
  <c r="L7" i="5"/>
  <c r="J7" i="5"/>
  <c r="D7" i="5"/>
  <c r="R6" i="5"/>
  <c r="P6" i="5"/>
  <c r="J6" i="5"/>
  <c r="D6" i="5"/>
  <c r="R5" i="5"/>
  <c r="L5" i="5"/>
  <c r="F5" i="5"/>
  <c r="R4" i="5"/>
  <c r="L4" i="5"/>
  <c r="F4" i="5"/>
  <c r="R3" i="5"/>
  <c r="L3" i="5"/>
  <c r="F3" i="5"/>
  <c r="R2" i="5"/>
  <c r="L2" i="5"/>
  <c r="F2" i="5"/>
  <c r="B1" i="5" a="1"/>
  <c r="H94" i="12"/>
  <c r="H93" i="12"/>
  <c r="H92" i="12"/>
  <c r="H91" i="12"/>
  <c r="H90" i="12"/>
  <c r="H89" i="12"/>
  <c r="H88" i="12"/>
  <c r="H87" i="12"/>
  <c r="H86" i="12"/>
  <c r="H85" i="12"/>
  <c r="H58" i="12"/>
  <c r="Q57" i="12"/>
  <c r="H57" i="12"/>
  <c r="Z56" i="12"/>
  <c r="Q56" i="12"/>
  <c r="H56" i="12"/>
  <c r="BA55" i="12"/>
  <c r="AR55" i="12"/>
  <c r="AI55" i="12"/>
  <c r="Z55" i="12"/>
  <c r="Q55" i="12"/>
  <c r="H55" i="12"/>
  <c r="BA54" i="12"/>
  <c r="AR54" i="12"/>
  <c r="AI54" i="12"/>
  <c r="Z54" i="12"/>
  <c r="Q54" i="12"/>
  <c r="H54" i="12"/>
  <c r="Q32" i="12"/>
  <c r="O32" i="12"/>
  <c r="Q31" i="12"/>
  <c r="J31" i="12"/>
  <c r="H31" i="12"/>
  <c r="F31" i="12"/>
  <c r="Q30" i="12"/>
  <c r="J30" i="12"/>
  <c r="H30" i="12"/>
  <c r="F30" i="12"/>
  <c r="Q29" i="12"/>
  <c r="J29" i="12"/>
  <c r="H29" i="12"/>
  <c r="F29" i="12"/>
  <c r="J28" i="12"/>
  <c r="H28" i="12"/>
  <c r="F28" i="12"/>
  <c r="Q27" i="12"/>
  <c r="J27" i="12"/>
  <c r="H27" i="12"/>
  <c r="F27" i="12"/>
  <c r="Q26" i="12"/>
  <c r="J26" i="12"/>
  <c r="H26" i="12"/>
  <c r="F26" i="12"/>
  <c r="Q25" i="12"/>
  <c r="J25" i="12"/>
  <c r="H25" i="12"/>
  <c r="F25" i="12"/>
  <c r="J24" i="12"/>
  <c r="H24" i="12"/>
  <c r="F24" i="12"/>
  <c r="W23" i="12"/>
  <c r="U23" i="12"/>
  <c r="Q23" i="12"/>
  <c r="O23" i="12"/>
  <c r="J23" i="12"/>
  <c r="H23" i="12"/>
  <c r="F23" i="12"/>
  <c r="U22" i="12"/>
  <c r="Q22" i="12"/>
  <c r="J22" i="12"/>
  <c r="H22" i="12"/>
  <c r="F22" i="12"/>
  <c r="W21" i="12"/>
  <c r="Q21" i="12"/>
  <c r="J21" i="12"/>
  <c r="H21" i="12"/>
  <c r="F21" i="12"/>
  <c r="AD20" i="12"/>
  <c r="AB20" i="12"/>
  <c r="Q20" i="12"/>
  <c r="J20" i="12"/>
  <c r="H20" i="12"/>
  <c r="F20" i="12"/>
  <c r="AD19" i="12"/>
  <c r="AB19" i="12"/>
  <c r="W19" i="12"/>
  <c r="U19" i="12"/>
  <c r="Q19" i="12"/>
  <c r="J19" i="12"/>
  <c r="H19" i="12"/>
  <c r="F19" i="12"/>
  <c r="AD18" i="12"/>
  <c r="AB18" i="12"/>
  <c r="U18" i="12"/>
  <c r="J18" i="12"/>
  <c r="H18" i="12"/>
  <c r="F18" i="12"/>
  <c r="AD17" i="12"/>
  <c r="W17" i="12"/>
  <c r="U17" i="12"/>
  <c r="Q17" i="12"/>
  <c r="J17" i="12"/>
  <c r="H17" i="12"/>
  <c r="F17" i="12"/>
  <c r="AD16" i="12"/>
  <c r="AB16" i="12"/>
  <c r="W16" i="12"/>
  <c r="Q16" i="12"/>
  <c r="J16" i="12"/>
  <c r="H16" i="12"/>
  <c r="F16" i="12"/>
  <c r="AD15" i="12"/>
  <c r="AB15" i="12"/>
  <c r="Q15" i="12"/>
  <c r="J15" i="12"/>
  <c r="H15" i="12"/>
  <c r="F15" i="12"/>
  <c r="AK14" i="12"/>
  <c r="AD14" i="12"/>
  <c r="U14" i="12"/>
  <c r="Q14" i="12"/>
  <c r="J14" i="12"/>
  <c r="H14" i="12"/>
  <c r="F14" i="12"/>
  <c r="AK13" i="12"/>
  <c r="AD13" i="12"/>
  <c r="AB13" i="12"/>
  <c r="W13" i="12"/>
  <c r="Q13" i="12"/>
  <c r="AK12" i="12"/>
  <c r="AD12" i="12"/>
  <c r="AB12" i="12"/>
  <c r="W12" i="12"/>
  <c r="U12" i="12"/>
  <c r="Q12" i="12"/>
  <c r="AK11" i="12"/>
  <c r="AD11" i="12"/>
  <c r="W11" i="12"/>
  <c r="Q11" i="12"/>
  <c r="J11" i="12"/>
  <c r="AK10" i="12"/>
  <c r="AD10" i="12"/>
  <c r="W10" i="12"/>
  <c r="Q10" i="12"/>
  <c r="J10" i="12"/>
  <c r="E8" i="12"/>
  <c r="E7" i="12" a="1"/>
  <c r="E7" i="12"/>
  <c r="G6" i="12"/>
  <c r="E6" i="12" a="1"/>
  <c r="E6" i="12"/>
  <c r="G5" i="12"/>
  <c r="B1" i="12" a="1"/>
  <c r="H92" i="4"/>
  <c r="H91" i="4"/>
  <c r="H90" i="4"/>
  <c r="H89" i="4"/>
  <c r="H88" i="4"/>
  <c r="H87" i="4"/>
  <c r="H86" i="4"/>
  <c r="H85" i="4"/>
  <c r="H84" i="4"/>
  <c r="H83" i="4"/>
  <c r="H56" i="4"/>
  <c r="Q55" i="4"/>
  <c r="H55" i="4"/>
  <c r="Z54" i="4"/>
  <c r="Q54" i="4"/>
  <c r="H54" i="4"/>
  <c r="BA53" i="4"/>
  <c r="AR53" i="4"/>
  <c r="AI53" i="4"/>
  <c r="Z53" i="4"/>
  <c r="Q53" i="4"/>
  <c r="H53" i="4"/>
  <c r="BA52" i="4"/>
  <c r="AR52" i="4"/>
  <c r="AI52" i="4"/>
  <c r="Z52" i="4"/>
  <c r="Q52" i="4"/>
  <c r="H52" i="4"/>
  <c r="Q30" i="4"/>
  <c r="O30" i="4"/>
  <c r="Q29" i="4"/>
  <c r="J29" i="4"/>
  <c r="H29" i="4"/>
  <c r="F29" i="4"/>
  <c r="Q28" i="4"/>
  <c r="J28" i="4"/>
  <c r="H28" i="4"/>
  <c r="F28" i="4"/>
  <c r="Q27" i="4"/>
  <c r="J27" i="4"/>
  <c r="H27" i="4"/>
  <c r="F27" i="4"/>
  <c r="J26" i="4"/>
  <c r="H26" i="4"/>
  <c r="F26" i="4"/>
  <c r="Q25" i="4"/>
  <c r="J25" i="4"/>
  <c r="H25" i="4"/>
  <c r="F25" i="4"/>
  <c r="Q24" i="4"/>
  <c r="J24" i="4"/>
  <c r="H24" i="4"/>
  <c r="F24" i="4"/>
  <c r="Q23" i="4"/>
  <c r="J23" i="4"/>
  <c r="H23" i="4"/>
  <c r="F23" i="4"/>
  <c r="J22" i="4"/>
  <c r="H22" i="4"/>
  <c r="F22" i="4"/>
  <c r="W21" i="4"/>
  <c r="U21" i="4"/>
  <c r="Q21" i="4"/>
  <c r="O21" i="4"/>
  <c r="J21" i="4"/>
  <c r="H21" i="4"/>
  <c r="F21" i="4"/>
  <c r="U20" i="4"/>
  <c r="Q20" i="4"/>
  <c r="J20" i="4"/>
  <c r="H20" i="4"/>
  <c r="F20" i="4"/>
  <c r="W19" i="4"/>
  <c r="Q19" i="4"/>
  <c r="J19" i="4"/>
  <c r="H19" i="4"/>
  <c r="F19" i="4"/>
  <c r="AD18" i="4"/>
  <c r="AB18" i="4"/>
  <c r="Q18" i="4"/>
  <c r="J18" i="4"/>
  <c r="H18" i="4"/>
  <c r="F18" i="4"/>
  <c r="AD17" i="4"/>
  <c r="AB17" i="4"/>
  <c r="W17" i="4"/>
  <c r="U17" i="4"/>
  <c r="Q17" i="4"/>
  <c r="J17" i="4"/>
  <c r="H17" i="4"/>
  <c r="F17" i="4"/>
  <c r="AD16" i="4"/>
  <c r="AB16" i="4"/>
  <c r="U16" i="4"/>
  <c r="J16" i="4"/>
  <c r="H16" i="4"/>
  <c r="F16" i="4"/>
  <c r="AD15" i="4"/>
  <c r="W15" i="4"/>
  <c r="U15" i="4"/>
  <c r="Q15" i="4"/>
  <c r="J15" i="4"/>
  <c r="H15" i="4"/>
  <c r="F15" i="4"/>
  <c r="AD14" i="4"/>
  <c r="AB14" i="4"/>
  <c r="W14" i="4"/>
  <c r="Q14" i="4"/>
  <c r="J14" i="4"/>
  <c r="H14" i="4"/>
  <c r="F14" i="4"/>
  <c r="AD13" i="4"/>
  <c r="AB13" i="4"/>
  <c r="Q13" i="4"/>
  <c r="J13" i="4"/>
  <c r="H13" i="4"/>
  <c r="F13" i="4"/>
  <c r="AK12" i="4"/>
  <c r="AD12" i="4"/>
  <c r="U12" i="4"/>
  <c r="Q12" i="4"/>
  <c r="J12" i="4"/>
  <c r="H12" i="4"/>
  <c r="F12" i="4"/>
  <c r="AK11" i="4"/>
  <c r="AD11" i="4"/>
  <c r="AB11" i="4"/>
  <c r="W11" i="4"/>
  <c r="Q11" i="4"/>
  <c r="AK10" i="4"/>
  <c r="AD10" i="4"/>
  <c r="AB10" i="4"/>
  <c r="W10" i="4"/>
  <c r="U10" i="4"/>
  <c r="Q10" i="4"/>
  <c r="AK9" i="4"/>
  <c r="AD9" i="4"/>
  <c r="W9" i="4"/>
  <c r="Q9" i="4"/>
  <c r="J9" i="4"/>
  <c r="AK8" i="4"/>
  <c r="AD8" i="4"/>
  <c r="W8" i="4"/>
  <c r="Q8" i="4"/>
  <c r="J8" i="4"/>
  <c r="E6" i="4"/>
  <c r="E5" i="4" a="1"/>
  <c r="E5" i="4"/>
  <c r="G4" i="4"/>
  <c r="E4" i="4" a="1"/>
  <c r="E4" i="4"/>
  <c r="G3" i="4"/>
  <c r="B1" i="4" a="1"/>
  <c r="K50" i="3"/>
  <c r="K48" i="3"/>
  <c r="K46" i="3"/>
  <c r="K45" i="3"/>
  <c r="K44" i="3"/>
  <c r="W43" i="3"/>
  <c r="K43" i="3"/>
  <c r="W42" i="3"/>
  <c r="K42" i="3"/>
  <c r="W41" i="3"/>
  <c r="K41" i="3"/>
  <c r="W40" i="3"/>
  <c r="K40" i="3"/>
  <c r="W39" i="3"/>
  <c r="K39" i="3"/>
  <c r="W38" i="3"/>
  <c r="K38" i="3"/>
  <c r="W37" i="3"/>
  <c r="K37" i="3"/>
  <c r="W36" i="3"/>
  <c r="K36" i="3"/>
  <c r="W35" i="3"/>
  <c r="K35" i="3"/>
  <c r="W34" i="3"/>
  <c r="K34" i="3"/>
  <c r="W33" i="3"/>
  <c r="K33" i="3"/>
  <c r="W32" i="3"/>
  <c r="K32" i="3"/>
  <c r="W31" i="3"/>
  <c r="K31" i="3"/>
  <c r="W30" i="3"/>
  <c r="K30" i="3"/>
  <c r="W28" i="3"/>
  <c r="K28" i="3"/>
  <c r="B1" i="3" a="1"/>
  <c r="J105" i="2"/>
  <c r="E105" i="2"/>
  <c r="J104" i="2"/>
  <c r="E104" i="2"/>
  <c r="J103" i="2"/>
  <c r="E103" i="2"/>
  <c r="J102" i="2"/>
  <c r="E102" i="2"/>
  <c r="J101" i="2"/>
  <c r="E101" i="2"/>
  <c r="J100" i="2"/>
  <c r="E100" i="2"/>
  <c r="J99" i="2"/>
  <c r="E99" i="2"/>
  <c r="J98" i="2"/>
  <c r="H98" i="2"/>
  <c r="E98" i="2"/>
  <c r="J97" i="2"/>
  <c r="H97" i="2"/>
  <c r="E97" i="2"/>
  <c r="J96" i="2"/>
  <c r="E96" i="2"/>
  <c r="J94" i="2"/>
  <c r="I92" i="2"/>
  <c r="I91" i="2"/>
  <c r="I90" i="2"/>
  <c r="I89" i="2"/>
  <c r="I88" i="2"/>
  <c r="I87" i="2"/>
  <c r="I86" i="2"/>
  <c r="I85" i="2"/>
  <c r="I84" i="2"/>
  <c r="I83" i="2"/>
  <c r="I82" i="2"/>
  <c r="I81" i="2"/>
  <c r="I80" i="2"/>
  <c r="I79" i="2"/>
  <c r="I78" i="2"/>
  <c r="I77" i="2"/>
  <c r="I76" i="2"/>
  <c r="I75" i="2"/>
  <c r="I74" i="2"/>
  <c r="I72" i="2"/>
  <c r="I70" i="2"/>
  <c r="I69" i="2"/>
  <c r="I68" i="2"/>
  <c r="I67" i="2"/>
  <c r="I66" i="2"/>
  <c r="I64" i="2"/>
  <c r="I62" i="2"/>
  <c r="I61" i="2"/>
  <c r="I60" i="2"/>
  <c r="I59" i="2"/>
  <c r="I58" i="2"/>
  <c r="I57" i="2"/>
  <c r="I55" i="2"/>
  <c r="I53" i="2"/>
  <c r="I52" i="2"/>
  <c r="I51" i="2"/>
  <c r="I50" i="2"/>
  <c r="I49" i="2"/>
  <c r="I48" i="2"/>
  <c r="I47" i="2"/>
  <c r="I46" i="2"/>
  <c r="I45" i="2"/>
  <c r="I44" i="2"/>
  <c r="I43" i="2"/>
  <c r="I42" i="2"/>
  <c r="H41" i="2"/>
  <c r="G41" i="2"/>
  <c r="I40" i="2"/>
  <c r="I38" i="2"/>
  <c r="I37" i="2"/>
  <c r="I36" i="2"/>
  <c r="I35" i="2"/>
  <c r="I34" i="2"/>
  <c r="I33" i="2"/>
  <c r="I32" i="2"/>
  <c r="I31" i="2"/>
  <c r="I30" i="2"/>
  <c r="I29" i="2"/>
  <c r="I28" i="2"/>
  <c r="I27" i="2"/>
  <c r="I26" i="2"/>
  <c r="I24" i="2"/>
  <c r="I23" i="2"/>
  <c r="I22" i="2"/>
  <c r="I21" i="2"/>
  <c r="I20" i="2"/>
  <c r="I19" i="2"/>
  <c r="I18" i="2"/>
  <c r="I17" i="2"/>
  <c r="I15" i="2"/>
  <c r="E2" i="2"/>
  <c r="B1" i="2" a="1"/>
  <c r="K18" i="1"/>
  <c r="K17" i="1"/>
  <c r="O15" i="1"/>
  <c r="O14" i="1"/>
  <c r="O13" i="1"/>
  <c r="O12" i="1"/>
  <c r="K11" i="1"/>
  <c r="B1" i="4"/>
  <c r="Z8" i="9"/>
  <c r="B1" i="3"/>
  <c r="B1" i="2"/>
  <c r="B1" i="9"/>
  <c r="B1" i="5"/>
  <c r="B1" i="8"/>
  <c r="B1" i="6"/>
  <c r="B1" i="12"/>
  <c r="B1" i="10"/>
  <c r="Z8" i="7"/>
  <c r="B1" i="7" s="1"/>
  <c r="K7" i="1" l="1"/>
  <c r="K10" i="1"/>
  <c r="K6" i="1"/>
  <c r="K8" i="1"/>
  <c r="K5" i="1"/>
  <c r="K9" i="1"/>
  <c r="K2" i="1"/>
  <c r="M2" i="1" s="1"/>
  <c r="K3" i="1"/>
  <c r="K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<sst xmlns="http://schemas.openxmlformats.org/spreadsheetml/2006/main" count="1215" uniqueCount="704">
  <si>
    <t>文档填写要求 Document Filling Requirements</t>
  </si>
  <si>
    <t>结果汇总 Status</t>
  </si>
  <si>
    <t>最终结果 Overall Results</t>
  </si>
  <si>
    <r>
      <rPr>
        <sz val="11"/>
        <rFont val="等线"/>
        <charset val="134"/>
        <scheme val="minor"/>
      </rPr>
      <t xml:space="preserve">- 所有橙色背景的单元格均需要填写
- 蓝色背景的单元格是自动生成的检查结果
- 图片必须放置在指定区域上并且高清且横纵比正常。图片需要能够被放大以进行进一步审核
- 所有要求规格书的都应该在规定位置提供下载超链接,优先放置供应商公开网址的信息,允许车队提供的网盘,但是分享链接应当是无密码且长期有效的。链接不必完整显示在文档中
- 禁止链接到淘宝产品介绍页面
- 额外补充信息仅在审核员特殊要求时填写
- </t>
    </r>
    <r>
      <rPr>
        <b/>
        <sz val="11"/>
        <rFont val="等线"/>
        <charset val="134"/>
        <scheme val="minor"/>
      </rPr>
      <t>完成后删除所有的此单元格以外的样例(橙色图片)/说明性文字（斜体）</t>
    </r>
    <r>
      <rPr>
        <sz val="11"/>
        <rFont val="等线"/>
        <charset val="134"/>
        <scheme val="minor"/>
      </rPr>
      <t xml:space="preserve">
- 由于反馈更改的内容必须要标为</t>
    </r>
    <r>
      <rPr>
        <sz val="11"/>
        <color rgb="FFFF0000"/>
        <rFont val="等线"/>
        <charset val="134"/>
        <scheme val="minor"/>
      </rPr>
      <t>红色</t>
    </r>
    <r>
      <rPr>
        <sz val="11"/>
        <rFont val="等线"/>
        <charset val="134"/>
        <scheme val="minor"/>
      </rPr>
      <t>。未标红视为未更改。请仅标红当前最新更改部分
- 无论当前是否已经对ESF予以通过，任何未经许可的对自动检查表格模板的修改/破解将导致该车队本年度的电检资格取消。
- 自动检查通过并不代表ESF必然获得通过
————
- All cells with an orange background need to be filled out
- Cells with a blue background are automatically generated inspection results
- Images must be clear and recognizable
- All required specifications should provide download hyperlinks in the designated location. Preference should be given to publicly accessible URLs from suppliers. Cloud drives provided by the team are allowed, but the shared links should be password-free and long-term valid. The links do not need to be fully displayed in the document.
- Linking to online vendor product introduction pages is prohibited。 
- Additional comments should only be filled in upon special request from the auditor.
-</t>
    </r>
    <r>
      <rPr>
        <b/>
        <sz val="11"/>
        <rFont val="等线"/>
        <charset val="134"/>
        <scheme val="minor"/>
      </rPr>
      <t xml:space="preserve"> After completion, delete all examples (orange images)/explanatory text (italic) except for this cell.
-</t>
    </r>
    <r>
      <rPr>
        <sz val="11"/>
        <rFont val="等线"/>
        <charset val="134"/>
        <scheme val="minor"/>
      </rPr>
      <t xml:space="preserve"> Changes made due to feedback must be marked in </t>
    </r>
    <r>
      <rPr>
        <sz val="11"/>
        <color rgb="FFFF0000"/>
        <rFont val="等线"/>
        <charset val="134"/>
        <scheme val="minor"/>
      </rPr>
      <t>red</t>
    </r>
    <r>
      <rPr>
        <sz val="11"/>
        <rFont val="等线"/>
        <charset val="134"/>
        <scheme val="minor"/>
      </rPr>
      <t>. Changes not marked in red will be considered unmodified. Please only mark the most recent changes in red.
- Regardless of whether the ESF has currently been approved, any unauthorized modifications/hacks to the automated checklist template will result in the team's disqualification from the electrical inspection for the current year.
- Passing the automated check does not guarantee that the ESF will be approved.</t>
    </r>
  </si>
  <si>
    <t>规格书 Datasheets</t>
  </si>
  <si>
    <t>驱动系统原理图 TS Schematics</t>
  </si>
  <si>
    <t>电池箱 Accumulator</t>
  </si>
  <si>
    <t>预充电/放电回路 Precharge/Discharge</t>
  </si>
  <si>
    <t>充电系统 Charging</t>
  </si>
  <si>
    <t>安全系统 Shutdown circuits</t>
  </si>
  <si>
    <t>扭矩输出 Torque security</t>
  </si>
  <si>
    <t>其他 Other</t>
  </si>
  <si>
    <t>接地 Grounding</t>
  </si>
  <si>
    <t>车队信息 Team info</t>
  </si>
  <si>
    <t>学校 University</t>
  </si>
  <si>
    <t>东南大学</t>
  </si>
  <si>
    <t>车队名称 Team</t>
  </si>
  <si>
    <t>东南大学纯电动方程式车队</t>
  </si>
  <si>
    <t>车号 Car Number</t>
  </si>
  <si>
    <t>E24</t>
  </si>
  <si>
    <t>驱动系统最大电压 Max TS voltage</t>
  </si>
  <si>
    <t>V</t>
  </si>
  <si>
    <t>主保险丝额定电流 Accumulator</t>
  </si>
  <si>
    <t>A</t>
  </si>
  <si>
    <t>Additional Comment - 1</t>
  </si>
  <si>
    <t>Additional Comment - 2</t>
  </si>
  <si>
    <t>状态 Status</t>
  </si>
  <si>
    <t>电芯单体 Battery Cell</t>
  </si>
  <si>
    <t>制造商 Make</t>
  </si>
  <si>
    <t>香港明達科技發展有限公司</t>
  </si>
  <si>
    <t>型号 Model</t>
  </si>
  <si>
    <t>EP7064159HP</t>
  </si>
  <si>
    <t>额定容量 Nominal Capacity</t>
  </si>
  <si>
    <t>7.5</t>
  </si>
  <si>
    <t>Ahr</t>
  </si>
  <si>
    <t>最大电压 Maximum Voltage</t>
  </si>
  <si>
    <t>4.2</t>
  </si>
  <si>
    <t>额定电压 Nominal Voltage</t>
  </si>
  <si>
    <t>3.7</t>
  </si>
  <si>
    <t>最小电压 Minimum Voltage</t>
  </si>
  <si>
    <t>2.75</t>
  </si>
  <si>
    <t>最大瞬时输出电流 Max output current</t>
  </si>
  <si>
    <t>225</t>
  </si>
  <si>
    <t>最大连续输出电流 Max continous current</t>
  </si>
  <si>
    <t>150</t>
  </si>
  <si>
    <t>最大工作温度 Max Cell temp</t>
  </si>
  <si>
    <t>60</t>
  </si>
  <si>
    <t>C</t>
  </si>
  <si>
    <t>电芯化学类型 Cell Chemistry</t>
  </si>
  <si>
    <t xml:space="preserve">LiCoO2 </t>
  </si>
  <si>
    <t>说明书超链接 Link to Datasheet</t>
  </si>
  <si>
    <t>EP7064159HP 7500mAh 3.7V 20C V.1.0.pdf</t>
  </si>
  <si>
    <t>导体信息 Conductors</t>
  </si>
  <si>
    <t>规则参考/注释 Rules Reference/Comment</t>
  </si>
  <si>
    <t>Location List</t>
  </si>
  <si>
    <t>制造商 Manufacturer</t>
  </si>
  <si>
    <t>型号 Part number</t>
  </si>
  <si>
    <r>
      <rPr>
        <sz val="11"/>
        <color theme="1"/>
        <rFont val="等线"/>
        <charset val="134"/>
        <scheme val="minor"/>
      </rPr>
      <t>载流截面积 Size [mm</t>
    </r>
    <r>
      <rPr>
        <sz val="11"/>
        <color theme="1"/>
        <rFont val="等线"/>
        <charset val="134"/>
        <scheme val="minor"/>
      </rPr>
      <t>2]</t>
    </r>
  </si>
  <si>
    <t>额定电压 Nominal Voltage [Vdc]</t>
  </si>
  <si>
    <t>额定电流 Nominal Current [A]</t>
  </si>
  <si>
    <t>最大工作温度 Max Temp[C]</t>
  </si>
  <si>
    <t>说明书链接 Datasheet Hyperlink</t>
  </si>
  <si>
    <t xml:space="preserve">位置 Location </t>
  </si>
  <si>
    <t>判定 Auto-check</t>
  </si>
  <si>
    <t>注释 Additional Info</t>
  </si>
  <si>
    <r>
      <rPr>
        <sz val="11"/>
        <color theme="1"/>
        <rFont val="等线"/>
        <charset val="134"/>
        <scheme val="minor"/>
      </rPr>
      <t xml:space="preserve">-如果在不同位置使用了相同的导体，请增加一行重复的输入项目。
-如果相同段落使用了多种导体，每一种导体信息都应该被填入
- 本表格更多指向铜牌，导线等
-如果使用位置是'其他驱动系统’，请在注释列填写说明
-检查项目包括但不限于：
-第五章 
-- 5.1.2 
-- 5.1.3
-- 5.5.3
-- 5.5.5
</t>
    </r>
    <r>
      <rPr>
        <sz val="11"/>
        <color rgb="FFFF0000"/>
        <rFont val="等线"/>
        <charset val="134"/>
        <scheme val="minor"/>
      </rPr>
      <t>本页表格允许添加行</t>
    </r>
    <r>
      <rPr>
        <sz val="11"/>
        <color theme="1"/>
        <rFont val="等线"/>
        <charset val="134"/>
        <scheme val="minor"/>
      </rPr>
      <t xml:space="preserve">
————
- If the same conductor is used in different locations, please add an additional row with the repeated input item. 
-  If multiple types of conductors are used in the same section, information for each conductor should be filled in.
-  If the usage location is 'Other TS,' please provide an explanation in the Additional Info column.
- </t>
    </r>
    <r>
      <rPr>
        <sz val="11"/>
        <color rgb="FFFF0000"/>
        <rFont val="等线"/>
        <charset val="134"/>
        <scheme val="minor"/>
      </rPr>
      <t>Rows can be added to the table on this page.</t>
    </r>
  </si>
  <si>
    <t>`</t>
  </si>
  <si>
    <t>电芯之间 Between cells</t>
  </si>
  <si>
    <t>东莞市中振新能源科技</t>
  </si>
  <si>
    <t>UL3512</t>
  </si>
  <si>
    <t>电芯到AIR Between cells and AIR</t>
  </si>
  <si>
    <t>AIR到电池箱连接器 Between AIR and Acc Connector</t>
  </si>
  <si>
    <t>广东奥美格传导科技</t>
  </si>
  <si>
    <t>QBJP2-D/XLPO</t>
  </si>
  <si>
    <t>电池箱到电机控制器 Between Acc and Motor Controller</t>
  </si>
  <si>
    <t>电池箱到能量计Between Acc and Energy Meter</t>
  </si>
  <si>
    <t>能量计到电机控制器 Between Energy Meter and Motor Controller</t>
  </si>
  <si>
    <t>飞达科技有限公司</t>
  </si>
  <si>
    <t>UL1015</t>
  </si>
  <si>
    <t>TSMP采样线 TSMP detection wires</t>
  </si>
  <si>
    <t>TSAL采样线  TSAL detection wire</t>
  </si>
  <si>
    <t>胜牌电线电缆公司</t>
  </si>
  <si>
    <t>UL1330</t>
  </si>
  <si>
    <t>电芯单体采样线 Cell Volt Detection</t>
  </si>
  <si>
    <t>江苏宏基环电股份有限公司</t>
  </si>
  <si>
    <t>WDZ-DCEYJRP-125</t>
  </si>
  <si>
    <t>电机控制器到电机 Between Motor Controller and Motors</t>
  </si>
  <si>
    <t>电池箱到HVD Between ACC and HVD</t>
  </si>
  <si>
    <t>HVD到电机控制器, Between Motor Controller and HVD</t>
  </si>
  <si>
    <t>预充电回路 Precharge</t>
  </si>
  <si>
    <t>放电回路 Discharge</t>
  </si>
  <si>
    <t>SD-14400</t>
  </si>
  <si>
    <t>充电机DC侧 Charging DC side</t>
  </si>
  <si>
    <t>充电机AC侧 Charging AC side</t>
  </si>
  <si>
    <t>其他驱动系统 Other TS</t>
  </si>
  <si>
    <t>BMS总压采样线，分流器采样线，预充电压采样线，IMD采样线，高压指示器采样线</t>
  </si>
  <si>
    <t>深圳诺鑫特电子科技有限公司</t>
  </si>
  <si>
    <t>UL3239</t>
  </si>
  <si>
    <t>安全回路 Shutdown circuit</t>
  </si>
  <si>
    <t>上海明西实业有限公司</t>
  </si>
  <si>
    <t>ZC-RVV</t>
  </si>
  <si>
    <t>其他低压系统 Other LVS</t>
  </si>
  <si>
    <t>信号线，接地线</t>
  </si>
  <si>
    <t>功率器件电源线，如风扇、水泵等</t>
  </si>
  <si>
    <t>过流保护器件 Fuses</t>
  </si>
  <si>
    <t>额定电压Nominal Voltage [Vdc]</t>
  </si>
  <si>
    <t>额定分断电流 Interrupt (A)</t>
  </si>
  <si>
    <t>- 如果使用位置是'其他驱动系统’，请在注释列填写说明，且关于位置的表述必须和之前的导体段落文本完全一致
- 检查的项目包括但不限于
- 第五章 3.2
————
If the usage location is 'Other TS,' please provide an explanation in the Additional Info column. It must the same as the expression in the 'Conductor' part</t>
  </si>
  <si>
    <t>BUSSMANN</t>
  </si>
  <si>
    <t>Semiconductor Fuse FWP-150A</t>
  </si>
  <si>
    <t>主保险</t>
  </si>
  <si>
    <t>Littelfuse</t>
  </si>
  <si>
    <t>0297010</t>
  </si>
  <si>
    <t>029702010.pdf</t>
  </si>
  <si>
    <t>低压电池过流保护，TSAL，BSPD等电路板供电过流保护，电机控制器供电过流保护</t>
  </si>
  <si>
    <t>LittelFuse</t>
  </si>
  <si>
    <t>04853.15DR 3.15A 600V</t>
  </si>
  <si>
    <t>BMS总压采样线过流保护，分流器采样线过流保护，预充电压采样线过流保护，IMD采样线过流保护，高压指示器采样线</t>
  </si>
  <si>
    <t>0485001.DR 1A 600V</t>
  </si>
  <si>
    <t>0485002.DR 1A 600V</t>
  </si>
  <si>
    <t>西安中熔</t>
  </si>
  <si>
    <t>EV322-3EL-16A</t>
  </si>
  <si>
    <t>0505030mxep</t>
  </si>
  <si>
    <t>电阻器 Resistor</t>
  </si>
  <si>
    <r>
      <rPr>
        <sz val="11"/>
        <color theme="1"/>
        <rFont val="等线"/>
        <charset val="134"/>
        <scheme val="minor"/>
      </rPr>
      <t>电阻值 Resistance (</t>
    </r>
    <r>
      <rPr>
        <sz val="11"/>
        <color theme="1"/>
        <rFont val="等线"/>
        <charset val="134"/>
        <scheme val="minor"/>
      </rPr>
      <t>Ω</t>
    </r>
    <r>
      <rPr>
        <sz val="11"/>
        <color theme="1"/>
        <rFont val="等线"/>
        <charset val="134"/>
        <scheme val="minor"/>
      </rPr>
      <t>)</t>
    </r>
  </si>
  <si>
    <t>额定功率 Nominal Power (W)</t>
  </si>
  <si>
    <t xml:space="preserve">散热器参数 Heatsink  (°C/W) </t>
  </si>
  <si>
    <t>位置 Location</t>
  </si>
  <si>
    <t>- 电阻未使用散热片可填写’未使用‘，注意此处并不是要求填写所有使用的电阻，仅关注和驱动系统安全性相关的问题
————
If resistors are not using heat sinks, you can write 'Not used.' Note that this is not a requirement to list all resistors used, but only to focus on issues related to the safety of the TS system.</t>
  </si>
  <si>
    <t>TE Connectivity</t>
  </si>
  <si>
    <t>THS50R10J</t>
  </si>
  <si>
    <t>1250</t>
  </si>
  <si>
    <t>470</t>
  </si>
  <si>
    <t>50</t>
  </si>
  <si>
    <t>THS50R10J.pdf</t>
  </si>
  <si>
    <t>预充电路</t>
  </si>
  <si>
    <t>来福</t>
  </si>
  <si>
    <t>RX24-75W-R2 J</t>
  </si>
  <si>
    <t>RX24-50W-R2J.pdf</t>
  </si>
  <si>
    <t>放电回路</t>
  </si>
  <si>
    <t>睿思电阻</t>
  </si>
  <si>
    <t>EWWR0008J7K50T9</t>
  </si>
  <si>
    <t>EWWR0008J7K50T9.pdf</t>
  </si>
  <si>
    <t>其他-驱动系统</t>
  </si>
  <si>
    <t>TSMP身体保护电阻</t>
  </si>
  <si>
    <t>继电器/接触器/MOSFET Relay/Contactor/MOSFET</t>
  </si>
  <si>
    <t>额定电流  Nominal Current [A]</t>
  </si>
  <si>
    <t>常开/常闭 NO/NC</t>
  </si>
  <si>
    <t xml:space="preserve">-注意此处并不是要求填写所有使用的,而是驱动系统关键的继电器
- Note that this is not a requirement to list all used relays, but only the key relays of the TS.
</t>
  </si>
  <si>
    <t>KILOVAC</t>
  </si>
  <si>
    <t>KILOVAC EV200 Series Contactor With 1 Form X</t>
  </si>
  <si>
    <t>NO</t>
  </si>
  <si>
    <t>EV200 Main Air</t>
  </si>
  <si>
    <t>AIR</t>
  </si>
  <si>
    <t>浙江宏舟新能源科技</t>
  </si>
  <si>
    <t>HFZ16V-50P</t>
  </si>
  <si>
    <t>Pre-charging 9.HFZ16V-50P</t>
  </si>
  <si>
    <t>预充电继电器</t>
  </si>
  <si>
    <t>Standex-Meder Electronics</t>
  </si>
  <si>
    <t>HM24-1B83-02</t>
  </si>
  <si>
    <t>NC</t>
  </si>
  <si>
    <t>HM24-1B83-02.pdf</t>
  </si>
  <si>
    <t>放电继电器</t>
  </si>
  <si>
    <t>连接器/接插件 Connector</t>
  </si>
  <si>
    <r>
      <rPr>
        <sz val="11"/>
        <color theme="1"/>
        <rFont val="等线"/>
        <charset val="134"/>
        <scheme val="minor"/>
      </rPr>
      <t>导电面积 Size [mm</t>
    </r>
    <r>
      <rPr>
        <sz val="11"/>
        <color theme="1"/>
        <rFont val="等线"/>
        <charset val="134"/>
        <scheme val="minor"/>
      </rPr>
      <t>2]</t>
    </r>
  </si>
  <si>
    <t>- 注意HVD应当包括在此处
- HVD should be included here</t>
  </si>
  <si>
    <t>Amphenol</t>
  </si>
  <si>
    <t>C10-730186-200</t>
  </si>
  <si>
    <t>C10-730186-200.pdf</t>
  </si>
  <si>
    <t>维护插头</t>
  </si>
  <si>
    <t>MINIMSD-250A</t>
  </si>
  <si>
    <t>MINIMSD-250A.pdf</t>
  </si>
  <si>
    <t>HVD</t>
  </si>
  <si>
    <t>云祺新能源</t>
  </si>
  <si>
    <t>YQ-3X</t>
  </si>
  <si>
    <t>电机控制器到电机</t>
  </si>
  <si>
    <t>HVCXP80FS</t>
  </si>
  <si>
    <t>其他驱动系统位置</t>
  </si>
  <si>
    <t>电池箱进入高压盒输入插头；
高压盒输出插头</t>
  </si>
  <si>
    <t>UPC_P012ALS1/UPC_R012ALS1</t>
  </si>
  <si>
    <t>UPC_P012ALS1</t>
  </si>
  <si>
    <t>电池箱主接插件</t>
  </si>
  <si>
    <t>UPC_R012ALS1</t>
  </si>
  <si>
    <t>电机控制器壳体</t>
  </si>
  <si>
    <t>绝缘材料 Insulation</t>
  </si>
  <si>
    <t>厚度 Thickness [mm]</t>
  </si>
  <si>
    <t>介电强度 Dielectric strength [V/mm]</t>
  </si>
  <si>
    <t>绝缘电压等级 Insultation level [V]</t>
  </si>
  <si>
    <t>防火等级 Fireproof level</t>
  </si>
  <si>
    <t>注释 Comments</t>
  </si>
  <si>
    <t>- 如果有使用三防漆，应当包括在此处
- If conformal coating is used, it should be included here</t>
  </si>
  <si>
    <t>ITWFormex</t>
  </si>
  <si>
    <t>FORMEX GK-5BK</t>
  </si>
  <si>
    <t>VTM-0</t>
  </si>
  <si>
    <t>FORMEX GK-5BK.pdf</t>
  </si>
  <si>
    <t>电池箱内侧</t>
  </si>
  <si>
    <t>模组聚碳酸酯外壳隔板间绝缘</t>
  </si>
  <si>
    <t>3M</t>
  </si>
  <si>
    <t>7413D</t>
  </si>
  <si>
    <t>UL 94</t>
  </si>
  <si>
    <t>继电器，主保险丝，分流器元件极耳包覆绝缘</t>
  </si>
  <si>
    <t>苏州迪迈塑胶有限公司</t>
  </si>
  <si>
    <t>聚碳酸酯板</t>
  </si>
  <si>
    <t>电池箱内部板材</t>
  </si>
  <si>
    <t>poron</t>
  </si>
  <si>
    <t>4701-V0-M泡棉</t>
  </si>
  <si>
    <t>17-277 PORON 4701-V0-M Medium Data Sheet -CN</t>
  </si>
  <si>
    <t>电芯肩部</t>
  </si>
  <si>
    <t>保护极耳以免受到机械负载</t>
  </si>
  <si>
    <t xml:space="preserve">电池以外驱动系统原理图 Vehicle Tractive Schematics </t>
  </si>
  <si>
    <r>
      <rPr>
        <sz val="11"/>
        <color rgb="FF3F3F76"/>
        <rFont val="等线"/>
        <charset val="134"/>
        <scheme val="minor"/>
      </rPr>
      <t xml:space="preserve">电池箱内部原理图
</t>
    </r>
    <r>
      <rPr>
        <i/>
        <sz val="11"/>
        <color rgb="FF3F3F76"/>
        <rFont val="等线"/>
        <charset val="134"/>
        <scheme val="minor"/>
      </rPr>
      <t>请参考左图尺寸插入图片</t>
    </r>
    <r>
      <rPr>
        <sz val="11"/>
        <color rgb="FF3F3F76"/>
        <rFont val="等线"/>
        <charset val="134"/>
        <scheme val="minor"/>
      </rPr>
      <t xml:space="preserve">
Internal schematic diagram of the accumulator box
Please refer to the dimensions of the left diagram to insert the image.</t>
    </r>
  </si>
  <si>
    <t>补充内容 Additional comments</t>
  </si>
  <si>
    <t>Fill upon request 需要时填写</t>
  </si>
  <si>
    <t>电池箱内部原理图 Accumulator TS Schematic</t>
  </si>
  <si>
    <t xml:space="preserve">规则参考,Rule ref CN only, </t>
  </si>
  <si>
    <t>展示电池箱以外驱动系统所有细节 Show details of all TS outside of accumulator</t>
  </si>
  <si>
    <t>电池箱内部驱动系统细节 Details of all TS circuits within accumulator</t>
  </si>
  <si>
    <t>电池箱被作为一个整体呈现(AIR除外) Accumulator is shown as a single element (without internal details)</t>
  </si>
  <si>
    <t>所有的线径都有标注 All wire gauges labeled</t>
  </si>
  <si>
    <t>第五章 5.5.5</t>
  </si>
  <si>
    <t>所有的线径都有标注 All wire guages labeled</t>
  </si>
  <si>
    <t>所有的保险丝都有标注额定电流 All fuses are labeled with their ampacity</t>
  </si>
  <si>
    <t>所有的保险丝都有标注额定电流 All fuses labedled with ampacity</t>
  </si>
  <si>
    <r>
      <rPr>
        <sz val="11"/>
        <color theme="1"/>
        <rFont val="等线"/>
        <charset val="134"/>
        <scheme val="minor"/>
      </rPr>
      <t>保险丝距离电源侧线缆的距离(未保护线缆长度</t>
    </r>
    <r>
      <rPr>
        <sz val="11"/>
        <color theme="1"/>
        <rFont val="等线"/>
        <charset val="134"/>
        <scheme val="minor"/>
      </rPr>
      <t>）</t>
    </r>
    <r>
      <rPr>
        <sz val="11"/>
        <color theme="1"/>
        <rFont val="等线"/>
        <charset val="134"/>
        <scheme val="minor"/>
      </rPr>
      <t>Distance from fuses to positive power souces</t>
    </r>
  </si>
  <si>
    <t>保险丝位置应当对应其真实物理位置（壳体）Fuse locations represent physical location</t>
  </si>
  <si>
    <t>保险丝位置应当对应其真实物理位置 Fuse locations represent physical location</t>
  </si>
  <si>
    <t>第五章 5.2</t>
  </si>
  <si>
    <t>驱动系统壳体 TS enclosures</t>
  </si>
  <si>
    <t>接插件标注有制造商/型号 Connectors labeled with Make/Model</t>
  </si>
  <si>
    <t>使用通用的原理图符号 Standard schematic symbols used</t>
  </si>
  <si>
    <t>文字放大后清晰 All text iis readable, zooming allowed</t>
  </si>
  <si>
    <t>第五章 6.6</t>
  </si>
  <si>
    <t>AIRs</t>
  </si>
  <si>
    <t>第五章 5.7</t>
  </si>
  <si>
    <t>TSMPs</t>
  </si>
  <si>
    <t>第五章 6.4.4</t>
  </si>
  <si>
    <t>维护插头 Maintenance plugs</t>
  </si>
  <si>
    <t>电机控制器 Motor controllers</t>
  </si>
  <si>
    <t>电芯（电芯互联的部分可以简略）Cells (intercell connections may be abstracted)</t>
  </si>
  <si>
    <t>电机 Motors</t>
  </si>
  <si>
    <t>第五章6.4.8</t>
  </si>
  <si>
    <t>电池箱高压指示器 High voltage indicator</t>
  </si>
  <si>
    <t>第五章 5..7.6</t>
  </si>
  <si>
    <t>TSMP没有熔断 TSMP not fused</t>
  </si>
  <si>
    <t>第五章 6.7</t>
  </si>
  <si>
    <t>预充电回路 Precharge circuit</t>
  </si>
  <si>
    <t>第五章 5.6</t>
  </si>
  <si>
    <t>数据记录仪 Energy Meter/Data Logger</t>
  </si>
  <si>
    <t>预充电回路过流保护 precharge circuit overcurrent protections</t>
  </si>
  <si>
    <t>第五章 5.9</t>
  </si>
  <si>
    <t>放电回路 Discharge circuit</t>
  </si>
  <si>
    <t>第五章 5.9.3</t>
  </si>
  <si>
    <t>放电回路未熔断 Discharge not fused</t>
  </si>
  <si>
    <t>第五章 5.8</t>
  </si>
  <si>
    <t>至少在其中一副原理图中展示 Must shown on at least one schematic</t>
  </si>
  <si>
    <t>规则参考,Rule ref CN only,</t>
  </si>
  <si>
    <t>第五章 7.4</t>
  </si>
  <si>
    <t>IMD</t>
  </si>
  <si>
    <t>模组连接关系 Segment-to-Segment Connection</t>
  </si>
  <si>
    <t>串联 Serial</t>
  </si>
  <si>
    <t>驱动系统额定电压 Nominal TS voltage</t>
  </si>
  <si>
    <t>电池单体数量 Total cells</t>
  </si>
  <si>
    <t>模组数据 Segement data</t>
  </si>
  <si>
    <t>BMS</t>
  </si>
  <si>
    <t>维护插头 Maintenance Plugs</t>
  </si>
  <si>
    <t>绝缘材料 Insulating Materials</t>
  </si>
  <si>
    <t>自制PCB高低压隔离 High and low voltage isolation in PCB</t>
  </si>
  <si>
    <t>补充说明 Additional Comments</t>
  </si>
  <si>
    <t>电芯串并关系 Cell connection order</t>
  </si>
  <si>
    <t>先并后串 Parallel then serial</t>
  </si>
  <si>
    <t>BMS拓扑 BMS Type</t>
  </si>
  <si>
    <t>分布式 Distributed</t>
  </si>
  <si>
    <t>接插件/连接器 Connector</t>
  </si>
  <si>
    <t>电芯及电池箱内壁之间绝缘材料 Between cells and accumulator</t>
  </si>
  <si>
    <t>驱动系统电压范围 Drive system voltage range</t>
  </si>
  <si>
    <t>300V-600V</t>
  </si>
  <si>
    <t>展示所有同时包含高低压的PCB的爬电距离和电气间隙 Displays creepage and clearance distances for all PCBs containing both high and low voltage</t>
  </si>
  <si>
    <t>模组编号 Segement</t>
  </si>
  <si>
    <t>并联数 Parallel cells</t>
  </si>
  <si>
    <t>串联数 Serial cells</t>
  </si>
  <si>
    <t>温度测点数量 Temp sensors</t>
  </si>
  <si>
    <t>电池箱编号 Accumulator number</t>
  </si>
  <si>
    <t>模组最大电压 Max Voltage[V]</t>
  </si>
  <si>
    <t>模组能量 Segement energy [MJ]</t>
  </si>
  <si>
    <t>BMS来源 BMS source</t>
  </si>
  <si>
    <t>供应商提供 From Suppliers</t>
  </si>
  <si>
    <t>额定电流 Ampacity</t>
  </si>
  <si>
    <t>电压等级 Voltage Rating</t>
  </si>
  <si>
    <t>爬电距离计算值 Calculated creepage distance</t>
  </si>
  <si>
    <t>mm</t>
  </si>
  <si>
    <t>深圳市科列技术股份有限公司</t>
  </si>
  <si>
    <t>型号 Type</t>
  </si>
  <si>
    <t>BSUO5-48S20T-12V/24V-100K-I</t>
  </si>
  <si>
    <t>对应保险丝 Fuse provides protections</t>
  </si>
  <si>
    <t>温度等级 Temperature Rating</t>
  </si>
  <si>
    <t>电气间隙计算值 Calculated electrical clearance</t>
  </si>
  <si>
    <t>驱动系统到低压控制系统绝缘电压 Galvanic Isolation TS to LVS</t>
  </si>
  <si>
    <t>保险丝额定电流 Fuse ampacity</t>
  </si>
  <si>
    <t>电芯上方覆盖 On top of cells</t>
  </si>
  <si>
    <t>是否三防胶覆盖 If covered with conformal coating</t>
  </si>
  <si>
    <t>否</t>
  </si>
  <si>
    <t>模组间绝缘电压 Galvanic Isolation between segments</t>
  </si>
  <si>
    <t>隔离器件  Galvanic Isolation devices</t>
  </si>
  <si>
    <t>型号 Make/Model</t>
  </si>
  <si>
    <t>隔离器件说明书  Galvanic Isolation devices datasheets</t>
  </si>
  <si>
    <t>触点额定电压 Contactnoimal volatge</t>
  </si>
  <si>
    <t>Vdc</t>
  </si>
  <si>
    <t>AIR,主保险丝与电芯之间 Between AIRs and Cells</t>
  </si>
  <si>
    <t>电芯电压测量 Voltage Sense Leads</t>
  </si>
  <si>
    <t>最大分断电流 Max switching current</t>
  </si>
  <si>
    <t>最长采样线线缆长度 Max lead length</t>
  </si>
  <si>
    <t>cm</t>
  </si>
  <si>
    <t>额定电流 Max continuous current</t>
  </si>
  <si>
    <t>采样线过流保护器件型号 Sense lead overprotection device</t>
  </si>
  <si>
    <t>主保险丝 Main Fuse</t>
  </si>
  <si>
    <t>防火等级 Flammability Rating</t>
  </si>
  <si>
    <t>过流保护器件位置 Overcurrent protection device location</t>
  </si>
  <si>
    <t>BMS PCB</t>
  </si>
  <si>
    <t>其他位置说明</t>
  </si>
  <si>
    <t>额定电流 Max fuse ampacity</t>
  </si>
  <si>
    <t>过流保护电压等级 Overcurrent voltage rating</t>
  </si>
  <si>
    <t>额定电压 Main fuse voltage</t>
  </si>
  <si>
    <t>温度传感器</t>
  </si>
  <si>
    <t>温度传感器位置 Temp sensor location</t>
  </si>
  <si>
    <t>极耳 Cell tabs</t>
  </si>
  <si>
    <t xml:space="preserve">距离极耳距离 Distance to terminal </t>
  </si>
  <si>
    <t>单个测点测量的电芯数量 Cells sensed per sensor</t>
  </si>
  <si>
    <t>cells</t>
  </si>
  <si>
    <t>导热材料型号(如果有) Thermal contact material (if used)</t>
  </si>
  <si>
    <t>导热材料说明书链接 Thermal contact material datasheet</t>
  </si>
  <si>
    <t>导热材料热导率 Thermal contact material conductivity</t>
  </si>
  <si>
    <r>
      <rPr>
        <sz val="11"/>
        <color theme="1"/>
        <rFont val="等线"/>
        <charset val="134"/>
        <scheme val="minor"/>
      </rPr>
      <t>W/(m</t>
    </r>
    <r>
      <rPr>
        <sz val="11"/>
        <color theme="1"/>
        <rFont val="等线"/>
        <charset val="134"/>
        <scheme val="minor"/>
      </rPr>
      <t>∙K)</t>
    </r>
  </si>
  <si>
    <t>导热材料厚度 Thermal contact material thickness</t>
  </si>
  <si>
    <t>温度测量覆盖率 Precentage of cells sensed</t>
  </si>
  <si>
    <t>%</t>
  </si>
  <si>
    <t>维护插头示意图/照片 Pictures of Maintenance Plugs</t>
  </si>
  <si>
    <t>极耳连接以及电芯固定示意图/照片 Picture of Cell Connections</t>
  </si>
  <si>
    <t>温度传感器布置图 Picture of Temperature Sensor Location</t>
  </si>
  <si>
    <t>主保险丝和AIR和电芯分隔 Picture of Fuse and AIR Separation from cells</t>
  </si>
  <si>
    <t>电芯与电池箱内壁的绝缘 Picture of Segment Insulation between Cell Terminal and Sides of Accumulator Container</t>
  </si>
  <si>
    <t>模组上方绝缘 Picture of Insulation on Top of Segment</t>
  </si>
  <si>
    <t xml:space="preserve">模组绝缘 Segment Insulation </t>
  </si>
  <si>
    <t>模组上方绝缘 Insulation on Top of Segment</t>
  </si>
  <si>
    <t>防止误插 Unique configurations of plugs</t>
  </si>
  <si>
    <t>如果极耳采用紧固件压接，紧固件防松 Positive locking if bolted connections</t>
  </si>
  <si>
    <t>温度传感器直接接触极耳或者总线 Sensor in direct contact with terminal or busbar</t>
  </si>
  <si>
    <t>主保险丝和AIR和电芯分隔 Fuse and AIR Separation from cells</t>
  </si>
  <si>
    <t>电芯和电池箱内部绝缘 Insulation between cells and accumulator</t>
  </si>
  <si>
    <t>模组上方绝缘  Insulation on Top of Segment</t>
  </si>
  <si>
    <t>非载流面绝缘 Non-conductive on un-necessary surface</t>
  </si>
  <si>
    <t>极耳不受机械负载 No mechanic load on cell tabs</t>
  </si>
  <si>
    <t>未直接接触但足够近 Distance from sensor to cell negative terminal sufficienly close</t>
  </si>
  <si>
    <t>规则参考 Rules Ref</t>
  </si>
  <si>
    <t>安装不需要拆除电池箱部件  Accessible without additional desassembly</t>
  </si>
  <si>
    <t>电芯在各个方向有限位，且受力面没有过小 Positions limits on all directions, sufficient surface with load</t>
  </si>
  <si>
    <t>第五章 6.5.12</t>
  </si>
  <si>
    <t xml:space="preserve">第五章 6.4.1 6.5.8 </t>
  </si>
  <si>
    <t>第五章 6.4.6</t>
  </si>
  <si>
    <t>主动锁紧/防松 Postive locking</t>
  </si>
  <si>
    <t>电芯受力面应当占该表面的80% Surface with load: &gt;= 80%</t>
  </si>
  <si>
    <t>Recommended</t>
  </si>
  <si>
    <t>第五章 6.8.4</t>
  </si>
  <si>
    <t>第五章 6.4.4 6.4.5</t>
  </si>
  <si>
    <t>第五章 6.5.10</t>
  </si>
  <si>
    <t>电池箱高压指示器原理图 Accumulator HV indicator</t>
  </si>
  <si>
    <t>高压指示器来源 Indicator source</t>
  </si>
  <si>
    <t>供应商采购 From suppliers</t>
  </si>
  <si>
    <t>电压传感器绝缘电压  Galvanic Isolation (Vdc)</t>
  </si>
  <si>
    <t>电压传感器说明书超链接 Volatge sense device datasheet</t>
  </si>
  <si>
    <t>CHVS-ASV.pdf</t>
  </si>
  <si>
    <t>原理图清晰可读 Schematic clear and readable</t>
  </si>
  <si>
    <t>标注所有的驱动系统元器件（包括接插件）的型号和额定电压 All TS components Noimal Voltages</t>
  </si>
  <si>
    <t>隔离器件的说明书超链接 Datasheet of TS/LVS isolation datasee</t>
  </si>
  <si>
    <t>标注驱动系统电阻的额定功率(如果有) Noimal power of TS resistor (if exists)</t>
  </si>
  <si>
    <t>驱动系统电路保险丝型号 TS fuses</t>
  </si>
  <si>
    <t>如果阈值是固定的，给出计算过程（下方补充说明）If the threshold is fixed, give caculation below</t>
  </si>
  <si>
    <t>补充说明 Additional comments</t>
  </si>
  <si>
    <t>说明：如果没有备用电池箱或备用电池箱采用完全相同的设计，此页可忽略
Note: If there is no spare battery box or the spare battery box has the same design, this page can be ignored.</t>
  </si>
  <si>
    <t>驱动系统测量点 TSMP</t>
  </si>
  <si>
    <t>规则参考 Rules ref</t>
  </si>
  <si>
    <t>电阻型号 Resistor Type</t>
  </si>
  <si>
    <t>第五章 6.7
第五章 5.9
第五章 5.7</t>
  </si>
  <si>
    <t>并联数 # parallel</t>
  </si>
  <si>
    <t>串联数 # serial</t>
  </si>
  <si>
    <t>总阻值 Resistance</t>
  </si>
  <si>
    <t>Ohms</t>
  </si>
  <si>
    <t>额定功率 Cont power</t>
  </si>
  <si>
    <t>W</t>
  </si>
  <si>
    <t>瞬时持续功率(5s) Power @ 5s</t>
  </si>
  <si>
    <t>额定电压 Rated Voltage</t>
  </si>
  <si>
    <t>放电峰值功率 Peak Power</t>
  </si>
  <si>
    <t>短路功率 Power if short circuit</t>
  </si>
  <si>
    <t>总线电容 Bus Capacitance</t>
  </si>
  <si>
    <t>mF</t>
  </si>
  <si>
    <t>放电峰值电流 Peak Current</t>
  </si>
  <si>
    <t>充电截止条件 End of precharge</t>
  </si>
  <si>
    <t>放电时间 Discharge time</t>
  </si>
  <si>
    <t>s</t>
  </si>
  <si>
    <t>峰值功率 Peak Power</t>
  </si>
  <si>
    <t>放电继电器 Relay</t>
  </si>
  <si>
    <t>峰值电流 Peak Current</t>
  </si>
  <si>
    <t>继电器触点额定电压  Contacts rated volatge</t>
  </si>
  <si>
    <t>充电到95% Time to 95%</t>
  </si>
  <si>
    <t>sec</t>
  </si>
  <si>
    <t>继电器触点额定电流 Contact rated current</t>
  </si>
  <si>
    <t>预充电能量95% Energy on res to 95%</t>
  </si>
  <si>
    <t>J</t>
  </si>
  <si>
    <t>继电器断电状态 Normal State</t>
  </si>
  <si>
    <t>平均功率 average power</t>
  </si>
  <si>
    <t>预充电继电器 Relay</t>
  </si>
  <si>
    <t>继电器触点额定电压 Contacts rated volatge</t>
  </si>
  <si>
    <t>充电机 Charger</t>
  </si>
  <si>
    <t>补充说明 Additioanl Comments</t>
  </si>
  <si>
    <t>长春浩泰科技有限公司</t>
  </si>
  <si>
    <t>EP-2308L-600</t>
  </si>
  <si>
    <t>说明书超链接 Datasheet link</t>
  </si>
  <si>
    <t>EP-2308L-600.pdf</t>
  </si>
  <si>
    <t>输入电压(市电或工业电) Input Voltage</t>
  </si>
  <si>
    <t>Vac</t>
  </si>
  <si>
    <t>输入电流 Input Current</t>
  </si>
  <si>
    <t>输出电压(定值或范围) Output Voltage</t>
  </si>
  <si>
    <t>325~650</t>
  </si>
  <si>
    <t>输出电流 Output Current</t>
  </si>
  <si>
    <t>0~6</t>
  </si>
  <si>
    <t>充电机额定功率 Rated Power</t>
  </si>
  <si>
    <t>kW</t>
  </si>
  <si>
    <t>充电安全回路 Charging Shutdown Circuit</t>
  </si>
  <si>
    <t>电池箱小推车 Accumulator Handcart</t>
  </si>
  <si>
    <t>充电驱动系统回路 Charging Tractive System Schematic</t>
  </si>
  <si>
    <t>主保险丝（直流） Main Fuse on DC bus</t>
  </si>
  <si>
    <t>IMD控制的继电器 IMD Controlled powerstage</t>
  </si>
  <si>
    <t>第五章 9.4.6</t>
  </si>
  <si>
    <t>垂直防火墙及高度要求满足 Firewall Height and coverage</t>
  </si>
  <si>
    <t>接插件及制造商/型号 Connector with Make/Type</t>
  </si>
  <si>
    <t>AMS控制的继电器 AMS Controlled powerstage</t>
  </si>
  <si>
    <t>第五章 9.4.8</t>
  </si>
  <si>
    <t>防冲击措施 Anti-shock</t>
  </si>
  <si>
    <t>标注线径 Wire Gauge</t>
  </si>
  <si>
    <t>充电急停开关 Shutdown buttons</t>
  </si>
  <si>
    <t>AIRs线圈 AIRs coils</t>
  </si>
  <si>
    <t>经测量，防火墙垂直高度为73cm，防火墙制作符合要求；
小推车上有电池箱固定孔位，用带橡胶垫块的螺栓螺母固定能起到限位缓冲作用，发泡在电池箱震动时会被压紧，也能起到缓震效果。</t>
  </si>
  <si>
    <t>充电接插件互锁 Interlock of charging connector</t>
  </si>
  <si>
    <t>充电安全的其他控制继电器(安全回路以外) Other powerstages</t>
  </si>
  <si>
    <t>BSPD</t>
  </si>
  <si>
    <t>第五章 7.5</t>
  </si>
  <si>
    <t>Bender IR155-3204</t>
  </si>
  <si>
    <t>电流传感器型号 Current Sensor Type</t>
  </si>
  <si>
    <t>BSQ06CT</t>
  </si>
  <si>
    <t>触发阈值 Threshold</t>
  </si>
  <si>
    <t>kΩ</t>
  </si>
  <si>
    <t xml:space="preserve">电流传感器说明书链接 Current Sensor datasheet </t>
  </si>
  <si>
    <t>接地线1接地位置 Location of grounding measurement 1</t>
  </si>
  <si>
    <t>电池箱</t>
  </si>
  <si>
    <t>设定阈值电流(驱动系统) Trip Current (TS)</t>
  </si>
  <si>
    <t>接地线2接地位置 Location of grounding measurement 2</t>
  </si>
  <si>
    <t>主环</t>
  </si>
  <si>
    <t>传感器输出@阈值电流 Sensor Output@Trip current</t>
  </si>
  <si>
    <t>驱动系统测点物理位置</t>
  </si>
  <si>
    <t>左侧面板下方</t>
  </si>
  <si>
    <t>传感器测量精度@阈值电流 Accuracy@Trip current</t>
  </si>
  <si>
    <t>TSAL</t>
  </si>
  <si>
    <t>TSAL测量点分布</t>
  </si>
  <si>
    <t>TSAL红灯-电压测量原理图
采购传感器无需填写
允许利用右侧补充说明-1附上不便于单幅展示的原理图（比如存在多个电机控制器壳体）
TSAL Red - Schematic on voltage measurement
N/A if use purchased sensor
Fill the cell on the right Additional comment-1 for multi-page schematics (mutiple motor controller enclosure for example)</t>
  </si>
  <si>
    <t>安全回路原理图 Shutdown Circuit Schematic</t>
  </si>
  <si>
    <t>BSPD原理图 BSPD schematic</t>
  </si>
  <si>
    <t>TSAL - 分布 TSAL component distribuition</t>
  </si>
  <si>
    <t>TSAL红灯部分电路 TSAL circuit on Red Lights</t>
  </si>
  <si>
    <t>补充说明-2 additional comment 2</t>
  </si>
  <si>
    <t>规则参考</t>
  </si>
  <si>
    <t>继电器检测电路必须位于电池箱内部,禁止将辅助触点/电压测量线引出
TSAL relay status detecion must be within the Accumulator, aux contacts/aux volatge not wiring out</t>
  </si>
  <si>
    <t>电压检测器件来源 Source of voltage sensors</t>
  </si>
  <si>
    <t>供应商 purchased</t>
  </si>
  <si>
    <t>TSAL锁存逻辑：不符合TSAL绿灯发光的条件时，GREEN_SCS_NORMAL输出低电平，使电压比较器输出低电平，此时即使符合TSAL绿灯发光的条件，TSAL绿灯也不发光，实现锁存，仅能通过重新上电进行重置。
BMS/IMD锁存逻辑：刚上电时，在电容C7作用下电压比较器7.4输出低电平，PMOS4,PMOS5导通，BMS_RESET及IMD_RESET输出高电平，若此时BMS,IMD信号正常，继电器常开触点闭合，安全回路导通，继电器线圈由3脚的+5V供电。若信号不正常，则NMOS馆截止，线圈断电，继电器常开触点断开，安全回路断开，此时线圈+5V供电断开，即使BMS,IMD信号恢复正常，安全回路也不能闭合，仅能通过按下复位按钮或重新上电重置。实现锁存</t>
  </si>
  <si>
    <t>第五章 7.2.2</t>
  </si>
  <si>
    <t>LVMS</t>
  </si>
  <si>
    <t>BSPD电流传感器输入短路/短路保护 BSPD Current Sensor input open/short protection</t>
  </si>
  <si>
    <t>注明各个部分位于的实际壳体及系统 Physical locations of all TS components enclosures</t>
  </si>
  <si>
    <t>电压传感器绝缘电压 Galvanic Isolation level (V)</t>
  </si>
  <si>
    <t>第五章 7.2.3</t>
  </si>
  <si>
    <t>TSMS</t>
  </si>
  <si>
    <t>BSPD制动传感器输入短路/短路保护 BSPD Brake Sensor input open/short protection</t>
  </si>
  <si>
    <t>壳体外信号线注明信号类型(数字,模拟) The type of signal outside enclosures (digital , analog)</t>
  </si>
  <si>
    <t>电压传感器说明书超链接 Sensor datasheet</t>
  </si>
  <si>
    <t>https://r19cgtnv907.feishu.cn/wiki/BAo2w0gT6ivWtAkpGjYcS1fYneb</t>
  </si>
  <si>
    <t>第五章 7.3.3</t>
  </si>
  <si>
    <t>2x侧面急停 2x shutdown buttons on both sides</t>
  </si>
  <si>
    <t xml:space="preserve">自动复位计时部分符合规则要求 Auto-reset timer settings </t>
  </si>
  <si>
    <t>注明锁存逻辑的位置 Position of the latching logic</t>
  </si>
  <si>
    <t>原理图清晰可读 Schematic readable</t>
  </si>
  <si>
    <t>第五章 7.3.4</t>
  </si>
  <si>
    <t>驾驶舱急停 Cockpit shutdown button</t>
  </si>
  <si>
    <t>安全回路继电器 Shutdown circuit powerstage</t>
  </si>
  <si>
    <t>禁止在壳体外出现无过流保护的驱动系统采样线段落（注明保险丝的物理位置）No TS volatge detection wires outside enclosures if not protected by fuses</t>
  </si>
  <si>
    <t>标注所有的驱动系统元器件（包括接插件)的型号和额定电压 Type and rated volatge of all TS components</t>
  </si>
  <si>
    <t>第二章 7.3</t>
  </si>
  <si>
    <t>制动超程开关 Brake Over Travel Switch (BOTS)</t>
  </si>
  <si>
    <t>隔离器件的说明书超链接 Datasheet of galvanic devices</t>
  </si>
  <si>
    <t>https://r19cgtnv907.feishu.cn/file/W5wtbgKmiox83Wx7j1nc8BtmnVc</t>
  </si>
  <si>
    <t>第二章 12.5</t>
  </si>
  <si>
    <t>惯性开关 Inertia Switch</t>
  </si>
  <si>
    <t xml:space="preserve">电流传感器短路或制动传感器对电源短路则输入信号高于4.77V，电压比较器1D或1E断开，场效应管截止，继电器断开，安全回路断开。电流传感器短路或制动传感器对地短路则输入信号低于0.23V，电压比较器1B或1C断开，场效应管截止，继电器断开，安全回路断开。
当不可信信号出现时，根据电路的零状态响应，在电容C1或C2的放电过程中，时间常数为0.022，需要15.25ms以达到0.5Vcc，从而使安全回路断开，符合规则中要求的500ms.
</t>
  </si>
  <si>
    <t>第五章 5.10.4</t>
  </si>
  <si>
    <t>标注驱动系统电阻的额定功率(如果有) Rated power of TS resistors, if used</t>
  </si>
  <si>
    <t>第五章 7.1.6</t>
  </si>
  <si>
    <t>电池管理系统控制的继电器 AMS controlled powerstage</t>
  </si>
  <si>
    <t>驱动系统电路保险丝型号 Type of TS fuses</t>
  </si>
  <si>
    <t>IMD控制的继电器 IMD controlled powerstage</t>
  </si>
  <si>
    <t>保险丝额定电压 Rated Voltage of the fuse</t>
  </si>
  <si>
    <t>如果阈值是固定的，给出计算过程（右侧补充说明-2）IF volatge threshold is not adjustable, please give the cacualtion on additional comment -2</t>
  </si>
  <si>
    <t>第五章 5.5.10</t>
  </si>
  <si>
    <t>HVD互锁 HVD Interlock</t>
  </si>
  <si>
    <t>电压检测结果之间不存在任何可靠性检查 No plausibility check among volatage detections</t>
  </si>
  <si>
    <t>第五章 7.1.9</t>
  </si>
  <si>
    <t>IMD, AMS, BSPD的继电器是相互独立的 IMD,AMS and BSPD have independent powerstages</t>
  </si>
  <si>
    <t>闪烁频率设定电路 Flashing frequency settings</t>
  </si>
  <si>
    <t>第五章 5.4.3</t>
  </si>
  <si>
    <t>轮边互锁 Outboard wheel motor interlocks (if exists)</t>
  </si>
  <si>
    <t>TSAL - 总体要求 General</t>
  </si>
  <si>
    <t>第二章 12.7</t>
  </si>
  <si>
    <t>低压电池 LVS battery</t>
  </si>
  <si>
    <t>所有的原理图合并后需要满足下述要求 The schematics jointly shows</t>
  </si>
  <si>
    <t>TSAL绿灯-电压检测及继电器状态检测
TSAL Green - Volatge detection and relay status detections</t>
  </si>
  <si>
    <t>TSAL通用-锁存逻辑
TSAL general - latching logic</t>
  </si>
  <si>
    <t>低压系统保险丝 LVS fuse</t>
  </si>
  <si>
    <t>所有逻辑实现必须是不可编程的纯硬件电路 Non-programmable logic based on hardwares</t>
  </si>
  <si>
    <t>标注线径 Wiring gauge</t>
  </si>
  <si>
    <t>绿灯和红灯必须可以同时亮起（禁止电路存在二元选择的逻辑）</t>
  </si>
  <si>
    <t>第五章 6.7.3</t>
  </si>
  <si>
    <t>预充电继电器 Precharge relay coil</t>
  </si>
  <si>
    <t>第五章 7.1.3</t>
  </si>
  <si>
    <t>主正线圈 AIR+ coil</t>
  </si>
  <si>
    <t>主负线圈 AIR- coil</t>
  </si>
  <si>
    <t>TSAL - 真值表自查 Truth Table</t>
  </si>
  <si>
    <t>放电继电器线圈 Discharge relay coil</t>
  </si>
  <si>
    <t>请根据车队的设计填写TSAL的状态，在LVS供电的情况下 Based on TSAL design, with LVS power on</t>
  </si>
  <si>
    <t>第五章 7.1.4</t>
  </si>
  <si>
    <t>TSMS是最后一个开关(互锁除外) TSMS is the last switch (except for interlocks)</t>
  </si>
  <si>
    <t>场景 Scenerios</t>
  </si>
  <si>
    <t>绿灯 Green</t>
  </si>
  <si>
    <t>红灯 Red</t>
  </si>
  <si>
    <t>LVMS是第一个开关 LVMS is the first switch</t>
  </si>
  <si>
    <t>HVD移除就进行上电，预充电开始 Start Precharge without HVD on</t>
  </si>
  <si>
    <t>熄灭 OFF</t>
  </si>
  <si>
    <t>使用通用的原理图符号 Proper electrical schematic symbols</t>
  </si>
  <si>
    <t>绿灯电压检测线开路，但是未开始进行上电操作 Green light voltage detection open, but not activite TS</t>
  </si>
  <si>
    <t>常亮 ON</t>
  </si>
  <si>
    <t>图片高清 Readable with zooming</t>
  </si>
  <si>
    <t>从高压壳体中引出，传输测量结果的低压线开路，但是未开始上电 LVS signal presenting status from TS enclosres open,  but not activite TS</t>
  </si>
  <si>
    <t>第五章 5.11.2</t>
  </si>
  <si>
    <t>闭合任何一个开关都不能（再）激活驱动系统 Closing any switch will not (re)activate TS</t>
  </si>
  <si>
    <t>未上电时，由于快速推动车辆，电机控制器出现了超过60V的浪涌电压 When AIRs are open there are &gt;60V volatge on motor controllers because of pushing the car too fast</t>
  </si>
  <si>
    <t>闪烁 Flashing</t>
  </si>
  <si>
    <t>高压壳体外的高压接插件互锁 Interlocks on TS connectors outside of an enclosure</t>
  </si>
  <si>
    <t>电机控制器内高压检测线开路，开始上电 Activate TS when voltage detection in Motor controller open</t>
  </si>
  <si>
    <t>·未上电时，传输绿灯状态的低压SCS信号出现短路或者开路 When AIRs are open, the LVS SCS signal with green light information is short or open</t>
  </si>
  <si>
    <t>第五章 7.1</t>
  </si>
  <si>
    <t>轮边电机互锁保护 Interlocks of outboard motor</t>
  </si>
  <si>
    <t>AMS/IMD控制的继电器的锁存原理图 AMS/IMD controlled powerstage latching schematics</t>
  </si>
  <si>
    <t>TSAL继电器状态检测电路和绿灯逻辑 TSAL green light - status detections and logic</t>
  </si>
  <si>
    <t>TSAL锁存逻辑 TSAL latching logic</t>
  </si>
  <si>
    <t>AIRs继电器真实状态测量方式 Method of AIR status detections</t>
  </si>
  <si>
    <t>辅助触点 Auxiliary Contacts</t>
  </si>
  <si>
    <t>TSAL绿灯部分存在锁存逻辑 TSALgreen light latch logic</t>
  </si>
  <si>
    <t>AIR型号 AIR Type</t>
  </si>
  <si>
    <r>
      <rPr>
        <sz val="11"/>
        <color theme="1"/>
        <rFont val="等线"/>
        <charset val="134"/>
        <scheme val="minor"/>
      </rPr>
      <t>TSAL红灯部分</t>
    </r>
    <r>
      <rPr>
        <b/>
        <sz val="11"/>
        <color theme="1"/>
        <rFont val="等线"/>
        <charset val="134"/>
        <scheme val="minor"/>
      </rPr>
      <t>不</t>
    </r>
    <r>
      <rPr>
        <sz val="11"/>
        <color theme="1"/>
        <rFont val="等线"/>
        <charset val="134"/>
        <scheme val="minor"/>
      </rPr>
      <t>存在锁存逻辑 No TSAL red light latch logic</t>
    </r>
  </si>
  <si>
    <t>AIR说明书超连接 AIR Datasheet Hyperlink</t>
  </si>
  <si>
    <t>锁存仅能通过重新上电进行重置 Reset by powercycle only</t>
  </si>
  <si>
    <t>辅助触点存在 Auxiliary Contacts exist</t>
  </si>
  <si>
    <t>预充电继电器真实状态测量方式 Method of Precharge relay status detections</t>
  </si>
  <si>
    <t>预充电继电器型号 Precharge relay type</t>
  </si>
  <si>
    <t>预充电继电器说明书超连接 Precharge relay datasheet</t>
  </si>
  <si>
    <t>其他测量原理展示明确 Methods (Others) clearly shown</t>
  </si>
  <si>
    <t>所有驱动系统器件型号，额定电压均有标注，电阻元器件额定功率有标注
Type and rated volatge of all TS components, rated power with TS resistors</t>
  </si>
  <si>
    <t>存在AIR的闭合意图检测 Detections of AIR intentions</t>
  </si>
  <si>
    <t>存在继电器闭合意图和实际状态的可靠性检查，不可靠将导致绿灯熄灭
 Plausibility check between intentions and actual status, which turn off the green light when inplausible</t>
  </si>
  <si>
    <t>车队自制原理 Team design</t>
  </si>
  <si>
    <t>电压传感器绝缘电压(V)  Galvanic Isolation level</t>
  </si>
  <si>
    <t>https://r19cgtnv907.feishu.cn/file/BOy3b4aOxo94bjxbTT0cZNABnPf</t>
  </si>
  <si>
    <t>标注驱动系统电阻的额定功率(如果有) Rated Power of all TS resistors if used</t>
  </si>
  <si>
    <t>使用轮边电机？ If outboard motors are used</t>
  </si>
  <si>
    <t>互锁线沿悬架布置(其中一根杆即可）Interlock wiring alongside with one of the suspension bars</t>
  </si>
  <si>
    <t>第五章 7.1.6 7.1.7 7.1.9 7.1.10, 7.1.11</t>
  </si>
  <si>
    <t>继电器触点为常开 Powerstage status is open when no power</t>
  </si>
  <si>
    <t>互锁线沿驱动系统线缆布置 Interlock wiring alongside with TS wires</t>
  </si>
  <si>
    <t>锁存原理明确 Latch methods clear</t>
  </si>
  <si>
    <t>电压测量部分，如果阈值是固定的，给出计算过程（右侧补充说明-2） IF volatge threshold is not adjustable, please give the cacualtion on additional comment -2</t>
  </si>
  <si>
    <t>复位方式说明明确 Reset methods clear</t>
  </si>
  <si>
    <t>存在继电器闭合意图和测量电压的可靠性检查，不可靠将导致绿灯熄灭  Plausibility check between intentions and actual TS voltage , which turn off the green light when inplausible</t>
  </si>
  <si>
    <t>状态 status</t>
  </si>
  <si>
    <t>APPS传感器输出类型 Type of APPS sensor output</t>
  </si>
  <si>
    <t>模拟 analog</t>
  </si>
  <si>
    <t>影响扭矩输出路径检查 Torque Control Path Security Checks</t>
  </si>
  <si>
    <t>APPS传感器说明书超连接 APPS datasheet</t>
  </si>
  <si>
    <t>https://icno65tcla9u.feishu.cn/file/AzNsbMSrFoSWYrxiF4vc5Qx7nvb</t>
  </si>
  <si>
    <t>APPS 传感器传递函数 APPS transfer function</t>
  </si>
  <si>
    <t>起点 Source device</t>
  </si>
  <si>
    <t>终点 Destination device</t>
  </si>
  <si>
    <t>通讯方式
communication</t>
  </si>
  <si>
    <t>冗余保护
Redundant</t>
  </si>
  <si>
    <t>超程保护
Out of range</t>
  </si>
  <si>
    <t>相关性保护
Correlation</t>
  </si>
  <si>
    <t>校验和
Checksum</t>
  </si>
  <si>
    <t>超时保护
Timeout</t>
  </si>
  <si>
    <t>其他
Other</t>
  </si>
  <si>
    <t>补充说明 Additional comment</t>
  </si>
  <si>
    <t>第二章 12.8.6</t>
  </si>
  <si>
    <t>传感器行程 Sensor travel</t>
  </si>
  <si>
    <t>APPS1输出Output [V]</t>
  </si>
  <si>
    <t>APPS2输出 Output[V]</t>
  </si>
  <si>
    <t>APPS</t>
  </si>
  <si>
    <t>整车控制器节点(VCU)</t>
  </si>
  <si>
    <t>模拟</t>
  </si>
  <si>
    <t>TRUR</t>
  </si>
  <si>
    <t>电机控制器(MCU)</t>
  </si>
  <si>
    <t>数字</t>
  </si>
  <si>
    <t>除0%行程处以外，禁止传递函数相交 No crossing except at 0%</t>
  </si>
  <si>
    <t>电机控制器 Motor Controller</t>
  </si>
  <si>
    <t>AMK</t>
  </si>
  <si>
    <t>KW26-S5-FSE-4Q</t>
  </si>
  <si>
    <t>DD5-14-10-POW-18600-B5 Formula Student</t>
  </si>
  <si>
    <t>说明书超连接 Datasheet</t>
  </si>
  <si>
    <t>amk</t>
  </si>
  <si>
    <t>说明书超链接 Datasheet hyperlink</t>
  </si>
  <si>
    <t>motor_data_sheet_a2370dd_dd5.pdf</t>
  </si>
  <si>
    <t>高低压系统绝缘电压  Galvanic Isolation voltage</t>
  </si>
  <si>
    <t xml:space="preserve"> </t>
  </si>
  <si>
    <t>低压电池 LVS Battery</t>
  </si>
  <si>
    <t>能量计安装位置CAD/渲染图 Energy Meter Location</t>
  </si>
  <si>
    <t>HVD位置及与包络面的关系 HVD location and its relations with the envelop</t>
  </si>
  <si>
    <t>低压电池位置CAD/渲染图  LVS Battery Location</t>
  </si>
  <si>
    <t>低压电池组温度采样触点位置 Location of LVS battery temperature measurement</t>
  </si>
  <si>
    <t>HVD安装位置CAD/渲染图 HVD Location CAD/renderings</t>
  </si>
  <si>
    <t>锂电池低压电池电芯电压温度采样</t>
  </si>
  <si>
    <t>能量计位置 Location of Energy Meter</t>
  </si>
  <si>
    <t>HVD位于包络面内 HVD inside rollover envelop</t>
  </si>
  <si>
    <t>低压电池布置位置符合规则要求 Location Rules complicant</t>
  </si>
  <si>
    <t>低压电池管理系统来源  LVS BMS source</t>
  </si>
  <si>
    <t>补充说明 Additional Comment</t>
  </si>
  <si>
    <t>HVD和空接插件外观不同 HVD and dummy connector appearance not same</t>
  </si>
  <si>
    <t>低压电池说明 LVS Battery</t>
  </si>
  <si>
    <t>低压电池管理系统型号 BMS Type number</t>
  </si>
  <si>
    <t>低压电池制造方式 Source of LVS Battery</t>
  </si>
  <si>
    <t>供应商提供 Supplier</t>
  </si>
  <si>
    <t>低压电池管理系统说明书超链接 Datasheet hyperlink</t>
  </si>
  <si>
    <t>电池电芯化学类型 Chemical type of cells</t>
  </si>
  <si>
    <t>磷酸铁锂 LiFePO4</t>
  </si>
  <si>
    <t>在右侧补充内容附上足够清晰的原理图 Schematics on the right additional comments</t>
  </si>
  <si>
    <t>电芯/电池说明书超连接 Cell datasheet hyperlink</t>
  </si>
  <si>
    <t>32700-6000mAh</t>
  </si>
  <si>
    <t>能够至少断开低压电池一极 Able disconnect one of the pole of the battery</t>
  </si>
  <si>
    <t>串联数 # of serial</t>
  </si>
  <si>
    <t>温度采样点数量占比 Cells measured by temp sensors [%]</t>
  </si>
  <si>
    <t>并联数 # of parallel</t>
  </si>
  <si>
    <t>电压采样点数量占比 Cells measured by voltage sensors [%]</t>
  </si>
  <si>
    <t xml:space="preserve">电芯单体最大电压 Max cell voltage [V] </t>
  </si>
  <si>
    <t>上位机通讯展示 Communication with an host interface</t>
  </si>
  <si>
    <t>电芯单体额定电压 Noimal cell voltage [V]</t>
  </si>
  <si>
    <t>电芯单体最大工作温度 Max cell operation temperature  [C]</t>
  </si>
  <si>
    <t>LVS最大电压 LVS battery pack max voltage [V]</t>
  </si>
  <si>
    <t>表-1 基本部件接地要求 Grounding of primary parts</t>
  </si>
  <si>
    <t>表-2 所有驱动系统10cm以内的碳纤维部件（在表-1中未体现）All carbon fiber parts with in 10cm of TS (not listed in table-1)</t>
  </si>
  <si>
    <t>所有驱动系统壳体（在表-1及表-2中未体现）All TS enclosure (not listed in table 1 and 2)</t>
  </si>
  <si>
    <t>位置 Parts</t>
  </si>
  <si>
    <t>材料类型 Type of Materials</t>
  </si>
  <si>
    <t>接地点说明图片 Grounding Point picture</t>
  </si>
  <si>
    <t>承受电流强度 Ampacity [A]</t>
  </si>
  <si>
    <t>位置</t>
  </si>
  <si>
    <t>材料</t>
  </si>
  <si>
    <t>接地点说明图片</t>
  </si>
  <si>
    <t>主环 Main hoop</t>
  </si>
  <si>
    <t>导电 Conductive</t>
  </si>
  <si>
    <t>侧面板</t>
  </si>
  <si>
    <t>控制器</t>
  </si>
  <si>
    <t>车架/单体壳 Chassis</t>
  </si>
  <si>
    <t>可能导电 Maybe conductive</t>
  </si>
  <si>
    <t>请将图片控制在此单元格范围内，并在单元格内填写TRUE
Place the picture in this cell, and replace texts in this cell as 'True'</t>
  </si>
  <si>
    <t>高压盒</t>
  </si>
  <si>
    <t>绝缘 Isolated</t>
  </si>
  <si>
    <t>N/A</t>
  </si>
  <si>
    <t>安全带安装点 Harness Mounting points</t>
  </si>
  <si>
    <t>如果不是”导电”材料，本格留空
N/A if not conductive</t>
  </si>
  <si>
    <t>防火墙安装点 Firewall Mounting points</t>
  </si>
  <si>
    <t>防火墙 Firewall</t>
  </si>
  <si>
    <t>前悬架（左右）Front Suspensions (Left and right)</t>
  </si>
  <si>
    <t>后悬架（左右）
Rear Suspensions (Left and right)</t>
  </si>
  <si>
    <t>电池箱通讯接插件
Accunulator communication connector</t>
  </si>
  <si>
    <t>修订历史</t>
  </si>
  <si>
    <t>说明</t>
  </si>
  <si>
    <t>规则版本</t>
  </si>
  <si>
    <t>日期</t>
  </si>
  <si>
    <t>v1.0</t>
  </si>
  <si>
    <t>首次发布</t>
  </si>
  <si>
    <t>2023 答题修订版</t>
  </si>
  <si>
    <t>v1.1</t>
  </si>
  <si>
    <t>发布版本 1.1</t>
  </si>
  <si>
    <t>2024 答题修订版</t>
  </si>
  <si>
    <t>v2.0</t>
  </si>
  <si>
    <t>2024双语版本</t>
  </si>
  <si>
    <t>2024规则</t>
  </si>
  <si>
    <t>v2.1</t>
  </si>
  <si>
    <t>适配规则</t>
  </si>
  <si>
    <t>2025规则</t>
  </si>
  <si>
    <t>踏板到VCU的模拟信号</t>
    <phoneticPr fontId="14" type="noConversion"/>
  </si>
  <si>
    <t>VCU到电机控制器的CAN信号，其他保护包括：CAN信号线路中存在位检测、填充检测、CRC检测、ACK检测等其他保护方式</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</si>
</sst>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
  </numFmts>
  <fonts count="16" x14ac:knownFonts="1">
    <font>
      <sz val="11"/>
      <color theme="1"/>
      <name val="等线"/>
      <charset val="134"/>
      <scheme val="minor"/>
    </font>
    <font>
      <b/>
      <sz val="11"/>
      <color theme="1"/>
      <name val="等线"/>
      <charset val="134"/>
      <scheme val="minor"/>
    </font>
    <font>
      <i/>
      <sz val="11"/>
      <color rgb="FF3F3F76"/>
      <name val="等线"/>
      <charset val="134"/>
      <scheme val="minor"/>
    </font>
    <font>
      <sz val="11"/>
      <color rgb="FF3F3F76"/>
      <name val="等线"/>
      <charset val="134"/>
      <scheme val="minor"/>
    </font>
    <font>
      <b/>
      <sz val="11"/>
      <color rgb="FFFA7D00"/>
      <name val="等线"/>
      <charset val="134"/>
      <scheme val="minor"/>
    </font>
    <font>
      <u/>
      <sz val="11"/>
      <color theme="10"/>
      <name val="等线"/>
      <charset val="134"/>
      <scheme val="minor"/>
    </font>
    <font>
      <sz val="11"/>
      <color rgb="FFFF0000"/>
      <name val="等线"/>
      <charset val="134"/>
      <scheme val="minor"/>
    </font>
    <font>
      <b/>
      <sz val="11"/>
      <color theme="1"/>
      <name val="等线"/>
      <charset val="134"/>
      <scheme val="minor"/>
    </font>
    <font>
      <u/>
      <sz val="11"/>
      <color rgb="FF3F3F76"/>
      <name val="等线"/>
      <charset val="134"/>
      <scheme val="minor"/>
    </font>
    <font>
      <sz val="11"/>
      <name val="等线"/>
      <charset val="134"/>
      <scheme val="minor"/>
    </font>
    <font>
      <sz val="11"/>
      <color theme="1"/>
      <name val="等线"/>
      <charset val="134"/>
      <scheme val="minor"/>
    </font>
    <font>
      <u/>
      <sz val="11"/>
      <color theme="10"/>
      <name val="等线"/>
      <charset val="134"/>
      <scheme val="minor"/>
    </font>
    <font>
      <sz val="11"/>
      <color rgb="FF3F3F76"/>
      <name val="等线"/>
      <charset val="134"/>
      <scheme val="minor"/>
    </font>
    <font>
      <b/>
      <sz val="11"/>
      <name val="等线"/>
      <charset val="134"/>
      <scheme val="minor"/>
    </font>
    <font>
      <sz val="9"/>
      <name val="等线"/>
      <family val="3"/>
      <charset val="134"/>
      <scheme val="minor"/>
    </font>
    <font>
      <sz val="11"/>
      <color rgb="FF3F3F76"/>
      <name val="等线"/>
      <family val="3"/>
      <charset val="134"/>
      <scheme val="minor"/>
    </font>
  </fonts>
  <fills count="11">
    <fill>
      <patternFill patternType="none"/>
    </fill>
    <fill>
      <patternFill patternType="gray125"/>
    </fill>
    <fill>
      <patternFill patternType="solid">
        <fgColor theme="2" tint="-9.9917600024414813E-2"/>
        <bgColor indexed="64"/>
      </patternFill>
    </fill>
    <fill>
      <patternFill patternType="solid">
        <fgColor theme="9" tint="0.59999389629810485"/>
        <bgColor indexed="64"/>
      </patternFill>
    </fill>
    <fill>
      <patternFill patternType="solid">
        <fgColor rgb="FF66CCFF"/>
        <bgColor indexed="64"/>
      </patternFill>
    </fill>
    <fill>
      <patternFill patternType="solid">
        <fgColor rgb="FFFFCC99"/>
        <bgColor indexed="64"/>
      </patternFill>
    </fill>
    <fill>
      <patternFill patternType="solid">
        <fgColor theme="0" tint="-0.14996795556505021"/>
        <bgColor indexed="64"/>
      </patternFill>
    </fill>
    <fill>
      <patternFill patternType="solid">
        <fgColor rgb="FFF2F2F2"/>
        <bgColor indexed="64"/>
      </patternFill>
    </fill>
    <fill>
      <patternFill patternType="solid">
        <fgColor rgb="FFFFD966"/>
        <bgColor indexed="64"/>
      </patternFill>
    </fill>
    <fill>
      <patternFill patternType="solid">
        <fgColor rgb="FFFFFFCC"/>
        <bgColor indexed="64"/>
      </patternFill>
    </fill>
    <fill>
      <patternFill patternType="solid">
        <fgColor theme="4" tint="0.59999389629810485"/>
        <bgColor indexed="64"/>
      </patternFill>
    </fill>
  </fills>
  <borders count="35">
    <border>
      <left/>
      <right/>
      <top/>
      <bottom/>
      <diagonal/>
    </border>
    <border>
      <left style="thin">
        <color rgb="FF7F7F7F"/>
      </left>
      <right style="thin">
        <color rgb="FF7F7F7F"/>
      </right>
      <top style="thin">
        <color rgb="FF7F7F7F"/>
      </top>
      <bottom style="thin">
        <color rgb="FF7F7F7F"/>
      </bottom>
      <diagonal/>
    </border>
    <border>
      <left/>
      <right style="thin">
        <color rgb="FF7F7F7F"/>
      </right>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right/>
      <top style="thin">
        <color rgb="FF7F7F7F"/>
      </top>
      <bottom/>
      <diagonal/>
    </border>
    <border>
      <left style="thin">
        <color rgb="FF7F7F7F"/>
      </left>
      <right style="thin">
        <color rgb="FF7F7F7F"/>
      </right>
      <top/>
      <bottom style="thin">
        <color rgb="FF7F7F7F"/>
      </bottom>
      <diagonal/>
    </border>
    <border>
      <left style="thin">
        <color rgb="FF7F7F7F"/>
      </left>
      <right/>
      <top/>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right/>
      <top/>
      <bottom style="thin">
        <color rgb="FF7F7F7F"/>
      </bottom>
      <diagonal/>
    </border>
    <border>
      <left/>
      <right/>
      <top/>
      <bottom style="thin">
        <color auto="1"/>
      </bottom>
      <diagonal/>
    </border>
    <border>
      <left style="thin">
        <color rgb="FFA6A6A6"/>
      </left>
      <right/>
      <top style="thin">
        <color rgb="FFA6A6A6"/>
      </top>
      <bottom/>
      <diagonal/>
    </border>
    <border>
      <left/>
      <right style="thin">
        <color rgb="FFA6A6A6"/>
      </right>
      <top style="thin">
        <color rgb="FFA6A6A6"/>
      </top>
      <bottom/>
      <diagonal/>
    </border>
    <border>
      <left style="thin">
        <color rgb="FFB2B2B2"/>
      </left>
      <right style="thin">
        <color rgb="FFB2B2B2"/>
      </right>
      <top style="thin">
        <color rgb="FFB2B2B2"/>
      </top>
      <bottom style="thin">
        <color rgb="FFB2B2B2"/>
      </bottom>
      <diagonal/>
    </border>
    <border>
      <left style="thin">
        <color rgb="FF7F7F7F"/>
      </left>
      <right/>
      <top style="thin">
        <color rgb="FF7F7F7F"/>
      </top>
      <bottom/>
      <diagonal/>
    </border>
    <border>
      <left style="thin">
        <color rgb="FF7F7F7F"/>
      </left>
      <right/>
      <top/>
      <bottom style="thin">
        <color rgb="FF7F7F7F"/>
      </bottom>
      <diagonal/>
    </border>
    <border>
      <left/>
      <right style="thin">
        <color rgb="FF7F7F7F"/>
      </right>
      <top style="thin">
        <color rgb="FF7F7F7F"/>
      </top>
      <bottom/>
      <diagonal/>
    </border>
    <border>
      <left/>
      <right style="thin">
        <color rgb="FF7F7F7F"/>
      </right>
      <top/>
      <bottom style="thin">
        <color rgb="FF7F7F7F"/>
      </bottom>
      <diagonal/>
    </border>
    <border>
      <left/>
      <right style="thin">
        <color rgb="FF3F3F3F"/>
      </right>
      <top/>
      <bottom/>
      <diagonal/>
    </border>
    <border>
      <left/>
      <right/>
      <top style="thin">
        <color rgb="FFA6A6A6"/>
      </top>
      <bottom/>
      <diagonal/>
    </border>
    <border>
      <left style="thin">
        <color rgb="FFA6A6A6"/>
      </left>
      <right style="thin">
        <color rgb="FFA6A6A6"/>
      </right>
      <top style="thin">
        <color rgb="FFA6A6A6"/>
      </top>
      <bottom/>
      <diagonal/>
    </border>
    <border>
      <left style="thin">
        <color rgb="FF7F7F7F"/>
      </left>
      <right style="thin">
        <color rgb="FFB2B2B2"/>
      </right>
      <top style="thin">
        <color rgb="FFB2B2B2"/>
      </top>
      <bottom/>
      <diagonal/>
    </border>
    <border>
      <left style="thin">
        <color rgb="FF7F7F7F"/>
      </left>
      <right style="thin">
        <color rgb="FFB2B2B2"/>
      </right>
      <top/>
      <bottom/>
      <diagonal/>
    </border>
    <border>
      <left style="thin">
        <color rgb="FF7F7F7F"/>
      </left>
      <right style="thin">
        <color rgb="FFB2B2B2"/>
      </right>
      <top/>
      <bottom style="thin">
        <color rgb="FFB2B2B2"/>
      </bottom>
      <diagonal/>
    </border>
    <border>
      <left/>
      <right/>
      <top/>
      <bottom style="thin">
        <color rgb="FFB2B2B2"/>
      </bottom>
      <diagonal/>
    </border>
    <border>
      <left/>
      <right style="thin">
        <color rgb="FFA6A6A6"/>
      </right>
      <top/>
      <bottom style="thin">
        <color rgb="FF7F7F7F"/>
      </bottom>
      <diagonal/>
    </border>
    <border>
      <left/>
      <right/>
      <top style="thin">
        <color rgb="FFB2B2B2"/>
      </top>
      <bottom/>
      <diagonal/>
    </border>
    <border>
      <left/>
      <right style="thin">
        <color rgb="FFB2B2B2"/>
      </right>
      <top style="thin">
        <color rgb="FFB2B2B2"/>
      </top>
      <bottom/>
      <diagonal/>
    </border>
    <border>
      <left/>
      <right style="thin">
        <color rgb="FFB2B2B2"/>
      </right>
      <top/>
      <bottom/>
      <diagonal/>
    </border>
    <border>
      <left/>
      <right style="thin">
        <color rgb="FFB2B2B2"/>
      </right>
      <top/>
      <bottom style="thin">
        <color rgb="FFB2B2B2"/>
      </bottom>
      <diagonal/>
    </border>
    <border>
      <left/>
      <right/>
      <top/>
      <bottom style="double">
        <color theme="4"/>
      </bottom>
      <diagonal/>
    </border>
    <border>
      <left/>
      <right/>
      <top style="thin">
        <color theme="4"/>
      </top>
      <bottom/>
      <diagonal/>
    </border>
  </borders>
  <cellStyleXfs count="11">
    <xf numFmtId="0" fontId="0" fillId="2" borderId="0"/>
    <xf numFmtId="9" fontId="10" fillId="0" borderId="0" applyFont="0" applyFill="0" applyBorder="0" applyAlignment="0" applyProtection="0">
      <alignment vertical="center"/>
    </xf>
    <xf numFmtId="0" fontId="5" fillId="0" borderId="0" applyNumberFormat="0" applyFill="0" applyBorder="0" applyAlignment="0" applyProtection="0"/>
    <xf numFmtId="0" fontId="10" fillId="9" borderId="16" applyNumberFormat="0" applyFont="0" applyAlignment="0" applyProtection="0">
      <alignment vertical="center"/>
    </xf>
    <xf numFmtId="0" fontId="3" fillId="5" borderId="1" applyNumberFormat="0" applyAlignment="0">
      <alignment vertical="center"/>
      <protection locked="0"/>
    </xf>
    <xf numFmtId="0" fontId="4" fillId="7" borderId="1" applyNumberFormat="0" applyAlignment="0" applyProtection="0">
      <alignment vertical="center"/>
    </xf>
    <xf numFmtId="0" fontId="10" fillId="10" borderId="0" applyNumberFormat="0" applyBorder="0" applyAlignment="0" applyProtection="0">
      <alignment vertical="center"/>
    </xf>
    <xf numFmtId="0" fontId="10" fillId="3" borderId="0" applyNumberFormat="0" applyBorder="0" applyAlignment="0" applyProtection="0">
      <alignment vertical="center"/>
    </xf>
    <xf numFmtId="0" fontId="10" fillId="0" borderId="0" applyBorder="0" applyProtection="0">
      <alignment horizontal="center"/>
    </xf>
    <xf numFmtId="0" fontId="11" fillId="0" borderId="0" applyNumberFormat="0" applyFill="0" applyBorder="0" applyAlignment="0" applyProtection="0"/>
    <xf numFmtId="0" fontId="12" fillId="5" borderId="1" applyNumberFormat="0" applyAlignment="0">
      <alignment vertical="center"/>
      <protection locked="0"/>
    </xf>
  </cellStyleXfs>
  <cellXfs count="199">
    <xf numFmtId="0" fontId="0" fillId="2" borderId="0" xfId="0"/>
    <xf numFmtId="0" fontId="10" fillId="3" borderId="0" xfId="7" applyAlignment="1"/>
    <xf numFmtId="0" fontId="10" fillId="0" borderId="0" xfId="8">
      <alignment horizontal="center"/>
    </xf>
    <xf numFmtId="14" fontId="10" fillId="0" borderId="0" xfId="8" applyNumberFormat="1">
      <alignment horizontal="center"/>
    </xf>
    <xf numFmtId="0" fontId="0" fillId="2" borderId="0" xfId="0" applyAlignment="1">
      <alignment horizontal="center" vertical="center"/>
    </xf>
    <xf numFmtId="0" fontId="10" fillId="0" borderId="0" xfId="8" applyAlignment="1">
      <alignment horizontal="left"/>
    </xf>
    <xf numFmtId="0" fontId="0" fillId="4" borderId="0" xfId="0" applyFill="1" applyAlignment="1">
      <alignment horizontal="center"/>
    </xf>
    <xf numFmtId="0" fontId="1" fillId="3" borderId="0" xfId="7" applyFont="1" applyAlignment="1">
      <alignment horizontal="center"/>
    </xf>
    <xf numFmtId="0" fontId="0" fillId="4" borderId="0" xfId="0" applyFill="1" applyAlignment="1">
      <alignment horizontal="center" vertical="center"/>
    </xf>
    <xf numFmtId="0" fontId="1" fillId="3" borderId="0" xfId="7" applyFont="1" applyAlignment="1"/>
    <xf numFmtId="0" fontId="10" fillId="0" borderId="0" xfId="8" applyAlignment="1">
      <alignment horizontal="center" vertical="center"/>
    </xf>
    <xf numFmtId="0" fontId="2" fillId="5" borderId="1" xfId="4" applyFont="1" applyAlignment="1">
      <alignment horizontal="center" vertical="center" wrapText="1"/>
      <protection locked="0"/>
    </xf>
    <xf numFmtId="0" fontId="3" fillId="5" borderId="1" xfId="4" applyAlignment="1">
      <alignment horizontal="center" vertical="center"/>
      <protection locked="0"/>
    </xf>
    <xf numFmtId="0" fontId="10" fillId="0" borderId="0" xfId="8" applyAlignment="1">
      <alignment horizontal="center" vertical="center" wrapText="1"/>
    </xf>
    <xf numFmtId="0" fontId="3" fillId="5" borderId="1" xfId="4" applyAlignment="1">
      <alignment horizontal="center" vertical="center" wrapText="1"/>
      <protection locked="0"/>
    </xf>
    <xf numFmtId="0" fontId="10" fillId="0" borderId="0" xfId="8" applyAlignment="1">
      <alignment horizontal="right"/>
    </xf>
    <xf numFmtId="0" fontId="0" fillId="6" borderId="0" xfId="0" applyFill="1"/>
    <xf numFmtId="0" fontId="3" fillId="5" borderId="1" xfId="4" applyAlignment="1">
      <alignment horizontal="left"/>
      <protection locked="0"/>
    </xf>
    <xf numFmtId="0" fontId="3" fillId="5" borderId="1" xfId="4" applyAlignment="1">
      <protection locked="0"/>
    </xf>
    <xf numFmtId="0" fontId="4" fillId="7" borderId="1" xfId="5" applyAlignment="1"/>
    <xf numFmtId="0" fontId="5" fillId="5" borderId="1" xfId="2" applyFill="1" applyBorder="1" applyAlignment="1" applyProtection="1">
      <protection locked="0"/>
    </xf>
    <xf numFmtId="0" fontId="10" fillId="3" borderId="0" xfId="7" applyAlignment="1">
      <alignment horizontal="center"/>
    </xf>
    <xf numFmtId="0" fontId="1" fillId="0" borderId="0" xfId="8" applyFont="1" applyAlignment="1">
      <alignment horizontal="right" wrapText="1"/>
    </xf>
    <xf numFmtId="0" fontId="1" fillId="0" borderId="0" xfId="8" applyFont="1">
      <alignment horizontal="center"/>
    </xf>
    <xf numFmtId="9" fontId="0" fillId="0" borderId="0" xfId="1" applyFont="1" applyFill="1" applyAlignment="1"/>
    <xf numFmtId="0" fontId="3" fillId="5" borderId="1" xfId="4" applyAlignment="1">
      <alignment horizontal="center"/>
      <protection locked="0"/>
    </xf>
    <xf numFmtId="0" fontId="10" fillId="0" borderId="12" xfId="8" applyBorder="1">
      <alignment horizontal="center"/>
    </xf>
    <xf numFmtId="0" fontId="0" fillId="2" borderId="0" xfId="0" applyAlignment="1">
      <alignment vertical="center"/>
    </xf>
    <xf numFmtId="0" fontId="3" fillId="5" borderId="1" xfId="4" applyAlignment="1">
      <alignment vertical="center"/>
      <protection locked="0"/>
    </xf>
    <xf numFmtId="0" fontId="1" fillId="0" borderId="0" xfId="8" applyFont="1" applyAlignment="1">
      <alignment horizontal="right"/>
    </xf>
    <xf numFmtId="0" fontId="3" fillId="5" borderId="1" xfId="4" applyAlignment="1">
      <alignment wrapText="1"/>
      <protection locked="0"/>
    </xf>
    <xf numFmtId="0" fontId="4" fillId="7" borderId="1" xfId="5" applyAlignment="1" applyProtection="1">
      <protection locked="0"/>
    </xf>
    <xf numFmtId="2" fontId="4" fillId="7" borderId="1" xfId="5" applyNumberFormat="1" applyAlignment="1"/>
    <xf numFmtId="178" fontId="4" fillId="7" borderId="1" xfId="5" applyNumberFormat="1" applyAlignment="1"/>
    <xf numFmtId="0" fontId="0" fillId="2" borderId="22" xfId="0" applyBorder="1" applyAlignment="1">
      <alignment horizontal="left"/>
    </xf>
    <xf numFmtId="0" fontId="10" fillId="0" borderId="0" xfId="8" applyAlignment="1"/>
    <xf numFmtId="0" fontId="4" fillId="7" borderId="1" xfId="5" applyAlignment="1" applyProtection="1"/>
    <xf numFmtId="0" fontId="0" fillId="8" borderId="23" xfId="0" applyFill="1" applyBorder="1" applyAlignment="1">
      <alignment horizontal="center"/>
    </xf>
    <xf numFmtId="0" fontId="3" fillId="5" borderId="1" xfId="4" applyAlignment="1">
      <alignment vertical="top" wrapText="1"/>
      <protection locked="0"/>
    </xf>
    <xf numFmtId="0" fontId="0" fillId="8" borderId="22" xfId="0" applyFill="1" applyBorder="1" applyAlignment="1">
      <alignment vertical="center" wrapText="1"/>
    </xf>
    <xf numFmtId="0" fontId="0" fillId="8" borderId="23" xfId="0" applyFill="1" applyBorder="1" applyAlignment="1">
      <alignment horizontal="center" wrapText="1"/>
    </xf>
    <xf numFmtId="0" fontId="7" fillId="10" borderId="0" xfId="6" applyFont="1" applyAlignment="1">
      <alignment horizontal="center"/>
    </xf>
    <xf numFmtId="49" fontId="3" fillId="5" borderId="1" xfId="4" applyNumberFormat="1" applyAlignment="1">
      <protection locked="0"/>
    </xf>
    <xf numFmtId="0" fontId="2" fillId="5" borderId="1" xfId="4" applyFont="1" applyAlignment="1">
      <protection locked="0"/>
    </xf>
    <xf numFmtId="3" fontId="3" fillId="5" borderId="1" xfId="4" applyNumberFormat="1" applyAlignment="1">
      <protection locked="0"/>
    </xf>
    <xf numFmtId="0" fontId="3" fillId="5" borderId="3" xfId="4" applyBorder="1" applyAlignment="1">
      <protection locked="0"/>
    </xf>
    <xf numFmtId="0" fontId="8" fillId="5" borderId="1" xfId="4" applyFont="1" applyAlignment="1">
      <protection locked="0"/>
    </xf>
    <xf numFmtId="0" fontId="3" fillId="5" borderId="1" xfId="4" applyNumberFormat="1" applyAlignment="1">
      <protection locked="0"/>
    </xf>
    <xf numFmtId="0" fontId="10" fillId="0" borderId="33" xfId="8" applyBorder="1" applyAlignment="1">
      <alignment horizontal="left"/>
    </xf>
    <xf numFmtId="0" fontId="4" fillId="7" borderId="7" xfId="5" applyBorder="1" applyAlignment="1">
      <alignment horizontal="center"/>
    </xf>
    <xf numFmtId="0" fontId="10" fillId="0" borderId="33" xfId="8" applyBorder="1">
      <alignment horizontal="center"/>
    </xf>
    <xf numFmtId="0" fontId="10" fillId="0" borderId="34" xfId="8" applyBorder="1" applyAlignment="1">
      <alignment horizontal="left"/>
    </xf>
    <xf numFmtId="0" fontId="4" fillId="7" borderId="5" xfId="5" applyBorder="1" applyAlignment="1">
      <alignment horizontal="center"/>
    </xf>
    <xf numFmtId="0" fontId="10" fillId="0" borderId="34" xfId="8" applyBorder="1">
      <alignment horizontal="center"/>
    </xf>
    <xf numFmtId="0" fontId="1" fillId="3" borderId="0" xfId="7" applyFont="1" applyAlignment="1">
      <alignment horizontal="center" vertical="center"/>
    </xf>
    <xf numFmtId="0" fontId="10" fillId="3" borderId="0" xfId="7" applyAlignment="1">
      <alignment horizontal="center" vertical="center"/>
    </xf>
    <xf numFmtId="0" fontId="3" fillId="5" borderId="1" xfId="4" applyAlignment="1">
      <alignment horizontal="center"/>
      <protection locked="0"/>
    </xf>
    <xf numFmtId="0" fontId="10" fillId="3" borderId="0" xfId="7" applyAlignment="1">
      <alignment horizontal="center"/>
    </xf>
    <xf numFmtId="0" fontId="10" fillId="3" borderId="12" xfId="7" applyBorder="1" applyAlignment="1">
      <alignment horizontal="center"/>
    </xf>
    <xf numFmtId="0" fontId="9" fillId="9" borderId="16" xfId="3" quotePrefix="1" applyFont="1" applyAlignment="1">
      <alignment horizontal="left" vertical="top" wrapText="1"/>
    </xf>
    <xf numFmtId="0" fontId="9" fillId="9" borderId="16" xfId="3" applyFont="1" applyAlignment="1">
      <alignment horizontal="left" vertical="top" wrapText="1"/>
    </xf>
    <xf numFmtId="0" fontId="3" fillId="5" borderId="17" xfId="4" applyBorder="1" applyAlignment="1">
      <alignment horizontal="center"/>
      <protection locked="0"/>
    </xf>
    <xf numFmtId="0" fontId="3" fillId="5" borderId="6" xfId="4" applyBorder="1" applyAlignment="1">
      <alignment horizontal="center"/>
      <protection locked="0"/>
    </xf>
    <xf numFmtId="0" fontId="3" fillId="5" borderId="19" xfId="4" applyBorder="1" applyAlignment="1">
      <alignment horizontal="center"/>
      <protection locked="0"/>
    </xf>
    <xf numFmtId="0" fontId="3" fillId="5" borderId="8" xfId="4" applyBorder="1" applyAlignment="1">
      <alignment horizontal="center"/>
      <protection locked="0"/>
    </xf>
    <xf numFmtId="0" fontId="3" fillId="5" borderId="0" xfId="4" applyBorder="1" applyAlignment="1">
      <alignment horizontal="center"/>
      <protection locked="0"/>
    </xf>
    <xf numFmtId="0" fontId="3" fillId="5" borderId="2" xfId="4" applyBorder="1" applyAlignment="1">
      <alignment horizontal="center"/>
      <protection locked="0"/>
    </xf>
    <xf numFmtId="0" fontId="3" fillId="5" borderId="18" xfId="4" applyBorder="1" applyAlignment="1">
      <alignment horizontal="center"/>
      <protection locked="0"/>
    </xf>
    <xf numFmtId="0" fontId="3" fillId="5" borderId="12" xfId="4" applyBorder="1" applyAlignment="1">
      <alignment horizontal="center"/>
      <protection locked="0"/>
    </xf>
    <xf numFmtId="0" fontId="3" fillId="5" borderId="20" xfId="4" applyBorder="1" applyAlignment="1">
      <alignment horizontal="center"/>
      <protection locked="0"/>
    </xf>
    <xf numFmtId="0" fontId="0" fillId="4" borderId="0" xfId="0" applyFill="1" applyAlignment="1">
      <alignment horizontal="center" vertical="center"/>
    </xf>
    <xf numFmtId="0" fontId="1" fillId="3" borderId="0" xfId="7" applyFont="1" applyAlignment="1">
      <alignment horizontal="center"/>
    </xf>
    <xf numFmtId="0" fontId="10" fillId="0" borderId="0" xfId="8" applyAlignment="1">
      <alignment horizontal="left"/>
    </xf>
    <xf numFmtId="0" fontId="3" fillId="5" borderId="1" xfId="4" applyAlignment="1">
      <alignment horizontal="left"/>
      <protection locked="0"/>
    </xf>
    <xf numFmtId="0" fontId="10" fillId="0" borderId="2" xfId="8" applyBorder="1" applyAlignment="1">
      <alignment horizontal="left"/>
    </xf>
    <xf numFmtId="0" fontId="10" fillId="3" borderId="27" xfId="7" applyBorder="1" applyAlignment="1">
      <alignment horizontal="center"/>
    </xf>
    <xf numFmtId="0" fontId="10" fillId="0" borderId="12" xfId="8" applyBorder="1">
      <alignment horizontal="center"/>
    </xf>
    <xf numFmtId="0" fontId="0" fillId="9" borderId="30" xfId="3" quotePrefix="1" applyFont="1" applyBorder="1" applyAlignment="1">
      <alignment horizontal="left" vertical="top" wrapText="1"/>
    </xf>
    <xf numFmtId="0" fontId="0" fillId="9" borderId="31" xfId="3" applyFont="1" applyBorder="1" applyAlignment="1">
      <alignment horizontal="left" vertical="top"/>
    </xf>
    <xf numFmtId="0" fontId="0" fillId="9" borderId="32" xfId="3" applyFont="1" applyBorder="1" applyAlignment="1">
      <alignment horizontal="left" vertical="top"/>
    </xf>
    <xf numFmtId="0" fontId="0" fillId="9" borderId="16" xfId="3" quotePrefix="1" applyFont="1" applyAlignment="1">
      <alignment horizontal="left" vertical="top" wrapText="1"/>
    </xf>
    <xf numFmtId="0" fontId="0" fillId="9" borderId="16" xfId="3" applyFont="1" applyAlignment="1">
      <alignment horizontal="left" vertical="top"/>
    </xf>
    <xf numFmtId="0" fontId="0" fillId="9" borderId="16" xfId="3" applyFont="1" applyAlignment="1">
      <alignment horizontal="left" vertical="top" wrapText="1"/>
    </xf>
    <xf numFmtId="0" fontId="0" fillId="9" borderId="29" xfId="3" quotePrefix="1" applyFont="1" applyBorder="1" applyAlignment="1">
      <alignment horizontal="left" vertical="top" wrapText="1"/>
    </xf>
    <xf numFmtId="0" fontId="0" fillId="9" borderId="30" xfId="3" applyFont="1" applyBorder="1" applyAlignment="1">
      <alignment horizontal="left" vertical="top" wrapText="1"/>
    </xf>
    <xf numFmtId="0" fontId="0" fillId="9" borderId="0" xfId="3" applyFont="1" applyBorder="1" applyAlignment="1">
      <alignment horizontal="left" vertical="top" wrapText="1"/>
    </xf>
    <xf numFmtId="0" fontId="0" fillId="9" borderId="31" xfId="3" applyFont="1" applyBorder="1" applyAlignment="1">
      <alignment horizontal="left" vertical="top" wrapText="1"/>
    </xf>
    <xf numFmtId="0" fontId="0" fillId="9" borderId="27" xfId="3" applyFont="1" applyBorder="1" applyAlignment="1">
      <alignment horizontal="left" vertical="top" wrapText="1"/>
    </xf>
    <xf numFmtId="0" fontId="0" fillId="9" borderId="32" xfId="3" applyFont="1" applyBorder="1" applyAlignment="1">
      <alignment horizontal="left" vertical="top" wrapText="1"/>
    </xf>
    <xf numFmtId="0" fontId="1" fillId="3" borderId="6" xfId="7" applyFont="1" applyBorder="1" applyAlignment="1">
      <alignment horizontal="center"/>
    </xf>
    <xf numFmtId="0" fontId="0" fillId="8" borderId="9" xfId="0" applyFill="1" applyBorder="1" applyAlignment="1">
      <alignment horizontal="center"/>
    </xf>
    <xf numFmtId="0" fontId="0" fillId="8" borderId="10" xfId="0" applyFill="1" applyBorder="1" applyAlignment="1">
      <alignment horizontal="center"/>
    </xf>
    <xf numFmtId="0" fontId="10" fillId="0" borderId="22" xfId="8" applyBorder="1" applyAlignment="1">
      <alignment horizontal="left"/>
    </xf>
    <xf numFmtId="0" fontId="0" fillId="4" borderId="6" xfId="0" applyFill="1" applyBorder="1" applyAlignment="1">
      <alignment horizontal="center" vertical="center"/>
    </xf>
    <xf numFmtId="0" fontId="2" fillId="5" borderId="6" xfId="4" applyFont="1" applyBorder="1" applyAlignment="1">
      <alignment horizontal="left" vertical="top" wrapText="1"/>
      <protection locked="0"/>
    </xf>
    <xf numFmtId="0" fontId="3" fillId="5" borderId="6" xfId="4" applyBorder="1" applyAlignment="1">
      <alignment horizontal="left" vertical="top" wrapText="1"/>
      <protection locked="0"/>
    </xf>
    <xf numFmtId="0" fontId="3" fillId="5" borderId="0" xfId="4" applyBorder="1" applyAlignment="1">
      <alignment horizontal="left" vertical="top" wrapText="1"/>
      <protection locked="0"/>
    </xf>
    <xf numFmtId="0" fontId="3" fillId="5" borderId="1" xfId="4" applyAlignment="1">
      <alignment horizontal="center" vertical="center" wrapText="1"/>
      <protection locked="0"/>
    </xf>
    <xf numFmtId="0" fontId="3" fillId="5" borderId="1" xfId="4" applyAlignment="1">
      <alignment horizontal="center" vertical="center"/>
      <protection locked="0"/>
    </xf>
    <xf numFmtId="0" fontId="10" fillId="0" borderId="0" xfId="8" applyAlignment="1">
      <alignment horizontal="right" vertical="center"/>
    </xf>
    <xf numFmtId="0" fontId="10" fillId="0" borderId="2" xfId="8" applyBorder="1" applyAlignment="1">
      <alignment horizontal="right" vertical="center"/>
    </xf>
    <xf numFmtId="0" fontId="3" fillId="5" borderId="3" xfId="4" applyBorder="1" applyAlignment="1">
      <alignment horizontal="center" vertical="center"/>
      <protection locked="0"/>
    </xf>
    <xf numFmtId="0" fontId="3" fillId="5" borderId="4" xfId="4" applyBorder="1" applyAlignment="1">
      <alignment horizontal="center" vertical="center"/>
      <protection locked="0"/>
    </xf>
    <xf numFmtId="0" fontId="3" fillId="5" borderId="1" xfId="4" applyAlignment="1">
      <alignment horizontal="left" vertical="center"/>
      <protection locked="0"/>
    </xf>
    <xf numFmtId="0" fontId="10" fillId="0" borderId="0" xfId="8" applyAlignment="1">
      <alignment horizontal="right" vertical="center" wrapText="1"/>
    </xf>
    <xf numFmtId="0" fontId="10" fillId="0" borderId="2" xfId="8" applyBorder="1" applyAlignment="1">
      <alignment horizontal="right" vertical="center" wrapText="1"/>
    </xf>
    <xf numFmtId="0" fontId="10" fillId="0" borderId="0" xfId="8" applyAlignment="1">
      <alignment horizontal="right"/>
    </xf>
    <xf numFmtId="0" fontId="10" fillId="0" borderId="2" xfId="8" applyBorder="1" applyAlignment="1">
      <alignment horizontal="right"/>
    </xf>
    <xf numFmtId="0" fontId="3" fillId="5" borderId="3" xfId="4" applyBorder="1" applyAlignment="1">
      <alignment horizontal="center"/>
      <protection locked="0"/>
    </xf>
    <xf numFmtId="0" fontId="3" fillId="5" borderId="4" xfId="4" applyBorder="1" applyAlignment="1">
      <alignment horizontal="center"/>
      <protection locked="0"/>
    </xf>
    <xf numFmtId="0" fontId="4" fillId="7" borderId="1" xfId="5" applyAlignment="1">
      <alignment horizontal="center"/>
    </xf>
    <xf numFmtId="0" fontId="10" fillId="0" borderId="0" xfId="8" applyAlignment="1">
      <alignment horizontal="right" wrapText="1"/>
    </xf>
    <xf numFmtId="0" fontId="10" fillId="0" borderId="2" xfId="8" applyBorder="1" applyAlignment="1">
      <alignment horizontal="right" wrapText="1"/>
    </xf>
    <xf numFmtId="0" fontId="3" fillId="5" borderId="3" xfId="4" applyBorder="1" applyAlignment="1">
      <alignment horizontal="left"/>
      <protection locked="0"/>
    </xf>
    <xf numFmtId="0" fontId="3" fillId="5" borderId="4" xfId="4" applyBorder="1" applyAlignment="1">
      <alignment horizontal="left"/>
      <protection locked="0"/>
    </xf>
    <xf numFmtId="0" fontId="1" fillId="0" borderId="0" xfId="8" applyFont="1">
      <alignment horizontal="center"/>
    </xf>
    <xf numFmtId="0" fontId="1" fillId="0" borderId="0" xfId="8" applyFont="1" applyAlignment="1">
      <alignment horizontal="right"/>
    </xf>
    <xf numFmtId="0" fontId="1" fillId="0" borderId="2" xfId="8" applyFont="1" applyBorder="1" applyAlignment="1">
      <alignment horizontal="right"/>
    </xf>
    <xf numFmtId="0" fontId="10" fillId="0" borderId="8" xfId="8" applyBorder="1" applyAlignment="1" applyProtection="1">
      <alignment horizontal="right"/>
      <protection locked="0"/>
    </xf>
    <xf numFmtId="0" fontId="10" fillId="0" borderId="0" xfId="8" applyBorder="1" applyAlignment="1" applyProtection="1">
      <alignment horizontal="right"/>
      <protection locked="0"/>
    </xf>
    <xf numFmtId="0" fontId="10" fillId="0" borderId="2" xfId="8" applyBorder="1" applyAlignment="1" applyProtection="1">
      <alignment horizontal="right"/>
      <protection locked="0"/>
    </xf>
    <xf numFmtId="0" fontId="4" fillId="7" borderId="1" xfId="5" applyAlignment="1">
      <alignment horizontal="left"/>
    </xf>
    <xf numFmtId="0" fontId="10" fillId="0" borderId="0" xfId="8" applyAlignment="1">
      <alignment horizontal="left" vertical="center"/>
    </xf>
    <xf numFmtId="0" fontId="10" fillId="0" borderId="2" xfId="8" applyBorder="1" applyAlignment="1">
      <alignment horizontal="left" vertical="center"/>
    </xf>
    <xf numFmtId="0" fontId="10" fillId="0" borderId="0" xfId="8" applyAlignment="1">
      <alignment horizontal="left" vertical="center" wrapText="1"/>
    </xf>
    <xf numFmtId="0" fontId="10" fillId="0" borderId="2" xfId="8" applyBorder="1" applyAlignment="1">
      <alignment horizontal="left" vertical="center" wrapText="1"/>
    </xf>
    <xf numFmtId="0" fontId="10" fillId="0" borderId="0" xfId="8" applyAlignment="1">
      <alignment horizontal="left" wrapText="1"/>
    </xf>
    <xf numFmtId="0" fontId="10" fillId="0" borderId="2" xfId="8" applyBorder="1" applyAlignment="1">
      <alignment horizontal="left" wrapText="1"/>
    </xf>
    <xf numFmtId="0" fontId="1" fillId="3" borderId="12" xfId="7" applyFont="1" applyBorder="1" applyAlignment="1">
      <alignment horizontal="center"/>
    </xf>
    <xf numFmtId="0" fontId="1" fillId="3" borderId="28" xfId="7" applyFont="1" applyBorder="1" applyAlignment="1">
      <alignment horizontal="center"/>
    </xf>
    <xf numFmtId="0" fontId="10" fillId="0" borderId="0" xfId="8" applyAlignment="1">
      <alignment horizontal="center" wrapText="1"/>
    </xf>
    <xf numFmtId="0" fontId="0" fillId="9" borderId="16" xfId="3" applyFont="1" applyAlignment="1">
      <alignment horizontal="center" vertical="center" wrapText="1"/>
    </xf>
    <xf numFmtId="0" fontId="0" fillId="9" borderId="24" xfId="3" applyFont="1" applyBorder="1" applyAlignment="1">
      <alignment horizontal="center" vertical="top" wrapText="1"/>
    </xf>
    <xf numFmtId="0" fontId="0" fillId="9" borderId="25" xfId="3" applyFont="1" applyBorder="1" applyAlignment="1">
      <alignment horizontal="center" vertical="top" wrapText="1"/>
    </xf>
    <xf numFmtId="0" fontId="0" fillId="9" borderId="26" xfId="3" applyFont="1" applyBorder="1" applyAlignment="1">
      <alignment horizontal="center" vertical="top" wrapText="1"/>
    </xf>
    <xf numFmtId="0" fontId="0" fillId="8" borderId="22" xfId="0" applyFill="1" applyBorder="1" applyAlignment="1">
      <alignment horizontal="center" vertical="center" wrapText="1"/>
    </xf>
    <xf numFmtId="0" fontId="0" fillId="8" borderId="27" xfId="0" applyFill="1" applyBorder="1" applyAlignment="1">
      <alignment horizontal="center" vertical="center" wrapText="1"/>
    </xf>
    <xf numFmtId="0" fontId="0" fillId="9" borderId="16" xfId="3" applyFont="1" applyAlignment="1">
      <alignment horizontal="left" vertical="center" wrapText="1"/>
    </xf>
    <xf numFmtId="0" fontId="0" fillId="9" borderId="16" xfId="3" applyFont="1" applyAlignment="1">
      <alignment horizontal="center" vertical="center"/>
    </xf>
    <xf numFmtId="0" fontId="3" fillId="5" borderId="1" xfId="4" applyAlignment="1">
      <alignment vertical="top" wrapText="1"/>
      <protection locked="0"/>
    </xf>
    <xf numFmtId="0" fontId="3" fillId="5" borderId="1" xfId="4" applyAlignment="1">
      <alignment horizontal="left" vertical="top" wrapText="1"/>
      <protection locked="0"/>
    </xf>
    <xf numFmtId="0" fontId="3" fillId="5" borderId="17" xfId="4" applyBorder="1" applyAlignment="1">
      <alignment horizontal="center" vertical="center" wrapText="1"/>
      <protection locked="0"/>
    </xf>
    <xf numFmtId="0" fontId="3" fillId="5" borderId="6" xfId="4" applyBorder="1" applyAlignment="1">
      <alignment horizontal="center" vertical="center" wrapText="1"/>
      <protection locked="0"/>
    </xf>
    <xf numFmtId="0" fontId="3" fillId="5" borderId="19" xfId="4" applyBorder="1" applyAlignment="1">
      <alignment horizontal="center" vertical="center" wrapText="1"/>
      <protection locked="0"/>
    </xf>
    <xf numFmtId="0" fontId="3" fillId="5" borderId="8" xfId="4" applyBorder="1" applyAlignment="1">
      <alignment horizontal="center" vertical="center" wrapText="1"/>
      <protection locked="0"/>
    </xf>
    <xf numFmtId="0" fontId="3" fillId="5" borderId="0" xfId="4" applyBorder="1" applyAlignment="1">
      <alignment horizontal="center" vertical="center" wrapText="1"/>
      <protection locked="0"/>
    </xf>
    <xf numFmtId="0" fontId="3" fillId="5" borderId="2" xfId="4" applyBorder="1" applyAlignment="1">
      <alignment horizontal="center" vertical="center" wrapText="1"/>
      <protection locked="0"/>
    </xf>
    <xf numFmtId="0" fontId="3" fillId="5" borderId="18" xfId="4" applyBorder="1" applyAlignment="1">
      <alignment horizontal="center" vertical="center" wrapText="1"/>
      <protection locked="0"/>
    </xf>
    <xf numFmtId="0" fontId="3" fillId="5" borderId="12" xfId="4" applyBorder="1" applyAlignment="1">
      <alignment horizontal="center" vertical="center" wrapText="1"/>
      <protection locked="0"/>
    </xf>
    <xf numFmtId="0" fontId="3" fillId="5" borderId="20" xfId="4" applyBorder="1" applyAlignment="1">
      <alignment horizontal="center" vertical="center" wrapText="1"/>
      <protection locked="0"/>
    </xf>
    <xf numFmtId="0" fontId="3" fillId="5" borderId="17" xfId="4" applyBorder="1" applyAlignment="1">
      <alignment horizontal="left" vertical="top" wrapText="1"/>
      <protection locked="0"/>
    </xf>
    <xf numFmtId="0" fontId="3" fillId="5" borderId="19" xfId="4" applyBorder="1" applyAlignment="1">
      <alignment horizontal="left" vertical="top" wrapText="1"/>
      <protection locked="0"/>
    </xf>
    <xf numFmtId="0" fontId="3" fillId="5" borderId="8" xfId="4" applyBorder="1" applyAlignment="1">
      <alignment horizontal="left" vertical="top" wrapText="1"/>
      <protection locked="0"/>
    </xf>
    <xf numFmtId="0" fontId="3" fillId="5" borderId="2" xfId="4" applyBorder="1" applyAlignment="1">
      <alignment horizontal="left" vertical="top" wrapText="1"/>
      <protection locked="0"/>
    </xf>
    <xf numFmtId="0" fontId="3" fillId="5" borderId="18" xfId="4" applyBorder="1" applyAlignment="1">
      <alignment horizontal="left" vertical="top" wrapText="1"/>
      <protection locked="0"/>
    </xf>
    <xf numFmtId="0" fontId="3" fillId="5" borderId="12" xfId="4" applyBorder="1" applyAlignment="1">
      <alignment horizontal="left" vertical="top" wrapText="1"/>
      <protection locked="0"/>
    </xf>
    <xf numFmtId="0" fontId="3" fillId="5" borderId="20" xfId="4" applyBorder="1" applyAlignment="1">
      <alignment horizontal="left" vertical="top" wrapText="1"/>
      <protection locked="0"/>
    </xf>
    <xf numFmtId="0" fontId="3" fillId="5" borderId="17" xfId="4" applyBorder="1" applyAlignment="1">
      <alignment horizontal="center" vertical="center"/>
      <protection locked="0"/>
    </xf>
    <xf numFmtId="0" fontId="3" fillId="5" borderId="6" xfId="4" applyBorder="1" applyAlignment="1">
      <alignment horizontal="center" vertical="center"/>
      <protection locked="0"/>
    </xf>
    <xf numFmtId="0" fontId="3" fillId="5" borderId="19" xfId="4" applyBorder="1" applyAlignment="1">
      <alignment horizontal="center" vertical="center"/>
      <protection locked="0"/>
    </xf>
    <xf numFmtId="0" fontId="3" fillId="5" borderId="8" xfId="4" applyBorder="1" applyAlignment="1">
      <alignment horizontal="center" vertical="center"/>
      <protection locked="0"/>
    </xf>
    <xf numFmtId="0" fontId="3" fillId="5" borderId="0" xfId="4" applyBorder="1" applyAlignment="1">
      <alignment horizontal="center" vertical="center"/>
      <protection locked="0"/>
    </xf>
    <xf numFmtId="0" fontId="3" fillId="5" borderId="2" xfId="4" applyBorder="1" applyAlignment="1">
      <alignment horizontal="center" vertical="center"/>
      <protection locked="0"/>
    </xf>
    <xf numFmtId="0" fontId="3" fillId="5" borderId="18" xfId="4" applyBorder="1" applyAlignment="1">
      <alignment horizontal="center" vertical="center"/>
      <protection locked="0"/>
    </xf>
    <xf numFmtId="0" fontId="3" fillId="5" borderId="12" xfId="4" applyBorder="1" applyAlignment="1">
      <alignment horizontal="center" vertical="center"/>
      <protection locked="0"/>
    </xf>
    <xf numFmtId="0" fontId="3" fillId="5" borderId="20" xfId="4" applyBorder="1" applyAlignment="1">
      <alignment horizontal="center" vertical="center"/>
      <protection locked="0"/>
    </xf>
    <xf numFmtId="0" fontId="1" fillId="3" borderId="12" xfId="7" applyFont="1" applyBorder="1" applyAlignment="1">
      <alignment horizontal="center" vertical="center"/>
    </xf>
    <xf numFmtId="0" fontId="6" fillId="0" borderId="0" xfId="8" applyFont="1" applyAlignment="1">
      <alignment horizontal="center" vertical="center" wrapText="1"/>
    </xf>
    <xf numFmtId="0" fontId="10" fillId="8" borderId="9" xfId="6" applyFill="1" applyBorder="1" applyAlignment="1">
      <alignment horizontal="center"/>
    </xf>
    <xf numFmtId="0" fontId="10" fillId="8" borderId="11" xfId="6" applyFill="1" applyBorder="1" applyAlignment="1">
      <alignment horizontal="center"/>
    </xf>
    <xf numFmtId="0" fontId="5" fillId="5" borderId="1" xfId="2" applyFill="1" applyBorder="1" applyAlignment="1" applyProtection="1">
      <alignment horizontal="left"/>
      <protection locked="0"/>
    </xf>
    <xf numFmtId="0" fontId="0" fillId="2" borderId="0" xfId="0"/>
    <xf numFmtId="0" fontId="3" fillId="5" borderId="1" xfId="4" applyAlignment="1" applyProtection="1">
      <alignment horizontal="center" vertical="center"/>
    </xf>
    <xf numFmtId="0" fontId="10" fillId="8" borderId="9" xfId="6" applyFill="1" applyBorder="1" applyAlignment="1">
      <alignment horizontal="left"/>
    </xf>
    <xf numFmtId="0" fontId="10" fillId="8" borderId="10" xfId="6" applyFill="1" applyBorder="1" applyAlignment="1">
      <alignment horizontal="left"/>
    </xf>
    <xf numFmtId="0" fontId="10" fillId="0" borderId="9" xfId="6" applyFill="1" applyBorder="1" applyAlignment="1">
      <alignment horizontal="center"/>
    </xf>
    <xf numFmtId="0" fontId="10" fillId="0" borderId="11" xfId="6" applyFill="1" applyBorder="1" applyAlignment="1">
      <alignment horizontal="center"/>
    </xf>
    <xf numFmtId="0" fontId="10" fillId="8" borderId="11" xfId="6" applyFill="1" applyBorder="1" applyAlignment="1">
      <alignment horizontal="left"/>
    </xf>
    <xf numFmtId="0" fontId="3" fillId="5" borderId="7" xfId="4" applyBorder="1" applyAlignment="1">
      <alignment horizontal="center"/>
      <protection locked="0"/>
    </xf>
    <xf numFmtId="0" fontId="3" fillId="5" borderId="1" xfId="4" applyAlignment="1">
      <protection locked="0"/>
    </xf>
    <xf numFmtId="0" fontId="5" fillId="5" borderId="1" xfId="2" applyFill="1" applyBorder="1" applyAlignment="1" applyProtection="1">
      <protection locked="0"/>
    </xf>
    <xf numFmtId="0" fontId="0" fillId="8" borderId="14" xfId="0" applyFill="1" applyBorder="1" applyAlignment="1">
      <alignment horizontal="center"/>
    </xf>
    <xf numFmtId="0" fontId="0" fillId="8" borderId="15" xfId="0" applyFill="1" applyBorder="1" applyAlignment="1">
      <alignment horizontal="center"/>
    </xf>
    <xf numFmtId="0" fontId="1" fillId="0" borderId="0" xfId="8" applyFont="1" applyAlignment="1">
      <alignment horizontal="left"/>
    </xf>
    <xf numFmtId="0" fontId="10" fillId="0" borderId="21" xfId="8" applyBorder="1" applyAlignment="1">
      <alignment horizontal="left"/>
    </xf>
    <xf numFmtId="0" fontId="0" fillId="9" borderId="16" xfId="3" applyFont="1" applyAlignment="1">
      <alignment horizontal="right" vertical="center"/>
    </xf>
    <xf numFmtId="0" fontId="5" fillId="5" borderId="8" xfId="2" applyFill="1" applyBorder="1" applyAlignment="1" applyProtection="1">
      <alignment horizontal="left" vertical="top" wrapText="1"/>
      <protection locked="0"/>
    </xf>
    <xf numFmtId="0" fontId="5" fillId="5" borderId="0" xfId="2" applyFill="1" applyBorder="1" applyAlignment="1" applyProtection="1">
      <alignment horizontal="left" vertical="top" wrapText="1"/>
      <protection locked="0"/>
    </xf>
    <xf numFmtId="0" fontId="10" fillId="8" borderId="10" xfId="6" applyFill="1" applyBorder="1" applyAlignment="1">
      <alignment horizontal="center"/>
    </xf>
    <xf numFmtId="0" fontId="10" fillId="0" borderId="10" xfId="6" applyFill="1" applyBorder="1" applyAlignment="1">
      <alignment horizontal="center"/>
    </xf>
    <xf numFmtId="0" fontId="10" fillId="0" borderId="0" xfId="8">
      <alignment horizontal="center"/>
    </xf>
    <xf numFmtId="0" fontId="10" fillId="0" borderId="13" xfId="8" applyBorder="1">
      <alignment horizontal="center"/>
    </xf>
    <xf numFmtId="0" fontId="10" fillId="0" borderId="12" xfId="8" applyBorder="1" applyAlignment="1">
      <alignment horizontal="center" wrapText="1"/>
    </xf>
    <xf numFmtId="0" fontId="3" fillId="5" borderId="5" xfId="4" applyBorder="1" applyAlignment="1">
      <alignment horizontal="center"/>
      <protection locked="0"/>
    </xf>
    <xf numFmtId="0" fontId="0" fillId="2" borderId="6" xfId="0" applyBorder="1" applyAlignment="1">
      <alignment horizontal="left"/>
    </xf>
    <xf numFmtId="0" fontId="0" fillId="2" borderId="0" xfId="0" applyAlignment="1">
      <alignment horizontal="left"/>
    </xf>
    <xf numFmtId="0" fontId="0" fillId="4" borderId="0" xfId="0" applyFill="1" applyAlignment="1">
      <alignment horizontal="center"/>
    </xf>
    <xf numFmtId="0" fontId="3" fillId="5" borderId="1" xfId="4" applyAlignment="1" applyProtection="1">
      <alignment horizontal="center" vertical="center" wrapText="1"/>
    </xf>
    <xf numFmtId="0" fontId="15" fillId="5" borderId="1" xfId="4" applyFont="1" applyAlignment="1">
      <alignment horizontal="left"/>
      <protection locked="0"/>
    </xf>
  </cellXfs>
  <cellStyles count="11">
    <cellStyle name="40% - 着色 1" xfId="6" builtinId="31"/>
    <cellStyle name="40% - 着色 6" xfId="7" builtinId="51"/>
    <cellStyle name="百分比" xfId="1" builtinId="5"/>
    <cellStyle name="标题行列" xfId="8" xr:uid="{00000000-0005-0000-0000-000031000000}"/>
    <cellStyle name="常规" xfId="0" builtinId="0"/>
    <cellStyle name="超链接" xfId="2" builtinId="8"/>
    <cellStyle name="超链接 2" xfId="9" xr:uid="{00000000-0005-0000-0000-000032000000}"/>
    <cellStyle name="计算" xfId="5" builtinId="22"/>
    <cellStyle name="输入" xfId="4" builtinId="20"/>
    <cellStyle name="输入 2" xfId="10" xr:uid="{00000000-0005-0000-0000-000033000000}"/>
    <cellStyle name="注释" xfId="3" builtinId="10"/>
  </cellStyles>
  <dxfs count="28">
    <dxf>
      <font>
        <color theme="0"/>
      </font>
      <fill>
        <patternFill patternType="solid">
          <bgColor theme="0"/>
        </patternFill>
      </fill>
      <border>
        <left/>
        <right/>
        <top/>
        <bottom/>
      </border>
    </dxf>
    <dxf>
      <font>
        <color theme="0"/>
      </font>
      <fill>
        <patternFill patternType="solid">
          <bgColor theme="0"/>
        </patternFill>
      </fill>
    </dxf>
    <dxf>
      <font>
        <color theme="2" tint="-9.9917600024414813E-2"/>
      </font>
      <fill>
        <patternFill patternType="solid">
          <bgColor theme="2" tint="-9.9917600024414813E-2"/>
        </patternFill>
      </fill>
      <border>
        <left/>
        <right/>
        <top/>
        <bottom/>
      </border>
    </dxf>
    <dxf>
      <font>
        <color theme="0"/>
      </font>
      <fill>
        <patternFill patternType="solid">
          <bgColor theme="0"/>
        </patternFill>
      </fill>
      <border>
        <left/>
        <right/>
        <top/>
        <bottom/>
      </border>
    </dxf>
    <dxf>
      <font>
        <color rgb="FF9C0006"/>
      </font>
      <fill>
        <patternFill patternType="solid">
          <bgColor rgb="FFFFC7CE"/>
        </patternFill>
      </fill>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theme="0"/>
      </font>
      <fill>
        <patternFill patternType="solid">
          <bgColor theme="0"/>
        </patternFill>
      </fill>
    </dxf>
    <dxf>
      <font>
        <color theme="0"/>
      </font>
      <fill>
        <patternFill patternType="solid">
          <bgColor theme="0"/>
        </patternFill>
      </fill>
    </dxf>
    <dxf>
      <font>
        <color theme="0"/>
      </font>
      <fill>
        <patternFill patternType="solid">
          <bgColor theme="0"/>
        </patternFill>
      </fill>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theme="2" tint="-0.24994659260841701"/>
      </font>
      <fill>
        <patternFill patternType="solid">
          <fgColor theme="2" tint="-0.24994659260841701"/>
          <bgColor theme="2" tint="-9.9917600024414813E-2"/>
        </patternFill>
      </fill>
    </dxf>
    <dxf>
      <font>
        <color rgb="FF9C0006"/>
      </font>
      <fill>
        <patternFill patternType="solid">
          <bgColor rgb="FFFFC7CE"/>
        </patternFill>
      </fill>
    </dxf>
    <dxf>
      <font>
        <color rgb="FF9C0006"/>
      </font>
      <fill>
        <patternFill patternType="solid">
          <bgColor rgb="FFFFC7CE"/>
        </patternFill>
      </fill>
    </dxf>
    <dxf>
      <font>
        <color theme="0"/>
      </font>
      <fill>
        <patternFill patternType="none"/>
      </fill>
      <border>
        <left/>
        <right/>
        <top/>
        <bottom/>
      </border>
    </dxf>
    <dxf>
      <font>
        <color theme="0"/>
      </font>
      <fill>
        <patternFill patternType="none"/>
      </fill>
    </dxf>
    <dxf>
      <font>
        <color theme="0"/>
      </font>
      <fill>
        <patternFill patternType="none"/>
      </fill>
      <border>
        <left/>
        <right/>
        <top/>
        <bottom/>
      </border>
    </dxf>
    <dxf>
      <font>
        <color theme="0"/>
      </font>
      <fill>
        <patternFill patternType="none"/>
      </fill>
      <border>
        <left/>
        <right/>
        <top/>
        <bottom/>
      </border>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theme="0"/>
      </font>
      <fill>
        <patternFill patternType="none"/>
      </fill>
      <border>
        <left/>
        <right/>
        <top/>
        <bottom/>
      </border>
    </dxf>
    <dxf>
      <font>
        <color theme="0"/>
      </font>
      <fill>
        <patternFill patternType="none"/>
      </fill>
    </dxf>
    <dxf>
      <font>
        <color theme="0"/>
      </font>
      <fill>
        <patternFill patternType="none"/>
      </fill>
      <border>
        <left/>
        <right/>
        <top/>
        <bottom/>
      </border>
    </dxf>
    <dxf>
      <font>
        <color theme="0"/>
      </font>
      <fill>
        <patternFill patternType="none"/>
      </fill>
      <border>
        <left/>
        <right/>
        <top/>
        <bottom/>
      </border>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APPS1</c:v>
          </c:tx>
          <c:spPr>
            <a:ln w="19050" cap="rnd">
              <a:solidFill>
                <a:schemeClr val="accent1"/>
              </a:solidFill>
              <a:round/>
            </a:ln>
            <a:effectLst/>
          </c:spPr>
          <c:marker>
            <c:symbol val="none"/>
          </c:marker>
          <c:xVal>
            <c:numRef>
              <c:f>'扭矩指令 Torque Security'!$A$7:$A$12</c:f>
              <c:numCache>
                <c:formatCode>0%</c:formatCode>
                <c:ptCount val="6"/>
                <c:pt idx="0">
                  <c:v>0</c:v>
                </c:pt>
                <c:pt idx="1">
                  <c:v>0.2</c:v>
                </c:pt>
                <c:pt idx="2">
                  <c:v>0.4</c:v>
                </c:pt>
                <c:pt idx="3">
                  <c:v>0.6</c:v>
                </c:pt>
                <c:pt idx="4">
                  <c:v>0.8</c:v>
                </c:pt>
                <c:pt idx="5">
                  <c:v>1</c:v>
                </c:pt>
              </c:numCache>
            </c:numRef>
          </c:xVal>
          <c:yVal>
            <c:numRef>
              <c:f>'扭矩指令 Torque Security'!$B$7:$B$12</c:f>
              <c:numCache>
                <c:formatCode>General</c:formatCode>
                <c:ptCount val="6"/>
                <c:pt idx="0">
                  <c:v>1</c:v>
                </c:pt>
                <c:pt idx="1">
                  <c:v>1.1499999999999999</c:v>
                </c:pt>
                <c:pt idx="2">
                  <c:v>1.3</c:v>
                </c:pt>
                <c:pt idx="3">
                  <c:v>1.45</c:v>
                </c:pt>
                <c:pt idx="4">
                  <c:v>1.6</c:v>
                </c:pt>
                <c:pt idx="5">
                  <c:v>1.75</c:v>
                </c:pt>
              </c:numCache>
            </c:numRef>
          </c:yVal>
          <c:smooth val="0"/>
          <c:extLst>
            <c:ext xmlns:c16="http://schemas.microsoft.com/office/drawing/2014/chart" uri="{C3380CC4-5D6E-409C-BE32-E72D297353CC}">
              <c16:uniqueId val="{00000000-DF56-46D4-A4B9-655A1797E950}"/>
            </c:ext>
          </c:extLst>
        </c:ser>
        <c:ser>
          <c:idx val="1"/>
          <c:order val="1"/>
          <c:tx>
            <c:v>APPS2</c:v>
          </c:tx>
          <c:spPr>
            <a:ln w="19050" cap="rnd">
              <a:solidFill>
                <a:schemeClr val="accent2"/>
              </a:solidFill>
              <a:round/>
            </a:ln>
            <a:effectLst/>
          </c:spPr>
          <c:marker>
            <c:symbol val="none"/>
          </c:marker>
          <c:xVal>
            <c:numRef>
              <c:f>'扭矩指令 Torque Security'!$A$7:$A$12</c:f>
              <c:numCache>
                <c:formatCode>0%</c:formatCode>
                <c:ptCount val="6"/>
                <c:pt idx="0">
                  <c:v>0</c:v>
                </c:pt>
                <c:pt idx="1">
                  <c:v>0.2</c:v>
                </c:pt>
                <c:pt idx="2">
                  <c:v>0.4</c:v>
                </c:pt>
                <c:pt idx="3">
                  <c:v>0.6</c:v>
                </c:pt>
                <c:pt idx="4">
                  <c:v>0.8</c:v>
                </c:pt>
                <c:pt idx="5">
                  <c:v>1</c:v>
                </c:pt>
              </c:numCache>
            </c:numRef>
          </c:xVal>
          <c:yVal>
            <c:numRef>
              <c:f>'扭矩指令 Torque Security'!$D$7:$D$12</c:f>
              <c:numCache>
                <c:formatCode>General</c:formatCode>
                <c:ptCount val="6"/>
                <c:pt idx="0">
                  <c:v>2</c:v>
                </c:pt>
                <c:pt idx="1">
                  <c:v>2.15</c:v>
                </c:pt>
                <c:pt idx="2">
                  <c:v>2.2999999999999998</c:v>
                </c:pt>
                <c:pt idx="3">
                  <c:v>2.4500000000000002</c:v>
                </c:pt>
                <c:pt idx="4">
                  <c:v>2.6</c:v>
                </c:pt>
                <c:pt idx="5">
                  <c:v>2.75</c:v>
                </c:pt>
              </c:numCache>
            </c:numRef>
          </c:yVal>
          <c:smooth val="0"/>
          <c:extLst>
            <c:ext xmlns:c16="http://schemas.microsoft.com/office/drawing/2014/chart" uri="{C3380CC4-5D6E-409C-BE32-E72D297353CC}">
              <c16:uniqueId val="{00000001-DF56-46D4-A4B9-655A1797E950}"/>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ltLang="en-US"/>
                  <a:t>踏板行程 </a:t>
                </a:r>
                <a:r>
                  <a:rPr lang="en-US" altLang="zh-CN"/>
                  <a:t>travel</a:t>
                </a:r>
                <a:r>
                  <a:rPr lang="en-US"/>
                  <a:t>[%]</a:t>
                </a:r>
              </a:p>
            </c:rich>
          </c:tx>
          <c:overlay val="0"/>
          <c:spPr>
            <a:noFill/>
            <a:ln>
              <a:noFill/>
            </a:ln>
            <a:effectLst/>
          </c:spPr>
          <c:txPr>
            <a:bodyPr rot="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ltLang="en-US"/>
                  <a:t>传感器输出 </a:t>
                </a:r>
                <a:r>
                  <a:rPr lang="en-US" altLang="zh-CN"/>
                  <a:t>Output </a:t>
                </a:r>
                <a:r>
                  <a:rPr lang="en-US" baseline="0"/>
                  <a:t>[V]</a:t>
                </a:r>
                <a:endParaRPr lang="en-US"/>
              </a:p>
            </c:rich>
          </c:tx>
          <c:overlay val="0"/>
          <c:spPr>
            <a:noFill/>
            <a:ln>
              <a:noFill/>
            </a:ln>
            <a:effectLst/>
          </c:spPr>
          <c:txPr>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uri="{0b15fc19-7d7d-44ad-8c2d-2c3a37ce22c3}">
        <chartProps xmlns="https://web.wps.cn/et/2018/main" chartId="{6fbbb709-6a9d-4499-9cbc-00dfa33aadaa}"/>
      </c:ext>
    </c:extLst>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jpe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jpe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jpeg"/><Relationship Id="rId6" Type="http://schemas.openxmlformats.org/officeDocument/2006/relationships/image" Target="../media/image24.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pn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12</xdr:col>
      <xdr:colOff>160813</xdr:colOff>
      <xdr:row>7</xdr:row>
      <xdr:rowOff>351313</xdr:rowOff>
    </xdr:from>
    <xdr:to>
      <xdr:col>22</xdr:col>
      <xdr:colOff>500883</xdr:colOff>
      <xdr:row>19</xdr:row>
      <xdr:rowOff>231323</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8195945" y="2983865"/>
          <a:ext cx="7060565" cy="4794885"/>
        </a:xfrm>
        <a:prstGeom prst="rect">
          <a:avLst/>
        </a:prstGeom>
      </xdr:spPr>
    </xdr:pic>
    <xdr:clientData/>
  </xdr:twoCellAnchor>
  <xdr:twoCellAnchor editAs="oneCell">
    <xdr:from>
      <xdr:col>0</xdr:col>
      <xdr:colOff>20320</xdr:colOff>
      <xdr:row>1</xdr:row>
      <xdr:rowOff>163195</xdr:rowOff>
    </xdr:from>
    <xdr:to>
      <xdr:col>11</xdr:col>
      <xdr:colOff>0</xdr:colOff>
      <xdr:row>23</xdr:row>
      <xdr:rowOff>67945</xdr:rowOff>
    </xdr:to>
    <xdr:pic>
      <xdr:nvPicPr>
        <xdr:cNvPr id="2" name="图片 1" descr="D:/seur/E24/ESF/dd39d8ffbfb9eb75ceed5de71e8cf870.pngdd39d8ffbfb9eb75ceed5de71e8cf870">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rcRect l="3952" t="-4" r="3952" b="4"/>
        <a:stretch>
          <a:fillRect/>
        </a:stretch>
      </xdr:blipFill>
      <xdr:spPr>
        <a:xfrm>
          <a:off x="20320" y="338455"/>
          <a:ext cx="7397750" cy="8915400"/>
        </a:xfrm>
        <a:prstGeom prst="rect">
          <a:avLst/>
        </a:prstGeom>
      </xdr:spPr>
    </xdr:pic>
    <xdr:clientData/>
  </xdr:twoCellAnchor>
  <xdr:twoCellAnchor>
    <xdr:from>
      <xdr:col>3</xdr:col>
      <xdr:colOff>375920</xdr:colOff>
      <xdr:row>24</xdr:row>
      <xdr:rowOff>4445</xdr:rowOff>
    </xdr:from>
    <xdr:to>
      <xdr:col>8</xdr:col>
      <xdr:colOff>57478</xdr:colOff>
      <xdr:row>25</xdr:row>
      <xdr:rowOff>49267</xdr:rowOff>
    </xdr:to>
    <xdr:sp macro="" textlink="">
      <xdr:nvSpPr>
        <xdr:cNvPr id="4" name="文本框 3">
          <a:extLst>
            <a:ext uri="{FF2B5EF4-FFF2-40B4-BE49-F238E27FC236}">
              <a16:creationId xmlns:a16="http://schemas.microsoft.com/office/drawing/2014/main" id="{00000000-0008-0000-0200-000004000000}"/>
            </a:ext>
          </a:extLst>
        </xdr:cNvPr>
        <xdr:cNvSpPr txBox="1"/>
      </xdr:nvSpPr>
      <xdr:spPr>
        <a:xfrm>
          <a:off x="2445144" y="9619769"/>
          <a:ext cx="2883929" cy="455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800">
              <a:solidFill>
                <a:srgbClr val="FF0000"/>
              </a:solidFill>
            </a:rPr>
            <a:t>增加能量计电压测量线</a:t>
          </a:r>
        </a:p>
      </xdr:txBody>
    </xdr:sp>
    <xdr:clientData/>
  </xdr:twoCellAnchor>
  <xdr:twoCellAnchor>
    <xdr:from>
      <xdr:col>2</xdr:col>
      <xdr:colOff>426983</xdr:colOff>
      <xdr:row>11</xdr:row>
      <xdr:rowOff>57477</xdr:rowOff>
    </xdr:from>
    <xdr:to>
      <xdr:col>3</xdr:col>
      <xdr:colOff>375920</xdr:colOff>
      <xdr:row>24</xdr:row>
      <xdr:rowOff>232136</xdr:rowOff>
    </xdr:to>
    <xdr:cxnSp macro="">
      <xdr:nvCxnSpPr>
        <xdr:cNvPr id="7" name="直接箭头连接符 6">
          <a:extLst>
            <a:ext uri="{FF2B5EF4-FFF2-40B4-BE49-F238E27FC236}">
              <a16:creationId xmlns:a16="http://schemas.microsoft.com/office/drawing/2014/main" id="{DB88F579-34BB-0A6A-80DA-E4E5680D0493}"/>
            </a:ext>
          </a:extLst>
        </xdr:cNvPr>
        <xdr:cNvCxnSpPr>
          <a:endCxn id="4" idx="1"/>
        </xdr:cNvCxnSpPr>
      </xdr:nvCxnSpPr>
      <xdr:spPr>
        <a:xfrm>
          <a:off x="1855733" y="4335517"/>
          <a:ext cx="589411" cy="551194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85783</xdr:colOff>
      <xdr:row>33</xdr:row>
      <xdr:rowOff>85331</xdr:rowOff>
    </xdr:from>
    <xdr:to>
      <xdr:col>40</xdr:col>
      <xdr:colOff>163285</xdr:colOff>
      <xdr:row>45</xdr:row>
      <xdr:rowOff>166708</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403675" y="6151245"/>
          <a:ext cx="3003550" cy="2184400"/>
        </a:xfrm>
        <a:prstGeom prst="rect">
          <a:avLst/>
        </a:prstGeom>
      </xdr:spPr>
    </xdr:pic>
    <xdr:clientData/>
  </xdr:twoCellAnchor>
  <xdr:twoCellAnchor editAs="oneCell">
    <xdr:from>
      <xdr:col>45</xdr:col>
      <xdr:colOff>487466</xdr:colOff>
      <xdr:row>34</xdr:row>
      <xdr:rowOff>36885</xdr:rowOff>
    </xdr:from>
    <xdr:to>
      <xdr:col>51</xdr:col>
      <xdr:colOff>216956</xdr:colOff>
      <xdr:row>51</xdr:row>
      <xdr:rowOff>100666</xdr:rowOff>
    </xdr:to>
    <xdr:pic>
      <xdr:nvPicPr>
        <xdr:cNvPr id="6" name="图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388675" y="6278245"/>
          <a:ext cx="4118610" cy="3042920"/>
        </a:xfrm>
        <a:prstGeom prst="rect">
          <a:avLst/>
        </a:prstGeom>
      </xdr:spPr>
    </xdr:pic>
    <xdr:clientData/>
  </xdr:twoCellAnchor>
  <xdr:twoCellAnchor editAs="oneCell">
    <xdr:from>
      <xdr:col>0</xdr:col>
      <xdr:colOff>0</xdr:colOff>
      <xdr:row>32</xdr:row>
      <xdr:rowOff>0</xdr:rowOff>
    </xdr:from>
    <xdr:to>
      <xdr:col>5</xdr:col>
      <xdr:colOff>177512</xdr:colOff>
      <xdr:row>50</xdr:row>
      <xdr:rowOff>71526</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5888355"/>
          <a:ext cx="4543425" cy="3228340"/>
        </a:xfrm>
        <a:prstGeom prst="rect">
          <a:avLst/>
        </a:prstGeom>
      </xdr:spPr>
    </xdr:pic>
    <xdr:clientData/>
  </xdr:twoCellAnchor>
  <xdr:twoCellAnchor editAs="oneCell">
    <xdr:from>
      <xdr:col>18</xdr:col>
      <xdr:colOff>17318</xdr:colOff>
      <xdr:row>28</xdr:row>
      <xdr:rowOff>8658</xdr:rowOff>
    </xdr:from>
    <xdr:to>
      <xdr:col>21</xdr:col>
      <xdr:colOff>486033</xdr:colOff>
      <xdr:row>40</xdr:row>
      <xdr:rowOff>125505</xdr:rowOff>
    </xdr:to>
    <xdr:pic>
      <xdr:nvPicPr>
        <xdr:cNvPr id="15" name="图片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56255" y="5195570"/>
          <a:ext cx="2811780" cy="2222500"/>
        </a:xfrm>
        <a:prstGeom prst="rect">
          <a:avLst/>
        </a:prstGeom>
      </xdr:spPr>
    </xdr:pic>
    <xdr:clientData/>
  </xdr:twoCellAnchor>
  <xdr:twoCellAnchor editAs="oneCell">
    <xdr:from>
      <xdr:col>19</xdr:col>
      <xdr:colOff>228849</xdr:colOff>
      <xdr:row>41</xdr:row>
      <xdr:rowOff>19789</xdr:rowOff>
    </xdr:from>
    <xdr:to>
      <xdr:col>21</xdr:col>
      <xdr:colOff>379561</xdr:colOff>
      <xdr:row>51</xdr:row>
      <xdr:rowOff>130205</xdr:rowOff>
    </xdr:to>
    <xdr:pic>
      <xdr:nvPicPr>
        <xdr:cNvPr id="16" name="图片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99230" y="7487920"/>
          <a:ext cx="1762125" cy="1863090"/>
        </a:xfrm>
        <a:prstGeom prst="rect">
          <a:avLst/>
        </a:prstGeom>
      </xdr:spPr>
    </xdr:pic>
    <xdr:clientData/>
  </xdr:twoCellAnchor>
  <xdr:twoCellAnchor editAs="oneCell">
    <xdr:from>
      <xdr:col>22</xdr:col>
      <xdr:colOff>64323</xdr:colOff>
      <xdr:row>30</xdr:row>
      <xdr:rowOff>16167</xdr:rowOff>
    </xdr:from>
    <xdr:to>
      <xdr:col>25</xdr:col>
      <xdr:colOff>497865</xdr:colOff>
      <xdr:row>41</xdr:row>
      <xdr:rowOff>2306</xdr:rowOff>
    </xdr:to>
    <xdr:pic>
      <xdr:nvPicPr>
        <xdr:cNvPr id="17" name="图片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77915" y="5553710"/>
          <a:ext cx="2628265" cy="1916430"/>
        </a:xfrm>
        <a:prstGeom prst="rect">
          <a:avLst/>
        </a:prstGeom>
      </xdr:spPr>
    </xdr:pic>
    <xdr:clientData/>
  </xdr:twoCellAnchor>
  <xdr:twoCellAnchor editAs="oneCell">
    <xdr:from>
      <xdr:col>27</xdr:col>
      <xdr:colOff>164522</xdr:colOff>
      <xdr:row>19</xdr:row>
      <xdr:rowOff>0</xdr:rowOff>
    </xdr:from>
    <xdr:to>
      <xdr:col>32</xdr:col>
      <xdr:colOff>648213</xdr:colOff>
      <xdr:row>50</xdr:row>
      <xdr:rowOff>152068</xdr:rowOff>
    </xdr:to>
    <xdr:pic>
      <xdr:nvPicPr>
        <xdr:cNvPr id="18" name="图片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635845" y="3602355"/>
          <a:ext cx="4140835" cy="5594985"/>
        </a:xfrm>
        <a:prstGeom prst="rect">
          <a:avLst/>
        </a:prstGeom>
      </xdr:spPr>
    </xdr:pic>
    <xdr:clientData/>
  </xdr:twoCellAnchor>
  <xdr:twoCellAnchor editAs="oneCell">
    <xdr:from>
      <xdr:col>38</xdr:col>
      <xdr:colOff>0</xdr:colOff>
      <xdr:row>7</xdr:row>
      <xdr:rowOff>176892</xdr:rowOff>
    </xdr:from>
    <xdr:to>
      <xdr:col>45</xdr:col>
      <xdr:colOff>0</xdr:colOff>
      <xdr:row>22</xdr:row>
      <xdr:rowOff>54427</xdr:rowOff>
    </xdr:to>
    <xdr:pic>
      <xdr:nvPicPr>
        <xdr:cNvPr id="20" name="图片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8"/>
        <a:stretch>
          <a:fillRect/>
        </a:stretch>
      </xdr:blipFill>
      <xdr:spPr>
        <a:xfrm>
          <a:off x="30780990" y="1402080"/>
          <a:ext cx="5120640" cy="2780030"/>
        </a:xfrm>
        <a:prstGeom prst="rect">
          <a:avLst/>
        </a:prstGeom>
      </xdr:spPr>
    </xdr:pic>
    <xdr:clientData/>
  </xdr:twoCellAnchor>
  <xdr:twoCellAnchor editAs="oneCell">
    <xdr:from>
      <xdr:col>0</xdr:col>
      <xdr:colOff>0</xdr:colOff>
      <xdr:row>63</xdr:row>
      <xdr:rowOff>0</xdr:rowOff>
    </xdr:from>
    <xdr:to>
      <xdr:col>6</xdr:col>
      <xdr:colOff>333519</xdr:colOff>
      <xdr:row>81</xdr:row>
      <xdr:rowOff>109903</xdr:rowOff>
    </xdr:to>
    <xdr:pic>
      <xdr:nvPicPr>
        <xdr:cNvPr id="22" name="图片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9"/>
        <a:srcRect b="21276"/>
        <a:stretch>
          <a:fillRect/>
        </a:stretch>
      </xdr:blipFill>
      <xdr:spPr>
        <a:xfrm>
          <a:off x="0" y="12094210"/>
          <a:ext cx="5431155" cy="3264535"/>
        </a:xfrm>
        <a:prstGeom prst="rect">
          <a:avLst/>
        </a:prstGeom>
      </xdr:spPr>
    </xdr:pic>
    <xdr:clientData/>
  </xdr:twoCellAnchor>
  <xdr:twoCellAnchor editAs="oneCell">
    <xdr:from>
      <xdr:col>10</xdr:col>
      <xdr:colOff>420832</xdr:colOff>
      <xdr:row>28</xdr:row>
      <xdr:rowOff>152896</xdr:rowOff>
    </xdr:from>
    <xdr:to>
      <xdr:col>13</xdr:col>
      <xdr:colOff>31785</xdr:colOff>
      <xdr:row>38</xdr:row>
      <xdr:rowOff>114345</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75750" y="5339715"/>
          <a:ext cx="1885950" cy="1717040"/>
        </a:xfrm>
        <a:prstGeom prst="rect">
          <a:avLst/>
        </a:prstGeom>
      </xdr:spPr>
    </xdr:pic>
    <xdr:clientData/>
  </xdr:twoCellAnchor>
  <xdr:twoCellAnchor editAs="oneCell">
    <xdr:from>
      <xdr:col>13</xdr:col>
      <xdr:colOff>397400</xdr:colOff>
      <xdr:row>29</xdr:row>
      <xdr:rowOff>43394</xdr:rowOff>
    </xdr:from>
    <xdr:to>
      <xdr:col>16</xdr:col>
      <xdr:colOff>81130</xdr:colOff>
      <xdr:row>38</xdr:row>
      <xdr:rowOff>139964</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1"/>
        <a:srcRect l="4626" r="5620" b="16790"/>
        <a:stretch>
          <a:fillRect/>
        </a:stretch>
      </xdr:blipFill>
      <xdr:spPr>
        <a:xfrm>
          <a:off x="11426825" y="5405755"/>
          <a:ext cx="2506980" cy="1676400"/>
        </a:xfrm>
        <a:prstGeom prst="rect">
          <a:avLst/>
        </a:prstGeom>
      </xdr:spPr>
    </xdr:pic>
    <xdr:clientData/>
  </xdr:twoCellAnchor>
  <xdr:twoCellAnchor>
    <xdr:from>
      <xdr:col>21</xdr:col>
      <xdr:colOff>413656</xdr:colOff>
      <xdr:row>41</xdr:row>
      <xdr:rowOff>130630</xdr:rowOff>
    </xdr:from>
    <xdr:to>
      <xdr:col>25</xdr:col>
      <xdr:colOff>757148</xdr:colOff>
      <xdr:row>49</xdr:row>
      <xdr:rowOff>17019</xdr:rowOff>
    </xdr:to>
    <xdr:sp macro="" textlink="">
      <xdr:nvSpPr>
        <xdr:cNvPr id="7" name="文本框 6">
          <a:extLst>
            <a:ext uri="{FF2B5EF4-FFF2-40B4-BE49-F238E27FC236}">
              <a16:creationId xmlns:a16="http://schemas.microsoft.com/office/drawing/2014/main" id="{00000000-0008-0000-0300-000007000000}"/>
            </a:ext>
          </a:extLst>
        </xdr:cNvPr>
        <xdr:cNvSpPr txBox="1"/>
      </xdr:nvSpPr>
      <xdr:spPr>
        <a:xfrm>
          <a:off x="18495645" y="7598410"/>
          <a:ext cx="3244215" cy="1288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b="1"/>
            <a:t>左图展示了温度传感器采样点均匀分布在模组当中，五个模组如图布置，从整体上依然保证分布足够均匀，能够展示整块电池包的温度状况。右图则展示温度传感器线与极耳的相对位置。</a:t>
          </a:r>
        </a:p>
      </xdr:txBody>
    </xdr:sp>
    <xdr:clientData/>
  </xdr:twoCellAnchor>
  <xdr:twoCellAnchor editAs="oneCell">
    <xdr:from>
      <xdr:col>40</xdr:col>
      <xdr:colOff>181032</xdr:colOff>
      <xdr:row>34</xdr:row>
      <xdr:rowOff>17296</xdr:rowOff>
    </xdr:from>
    <xdr:to>
      <xdr:col>44</xdr:col>
      <xdr:colOff>161378</xdr:colOff>
      <xdr:row>45</xdr:row>
      <xdr:rowOff>34871</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7550" r="66685" b="62135"/>
        <a:stretch>
          <a:fillRect/>
        </a:stretch>
      </xdr:blipFill>
      <xdr:spPr>
        <a:xfrm>
          <a:off x="32425005" y="6258560"/>
          <a:ext cx="2906395" cy="1945005"/>
        </a:xfrm>
        <a:prstGeom prst="rect">
          <a:avLst/>
        </a:prstGeom>
      </xdr:spPr>
    </xdr:pic>
    <xdr:clientData/>
  </xdr:twoCellAnchor>
  <xdr:twoCellAnchor>
    <xdr:from>
      <xdr:col>41</xdr:col>
      <xdr:colOff>77756</xdr:colOff>
      <xdr:row>45</xdr:row>
      <xdr:rowOff>163286</xdr:rowOff>
    </xdr:from>
    <xdr:to>
      <xdr:col>43</xdr:col>
      <xdr:colOff>209939</xdr:colOff>
      <xdr:row>48</xdr:row>
      <xdr:rowOff>147733</xdr:rowOff>
    </xdr:to>
    <xdr:sp macro="" textlink="">
      <xdr:nvSpPr>
        <xdr:cNvPr id="10" name="文本框 9">
          <a:extLst>
            <a:ext uri="{FF2B5EF4-FFF2-40B4-BE49-F238E27FC236}">
              <a16:creationId xmlns:a16="http://schemas.microsoft.com/office/drawing/2014/main" id="{00000000-0008-0000-0300-00000A000000}"/>
            </a:ext>
          </a:extLst>
        </xdr:cNvPr>
        <xdr:cNvSpPr txBox="1"/>
      </xdr:nvSpPr>
      <xdr:spPr>
        <a:xfrm>
          <a:off x="33053020" y="8332470"/>
          <a:ext cx="1595120" cy="50990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模组间绝缘：聚碳酸酯板及</a:t>
          </a:r>
          <a:r>
            <a:rPr lang="en-US" altLang="zh-CN" sz="1100"/>
            <a:t>formex</a:t>
          </a:r>
          <a:r>
            <a:rPr lang="zh-CN" altLang="en-US" sz="1100"/>
            <a:t>覆盖</a:t>
          </a:r>
        </a:p>
      </xdr:txBody>
    </xdr:sp>
    <xdr:clientData/>
  </xdr:twoCellAnchor>
  <xdr:twoCellAnchor>
    <xdr:from>
      <xdr:col>38</xdr:col>
      <xdr:colOff>506185</xdr:colOff>
      <xdr:row>23</xdr:row>
      <xdr:rowOff>103414</xdr:rowOff>
    </xdr:from>
    <xdr:to>
      <xdr:col>41</xdr:col>
      <xdr:colOff>533400</xdr:colOff>
      <xdr:row>26</xdr:row>
      <xdr:rowOff>114300</xdr:rowOff>
    </xdr:to>
    <xdr:sp macro="" textlink="">
      <xdr:nvSpPr>
        <xdr:cNvPr id="11" name="文本框 10">
          <a:extLst>
            <a:ext uri="{FF2B5EF4-FFF2-40B4-BE49-F238E27FC236}">
              <a16:creationId xmlns:a16="http://schemas.microsoft.com/office/drawing/2014/main" id="{00000000-0008-0000-0300-00000B000000}"/>
            </a:ext>
          </a:extLst>
        </xdr:cNvPr>
        <xdr:cNvSpPr txBox="1"/>
      </xdr:nvSpPr>
      <xdr:spPr>
        <a:xfrm>
          <a:off x="31287085" y="4406265"/>
          <a:ext cx="2221865" cy="5372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左侧低压，右侧高压且＞</a:t>
          </a:r>
          <a:r>
            <a:rPr lang="en-US" altLang="zh-CN" sz="1100"/>
            <a:t>12.7mm</a:t>
          </a:r>
          <a:endParaRPr lang="zh-CN" altLang="en-US" sz="1100"/>
        </a:p>
      </xdr:txBody>
    </xdr:sp>
    <xdr:clientData/>
  </xdr:twoCellAnchor>
  <xdr:twoCellAnchor editAs="oneCell">
    <xdr:from>
      <xdr:col>9</xdr:col>
      <xdr:colOff>292552</xdr:colOff>
      <xdr:row>39</xdr:row>
      <xdr:rowOff>9624</xdr:rowOff>
    </xdr:from>
    <xdr:to>
      <xdr:col>15</xdr:col>
      <xdr:colOff>373603</xdr:colOff>
      <xdr:row>51</xdr:row>
      <xdr:rowOff>5584</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8315960" y="7127240"/>
          <a:ext cx="5179060" cy="2098675"/>
        </a:xfrm>
        <a:prstGeom prst="rect">
          <a:avLst/>
        </a:prstGeom>
      </xdr:spPr>
    </xdr:pic>
    <xdr:clientData/>
  </xdr:twoCellAnchor>
  <xdr:twoCellAnchor>
    <xdr:from>
      <xdr:col>15</xdr:col>
      <xdr:colOff>415017</xdr:colOff>
      <xdr:row>40</xdr:row>
      <xdr:rowOff>88447</xdr:rowOff>
    </xdr:from>
    <xdr:to>
      <xdr:col>17</xdr:col>
      <xdr:colOff>563336</xdr:colOff>
      <xdr:row>50</xdr:row>
      <xdr:rowOff>57150</xdr:rowOff>
    </xdr:to>
    <xdr:sp macro="" textlink="">
      <xdr:nvSpPr>
        <xdr:cNvPr id="14" name="文本框 13">
          <a:extLst>
            <a:ext uri="{FF2B5EF4-FFF2-40B4-BE49-F238E27FC236}">
              <a16:creationId xmlns:a16="http://schemas.microsoft.com/office/drawing/2014/main" id="{00000000-0008-0000-0300-00000E000000}"/>
            </a:ext>
          </a:extLst>
        </xdr:cNvPr>
        <xdr:cNvSpPr txBox="1"/>
      </xdr:nvSpPr>
      <xdr:spPr>
        <a:xfrm>
          <a:off x="13536295" y="7381240"/>
          <a:ext cx="2034540" cy="17214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solidFill>
                <a:sysClr val="windowText" lastClr="000000"/>
              </a:solidFill>
            </a:rPr>
            <a:t>采用</a:t>
          </a:r>
          <a:r>
            <a:rPr lang="en-US" altLang="zh-CN" sz="1100" b="1">
              <a:solidFill>
                <a:sysClr val="windowText" lastClr="000000"/>
              </a:solidFill>
            </a:rPr>
            <a:t>EVA</a:t>
          </a:r>
          <a:r>
            <a:rPr lang="zh-CN" altLang="en-US" sz="1100" b="1">
              <a:solidFill>
                <a:sysClr val="windowText" lastClr="000000"/>
              </a:solidFill>
            </a:rPr>
            <a:t>泡棉</a:t>
          </a:r>
          <a:r>
            <a:rPr lang="zh-CN" altLang="zh-CN" sz="1100" b="1">
              <a:solidFill>
                <a:sysClr val="windowText" lastClr="000000"/>
              </a:solidFill>
              <a:effectLst/>
              <a:latin typeface="+mn-lt"/>
              <a:ea typeface="+mn-ea"/>
              <a:cs typeface="+mn-cs"/>
            </a:rPr>
            <a:t>（绝缘材料中第四种）</a:t>
          </a:r>
          <a:r>
            <a:rPr lang="zh-CN" altLang="en-US" sz="1100" b="1">
              <a:solidFill>
                <a:sysClr val="windowText" lastClr="000000"/>
              </a:solidFill>
            </a:rPr>
            <a:t>对电芯肩部进行填充保护，按规格书进行建模以及参数选取后，进行</a:t>
          </a:r>
          <a:r>
            <a:rPr lang="en-US" altLang="zh-CN" sz="1100" b="1">
              <a:solidFill>
                <a:sysClr val="windowText" lastClr="000000"/>
              </a:solidFill>
            </a:rPr>
            <a:t>20g</a:t>
          </a:r>
          <a:r>
            <a:rPr lang="zh-CN" altLang="en-US" sz="1100" b="1">
              <a:solidFill>
                <a:sysClr val="windowText" lastClr="000000"/>
              </a:solidFill>
            </a:rPr>
            <a:t>微观工况仿真得到如图表现，</a:t>
          </a:r>
          <a:r>
            <a:rPr lang="en-US" altLang="zh-CN" sz="1100" b="1">
              <a:solidFill>
                <a:sysClr val="windowText" lastClr="000000"/>
              </a:solidFill>
            </a:rPr>
            <a:t>3mm</a:t>
          </a:r>
          <a:r>
            <a:rPr lang="zh-CN" altLang="en-US" sz="1100" b="1">
              <a:solidFill>
                <a:sysClr val="windowText" lastClr="000000"/>
              </a:solidFill>
            </a:rPr>
            <a:t>的泡棉发生最大</a:t>
          </a:r>
          <a:r>
            <a:rPr lang="en-US" altLang="zh-CN" sz="1100" b="1">
              <a:solidFill>
                <a:sysClr val="windowText" lastClr="000000"/>
              </a:solidFill>
            </a:rPr>
            <a:t>0.6mm</a:t>
          </a:r>
          <a:r>
            <a:rPr lang="zh-CN" altLang="en-US" sz="1100" b="1">
              <a:solidFill>
                <a:sysClr val="windowText" lastClr="000000"/>
              </a:solidFill>
            </a:rPr>
            <a:t>形变，能够有效保护极耳部分免受机械负载</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334401</xdr:colOff>
      <xdr:row>11</xdr:row>
      <xdr:rowOff>38100</xdr:rowOff>
    </xdr:from>
    <xdr:to>
      <xdr:col>21</xdr:col>
      <xdr:colOff>767539</xdr:colOff>
      <xdr:row>29</xdr:row>
      <xdr:rowOff>81349</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09880" y="1965960"/>
          <a:ext cx="2536190" cy="3197860"/>
        </a:xfrm>
        <a:prstGeom prst="rect">
          <a:avLst/>
        </a:prstGeom>
      </xdr:spPr>
    </xdr:pic>
    <xdr:clientData/>
  </xdr:twoCellAnchor>
  <xdr:twoCellAnchor editAs="oneCell">
    <xdr:from>
      <xdr:col>22</xdr:col>
      <xdr:colOff>6603</xdr:colOff>
      <xdr:row>12</xdr:row>
      <xdr:rowOff>84278</xdr:rowOff>
    </xdr:from>
    <xdr:to>
      <xdr:col>25</xdr:col>
      <xdr:colOff>411585</xdr:colOff>
      <xdr:row>24</xdr:row>
      <xdr:rowOff>33712</xdr:rowOff>
    </xdr:to>
    <xdr:pic>
      <xdr:nvPicPr>
        <xdr:cNvPr id="4" name="图片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5654020" y="2186940"/>
          <a:ext cx="2759710" cy="205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55452</xdr:colOff>
      <xdr:row>24</xdr:row>
      <xdr:rowOff>85401</xdr:rowOff>
    </xdr:from>
    <xdr:to>
      <xdr:col>25</xdr:col>
      <xdr:colOff>515619</xdr:colOff>
      <xdr:row>37</xdr:row>
      <xdr:rowOff>183036</xdr:rowOff>
    </xdr:to>
    <xdr:sp macro="" textlink="">
      <xdr:nvSpPr>
        <xdr:cNvPr id="6" name="箭头: 直角上 5">
          <a:extLst>
            <a:ext uri="{FF2B5EF4-FFF2-40B4-BE49-F238E27FC236}">
              <a16:creationId xmlns:a16="http://schemas.microsoft.com/office/drawing/2014/main" id="{00000000-0008-0000-0600-000006000000}"/>
            </a:ext>
          </a:extLst>
        </xdr:cNvPr>
        <xdr:cNvSpPr/>
      </xdr:nvSpPr>
      <xdr:spPr>
        <a:xfrm rot="5400000" flipV="1">
          <a:off x="16790670" y="4940935"/>
          <a:ext cx="2376170" cy="1076960"/>
        </a:xfrm>
        <a:prstGeom prst="bentUpArrow">
          <a:avLst>
            <a:gd name="adj1" fmla="val 14489"/>
            <a:gd name="adj2" fmla="val 18199"/>
            <a:gd name="adj3" fmla="val 32420"/>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116632</xdr:colOff>
      <xdr:row>13</xdr:row>
      <xdr:rowOff>139960</xdr:rowOff>
    </xdr:from>
    <xdr:ext cx="6302531" cy="1993882"/>
    <xdr:pic>
      <xdr:nvPicPr>
        <xdr:cNvPr id="7" name="图片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stretch>
          <a:fillRect/>
        </a:stretch>
      </xdr:blipFill>
      <xdr:spPr>
        <a:xfrm>
          <a:off x="6356985" y="2418080"/>
          <a:ext cx="6302375" cy="1993900"/>
        </a:xfrm>
        <a:prstGeom prst="rect">
          <a:avLst/>
        </a:prstGeom>
      </xdr:spPr>
    </xdr:pic>
    <xdr:clientData/>
  </xdr:oneCellAnchor>
  <xdr:twoCellAnchor editAs="oneCell">
    <xdr:from>
      <xdr:col>0</xdr:col>
      <xdr:colOff>523874</xdr:colOff>
      <xdr:row>11</xdr:row>
      <xdr:rowOff>60066</xdr:rowOff>
    </xdr:from>
    <xdr:to>
      <xdr:col>5</xdr:col>
      <xdr:colOff>501449</xdr:colOff>
      <xdr:row>29</xdr:row>
      <xdr:rowOff>129267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a:stretch>
          <a:fillRect/>
        </a:stretch>
      </xdr:blipFill>
      <xdr:spPr>
        <a:xfrm>
          <a:off x="523240" y="1987550"/>
          <a:ext cx="3509645" cy="3223895"/>
        </a:xfrm>
        <a:prstGeom prst="rect">
          <a:avLst/>
        </a:prstGeom>
      </xdr:spPr>
    </xdr:pic>
    <xdr:clientData/>
  </xdr:twoCellAnchor>
  <xdr:twoCellAnchor>
    <xdr:from>
      <xdr:col>5</xdr:col>
      <xdr:colOff>721178</xdr:colOff>
      <xdr:row>23</xdr:row>
      <xdr:rowOff>102053</xdr:rowOff>
    </xdr:from>
    <xdr:to>
      <xdr:col>7</xdr:col>
      <xdr:colOff>278946</xdr:colOff>
      <xdr:row>26</xdr:row>
      <xdr:rowOff>136072</xdr:rowOff>
    </xdr:to>
    <xdr:sp macro="" textlink="">
      <xdr:nvSpPr>
        <xdr:cNvPr id="8" name="文本框 7">
          <a:extLst>
            <a:ext uri="{FF2B5EF4-FFF2-40B4-BE49-F238E27FC236}">
              <a16:creationId xmlns:a16="http://schemas.microsoft.com/office/drawing/2014/main" id="{00000000-0008-0000-0600-000008000000}"/>
            </a:ext>
          </a:extLst>
        </xdr:cNvPr>
        <xdr:cNvSpPr txBox="1"/>
      </xdr:nvSpPr>
      <xdr:spPr>
        <a:xfrm>
          <a:off x="4252595" y="4132580"/>
          <a:ext cx="1032510" cy="5600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solidFill>
                <a:srgbClr val="FF0000"/>
              </a:solidFill>
            </a:rPr>
            <a:t>已修改充电机壳体包络范围</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8</xdr:row>
      <xdr:rowOff>0</xdr:rowOff>
    </xdr:from>
    <xdr:to>
      <xdr:col>33</xdr:col>
      <xdr:colOff>138958</xdr:colOff>
      <xdr:row>30</xdr:row>
      <xdr:rowOff>161584</xdr:rowOff>
    </xdr:to>
    <xdr:pic>
      <xdr:nvPicPr>
        <xdr:cNvPr id="5" name="图片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99180" y="2061210"/>
          <a:ext cx="7545070" cy="4017010"/>
        </a:xfrm>
        <a:prstGeom prst="rect">
          <a:avLst/>
        </a:prstGeom>
      </xdr:spPr>
    </xdr:pic>
    <xdr:clientData/>
  </xdr:twoCellAnchor>
  <xdr:twoCellAnchor editAs="oneCell">
    <xdr:from>
      <xdr:col>36</xdr:col>
      <xdr:colOff>0</xdr:colOff>
      <xdr:row>8</xdr:row>
      <xdr:rowOff>0</xdr:rowOff>
    </xdr:from>
    <xdr:to>
      <xdr:col>47</xdr:col>
      <xdr:colOff>37516</xdr:colOff>
      <xdr:row>30</xdr:row>
      <xdr:rowOff>103060</xdr:rowOff>
    </xdr:to>
    <xdr:pic>
      <xdr:nvPicPr>
        <xdr:cNvPr id="6" name="图片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557480" y="2061210"/>
          <a:ext cx="8107045" cy="3958590"/>
        </a:xfrm>
        <a:prstGeom prst="rect">
          <a:avLst/>
        </a:prstGeom>
      </xdr:spPr>
    </xdr:pic>
    <xdr:clientData/>
  </xdr:twoCellAnchor>
  <xdr:twoCellAnchor editAs="oneCell">
    <xdr:from>
      <xdr:col>0</xdr:col>
      <xdr:colOff>0</xdr:colOff>
      <xdr:row>68</xdr:row>
      <xdr:rowOff>0</xdr:rowOff>
    </xdr:from>
    <xdr:to>
      <xdr:col>5</xdr:col>
      <xdr:colOff>374195</xdr:colOff>
      <xdr:row>93</xdr:row>
      <xdr:rowOff>28177</xdr:rowOff>
    </xdr:to>
    <xdr:pic>
      <xdr:nvPicPr>
        <xdr:cNvPr id="7" name="图片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4664690"/>
          <a:ext cx="3700145" cy="4973320"/>
        </a:xfrm>
        <a:prstGeom prst="rect">
          <a:avLst/>
        </a:prstGeom>
      </xdr:spPr>
    </xdr:pic>
    <xdr:clientData/>
  </xdr:twoCellAnchor>
  <xdr:twoCellAnchor editAs="oneCell">
    <xdr:from>
      <xdr:col>12</xdr:col>
      <xdr:colOff>6804</xdr:colOff>
      <xdr:row>69</xdr:row>
      <xdr:rowOff>27215</xdr:rowOff>
    </xdr:from>
    <xdr:to>
      <xdr:col>22</xdr:col>
      <xdr:colOff>548806</xdr:colOff>
      <xdr:row>84</xdr:row>
      <xdr:rowOff>44328</xdr:rowOff>
    </xdr:to>
    <xdr:pic>
      <xdr:nvPicPr>
        <xdr:cNvPr id="8" name="图片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8898890" y="14866620"/>
          <a:ext cx="6714490" cy="2646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13607</xdr:colOff>
      <xdr:row>85</xdr:row>
      <xdr:rowOff>73010</xdr:rowOff>
    </xdr:from>
    <xdr:to>
      <xdr:col>22</xdr:col>
      <xdr:colOff>585107</xdr:colOff>
      <xdr:row>93</xdr:row>
      <xdr:rowOff>440194</xdr:rowOff>
    </xdr:to>
    <xdr:pic>
      <xdr:nvPicPr>
        <xdr:cNvPr id="9" name="图片 8">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905875" y="17716500"/>
          <a:ext cx="674370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1</xdr:colOff>
      <xdr:row>49</xdr:row>
      <xdr:rowOff>0</xdr:rowOff>
    </xdr:from>
    <xdr:to>
      <xdr:col>47</xdr:col>
      <xdr:colOff>2038</xdr:colOff>
      <xdr:row>60</xdr:row>
      <xdr:rowOff>1600</xdr:rowOff>
    </xdr:to>
    <xdr:pic>
      <xdr:nvPicPr>
        <xdr:cNvPr id="10" name="图片 9">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25557480" y="10460355"/>
          <a:ext cx="8071485" cy="2287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60</xdr:row>
      <xdr:rowOff>225136</xdr:rowOff>
    </xdr:from>
    <xdr:to>
      <xdr:col>42</xdr:col>
      <xdr:colOff>164365</xdr:colOff>
      <xdr:row>73</xdr:row>
      <xdr:rowOff>32545</xdr:rowOff>
    </xdr:to>
    <xdr:pic>
      <xdr:nvPicPr>
        <xdr:cNvPr id="11" name="图片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25557480" y="12971145"/>
          <a:ext cx="3867150" cy="2602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0</xdr:colOff>
      <xdr:row>49</xdr:row>
      <xdr:rowOff>0</xdr:rowOff>
    </xdr:from>
    <xdr:to>
      <xdr:col>57</xdr:col>
      <xdr:colOff>195089</xdr:colOff>
      <xdr:row>74</xdr:row>
      <xdr:rowOff>83860</xdr:rowOff>
    </xdr:to>
    <xdr:pic>
      <xdr:nvPicPr>
        <xdr:cNvPr id="12" name="图片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244280" y="10460355"/>
          <a:ext cx="5749925" cy="5339715"/>
        </a:xfrm>
        <a:prstGeom prst="rect">
          <a:avLst/>
        </a:prstGeom>
      </xdr:spPr>
    </xdr:pic>
    <xdr:clientData/>
  </xdr:twoCellAnchor>
  <xdr:twoCellAnchor editAs="oneCell">
    <xdr:from>
      <xdr:col>0</xdr:col>
      <xdr:colOff>174171</xdr:colOff>
      <xdr:row>9</xdr:row>
      <xdr:rowOff>111581</xdr:rowOff>
    </xdr:from>
    <xdr:to>
      <xdr:col>10</xdr:col>
      <xdr:colOff>0</xdr:colOff>
      <xdr:row>34</xdr:row>
      <xdr:rowOff>133361</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9"/>
        <a:stretch>
          <a:fillRect/>
        </a:stretch>
      </xdr:blipFill>
      <xdr:spPr>
        <a:xfrm>
          <a:off x="173990" y="2347595"/>
          <a:ext cx="7484110" cy="4403725"/>
        </a:xfrm>
        <a:prstGeom prst="rect">
          <a:avLst/>
        </a:prstGeom>
      </xdr:spPr>
    </xdr:pic>
    <xdr:clientData/>
  </xdr:twoCellAnchor>
  <xdr:twoCellAnchor editAs="oneCell">
    <xdr:from>
      <xdr:col>12</xdr:col>
      <xdr:colOff>258537</xdr:colOff>
      <xdr:row>9</xdr:row>
      <xdr:rowOff>0</xdr:rowOff>
    </xdr:from>
    <xdr:to>
      <xdr:col>22</xdr:col>
      <xdr:colOff>445446</xdr:colOff>
      <xdr:row>35</xdr:row>
      <xdr:rowOff>12902</xdr:rowOff>
    </xdr:to>
    <xdr:pic>
      <xdr:nvPicPr>
        <xdr:cNvPr id="2" name="图片 1" descr="9455AEE73EE262B079A2B9B285CCFB87">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0"/>
        <a:stretch>
          <a:fillRect/>
        </a:stretch>
      </xdr:blipFill>
      <xdr:spPr>
        <a:xfrm>
          <a:off x="9150985" y="2236470"/>
          <a:ext cx="6358890" cy="4569460"/>
        </a:xfrm>
        <a:prstGeom prst="rect">
          <a:avLst/>
        </a:prstGeom>
      </xdr:spPr>
    </xdr:pic>
    <xdr:clientData/>
  </xdr:twoCellAnchor>
  <xdr:twoCellAnchor>
    <xdr:from>
      <xdr:col>17</xdr:col>
      <xdr:colOff>518358</xdr:colOff>
      <xdr:row>26</xdr:row>
      <xdr:rowOff>122464</xdr:rowOff>
    </xdr:from>
    <xdr:to>
      <xdr:col>20</xdr:col>
      <xdr:colOff>498744</xdr:colOff>
      <xdr:row>34</xdr:row>
      <xdr:rowOff>140103</xdr:rowOff>
    </xdr:to>
    <xdr:sp macro="" textlink="">
      <xdr:nvSpPr>
        <xdr:cNvPr id="13" name="矩形 12">
          <a:extLst>
            <a:ext uri="{FF2B5EF4-FFF2-40B4-BE49-F238E27FC236}">
              <a16:creationId xmlns:a16="http://schemas.microsoft.com/office/drawing/2014/main" id="{00000000-0008-0000-0700-00000D000000}"/>
            </a:ext>
          </a:extLst>
        </xdr:cNvPr>
        <xdr:cNvSpPr/>
      </xdr:nvSpPr>
      <xdr:spPr>
        <a:xfrm>
          <a:off x="12496800" y="5337810"/>
          <a:ext cx="1831975" cy="1419860"/>
        </a:xfrm>
        <a:prstGeom prst="rect">
          <a:avLst/>
        </a:prstGeom>
        <a:noFill/>
        <a:ln w="12700">
          <a:solidFill>
            <a:sysClr val="windowText" lastClr="000000"/>
          </a:solidFill>
        </a:ln>
        <a:extLst>
          <a:ext uri="{909E8E84-426E-40DD-AFC4-6F175D3DCCD1}">
            <a14:hiddenFill xmlns:a14="http://schemas.microsoft.com/office/drawing/2010/main">
              <a:solidFill>
                <a:schemeClr val="accent1"/>
              </a:solidFill>
            </a14:hiddenFill>
          </a:ext>
        </a:ex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17</xdr:col>
      <xdr:colOff>485973</xdr:colOff>
      <xdr:row>29</xdr:row>
      <xdr:rowOff>115347</xdr:rowOff>
    </xdr:from>
    <xdr:to>
      <xdr:col>19</xdr:col>
      <xdr:colOff>388442</xdr:colOff>
      <xdr:row>34</xdr:row>
      <xdr:rowOff>149628</xdr:rowOff>
    </xdr:to>
    <xdr:sp macro="" textlink="">
      <xdr:nvSpPr>
        <xdr:cNvPr id="14" name="文本框 13">
          <a:extLst>
            <a:ext uri="{FF2B5EF4-FFF2-40B4-BE49-F238E27FC236}">
              <a16:creationId xmlns:a16="http://schemas.microsoft.com/office/drawing/2014/main" id="{00000000-0008-0000-0700-00000E000000}"/>
            </a:ext>
          </a:extLst>
        </xdr:cNvPr>
        <xdr:cNvSpPr txBox="1"/>
      </xdr:nvSpPr>
      <xdr:spPr>
        <a:xfrm>
          <a:off x="12464415" y="5856605"/>
          <a:ext cx="1136650" cy="9105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600">
              <a:ln>
                <a:noFill/>
              </a:ln>
              <a:solidFill>
                <a:sysClr val="windowText" lastClr="000000"/>
              </a:solidFill>
            </a:rPr>
            <a:t>BSPD</a:t>
          </a:r>
          <a:r>
            <a:rPr lang="zh-CN" altLang="en-US" sz="600">
              <a:ln>
                <a:noFill/>
              </a:ln>
              <a:solidFill>
                <a:sysClr val="windowText" lastClr="000000"/>
              </a:solidFill>
            </a:rPr>
            <a:t>断开时，</a:t>
          </a:r>
          <a:r>
            <a:rPr lang="en-US" altLang="zh-CN" sz="600">
              <a:ln>
                <a:noFill/>
              </a:ln>
              <a:solidFill>
                <a:sysClr val="windowText" lastClr="000000"/>
              </a:solidFill>
            </a:rPr>
            <a:t>PMOS3</a:t>
          </a:r>
          <a:r>
            <a:rPr lang="zh-CN" altLang="en-US" sz="600">
              <a:ln>
                <a:noFill/>
              </a:ln>
              <a:solidFill>
                <a:sysClr val="windowText" lastClr="000000"/>
              </a:solidFill>
            </a:rPr>
            <a:t>导通，</a:t>
          </a:r>
          <a:r>
            <a:rPr lang="en-US" altLang="zh-CN" sz="600">
              <a:ln>
                <a:noFill/>
              </a:ln>
              <a:solidFill>
                <a:sysClr val="windowText" lastClr="000000"/>
              </a:solidFill>
            </a:rPr>
            <a:t>NMOS1</a:t>
          </a:r>
          <a:r>
            <a:rPr lang="zh-CN" altLang="en-US" sz="600">
              <a:ln>
                <a:noFill/>
              </a:ln>
              <a:solidFill>
                <a:sysClr val="windowText" lastClr="000000"/>
              </a:solidFill>
            </a:rPr>
            <a:t>截止，电容</a:t>
          </a:r>
          <a:r>
            <a:rPr lang="en-US" altLang="zh-CN" sz="600">
              <a:ln>
                <a:noFill/>
              </a:ln>
              <a:solidFill>
                <a:sysClr val="windowText" lastClr="000000"/>
              </a:solidFill>
            </a:rPr>
            <a:t>C2</a:t>
          </a:r>
          <a:r>
            <a:rPr lang="zh-CN" altLang="en-US" sz="600">
              <a:ln>
                <a:noFill/>
              </a:ln>
              <a:solidFill>
                <a:sysClr val="windowText" lastClr="000000"/>
              </a:solidFill>
            </a:rPr>
            <a:t>的充电过程中，时间常数为</a:t>
          </a:r>
          <a:r>
            <a:rPr lang="en-US" altLang="zh-CN" sz="600">
              <a:ln>
                <a:noFill/>
              </a:ln>
              <a:solidFill>
                <a:sysClr val="windowText" lastClr="000000"/>
              </a:solidFill>
            </a:rPr>
            <a:t>18s</a:t>
          </a:r>
          <a:r>
            <a:rPr lang="zh-CN" altLang="en-US" sz="600">
              <a:ln>
                <a:noFill/>
              </a:ln>
              <a:solidFill>
                <a:sysClr val="windowText" lastClr="000000"/>
              </a:solidFill>
            </a:rPr>
            <a:t>，需要</a:t>
          </a:r>
          <a:r>
            <a:rPr lang="en-US" altLang="zh-CN" sz="600">
              <a:ln>
                <a:noFill/>
              </a:ln>
              <a:solidFill>
                <a:sysClr val="windowText" lastClr="000000"/>
              </a:solidFill>
            </a:rPr>
            <a:t>12.5s</a:t>
          </a:r>
          <a:r>
            <a:rPr lang="zh-CN" altLang="en-US" sz="600">
              <a:ln>
                <a:noFill/>
              </a:ln>
              <a:solidFill>
                <a:sysClr val="windowText" lastClr="000000"/>
              </a:solidFill>
            </a:rPr>
            <a:t>达到</a:t>
          </a:r>
          <a:r>
            <a:rPr lang="en-US" altLang="zh-CN" sz="600">
              <a:ln>
                <a:noFill/>
              </a:ln>
              <a:solidFill>
                <a:sysClr val="windowText" lastClr="000000"/>
              </a:solidFill>
            </a:rPr>
            <a:t>0.5vcc</a:t>
          </a:r>
          <a:r>
            <a:rPr lang="zh-CN" altLang="en-US" sz="600">
              <a:ln>
                <a:noFill/>
              </a:ln>
              <a:solidFill>
                <a:sysClr val="windowText" lastClr="000000"/>
              </a:solidFill>
            </a:rPr>
            <a:t>。在此之前，使得电压比较器</a:t>
          </a:r>
          <a:r>
            <a:rPr lang="en-US" altLang="zh-CN" sz="600">
              <a:ln>
                <a:noFill/>
              </a:ln>
              <a:solidFill>
                <a:sysClr val="windowText" lastClr="000000"/>
              </a:solidFill>
            </a:rPr>
            <a:t>2E</a:t>
          </a:r>
          <a:r>
            <a:rPr lang="zh-CN" altLang="en-US" sz="600">
              <a:ln>
                <a:noFill/>
              </a:ln>
              <a:solidFill>
                <a:sysClr val="windowText" lastClr="000000"/>
              </a:solidFill>
            </a:rPr>
            <a:t>给出高电平，</a:t>
          </a:r>
          <a:r>
            <a:rPr lang="en-US" altLang="zh-CN" sz="600">
              <a:ln>
                <a:noFill/>
              </a:ln>
              <a:solidFill>
                <a:sysClr val="windowText" lastClr="000000"/>
              </a:solidFill>
            </a:rPr>
            <a:t>NMOS5</a:t>
          </a:r>
          <a:r>
            <a:rPr lang="zh-CN" altLang="en-US" sz="600">
              <a:ln>
                <a:noFill/>
              </a:ln>
              <a:solidFill>
                <a:sysClr val="windowText" lastClr="000000"/>
              </a:solidFill>
            </a:rPr>
            <a:t>接通，继电器</a:t>
          </a:r>
          <a:r>
            <a:rPr lang="en-US" altLang="zh-CN" sz="600">
              <a:ln>
                <a:noFill/>
              </a:ln>
              <a:solidFill>
                <a:sysClr val="windowText" lastClr="000000"/>
              </a:solidFill>
            </a:rPr>
            <a:t>2 </a:t>
          </a:r>
          <a:r>
            <a:rPr lang="zh-CN" altLang="en-US" sz="600">
              <a:ln>
                <a:noFill/>
              </a:ln>
              <a:solidFill>
                <a:sysClr val="windowText" lastClr="000000"/>
              </a:solidFill>
            </a:rPr>
            <a:t>线圈通电，使其在</a:t>
          </a:r>
          <a:r>
            <a:rPr lang="en-US" altLang="zh-CN" sz="600">
              <a:ln>
                <a:noFill/>
              </a:ln>
              <a:solidFill>
                <a:sysClr val="windowText" lastClr="000000"/>
              </a:solidFill>
            </a:rPr>
            <a:t>12.5</a:t>
          </a:r>
          <a:r>
            <a:rPr lang="zh-CN" altLang="en-US" sz="600">
              <a:ln>
                <a:noFill/>
              </a:ln>
              <a:solidFill>
                <a:sysClr val="windowText" lastClr="000000"/>
              </a:solidFill>
            </a:rPr>
            <a:t>秒内不能复位。之后</a:t>
          </a:r>
          <a:r>
            <a:rPr lang="en-US" altLang="zh-CN" sz="600">
              <a:ln>
                <a:noFill/>
              </a:ln>
              <a:solidFill>
                <a:sysClr val="windowText" lastClr="000000"/>
              </a:solidFill>
            </a:rPr>
            <a:t>NMOS5</a:t>
          </a:r>
          <a:r>
            <a:rPr lang="zh-CN" altLang="en-US" sz="600">
              <a:ln>
                <a:noFill/>
              </a:ln>
              <a:solidFill>
                <a:sysClr val="windowText" lastClr="000000"/>
              </a:solidFill>
            </a:rPr>
            <a:t>截止，继电器</a:t>
          </a:r>
          <a:r>
            <a:rPr lang="en-US" altLang="zh-CN" sz="600">
              <a:ln>
                <a:noFill/>
              </a:ln>
              <a:solidFill>
                <a:sysClr val="windowText" lastClr="000000"/>
              </a:solidFill>
            </a:rPr>
            <a:t>1</a:t>
          </a:r>
          <a:r>
            <a:rPr lang="zh-CN" altLang="en-US" sz="600">
              <a:ln>
                <a:noFill/>
              </a:ln>
              <a:solidFill>
                <a:sysClr val="windowText" lastClr="000000"/>
              </a:solidFill>
            </a:rPr>
            <a:t>线圈通电，实现复位。</a:t>
          </a:r>
        </a:p>
      </xdr:txBody>
    </xdr:sp>
    <xdr:clientData/>
  </xdr:twoCellAnchor>
  <xdr:twoCellAnchor>
    <xdr:from>
      <xdr:col>15</xdr:col>
      <xdr:colOff>64634</xdr:colOff>
      <xdr:row>9</xdr:row>
      <xdr:rowOff>61232</xdr:rowOff>
    </xdr:from>
    <xdr:to>
      <xdr:col>16</xdr:col>
      <xdr:colOff>204108</xdr:colOff>
      <xdr:row>13</xdr:row>
      <xdr:rowOff>85045</xdr:rowOff>
    </xdr:to>
    <xdr:sp macro="" textlink="">
      <xdr:nvSpPr>
        <xdr:cNvPr id="4" name="矩形 3">
          <a:extLst>
            <a:ext uri="{FF2B5EF4-FFF2-40B4-BE49-F238E27FC236}">
              <a16:creationId xmlns:a16="http://schemas.microsoft.com/office/drawing/2014/main" id="{00000000-0008-0000-0700-000004000000}"/>
            </a:ext>
          </a:extLst>
        </xdr:cNvPr>
        <xdr:cNvSpPr/>
      </xdr:nvSpPr>
      <xdr:spPr>
        <a:xfrm>
          <a:off x="10808335" y="2297430"/>
          <a:ext cx="756920" cy="72453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217713</xdr:colOff>
      <xdr:row>12</xdr:row>
      <xdr:rowOff>112259</xdr:rowOff>
    </xdr:from>
    <xdr:to>
      <xdr:col>16</xdr:col>
      <xdr:colOff>289151</xdr:colOff>
      <xdr:row>13</xdr:row>
      <xdr:rowOff>159884</xdr:rowOff>
    </xdr:to>
    <xdr:sp macro="" textlink="">
      <xdr:nvSpPr>
        <xdr:cNvPr id="15" name="文本框 14">
          <a:extLst>
            <a:ext uri="{FF2B5EF4-FFF2-40B4-BE49-F238E27FC236}">
              <a16:creationId xmlns:a16="http://schemas.microsoft.com/office/drawing/2014/main" id="{00000000-0008-0000-0700-00000F000000}"/>
            </a:ext>
          </a:extLst>
        </xdr:cNvPr>
        <xdr:cNvSpPr txBox="1"/>
      </xdr:nvSpPr>
      <xdr:spPr>
        <a:xfrm>
          <a:off x="10961370" y="2874010"/>
          <a:ext cx="688975"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600"/>
            <a:t>仅保留关键信号</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95249</xdr:rowOff>
    </xdr:from>
    <xdr:to>
      <xdr:col>6</xdr:col>
      <xdr:colOff>9525</xdr:colOff>
      <xdr:row>34</xdr:row>
      <xdr:rowOff>19049</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556260</xdr:colOff>
      <xdr:row>5</xdr:row>
      <xdr:rowOff>288500</xdr:rowOff>
    </xdr:from>
    <xdr:to>
      <xdr:col>24</xdr:col>
      <xdr:colOff>206375</xdr:colOff>
      <xdr:row>7</xdr:row>
      <xdr:rowOff>52915</xdr:rowOff>
    </xdr:to>
    <xdr:sp macro="" textlink="">
      <xdr:nvSpPr>
        <xdr:cNvPr id="3" name="矩形 2">
          <a:extLst>
            <a:ext uri="{FF2B5EF4-FFF2-40B4-BE49-F238E27FC236}">
              <a16:creationId xmlns:a16="http://schemas.microsoft.com/office/drawing/2014/main" id="{00000000-0008-0000-0800-000003000000}"/>
            </a:ext>
          </a:extLst>
        </xdr:cNvPr>
        <xdr:cNvSpPr/>
      </xdr:nvSpPr>
      <xdr:spPr>
        <a:xfrm>
          <a:off x="20008427" y="1161626"/>
          <a:ext cx="1586865" cy="293581"/>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18</xdr:col>
      <xdr:colOff>638175</xdr:colOff>
      <xdr:row>7</xdr:row>
      <xdr:rowOff>65405</xdr:rowOff>
    </xdr:from>
    <xdr:to>
      <xdr:col>21</xdr:col>
      <xdr:colOff>601980</xdr:colOff>
      <xdr:row>8</xdr:row>
      <xdr:rowOff>125095</xdr:rowOff>
    </xdr:to>
    <xdr:sp macro="" textlink="">
      <xdr:nvSpPr>
        <xdr:cNvPr id="4" name="文本框 3">
          <a:extLst>
            <a:ext uri="{FF2B5EF4-FFF2-40B4-BE49-F238E27FC236}">
              <a16:creationId xmlns:a16="http://schemas.microsoft.com/office/drawing/2014/main" id="{00000000-0008-0000-0800-000004000000}"/>
            </a:ext>
          </a:extLst>
        </xdr:cNvPr>
        <xdr:cNvSpPr txBox="1"/>
      </xdr:nvSpPr>
      <xdr:spPr>
        <a:xfrm>
          <a:off x="18153592" y="1467697"/>
          <a:ext cx="1900555" cy="234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solidFill>
                <a:srgbClr val="FF0000"/>
              </a:solidFill>
            </a:rPr>
            <a:t>添加关于其他保护的解释</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xdr:col>
      <xdr:colOff>44691</xdr:colOff>
      <xdr:row>19</xdr:row>
      <xdr:rowOff>64715</xdr:rowOff>
    </xdr:to>
    <xdr:pic>
      <xdr:nvPicPr>
        <xdr:cNvPr id="2" name="图片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1402080"/>
          <a:ext cx="2719070" cy="1991995"/>
        </a:xfrm>
        <a:prstGeom prst="rect">
          <a:avLst/>
        </a:prstGeom>
        <a:noFill/>
        <a:ln w="9525">
          <a:noFill/>
        </a:ln>
      </xdr:spPr>
    </xdr:pic>
    <xdr:clientData/>
  </xdr:twoCellAnchor>
  <xdr:twoCellAnchor editAs="oneCell">
    <xdr:from>
      <xdr:col>3</xdr:col>
      <xdr:colOff>261993</xdr:colOff>
      <xdr:row>17</xdr:row>
      <xdr:rowOff>4631</xdr:rowOff>
    </xdr:from>
    <xdr:to>
      <xdr:col>8</xdr:col>
      <xdr:colOff>281021</xdr:colOff>
      <xdr:row>27</xdr:row>
      <xdr:rowOff>154557</xdr:rowOff>
    </xdr:to>
    <xdr:pic>
      <xdr:nvPicPr>
        <xdr:cNvPr id="3" name="图片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2319020" y="2983865"/>
          <a:ext cx="3105150" cy="1902460"/>
        </a:xfrm>
        <a:prstGeom prst="rect">
          <a:avLst/>
        </a:prstGeom>
        <a:noFill/>
        <a:ln w="9525">
          <a:noFill/>
        </a:ln>
      </xdr:spPr>
    </xdr:pic>
    <xdr:clientData/>
  </xdr:twoCellAnchor>
  <xdr:twoCellAnchor>
    <xdr:from>
      <xdr:col>5</xdr:col>
      <xdr:colOff>337930</xdr:colOff>
      <xdr:row>13</xdr:row>
      <xdr:rowOff>120048</xdr:rowOff>
    </xdr:from>
    <xdr:to>
      <xdr:col>6</xdr:col>
      <xdr:colOff>198733</xdr:colOff>
      <xdr:row>21</xdr:row>
      <xdr:rowOff>19389</xdr:rowOff>
    </xdr:to>
    <xdr:cxnSp macro="">
      <xdr:nvCxnSpPr>
        <xdr:cNvPr id="4" name="直接箭头连接符 3">
          <a:extLst>
            <a:ext uri="{FF2B5EF4-FFF2-40B4-BE49-F238E27FC236}">
              <a16:creationId xmlns:a16="http://schemas.microsoft.com/office/drawing/2014/main" id="{00000000-0008-0000-0900-000004000000}"/>
            </a:ext>
          </a:extLst>
        </xdr:cNvPr>
        <xdr:cNvCxnSpPr/>
      </xdr:nvCxnSpPr>
      <xdr:spPr>
        <a:xfrm>
          <a:off x="3629660" y="2398395"/>
          <a:ext cx="477520" cy="1301115"/>
        </a:xfrm>
        <a:prstGeom prst="straightConnector1">
          <a:avLst/>
        </a:prstGeom>
        <a:ln>
          <a:solidFill>
            <a:srgbClr val="26E401"/>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2</xdr:col>
      <xdr:colOff>11299</xdr:colOff>
      <xdr:row>12</xdr:row>
      <xdr:rowOff>163546</xdr:rowOff>
    </xdr:from>
    <xdr:to>
      <xdr:col>5</xdr:col>
      <xdr:colOff>160130</xdr:colOff>
      <xdr:row>13</xdr:row>
      <xdr:rowOff>78138</xdr:rowOff>
    </xdr:to>
    <xdr:cxnSp macro="">
      <xdr:nvCxnSpPr>
        <xdr:cNvPr id="5" name="直接箭头连接符 4">
          <a:extLst>
            <a:ext uri="{FF2B5EF4-FFF2-40B4-BE49-F238E27FC236}">
              <a16:creationId xmlns:a16="http://schemas.microsoft.com/office/drawing/2014/main" id="{00000000-0008-0000-0900-000005000000}"/>
            </a:ext>
          </a:extLst>
        </xdr:cNvPr>
        <xdr:cNvCxnSpPr/>
      </xdr:nvCxnSpPr>
      <xdr:spPr>
        <a:xfrm flipH="1" flipV="1">
          <a:off x="1450975" y="2266315"/>
          <a:ext cx="2000885" cy="90170"/>
        </a:xfrm>
        <a:prstGeom prst="straightConnector1">
          <a:avLst/>
        </a:prstGeom>
        <a:ln>
          <a:solidFill>
            <a:srgbClr val="26E401"/>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5</xdr:col>
      <xdr:colOff>141715</xdr:colOff>
      <xdr:row>11</xdr:row>
      <xdr:rowOff>41549</xdr:rowOff>
    </xdr:from>
    <xdr:to>
      <xdr:col>7</xdr:col>
      <xdr:colOff>217017</xdr:colOff>
      <xdr:row>14</xdr:row>
      <xdr:rowOff>58968</xdr:rowOff>
    </xdr:to>
    <xdr:sp macro="" textlink="">
      <xdr:nvSpPr>
        <xdr:cNvPr id="6" name="文本框 5">
          <a:extLst>
            <a:ext uri="{FF2B5EF4-FFF2-40B4-BE49-F238E27FC236}">
              <a16:creationId xmlns:a16="http://schemas.microsoft.com/office/drawing/2014/main" id="{00000000-0008-0000-0900-000006000000}"/>
            </a:ext>
          </a:extLst>
        </xdr:cNvPr>
        <xdr:cNvSpPr txBox="1"/>
      </xdr:nvSpPr>
      <xdr:spPr>
        <a:xfrm>
          <a:off x="3433445" y="1969135"/>
          <a:ext cx="1309370" cy="54292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200"/>
            <a:t>能量计</a:t>
          </a:r>
        </a:p>
        <a:p>
          <a:pPr algn="l"/>
          <a:r>
            <a:rPr lang="zh-CN" altLang="en-US" sz="1200"/>
            <a:t>安装位置</a:t>
          </a:r>
        </a:p>
      </xdr:txBody>
    </xdr:sp>
    <xdr:clientData/>
  </xdr:twoCellAnchor>
  <xdr:twoCellAnchor editAs="oneCell">
    <xdr:from>
      <xdr:col>9</xdr:col>
      <xdr:colOff>0</xdr:colOff>
      <xdr:row>8</xdr:row>
      <xdr:rowOff>0</xdr:rowOff>
    </xdr:from>
    <xdr:to>
      <xdr:col>16</xdr:col>
      <xdr:colOff>603026</xdr:colOff>
      <xdr:row>23</xdr:row>
      <xdr:rowOff>102515</xdr:rowOff>
    </xdr:to>
    <xdr:pic>
      <xdr:nvPicPr>
        <xdr:cNvPr id="7" name="图片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5760720" y="1402080"/>
          <a:ext cx="4923155" cy="2731135"/>
        </a:xfrm>
        <a:prstGeom prst="rect">
          <a:avLst/>
        </a:prstGeom>
        <a:noFill/>
        <a:ln w="9525">
          <a:noFill/>
        </a:ln>
      </xdr:spPr>
    </xdr:pic>
    <xdr:clientData/>
  </xdr:twoCellAnchor>
  <xdr:twoCellAnchor editAs="oneCell">
    <xdr:from>
      <xdr:col>18</xdr:col>
      <xdr:colOff>0</xdr:colOff>
      <xdr:row>8</xdr:row>
      <xdr:rowOff>0</xdr:rowOff>
    </xdr:from>
    <xdr:to>
      <xdr:col>24</xdr:col>
      <xdr:colOff>169245</xdr:colOff>
      <xdr:row>26</xdr:row>
      <xdr:rowOff>93682</xdr:rowOff>
    </xdr:to>
    <xdr:pic>
      <xdr:nvPicPr>
        <xdr:cNvPr id="8" name="图片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11315700" y="1402080"/>
          <a:ext cx="3872230" cy="3248025"/>
        </a:xfrm>
        <a:prstGeom prst="rect">
          <a:avLst/>
        </a:prstGeom>
        <a:noFill/>
        <a:ln w="9525">
          <a:noFill/>
        </a:ln>
      </xdr:spPr>
    </xdr:pic>
    <xdr:clientData/>
  </xdr:twoCellAnchor>
  <xdr:twoCellAnchor>
    <xdr:from>
      <xdr:col>18</xdr:col>
      <xdr:colOff>432882</xdr:colOff>
      <xdr:row>13</xdr:row>
      <xdr:rowOff>125189</xdr:rowOff>
    </xdr:from>
    <xdr:to>
      <xdr:col>19</xdr:col>
      <xdr:colOff>430156</xdr:colOff>
      <xdr:row>17</xdr:row>
      <xdr:rowOff>4614</xdr:rowOff>
    </xdr:to>
    <xdr:cxnSp macro="">
      <xdr:nvCxnSpPr>
        <xdr:cNvPr id="9" name="直接箭头连接符 8">
          <a:extLst>
            <a:ext uri="{FF2B5EF4-FFF2-40B4-BE49-F238E27FC236}">
              <a16:creationId xmlns:a16="http://schemas.microsoft.com/office/drawing/2014/main" id="{00000000-0008-0000-0900-000009000000}"/>
            </a:ext>
          </a:extLst>
        </xdr:cNvPr>
        <xdr:cNvCxnSpPr/>
      </xdr:nvCxnSpPr>
      <xdr:spPr>
        <a:xfrm>
          <a:off x="11748135" y="2403475"/>
          <a:ext cx="614680" cy="580390"/>
        </a:xfrm>
        <a:prstGeom prst="straightConnector1">
          <a:avLst/>
        </a:prstGeom>
        <a:ln>
          <a:solidFill>
            <a:srgbClr val="26E401"/>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18</xdr:col>
      <xdr:colOff>38100</xdr:colOff>
      <xdr:row>10</xdr:row>
      <xdr:rowOff>133388</xdr:rowOff>
    </xdr:from>
    <xdr:to>
      <xdr:col>20</xdr:col>
      <xdr:colOff>187399</xdr:colOff>
      <xdr:row>14</xdr:row>
      <xdr:rowOff>104252</xdr:rowOff>
    </xdr:to>
    <xdr:sp macro="" textlink="">
      <xdr:nvSpPr>
        <xdr:cNvPr id="10" name="文本框 9">
          <a:extLst>
            <a:ext uri="{FF2B5EF4-FFF2-40B4-BE49-F238E27FC236}">
              <a16:creationId xmlns:a16="http://schemas.microsoft.com/office/drawing/2014/main" id="{00000000-0008-0000-0900-00000A000000}"/>
            </a:ext>
          </a:extLst>
        </xdr:cNvPr>
        <xdr:cNvSpPr txBox="1"/>
      </xdr:nvSpPr>
      <xdr:spPr>
        <a:xfrm>
          <a:off x="11353800" y="1885950"/>
          <a:ext cx="1383665" cy="67183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solidFill>
                <a:srgbClr val="26E401"/>
              </a:solidFill>
            </a:rPr>
            <a:t>低压电池</a:t>
          </a:r>
        </a:p>
        <a:p>
          <a:pPr algn="l"/>
          <a:r>
            <a:rPr lang="zh-CN" altLang="en-US" sz="1400">
              <a:solidFill>
                <a:srgbClr val="26E401"/>
              </a:solidFill>
            </a:rPr>
            <a:t>安装位置</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616585</xdr:colOff>
      <xdr:row>4</xdr:row>
      <xdr:rowOff>1087120</xdr:rowOff>
    </xdr:from>
    <xdr:to>
      <xdr:col>2</xdr:col>
      <xdr:colOff>2510155</xdr:colOff>
      <xdr:row>5</xdr:row>
      <xdr:rowOff>43180</xdr:rowOff>
    </xdr:to>
    <xdr:pic>
      <xdr:nvPicPr>
        <xdr:cNvPr id="2" name="图片 1" descr="单体壳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rcRect l="11193" r="5443" b="18977"/>
        <a:stretch>
          <a:fillRect/>
        </a:stretch>
      </xdr:blipFill>
      <xdr:spPr>
        <a:xfrm>
          <a:off x="3542665" y="4308475"/>
          <a:ext cx="1893570" cy="1499235"/>
        </a:xfrm>
        <a:prstGeom prst="rect">
          <a:avLst/>
        </a:prstGeom>
      </xdr:spPr>
    </xdr:pic>
    <xdr:clientData/>
  </xdr:twoCellAnchor>
  <xdr:twoCellAnchor editAs="oneCell">
    <xdr:from>
      <xdr:col>2</xdr:col>
      <xdr:colOff>2522220</xdr:colOff>
      <xdr:row>4</xdr:row>
      <xdr:rowOff>31750</xdr:rowOff>
    </xdr:from>
    <xdr:to>
      <xdr:col>2</xdr:col>
      <xdr:colOff>4643755</xdr:colOff>
      <xdr:row>4</xdr:row>
      <xdr:rowOff>1882140</xdr:rowOff>
    </xdr:to>
    <xdr:pic>
      <xdr:nvPicPr>
        <xdr:cNvPr id="3" name="图片 2" descr="单体壳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rcRect l="8064" t="15106" r="9975" b="3542"/>
        <a:stretch>
          <a:fillRect/>
        </a:stretch>
      </xdr:blipFill>
      <xdr:spPr>
        <a:xfrm>
          <a:off x="5448300" y="3253105"/>
          <a:ext cx="2121535" cy="1850390"/>
        </a:xfrm>
        <a:prstGeom prst="rect">
          <a:avLst/>
        </a:prstGeom>
      </xdr:spPr>
    </xdr:pic>
    <xdr:clientData/>
  </xdr:twoCellAnchor>
  <xdr:twoCellAnchor editAs="oneCell">
    <xdr:from>
      <xdr:col>2</xdr:col>
      <xdr:colOff>9525</xdr:colOff>
      <xdr:row>5</xdr:row>
      <xdr:rowOff>91440</xdr:rowOff>
    </xdr:from>
    <xdr:to>
      <xdr:col>2</xdr:col>
      <xdr:colOff>4715510</xdr:colOff>
      <xdr:row>5</xdr:row>
      <xdr:rowOff>2404745</xdr:rowOff>
    </xdr:to>
    <xdr:pic>
      <xdr:nvPicPr>
        <xdr:cNvPr id="4" name="图片 3" descr="安全带">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2935605" y="5855970"/>
          <a:ext cx="4705985" cy="2313305"/>
        </a:xfrm>
        <a:prstGeom prst="rect">
          <a:avLst/>
        </a:prstGeom>
      </xdr:spPr>
    </xdr:pic>
    <xdr:clientData/>
  </xdr:twoCellAnchor>
  <xdr:twoCellAnchor editAs="oneCell">
    <xdr:from>
      <xdr:col>2</xdr:col>
      <xdr:colOff>390525</xdr:colOff>
      <xdr:row>6</xdr:row>
      <xdr:rowOff>60960</xdr:rowOff>
    </xdr:from>
    <xdr:to>
      <xdr:col>2</xdr:col>
      <xdr:colOff>4503420</xdr:colOff>
      <xdr:row>6</xdr:row>
      <xdr:rowOff>2475230</xdr:rowOff>
    </xdr:to>
    <xdr:pic>
      <xdr:nvPicPr>
        <xdr:cNvPr id="5" name="图片 4" descr="防火墙">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3316605" y="8368665"/>
          <a:ext cx="4112895" cy="2414270"/>
        </a:xfrm>
        <a:prstGeom prst="rect">
          <a:avLst/>
        </a:prstGeom>
      </xdr:spPr>
    </xdr:pic>
    <xdr:clientData/>
  </xdr:twoCellAnchor>
  <xdr:oneCellAnchor>
    <xdr:from>
      <xdr:col>2</xdr:col>
      <xdr:colOff>74930</xdr:colOff>
      <xdr:row>10</xdr:row>
      <xdr:rowOff>173990</xdr:rowOff>
    </xdr:from>
    <xdr:ext cx="2672715" cy="2178685"/>
    <xdr:pic>
      <xdr:nvPicPr>
        <xdr:cNvPr id="6" name="图片 5" descr="电池箱1">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3001010" y="18654395"/>
          <a:ext cx="2672715" cy="2178685"/>
        </a:xfrm>
        <a:prstGeom prst="rect">
          <a:avLst/>
        </a:prstGeom>
      </xdr:spPr>
    </xdr:pic>
    <xdr:clientData/>
  </xdr:oneCellAnchor>
  <xdr:oneCellAnchor>
    <xdr:from>
      <xdr:col>2</xdr:col>
      <xdr:colOff>2774315</xdr:colOff>
      <xdr:row>10</xdr:row>
      <xdr:rowOff>163830</xdr:rowOff>
    </xdr:from>
    <xdr:ext cx="1948180" cy="2181225"/>
    <xdr:pic>
      <xdr:nvPicPr>
        <xdr:cNvPr id="7" name="图片 6" descr="电池箱2">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5700395" y="18644235"/>
          <a:ext cx="1948180" cy="2181225"/>
        </a:xfrm>
        <a:prstGeom prst="rect">
          <a:avLst/>
        </a:prstGeom>
      </xdr:spPr>
    </xdr:pic>
    <xdr:clientData/>
  </xdr:oneCellAnchor>
  <xdr:oneCellAnchor>
    <xdr:from>
      <xdr:col>2</xdr:col>
      <xdr:colOff>310515</xdr:colOff>
      <xdr:row>11</xdr:row>
      <xdr:rowOff>11430</xdr:rowOff>
    </xdr:from>
    <xdr:ext cx="3268345" cy="2485390"/>
    <xdr:pic>
      <xdr:nvPicPr>
        <xdr:cNvPr id="8" name="图片 7" descr="电池箱通讯接插件">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a:stretch>
          <a:fillRect/>
        </a:stretch>
      </xdr:blipFill>
      <xdr:spPr>
        <a:xfrm>
          <a:off x="3236595" y="21035010"/>
          <a:ext cx="3268345" cy="2485390"/>
        </a:xfrm>
        <a:prstGeom prst="rect">
          <a:avLst/>
        </a:prstGeom>
      </xdr:spPr>
    </xdr:pic>
    <xdr:clientData/>
  </xdr:oneCellAnchor>
  <xdr:oneCellAnchor>
    <xdr:from>
      <xdr:col>2</xdr:col>
      <xdr:colOff>45720</xdr:colOff>
      <xdr:row>7</xdr:row>
      <xdr:rowOff>152400</xdr:rowOff>
    </xdr:from>
    <xdr:ext cx="4650105" cy="2148840"/>
    <xdr:pic>
      <xdr:nvPicPr>
        <xdr:cNvPr id="9" name="图片 8" descr="防火墙">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a:srcRect l="4373" t="4036" r="13537" b="25262"/>
        <a:stretch>
          <a:fillRect/>
        </a:stretch>
      </xdr:blipFill>
      <xdr:spPr>
        <a:xfrm>
          <a:off x="2971800" y="11003280"/>
          <a:ext cx="4650105" cy="2148840"/>
        </a:xfrm>
        <a:prstGeom prst="rect">
          <a:avLst/>
        </a:prstGeom>
      </xdr:spPr>
    </xdr:pic>
    <xdr:clientData/>
  </xdr:oneCellAnchor>
  <xdr:oneCellAnchor>
    <xdr:from>
      <xdr:col>2</xdr:col>
      <xdr:colOff>89535</xdr:colOff>
      <xdr:row>8</xdr:row>
      <xdr:rowOff>186690</xdr:rowOff>
    </xdr:from>
    <xdr:ext cx="2344420" cy="2009140"/>
    <xdr:pic>
      <xdr:nvPicPr>
        <xdr:cNvPr id="10" name="图片 9" descr="前悬架1">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a:stretch>
          <a:fillRect/>
        </a:stretch>
      </xdr:blipFill>
      <xdr:spPr>
        <a:xfrm>
          <a:off x="3015615" y="13580745"/>
          <a:ext cx="2344420" cy="2009140"/>
        </a:xfrm>
        <a:prstGeom prst="rect">
          <a:avLst/>
        </a:prstGeom>
      </xdr:spPr>
    </xdr:pic>
    <xdr:clientData/>
  </xdr:oneCellAnchor>
  <xdr:oneCellAnchor>
    <xdr:from>
      <xdr:col>2</xdr:col>
      <xdr:colOff>2486660</xdr:colOff>
      <xdr:row>8</xdr:row>
      <xdr:rowOff>175895</xdr:rowOff>
    </xdr:from>
    <xdr:ext cx="2207895" cy="2009140"/>
    <xdr:pic>
      <xdr:nvPicPr>
        <xdr:cNvPr id="11" name="图片 10" descr="前悬架2">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0"/>
        <a:srcRect t="11648" r="11150"/>
        <a:stretch>
          <a:fillRect/>
        </a:stretch>
      </xdr:blipFill>
      <xdr:spPr>
        <a:xfrm>
          <a:off x="5412740" y="13569950"/>
          <a:ext cx="2207895" cy="2009140"/>
        </a:xfrm>
        <a:prstGeom prst="rect">
          <a:avLst/>
        </a:prstGeom>
      </xdr:spPr>
    </xdr:pic>
    <xdr:clientData/>
  </xdr:oneCellAnchor>
  <xdr:oneCellAnchor>
    <xdr:from>
      <xdr:col>2</xdr:col>
      <xdr:colOff>81915</xdr:colOff>
      <xdr:row>9</xdr:row>
      <xdr:rowOff>182880</xdr:rowOff>
    </xdr:from>
    <xdr:ext cx="2188210" cy="1957070"/>
    <xdr:pic>
      <xdr:nvPicPr>
        <xdr:cNvPr id="12" name="图片 11" descr="后悬架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1"/>
        <a:srcRect t="17767" b="629"/>
        <a:stretch>
          <a:fillRect/>
        </a:stretch>
      </xdr:blipFill>
      <xdr:spPr>
        <a:xfrm>
          <a:off x="3007995" y="16120110"/>
          <a:ext cx="2188210" cy="1957070"/>
        </a:xfrm>
        <a:prstGeom prst="rect">
          <a:avLst/>
        </a:prstGeom>
      </xdr:spPr>
    </xdr:pic>
    <xdr:clientData/>
  </xdr:oneCellAnchor>
  <xdr:twoCellAnchor editAs="oneCell">
    <xdr:from>
      <xdr:col>2</xdr:col>
      <xdr:colOff>2326005</xdr:colOff>
      <xdr:row>9</xdr:row>
      <xdr:rowOff>191135</xdr:rowOff>
    </xdr:from>
    <xdr:to>
      <xdr:col>2</xdr:col>
      <xdr:colOff>4515485</xdr:colOff>
      <xdr:row>9</xdr:row>
      <xdr:rowOff>2133600</xdr:rowOff>
    </xdr:to>
    <xdr:pic>
      <xdr:nvPicPr>
        <xdr:cNvPr id="13" name="图片 12" descr="后悬架">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2"/>
        <a:stretch>
          <a:fillRect/>
        </a:stretch>
      </xdr:blipFill>
      <xdr:spPr>
        <a:xfrm>
          <a:off x="5252085" y="16128365"/>
          <a:ext cx="2189480" cy="1942465"/>
        </a:xfrm>
        <a:prstGeom prst="rect">
          <a:avLst/>
        </a:prstGeom>
      </xdr:spPr>
    </xdr:pic>
    <xdr:clientData/>
  </xdr:twoCellAnchor>
  <xdr:twoCellAnchor editAs="oneCell">
    <xdr:from>
      <xdr:col>2</xdr:col>
      <xdr:colOff>904875</xdr:colOff>
      <xdr:row>3</xdr:row>
      <xdr:rowOff>-1</xdr:rowOff>
    </xdr:from>
    <xdr:to>
      <xdr:col>2</xdr:col>
      <xdr:colOff>4029075</xdr:colOff>
      <xdr:row>3</xdr:row>
      <xdr:rowOff>2639060</xdr:rowOff>
    </xdr:to>
    <xdr:pic>
      <xdr:nvPicPr>
        <xdr:cNvPr id="14" name="图片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3"/>
        <a:stretch>
          <a:fillRect/>
        </a:stretch>
      </xdr:blipFill>
      <xdr:spPr>
        <a:xfrm>
          <a:off x="3830955" y="525145"/>
          <a:ext cx="3124200" cy="2639695"/>
        </a:xfrm>
        <a:prstGeom prst="rect">
          <a:avLst/>
        </a:prstGeom>
        <a:noFill/>
        <a:ln w="9525">
          <a:noFill/>
        </a:ln>
      </xdr:spPr>
    </xdr:pic>
    <xdr:clientData/>
  </xdr:twoCellAnchor>
  <xdr:twoCellAnchor>
    <xdr:from>
      <xdr:col>2</xdr:col>
      <xdr:colOff>918845</xdr:colOff>
      <xdr:row>3</xdr:row>
      <xdr:rowOff>171450</xdr:rowOff>
    </xdr:from>
    <xdr:to>
      <xdr:col>2</xdr:col>
      <xdr:colOff>2090420</xdr:colOff>
      <xdr:row>3</xdr:row>
      <xdr:rowOff>472440</xdr:rowOff>
    </xdr:to>
    <xdr:sp macro="" textlink="">
      <xdr:nvSpPr>
        <xdr:cNvPr id="15" name="文本框 14">
          <a:extLst>
            <a:ext uri="{FF2B5EF4-FFF2-40B4-BE49-F238E27FC236}">
              <a16:creationId xmlns:a16="http://schemas.microsoft.com/office/drawing/2014/main" id="{00000000-0008-0000-0A00-00000F000000}"/>
            </a:ext>
          </a:extLst>
        </xdr:cNvPr>
        <xdr:cNvSpPr txBox="1"/>
      </xdr:nvSpPr>
      <xdr:spPr>
        <a:xfrm>
          <a:off x="3844925" y="697230"/>
          <a:ext cx="1171575" cy="30099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rgbClr val="FFAA00"/>
              </a:solidFill>
            </a:rPr>
            <a:t>主环接地测量点</a:t>
          </a:r>
        </a:p>
      </xdr:txBody>
    </xdr:sp>
    <xdr:clientData/>
  </xdr:twoCellAnchor>
  <xdr:twoCellAnchor editAs="oneCell">
    <xdr:from>
      <xdr:col>2</xdr:col>
      <xdr:colOff>342900</xdr:colOff>
      <xdr:row>4</xdr:row>
      <xdr:rowOff>45085</xdr:rowOff>
    </xdr:from>
    <xdr:to>
      <xdr:col>2</xdr:col>
      <xdr:colOff>2458085</xdr:colOff>
      <xdr:row>4</xdr:row>
      <xdr:rowOff>1070610</xdr:rowOff>
    </xdr:to>
    <xdr:pic>
      <xdr:nvPicPr>
        <xdr:cNvPr id="16" name="图片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14"/>
        <a:srcRect b="40895"/>
        <a:stretch>
          <a:fillRect/>
        </a:stretch>
      </xdr:blipFill>
      <xdr:spPr>
        <a:xfrm>
          <a:off x="3268980" y="3266440"/>
          <a:ext cx="2115185" cy="1025525"/>
        </a:xfrm>
        <a:prstGeom prst="rect">
          <a:avLst/>
        </a:prstGeom>
        <a:noFill/>
        <a:ln w="9525">
          <a:noFill/>
        </a:ln>
      </xdr:spPr>
    </xdr:pic>
    <xdr:clientData/>
  </xdr:twoCellAnchor>
  <xdr:twoCellAnchor>
    <xdr:from>
      <xdr:col>2</xdr:col>
      <xdr:colOff>861060</xdr:colOff>
      <xdr:row>4</xdr:row>
      <xdr:rowOff>236220</xdr:rowOff>
    </xdr:from>
    <xdr:to>
      <xdr:col>2</xdr:col>
      <xdr:colOff>1060450</xdr:colOff>
      <xdr:row>4</xdr:row>
      <xdr:rowOff>480060</xdr:rowOff>
    </xdr:to>
    <xdr:cxnSp macro="">
      <xdr:nvCxnSpPr>
        <xdr:cNvPr id="17" name="直接箭头连接符 16">
          <a:extLst>
            <a:ext uri="{FF2B5EF4-FFF2-40B4-BE49-F238E27FC236}">
              <a16:creationId xmlns:a16="http://schemas.microsoft.com/office/drawing/2014/main" id="{00000000-0008-0000-0A00-000011000000}"/>
            </a:ext>
          </a:extLst>
        </xdr:cNvPr>
        <xdr:cNvCxnSpPr/>
      </xdr:nvCxnSpPr>
      <xdr:spPr>
        <a:xfrm>
          <a:off x="3787140" y="3457575"/>
          <a:ext cx="199390" cy="243840"/>
        </a:xfrm>
        <a:prstGeom prst="straightConnector1">
          <a:avLst/>
        </a:prstGeom>
        <a:ln w="6350">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2</xdr:col>
      <xdr:colOff>424180</xdr:colOff>
      <xdr:row>4</xdr:row>
      <xdr:rowOff>67310</xdr:rowOff>
    </xdr:from>
    <xdr:to>
      <xdr:col>2</xdr:col>
      <xdr:colOff>1370330</xdr:colOff>
      <xdr:row>4</xdr:row>
      <xdr:rowOff>276860</xdr:rowOff>
    </xdr:to>
    <xdr:sp macro="" textlink="">
      <xdr:nvSpPr>
        <xdr:cNvPr id="18" name="文本框 17">
          <a:extLst>
            <a:ext uri="{FF2B5EF4-FFF2-40B4-BE49-F238E27FC236}">
              <a16:creationId xmlns:a16="http://schemas.microsoft.com/office/drawing/2014/main" id="{00000000-0008-0000-0A00-000012000000}"/>
            </a:ext>
          </a:extLst>
        </xdr:cNvPr>
        <xdr:cNvSpPr txBox="1"/>
      </xdr:nvSpPr>
      <xdr:spPr>
        <a:xfrm>
          <a:off x="3350260" y="3288665"/>
          <a:ext cx="946150" cy="20955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700">
              <a:solidFill>
                <a:srgbClr val="FF0000"/>
              </a:solidFill>
            </a:rPr>
            <a:t>单体壳接地测量点</a:t>
          </a:r>
          <a:r>
            <a:rPr lang="en-US" altLang="zh-CN" sz="700">
              <a:solidFill>
                <a:srgbClr val="FF0000"/>
              </a:solidFill>
            </a:rPr>
            <a:t>2</a:t>
          </a:r>
        </a:p>
      </xdr:txBody>
    </xdr:sp>
    <xdr:clientData/>
  </xdr:twoCellAnchor>
  <xdr:twoCellAnchor editAs="oneCell">
    <xdr:from>
      <xdr:col>7</xdr:col>
      <xdr:colOff>1556385</xdr:colOff>
      <xdr:row>3</xdr:row>
      <xdr:rowOff>40005</xdr:rowOff>
    </xdr:from>
    <xdr:to>
      <xdr:col>7</xdr:col>
      <xdr:colOff>4171315</xdr:colOff>
      <xdr:row>3</xdr:row>
      <xdr:rowOff>2669540</xdr:rowOff>
    </xdr:to>
    <xdr:pic>
      <xdr:nvPicPr>
        <xdr:cNvPr id="19" name="图片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15"/>
        <a:stretch>
          <a:fillRect/>
        </a:stretch>
      </xdr:blipFill>
      <xdr:spPr>
        <a:xfrm>
          <a:off x="14323695" y="565785"/>
          <a:ext cx="2614930" cy="2629535"/>
        </a:xfrm>
        <a:prstGeom prst="rect">
          <a:avLst/>
        </a:prstGeom>
        <a:noFill/>
        <a:ln w="9525">
          <a:noFill/>
        </a:ln>
      </xdr:spPr>
    </xdr:pic>
    <xdr:clientData/>
  </xdr:twoCellAnchor>
  <xdr:twoCellAnchor>
    <xdr:from>
      <xdr:col>7</xdr:col>
      <xdr:colOff>2810510</xdr:colOff>
      <xdr:row>3</xdr:row>
      <xdr:rowOff>295910</xdr:rowOff>
    </xdr:from>
    <xdr:to>
      <xdr:col>7</xdr:col>
      <xdr:colOff>4250690</xdr:colOff>
      <xdr:row>3</xdr:row>
      <xdr:rowOff>532765</xdr:rowOff>
    </xdr:to>
    <xdr:sp macro="" textlink="">
      <xdr:nvSpPr>
        <xdr:cNvPr id="20" name="文本框 19">
          <a:extLst>
            <a:ext uri="{FF2B5EF4-FFF2-40B4-BE49-F238E27FC236}">
              <a16:creationId xmlns:a16="http://schemas.microsoft.com/office/drawing/2014/main" id="{00000000-0008-0000-0A00-000014000000}"/>
            </a:ext>
          </a:extLst>
        </xdr:cNvPr>
        <xdr:cNvSpPr txBox="1"/>
      </xdr:nvSpPr>
      <xdr:spPr>
        <a:xfrm>
          <a:off x="15577820" y="821690"/>
          <a:ext cx="1440180" cy="23685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rgbClr val="FF0000"/>
              </a:solidFill>
            </a:rPr>
            <a:t>侧面板接地测量点</a:t>
          </a:r>
        </a:p>
      </xdr:txBody>
    </xdr:sp>
    <xdr:clientData/>
  </xdr:twoCellAnchor>
  <xdr:twoCellAnchor editAs="oneCell">
    <xdr:from>
      <xdr:col>12</xdr:col>
      <xdr:colOff>103767</xdr:colOff>
      <xdr:row>3</xdr:row>
      <xdr:rowOff>281043</xdr:rowOff>
    </xdr:from>
    <xdr:to>
      <xdr:col>13</xdr:col>
      <xdr:colOff>0</xdr:colOff>
      <xdr:row>3</xdr:row>
      <xdr:rowOff>2255258</xdr:rowOff>
    </xdr:to>
    <xdr:pic>
      <xdr:nvPicPr>
        <xdr:cNvPr id="21" name="图片 20" descr="控制器">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6"/>
        <a:stretch>
          <a:fillRect/>
        </a:stretch>
      </xdr:blipFill>
      <xdr:spPr>
        <a:xfrm>
          <a:off x="23866475" y="806450"/>
          <a:ext cx="3736975" cy="1974215"/>
        </a:xfrm>
        <a:prstGeom prst="rect">
          <a:avLst/>
        </a:prstGeom>
      </xdr:spPr>
    </xdr:pic>
    <xdr:clientData/>
  </xdr:twoCellAnchor>
  <xdr:twoCellAnchor editAs="oneCell">
    <xdr:from>
      <xdr:col>12</xdr:col>
      <xdr:colOff>702945</xdr:colOff>
      <xdr:row>4</xdr:row>
      <xdr:rowOff>28575</xdr:rowOff>
    </xdr:from>
    <xdr:to>
      <xdr:col>12</xdr:col>
      <xdr:colOff>3183255</xdr:colOff>
      <xdr:row>4</xdr:row>
      <xdr:rowOff>2519045</xdr:rowOff>
    </xdr:to>
    <xdr:pic>
      <xdr:nvPicPr>
        <xdr:cNvPr id="22" name="图片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17"/>
        <a:stretch>
          <a:fillRect/>
        </a:stretch>
      </xdr:blipFill>
      <xdr:spPr>
        <a:xfrm>
          <a:off x="24465915" y="3249930"/>
          <a:ext cx="2480310" cy="2490470"/>
        </a:xfrm>
        <a:prstGeom prst="rect">
          <a:avLst/>
        </a:prstGeom>
        <a:noFill/>
        <a:ln w="9525">
          <a:noFill/>
        </a:ln>
      </xdr:spPr>
    </xdr:pic>
    <xdr:clientData/>
  </xdr:twoCellAnchor>
  <xdr:twoCellAnchor>
    <xdr:from>
      <xdr:col>12</xdr:col>
      <xdr:colOff>1906270</xdr:colOff>
      <xdr:row>4</xdr:row>
      <xdr:rowOff>767715</xdr:rowOff>
    </xdr:from>
    <xdr:to>
      <xdr:col>12</xdr:col>
      <xdr:colOff>3295650</xdr:colOff>
      <xdr:row>4</xdr:row>
      <xdr:rowOff>1139190</xdr:rowOff>
    </xdr:to>
    <xdr:sp macro="" textlink="">
      <xdr:nvSpPr>
        <xdr:cNvPr id="23" name="文本框 22">
          <a:extLst>
            <a:ext uri="{FF2B5EF4-FFF2-40B4-BE49-F238E27FC236}">
              <a16:creationId xmlns:a16="http://schemas.microsoft.com/office/drawing/2014/main" id="{00000000-0008-0000-0A00-000017000000}"/>
            </a:ext>
          </a:extLst>
        </xdr:cNvPr>
        <xdr:cNvSpPr txBox="1"/>
      </xdr:nvSpPr>
      <xdr:spPr>
        <a:xfrm>
          <a:off x="25669240" y="3989070"/>
          <a:ext cx="1389380" cy="37147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solidFill>
                <a:srgbClr val="FF0000"/>
              </a:solidFill>
            </a:rPr>
            <a:t>高压盒接地测量点</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r19cgtnv907.feishu.cn/file/KAhGb4YdGoG5BaxMs8fccth2n5c?from=from_copylink" TargetMode="External"/><Relationship Id="rId18" Type="http://schemas.openxmlformats.org/officeDocument/2006/relationships/hyperlink" Target="https://r19cgtnv907.feishu.cn/file/VQH4b6jSXosaHaxlw1EclW6Xnse" TargetMode="External"/><Relationship Id="rId26" Type="http://schemas.openxmlformats.org/officeDocument/2006/relationships/hyperlink" Target="https://r19cgtnv907.feishu.cn/file/XAMybXd18onh22x8KxYcq42anmh" TargetMode="External"/><Relationship Id="rId39" Type="http://schemas.openxmlformats.org/officeDocument/2006/relationships/hyperlink" Target="https://r19cgtnv907.feishu.cn/file/Vj0TbksweoCrKGxjdrPcwaTTnzb" TargetMode="External"/><Relationship Id="rId21" Type="http://schemas.openxmlformats.org/officeDocument/2006/relationships/hyperlink" Target="https://r19cgtnv907.feishu.cn/file/SPawbJ7oko91NtxjeNBcGKmvnun" TargetMode="External"/><Relationship Id="rId34" Type="http://schemas.openxmlformats.org/officeDocument/2006/relationships/hyperlink" Target="https://r19cgtnv907.feishu.cn/file/J1XcbT1Wqox1GdxTIEsc6X23nrP" TargetMode="External"/><Relationship Id="rId7" Type="http://schemas.openxmlformats.org/officeDocument/2006/relationships/hyperlink" Target="https://r19cgtnv907.feishu.cn/file/UJ5Vb2YwcognI9xlWHhcRN0WnGd?from=from_copylink" TargetMode="External"/><Relationship Id="rId2" Type="http://schemas.openxmlformats.org/officeDocument/2006/relationships/hyperlink" Target="https://www.sunwincable.com/Chanp/details/27.html" TargetMode="External"/><Relationship Id="rId16" Type="http://schemas.openxmlformats.org/officeDocument/2006/relationships/hyperlink" Target="https://www.sunwincable.com/Chanp/details/27.html" TargetMode="External"/><Relationship Id="rId20" Type="http://schemas.openxmlformats.org/officeDocument/2006/relationships/hyperlink" Target="https://r19cgtnv907.feishu.cn/file/K0gAbfs6cotuEBxjMBFcTtKJnpd" TargetMode="External"/><Relationship Id="rId29" Type="http://schemas.openxmlformats.org/officeDocument/2006/relationships/hyperlink" Target="https://r19cgtnv907.feishu.cn/file/EoKBbMheJoNRjTxwXHJcJkkvnEf" TargetMode="External"/><Relationship Id="rId41" Type="http://schemas.openxmlformats.org/officeDocument/2006/relationships/hyperlink" Target="https://icno65tcla9u.feishu.cn/file/DzQlb58kTo2cUMxACvJcO9Wjnce" TargetMode="External"/><Relationship Id="rId1" Type="http://schemas.openxmlformats.org/officeDocument/2006/relationships/hyperlink" Target="https://r19cgtnv907.feishu.cn/file/WdRZbQ2f4okBvkxSxsWcz6mDnRc" TargetMode="External"/><Relationship Id="rId6" Type="http://schemas.openxmlformats.org/officeDocument/2006/relationships/hyperlink" Target="https://r19cgtnv907.feishu.cn/file/VENlbFSXsoSZEpxCss6cePHHnwc?from=from_copylink" TargetMode="External"/><Relationship Id="rId11" Type="http://schemas.openxmlformats.org/officeDocument/2006/relationships/hyperlink" Target="https://r19cgtnv907.feishu.cn/file/VENlbFSXsoSZEpxCss6cePHHnwc?from=from_copylink" TargetMode="External"/><Relationship Id="rId24" Type="http://schemas.openxmlformats.org/officeDocument/2006/relationships/hyperlink" Target="https://r19cgtnv907.feishu.cn/file/Tu8NbflukoTDuIx9BL1cPpaKnFh?from=from_copylink" TargetMode="External"/><Relationship Id="rId32" Type="http://schemas.openxmlformats.org/officeDocument/2006/relationships/hyperlink" Target="https://r19cgtnv907.feishu.cn/file/SIUKbDIaVosH0fxRzKWchrNhnxh" TargetMode="External"/><Relationship Id="rId37" Type="http://schemas.openxmlformats.org/officeDocument/2006/relationships/hyperlink" Target="https://r19cgtnv907.feishu.cn/file/KFoMbbxBVoJNXxxLYZxcYeuAnab" TargetMode="External"/><Relationship Id="rId40" Type="http://schemas.openxmlformats.org/officeDocument/2006/relationships/hyperlink" Target="https://icno65tcla9u.feishu.cn/wiki/WigQw1XXLiWB6kk4mvsch5D1n0f" TargetMode="External"/><Relationship Id="rId5" Type="http://schemas.openxmlformats.org/officeDocument/2006/relationships/hyperlink" Target="https://www.sunwincable.com/Chanp/details/27.html" TargetMode="External"/><Relationship Id="rId15" Type="http://schemas.openxmlformats.org/officeDocument/2006/relationships/hyperlink" Target="https://r19cgtnv907.feishu.cn/file/KAhGb4YdGoG5BaxMs8fccth2n5c?from=from_copylink" TargetMode="External"/><Relationship Id="rId23" Type="http://schemas.openxmlformats.org/officeDocument/2006/relationships/hyperlink" Target="https://r19cgtnv907.feishu.cn/file/Tu8NbflukoTDuIx9BL1cPpaKnFh?from=from_copylink" TargetMode="External"/><Relationship Id="rId28" Type="http://schemas.openxmlformats.org/officeDocument/2006/relationships/hyperlink" Target="https://r19cgtnv907.feishu.cn/file/Vj25b2KCqoFt2xxIgT9c1Q0Dndh" TargetMode="External"/><Relationship Id="rId36" Type="http://schemas.openxmlformats.org/officeDocument/2006/relationships/hyperlink" Target="https://r19cgtnv907.feishu.cn/file/KFoMbbxBVoJNXxxLYZxcYeuAnab" TargetMode="External"/><Relationship Id="rId10" Type="http://schemas.openxmlformats.org/officeDocument/2006/relationships/hyperlink" Target="https://r19cgtnv907.feishu.cn/file/SgeXb7PKMoxd3dxGoguc1LonnSg" TargetMode="External"/><Relationship Id="rId19" Type="http://schemas.openxmlformats.org/officeDocument/2006/relationships/hyperlink" Target="https://r19cgtnv907.feishu.cn/file/M7XrbyxHKoJJsyxBRBCcjHEgnCe" TargetMode="External"/><Relationship Id="rId31" Type="http://schemas.openxmlformats.org/officeDocument/2006/relationships/hyperlink" Target="https://r19cgtnv907.feishu.cn/file/JpkGbnfGQoL3VPxHcJEcKQITnsb" TargetMode="External"/><Relationship Id="rId4" Type="http://schemas.openxmlformats.org/officeDocument/2006/relationships/hyperlink" Target="https://www.sunwincable.com/Chanp/details/27.html" TargetMode="External"/><Relationship Id="rId9" Type="http://schemas.openxmlformats.org/officeDocument/2006/relationships/hyperlink" Target="https://r19cgtnv907.feishu.cn/file/ZbukbYZWvodvsfxg70ZcNwo9nuf" TargetMode="External"/><Relationship Id="rId14" Type="http://schemas.openxmlformats.org/officeDocument/2006/relationships/hyperlink" Target="https://r19cgtnv907.feishu.cn/file/KAhGb4YdGoG5BaxMs8fccth2n5c?from=from_copylink" TargetMode="External"/><Relationship Id="rId22" Type="http://schemas.openxmlformats.org/officeDocument/2006/relationships/hyperlink" Target="https://r19cgtnv907.feishu.cn/file/EUy1bSeXpoDr8ZxL8qbcAErEntc" TargetMode="External"/><Relationship Id="rId27" Type="http://schemas.openxmlformats.org/officeDocument/2006/relationships/hyperlink" Target="https://r19cgtnv907.feishu.cn/file/W0i2b0Tkuo8PoixTnFlca5AUnOf" TargetMode="External"/><Relationship Id="rId30" Type="http://schemas.openxmlformats.org/officeDocument/2006/relationships/hyperlink" Target="https://r19cgtnv907.feishu.cn/file/MbVlblFYEov94AxCUvWcmay2nNf" TargetMode="External"/><Relationship Id="rId35" Type="http://schemas.openxmlformats.org/officeDocument/2006/relationships/hyperlink" Target="https://r19cgtnv907.feishu.cn/file/Nug0bR03QoprzPxwOQ0cXmj8ntc" TargetMode="External"/><Relationship Id="rId8" Type="http://schemas.openxmlformats.org/officeDocument/2006/relationships/hyperlink" Target="https://r19cgtnv907.feishu.cn/file/ZbukbYZWvodvsfxg70ZcNwo9nuf" TargetMode="External"/><Relationship Id="rId3" Type="http://schemas.openxmlformats.org/officeDocument/2006/relationships/hyperlink" Target="https://www.sunwincable.com/Chanp/details/27.html" TargetMode="External"/><Relationship Id="rId12" Type="http://schemas.openxmlformats.org/officeDocument/2006/relationships/hyperlink" Target="https://r19cgtnv907.feishu.cn/file/UJ5Vb2YwcognI9xlWHhcRN0WnGd?from=from_copylink" TargetMode="External"/><Relationship Id="rId17" Type="http://schemas.openxmlformats.org/officeDocument/2006/relationships/hyperlink" Target="https://r19cgtnv907.feishu.cn/file/UJ5Vb2YwcognI9xlWHhcRN0WnGd?from=from_copylink" TargetMode="External"/><Relationship Id="rId25" Type="http://schemas.openxmlformats.org/officeDocument/2006/relationships/hyperlink" Target="https://r19cgtnv907.feishu.cn/file/Tu8NbflukoTDuIx9BL1cPpaKnFh?from=from_copylink" TargetMode="External"/><Relationship Id="rId33" Type="http://schemas.openxmlformats.org/officeDocument/2006/relationships/hyperlink" Target="https://r19cgtnv907.feishu.cn/file/RuoFbnL3CosA0GxJBYQcsbxVnOh" TargetMode="External"/><Relationship Id="rId38" Type="http://schemas.openxmlformats.org/officeDocument/2006/relationships/hyperlink" Target="https://r19cgtnv907.feishu.cn/file/Nr3UbXoaNo6Hi2xfth4ckikLnO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r19cgtnv907.feishu.cn/file/X82Tbv9VxoGYGExLbswca1ODnX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r19cgtnv907.feishu.cn/file/NGsKb3Gyeovtkoxvuolc1dbyn5g?from=from_copylink"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r19cgtnv907.feishu.cn/wiki/BAo2w0gT6ivWtAkpGjYcS1fYneb" TargetMode="External"/><Relationship Id="rId2" Type="http://schemas.openxmlformats.org/officeDocument/2006/relationships/hyperlink" Target="https://r19cgtnv907.feishu.cn/file/W5wtbgKmiox83Wx7j1nc8BtmnVc" TargetMode="External"/><Relationship Id="rId1" Type="http://schemas.openxmlformats.org/officeDocument/2006/relationships/hyperlink" Target="https://r19cgtnv907.feishu.cn/file/BOy3b4aOxo94bjxbTT0cZNABnPf" TargetMode="External"/><Relationship Id="rId5" Type="http://schemas.openxmlformats.org/officeDocument/2006/relationships/drawing" Target="../drawings/drawing4.xml"/><Relationship Id="rId4" Type="http://schemas.openxmlformats.org/officeDocument/2006/relationships/hyperlink" Target="https://r19cgtnv907.feishu.cn/wiki/Ft5NwNLjwiznDrk7QY6cdj2wnT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icno65tcla9u.feishu.cn/file/AzNsbMSrFoSWYrxiF4vc5Qx7nvb"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r19cgtnv907.feishu.cn/file/K5GQbCpZdoDl69x4OANcqvJfnlf" TargetMode="External"/><Relationship Id="rId2" Type="http://schemas.openxmlformats.org/officeDocument/2006/relationships/hyperlink" Target="https://r19cgtnv907.feishu.cn/file/Px1Dbk8dBoOzQtxqrrWcyTOGnRh?from=from_copylink" TargetMode="External"/><Relationship Id="rId1" Type="http://schemas.openxmlformats.org/officeDocument/2006/relationships/hyperlink" Target="https://r19cgtnv907.feishu.cn/file/JEawbOu88oLKIZxyBPHc0jmOn2e" TargetMode="External"/><Relationship Id="rId4"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9"/>
  <sheetViews>
    <sheetView tabSelected="1" zoomScale="55" zoomScaleNormal="55" workbookViewId="0">
      <selection activeCell="A2" sqref="A2:H17"/>
    </sheetView>
  </sheetViews>
  <sheetFormatPr defaultColWidth="9" defaultRowHeight="13.9" x14ac:dyDescent="0.4"/>
  <cols>
    <col min="8" max="8" width="46.796875" customWidth="1"/>
    <col min="10" max="10" width="35.6640625" customWidth="1"/>
    <col min="11" max="11" width="21.796875" customWidth="1"/>
    <col min="13" max="13" width="10.796875" customWidth="1"/>
    <col min="14" max="14" width="12.796875" customWidth="1"/>
  </cols>
  <sheetData>
    <row r="1" spans="1:15" s="27" customFormat="1" ht="25.15" customHeight="1" x14ac:dyDescent="0.4">
      <c r="A1" s="54" t="s">
        <v>0</v>
      </c>
      <c r="B1" s="55"/>
      <c r="C1" s="55"/>
      <c r="D1" s="55"/>
      <c r="E1" s="55"/>
      <c r="F1" s="55"/>
      <c r="G1" s="55"/>
      <c r="H1" s="55"/>
      <c r="J1" s="54" t="s">
        <v>1</v>
      </c>
      <c r="K1" s="54"/>
      <c r="M1" s="54" t="s">
        <v>2</v>
      </c>
      <c r="N1" s="54"/>
    </row>
    <row r="2" spans="1:15" ht="25.15" customHeight="1" x14ac:dyDescent="0.4">
      <c r="A2" s="59" t="s">
        <v>3</v>
      </c>
      <c r="B2" s="60"/>
      <c r="C2" s="60"/>
      <c r="D2" s="60"/>
      <c r="E2" s="60"/>
      <c r="F2" s="60"/>
      <c r="G2" s="60"/>
      <c r="H2" s="60"/>
      <c r="J2" s="5" t="s">
        <v>4</v>
      </c>
      <c r="K2" s="6" t="str">
        <f ca="1">'规格书 Datasheet'!B1</f>
        <v>OK</v>
      </c>
      <c r="M2" s="70" t="str">
        <f ca="1">IF(COUNTIF(K2:K11,"="&amp;IncompleteText),IncompleteText,IF(COUNTIF(K2:K11,"="&amp;ErrorText),ErrorText,OKText))</f>
        <v>OK</v>
      </c>
      <c r="N2" s="70"/>
    </row>
    <row r="3" spans="1:15" ht="25.15" customHeight="1" x14ac:dyDescent="0.4">
      <c r="A3" s="60"/>
      <c r="B3" s="60"/>
      <c r="C3" s="60"/>
      <c r="D3" s="60"/>
      <c r="E3" s="60"/>
      <c r="F3" s="60"/>
      <c r="G3" s="60"/>
      <c r="H3" s="60"/>
      <c r="J3" s="5" t="s">
        <v>5</v>
      </c>
      <c r="K3" s="6" t="str">
        <f ca="1">'驱动系统原理图 TS Schematics'!$B$1</f>
        <v>OK</v>
      </c>
      <c r="M3" s="70"/>
      <c r="N3" s="70"/>
    </row>
    <row r="4" spans="1:15" ht="25.15" customHeight="1" x14ac:dyDescent="0.4">
      <c r="A4" s="60"/>
      <c r="B4" s="60"/>
      <c r="C4" s="60"/>
      <c r="D4" s="60"/>
      <c r="E4" s="60"/>
      <c r="F4" s="60"/>
      <c r="G4" s="60"/>
      <c r="H4" s="60"/>
      <c r="J4" s="5" t="s">
        <v>6</v>
      </c>
      <c r="K4" s="6" t="str">
        <f ca="1">'电池箱 Accumulator'!B1</f>
        <v>OK</v>
      </c>
      <c r="M4" s="70"/>
      <c r="N4" s="70"/>
    </row>
    <row r="5" spans="1:15" ht="25.15" customHeight="1" x14ac:dyDescent="0.4">
      <c r="A5" s="60"/>
      <c r="B5" s="60"/>
      <c r="C5" s="60"/>
      <c r="D5" s="60"/>
      <c r="E5" s="60"/>
      <c r="F5" s="60"/>
      <c r="G5" s="60"/>
      <c r="H5" s="60"/>
      <c r="J5" s="5" t="s">
        <v>7</v>
      </c>
      <c r="K5" s="6" t="str">
        <f ca="1">'预充电放电 PrechargeDischarge'!B1</f>
        <v>OK</v>
      </c>
    </row>
    <row r="6" spans="1:15" ht="25.15" customHeight="1" x14ac:dyDescent="0.4">
      <c r="A6" s="60"/>
      <c r="B6" s="60"/>
      <c r="C6" s="60"/>
      <c r="D6" s="60"/>
      <c r="E6" s="60"/>
      <c r="F6" s="60"/>
      <c r="G6" s="60"/>
      <c r="H6" s="60"/>
      <c r="J6" s="5" t="s">
        <v>8</v>
      </c>
      <c r="K6" s="6" t="str">
        <f ca="1">'充电 Charging'!B1</f>
        <v>OK</v>
      </c>
    </row>
    <row r="7" spans="1:15" ht="25.15" customHeight="1" x14ac:dyDescent="0.4">
      <c r="A7" s="60"/>
      <c r="B7" s="60"/>
      <c r="C7" s="60"/>
      <c r="D7" s="60"/>
      <c r="E7" s="60"/>
      <c r="F7" s="60"/>
      <c r="G7" s="60"/>
      <c r="H7" s="60"/>
      <c r="J7" s="5" t="s">
        <v>9</v>
      </c>
      <c r="K7" s="6" t="str">
        <f ca="1">'安全系统 Shutdown circuit'!B1</f>
        <v>OK</v>
      </c>
    </row>
    <row r="8" spans="1:15" ht="25.15" customHeight="1" x14ac:dyDescent="0.4">
      <c r="A8" s="60"/>
      <c r="B8" s="60"/>
      <c r="C8" s="60"/>
      <c r="D8" s="60"/>
      <c r="E8" s="60"/>
      <c r="F8" s="60"/>
      <c r="G8" s="60"/>
      <c r="H8" s="60"/>
      <c r="J8" s="5" t="s">
        <v>10</v>
      </c>
      <c r="K8" s="6" t="str">
        <f ca="1">'扭矩指令 Torque Security'!B1</f>
        <v>OK</v>
      </c>
    </row>
    <row r="9" spans="1:15" ht="25.15" customHeight="1" x14ac:dyDescent="0.4">
      <c r="A9" s="60"/>
      <c r="B9" s="60"/>
      <c r="C9" s="60"/>
      <c r="D9" s="60"/>
      <c r="E9" s="60"/>
      <c r="F9" s="60"/>
      <c r="G9" s="60"/>
      <c r="H9" s="60"/>
      <c r="J9" s="5" t="s">
        <v>11</v>
      </c>
      <c r="K9" s="6" t="str">
        <f ca="1">'其他 Others'!B1</f>
        <v>OK</v>
      </c>
    </row>
    <row r="10" spans="1:15" ht="25.15" customHeight="1" x14ac:dyDescent="0.4">
      <c r="A10" s="60"/>
      <c r="B10" s="60"/>
      <c r="C10" s="60"/>
      <c r="D10" s="60"/>
      <c r="E10" s="60"/>
      <c r="F10" s="60"/>
      <c r="G10" s="60"/>
      <c r="H10" s="60"/>
      <c r="J10" s="5" t="s">
        <v>12</v>
      </c>
      <c r="K10" s="6" t="str">
        <f ca="1">'接地 Grounding'!B1</f>
        <v>OK</v>
      </c>
    </row>
    <row r="11" spans="1:15" ht="25.15" customHeight="1" x14ac:dyDescent="0.4">
      <c r="A11" s="60"/>
      <c r="B11" s="60"/>
      <c r="C11" s="60"/>
      <c r="D11" s="60"/>
      <c r="E11" s="60"/>
      <c r="F11" s="60"/>
      <c r="G11" s="60"/>
      <c r="H11" s="60"/>
      <c r="J11" s="5" t="s">
        <v>13</v>
      </c>
      <c r="K11" s="6" t="str">
        <f>O12</f>
        <v>OK</v>
      </c>
    </row>
    <row r="12" spans="1:15" ht="25.15" customHeight="1" x14ac:dyDescent="0.4">
      <c r="A12" s="60"/>
      <c r="B12" s="60"/>
      <c r="C12" s="60"/>
      <c r="D12" s="60"/>
      <c r="E12" s="60"/>
      <c r="F12" s="60"/>
      <c r="G12" s="60"/>
      <c r="H12" s="60"/>
      <c r="J12" s="54" t="s">
        <v>13</v>
      </c>
      <c r="K12" s="54"/>
      <c r="L12" s="54"/>
      <c r="M12" s="54"/>
      <c r="N12" s="54"/>
      <c r="O12" s="6" t="str">
        <f>IF(COUNTIF(O13:O15,"="&amp;IncompleteText),IncompleteText,IF(COUNTIF(O13:O15,"="&amp;ErrorText),ErrorText,OKText))</f>
        <v>OK</v>
      </c>
    </row>
    <row r="13" spans="1:15" ht="25.15" customHeight="1" x14ac:dyDescent="0.4">
      <c r="A13" s="60"/>
      <c r="B13" s="60"/>
      <c r="C13" s="60"/>
      <c r="D13" s="60"/>
      <c r="E13" s="60"/>
      <c r="F13" s="60"/>
      <c r="G13" s="60"/>
      <c r="H13" s="60"/>
      <c r="J13" s="5" t="s">
        <v>14</v>
      </c>
      <c r="K13" s="56" t="s">
        <v>15</v>
      </c>
      <c r="L13" s="56"/>
      <c r="M13" s="56"/>
      <c r="N13" s="56"/>
      <c r="O13" s="6" t="str">
        <f>IF(ISBLANK(K13),IncompleteText,OKText)</f>
        <v>OK</v>
      </c>
    </row>
    <row r="14" spans="1:15" ht="25.15" customHeight="1" x14ac:dyDescent="0.4">
      <c r="A14" s="60"/>
      <c r="B14" s="60"/>
      <c r="C14" s="60"/>
      <c r="D14" s="60"/>
      <c r="E14" s="60"/>
      <c r="F14" s="60"/>
      <c r="G14" s="60"/>
      <c r="H14" s="60"/>
      <c r="J14" s="5" t="s">
        <v>16</v>
      </c>
      <c r="K14" s="56" t="s">
        <v>17</v>
      </c>
      <c r="L14" s="56"/>
      <c r="M14" s="56"/>
      <c r="N14" s="56"/>
      <c r="O14" s="6" t="str">
        <f>IF(ISBLANK(K14),IncompleteText,OKText)</f>
        <v>OK</v>
      </c>
    </row>
    <row r="15" spans="1:15" ht="25.15" customHeight="1" x14ac:dyDescent="0.4">
      <c r="A15" s="60"/>
      <c r="B15" s="60"/>
      <c r="C15" s="60"/>
      <c r="D15" s="60"/>
      <c r="E15" s="60"/>
      <c r="F15" s="60"/>
      <c r="G15" s="60"/>
      <c r="H15" s="60"/>
      <c r="J15" s="5" t="s">
        <v>18</v>
      </c>
      <c r="K15" s="56" t="s">
        <v>19</v>
      </c>
      <c r="L15" s="56"/>
      <c r="M15" s="56"/>
      <c r="N15" s="56"/>
      <c r="O15" s="6" t="str">
        <f>IF(ISBLANK(K15),IncompleteText,OKText)</f>
        <v>OK</v>
      </c>
    </row>
    <row r="16" spans="1:15" ht="25.15" customHeight="1" x14ac:dyDescent="0.4">
      <c r="A16" s="60"/>
      <c r="B16" s="60"/>
      <c r="C16" s="60"/>
      <c r="D16" s="60"/>
      <c r="E16" s="60"/>
      <c r="F16" s="60"/>
      <c r="G16" s="60"/>
      <c r="H16" s="60"/>
    </row>
    <row r="17" spans="1:15" ht="25.15" customHeight="1" x14ac:dyDescent="0.4">
      <c r="A17" s="60"/>
      <c r="B17" s="60"/>
      <c r="C17" s="60"/>
      <c r="D17" s="60"/>
      <c r="E17" s="60"/>
      <c r="F17" s="60"/>
      <c r="G17" s="60"/>
      <c r="H17" s="60"/>
      <c r="J17" s="48" t="s">
        <v>20</v>
      </c>
      <c r="K17" s="49">
        <f>MaxTSVoltage</f>
        <v>546</v>
      </c>
      <c r="L17" s="50" t="s">
        <v>21</v>
      </c>
    </row>
    <row r="18" spans="1:15" ht="30" customHeight="1" x14ac:dyDescent="0.4">
      <c r="J18" s="51" t="s">
        <v>22</v>
      </c>
      <c r="K18" s="52">
        <f>'电池箱 Accumulator'!U20</f>
        <v>80</v>
      </c>
      <c r="L18" s="53" t="s">
        <v>23</v>
      </c>
    </row>
    <row r="20" spans="1:15" x14ac:dyDescent="0.4">
      <c r="A20" s="57" t="s">
        <v>24</v>
      </c>
      <c r="B20" s="57"/>
      <c r="C20" s="57"/>
      <c r="D20" s="57"/>
      <c r="E20" s="57"/>
      <c r="F20" s="57"/>
      <c r="G20" s="57"/>
      <c r="H20" s="57"/>
      <c r="I20" s="58" t="s">
        <v>25</v>
      </c>
      <c r="J20" s="58"/>
      <c r="K20" s="58"/>
      <c r="L20" s="58"/>
      <c r="M20" s="58"/>
      <c r="N20" s="58"/>
      <c r="O20" s="58"/>
    </row>
    <row r="21" spans="1:15" x14ac:dyDescent="0.4">
      <c r="A21" s="61"/>
      <c r="B21" s="62"/>
      <c r="C21" s="62"/>
      <c r="D21" s="62"/>
      <c r="E21" s="62"/>
      <c r="F21" s="62"/>
      <c r="G21" s="62"/>
      <c r="H21" s="63"/>
      <c r="I21" s="61"/>
      <c r="J21" s="62"/>
      <c r="K21" s="62"/>
      <c r="L21" s="62"/>
      <c r="M21" s="62"/>
      <c r="N21" s="62"/>
      <c r="O21" s="62"/>
    </row>
    <row r="22" spans="1:15" x14ac:dyDescent="0.4">
      <c r="A22" s="64"/>
      <c r="B22" s="65"/>
      <c r="C22" s="65"/>
      <c r="D22" s="65"/>
      <c r="E22" s="65"/>
      <c r="F22" s="65"/>
      <c r="G22" s="65"/>
      <c r="H22" s="66"/>
      <c r="I22" s="64"/>
      <c r="J22" s="65"/>
      <c r="K22" s="65"/>
      <c r="L22" s="65"/>
      <c r="M22" s="65"/>
      <c r="N22" s="65"/>
      <c r="O22" s="65"/>
    </row>
    <row r="23" spans="1:15" x14ac:dyDescent="0.4">
      <c r="A23" s="64"/>
      <c r="B23" s="65"/>
      <c r="C23" s="65"/>
      <c r="D23" s="65"/>
      <c r="E23" s="65"/>
      <c r="F23" s="65"/>
      <c r="G23" s="65"/>
      <c r="H23" s="66"/>
      <c r="I23" s="64"/>
      <c r="J23" s="65"/>
      <c r="K23" s="65"/>
      <c r="L23" s="65"/>
      <c r="M23" s="65"/>
      <c r="N23" s="65"/>
      <c r="O23" s="65"/>
    </row>
    <row r="24" spans="1:15" x14ac:dyDescent="0.4">
      <c r="A24" s="64"/>
      <c r="B24" s="65"/>
      <c r="C24" s="65"/>
      <c r="D24" s="65"/>
      <c r="E24" s="65"/>
      <c r="F24" s="65"/>
      <c r="G24" s="65"/>
      <c r="H24" s="66"/>
      <c r="I24" s="64"/>
      <c r="J24" s="65"/>
      <c r="K24" s="65"/>
      <c r="L24" s="65"/>
      <c r="M24" s="65"/>
      <c r="N24" s="65"/>
      <c r="O24" s="65"/>
    </row>
    <row r="25" spans="1:15" x14ac:dyDescent="0.4">
      <c r="A25" s="64"/>
      <c r="B25" s="65"/>
      <c r="C25" s="65"/>
      <c r="D25" s="65"/>
      <c r="E25" s="65"/>
      <c r="F25" s="65"/>
      <c r="G25" s="65"/>
      <c r="H25" s="66"/>
      <c r="I25" s="64"/>
      <c r="J25" s="65"/>
      <c r="K25" s="65"/>
      <c r="L25" s="65"/>
      <c r="M25" s="65"/>
      <c r="N25" s="65"/>
      <c r="O25" s="65"/>
    </row>
    <row r="26" spans="1:15" x14ac:dyDescent="0.4">
      <c r="A26" s="64"/>
      <c r="B26" s="65"/>
      <c r="C26" s="65"/>
      <c r="D26" s="65"/>
      <c r="E26" s="65"/>
      <c r="F26" s="65"/>
      <c r="G26" s="65"/>
      <c r="H26" s="66"/>
      <c r="I26" s="64"/>
      <c r="J26" s="65"/>
      <c r="K26" s="65"/>
      <c r="L26" s="65"/>
      <c r="M26" s="65"/>
      <c r="N26" s="65"/>
      <c r="O26" s="65"/>
    </row>
    <row r="27" spans="1:15" x14ac:dyDescent="0.4">
      <c r="A27" s="64"/>
      <c r="B27" s="65"/>
      <c r="C27" s="65"/>
      <c r="D27" s="65"/>
      <c r="E27" s="65"/>
      <c r="F27" s="65"/>
      <c r="G27" s="65"/>
      <c r="H27" s="66"/>
      <c r="I27" s="64"/>
      <c r="J27" s="65"/>
      <c r="K27" s="65"/>
      <c r="L27" s="65"/>
      <c r="M27" s="65"/>
      <c r="N27" s="65"/>
      <c r="O27" s="65"/>
    </row>
    <row r="28" spans="1:15" x14ac:dyDescent="0.4">
      <c r="A28" s="64"/>
      <c r="B28" s="65"/>
      <c r="C28" s="65"/>
      <c r="D28" s="65"/>
      <c r="E28" s="65"/>
      <c r="F28" s="65"/>
      <c r="G28" s="65"/>
      <c r="H28" s="66"/>
      <c r="I28" s="64"/>
      <c r="J28" s="65"/>
      <c r="K28" s="65"/>
      <c r="L28" s="65"/>
      <c r="M28" s="65"/>
      <c r="N28" s="65"/>
      <c r="O28" s="65"/>
    </row>
    <row r="29" spans="1:15" x14ac:dyDescent="0.4">
      <c r="A29" s="64"/>
      <c r="B29" s="65"/>
      <c r="C29" s="65"/>
      <c r="D29" s="65"/>
      <c r="E29" s="65"/>
      <c r="F29" s="65"/>
      <c r="G29" s="65"/>
      <c r="H29" s="66"/>
      <c r="I29" s="64"/>
      <c r="J29" s="65"/>
      <c r="K29" s="65"/>
      <c r="L29" s="65"/>
      <c r="M29" s="65"/>
      <c r="N29" s="65"/>
      <c r="O29" s="65"/>
    </row>
    <row r="30" spans="1:15" x14ac:dyDescent="0.4">
      <c r="A30" s="64"/>
      <c r="B30" s="65"/>
      <c r="C30" s="65"/>
      <c r="D30" s="65"/>
      <c r="E30" s="65"/>
      <c r="F30" s="65"/>
      <c r="G30" s="65"/>
      <c r="H30" s="66"/>
      <c r="I30" s="64"/>
      <c r="J30" s="65"/>
      <c r="K30" s="65"/>
      <c r="L30" s="65"/>
      <c r="M30" s="65"/>
      <c r="N30" s="65"/>
      <c r="O30" s="65"/>
    </row>
    <row r="31" spans="1:15" x14ac:dyDescent="0.4">
      <c r="A31" s="64"/>
      <c r="B31" s="65"/>
      <c r="C31" s="65"/>
      <c r="D31" s="65"/>
      <c r="E31" s="65"/>
      <c r="F31" s="65"/>
      <c r="G31" s="65"/>
      <c r="H31" s="66"/>
      <c r="I31" s="64"/>
      <c r="J31" s="65"/>
      <c r="K31" s="65"/>
      <c r="L31" s="65"/>
      <c r="M31" s="65"/>
      <c r="N31" s="65"/>
      <c r="O31" s="65"/>
    </row>
    <row r="32" spans="1:15" x14ac:dyDescent="0.4">
      <c r="A32" s="64"/>
      <c r="B32" s="65"/>
      <c r="C32" s="65"/>
      <c r="D32" s="65"/>
      <c r="E32" s="65"/>
      <c r="F32" s="65"/>
      <c r="G32" s="65"/>
      <c r="H32" s="66"/>
      <c r="I32" s="64"/>
      <c r="J32" s="65"/>
      <c r="K32" s="65"/>
      <c r="L32" s="65"/>
      <c r="M32" s="65"/>
      <c r="N32" s="65"/>
      <c r="O32" s="65"/>
    </row>
    <row r="33" spans="1:15" x14ac:dyDescent="0.4">
      <c r="A33" s="64"/>
      <c r="B33" s="65"/>
      <c r="C33" s="65"/>
      <c r="D33" s="65"/>
      <c r="E33" s="65"/>
      <c r="F33" s="65"/>
      <c r="G33" s="65"/>
      <c r="H33" s="66"/>
      <c r="I33" s="64"/>
      <c r="J33" s="65"/>
      <c r="K33" s="65"/>
      <c r="L33" s="65"/>
      <c r="M33" s="65"/>
      <c r="N33" s="65"/>
      <c r="O33" s="65"/>
    </row>
    <row r="34" spans="1:15" x14ac:dyDescent="0.4">
      <c r="A34" s="64"/>
      <c r="B34" s="65"/>
      <c r="C34" s="65"/>
      <c r="D34" s="65"/>
      <c r="E34" s="65"/>
      <c r="F34" s="65"/>
      <c r="G34" s="65"/>
      <c r="H34" s="66"/>
      <c r="I34" s="64"/>
      <c r="J34" s="65"/>
      <c r="K34" s="65"/>
      <c r="L34" s="65"/>
      <c r="M34" s="65"/>
      <c r="N34" s="65"/>
      <c r="O34" s="65"/>
    </row>
    <row r="35" spans="1:15" x14ac:dyDescent="0.4">
      <c r="A35" s="64"/>
      <c r="B35" s="65"/>
      <c r="C35" s="65"/>
      <c r="D35" s="65"/>
      <c r="E35" s="65"/>
      <c r="F35" s="65"/>
      <c r="G35" s="65"/>
      <c r="H35" s="66"/>
      <c r="I35" s="64"/>
      <c r="J35" s="65"/>
      <c r="K35" s="65"/>
      <c r="L35" s="65"/>
      <c r="M35" s="65"/>
      <c r="N35" s="65"/>
      <c r="O35" s="65"/>
    </row>
    <row r="36" spans="1:15" x14ac:dyDescent="0.4">
      <c r="A36" s="64"/>
      <c r="B36" s="65"/>
      <c r="C36" s="65"/>
      <c r="D36" s="65"/>
      <c r="E36" s="65"/>
      <c r="F36" s="65"/>
      <c r="G36" s="65"/>
      <c r="H36" s="66"/>
      <c r="I36" s="64"/>
      <c r="J36" s="65"/>
      <c r="K36" s="65"/>
      <c r="L36" s="65"/>
      <c r="M36" s="65"/>
      <c r="N36" s="65"/>
      <c r="O36" s="65"/>
    </row>
    <row r="37" spans="1:15" x14ac:dyDescent="0.4">
      <c r="A37" s="64"/>
      <c r="B37" s="65"/>
      <c r="C37" s="65"/>
      <c r="D37" s="65"/>
      <c r="E37" s="65"/>
      <c r="F37" s="65"/>
      <c r="G37" s="65"/>
      <c r="H37" s="66"/>
      <c r="I37" s="64"/>
      <c r="J37" s="65"/>
      <c r="K37" s="65"/>
      <c r="L37" s="65"/>
      <c r="M37" s="65"/>
      <c r="N37" s="65"/>
      <c r="O37" s="65"/>
    </row>
    <row r="38" spans="1:15" x14ac:dyDescent="0.4">
      <c r="A38" s="64"/>
      <c r="B38" s="65"/>
      <c r="C38" s="65"/>
      <c r="D38" s="65"/>
      <c r="E38" s="65"/>
      <c r="F38" s="65"/>
      <c r="G38" s="65"/>
      <c r="H38" s="66"/>
      <c r="I38" s="64"/>
      <c r="J38" s="65"/>
      <c r="K38" s="65"/>
      <c r="L38" s="65"/>
      <c r="M38" s="65"/>
      <c r="N38" s="65"/>
      <c r="O38" s="65"/>
    </row>
    <row r="39" spans="1:15" x14ac:dyDescent="0.4">
      <c r="A39" s="64"/>
      <c r="B39" s="65"/>
      <c r="C39" s="65"/>
      <c r="D39" s="65"/>
      <c r="E39" s="65"/>
      <c r="F39" s="65"/>
      <c r="G39" s="65"/>
      <c r="H39" s="66"/>
      <c r="I39" s="64"/>
      <c r="J39" s="65"/>
      <c r="K39" s="65"/>
      <c r="L39" s="65"/>
      <c r="M39" s="65"/>
      <c r="N39" s="65"/>
      <c r="O39" s="65"/>
    </row>
    <row r="40" spans="1:15" x14ac:dyDescent="0.4">
      <c r="A40" s="64"/>
      <c r="B40" s="65"/>
      <c r="C40" s="65"/>
      <c r="D40" s="65"/>
      <c r="E40" s="65"/>
      <c r="F40" s="65"/>
      <c r="G40" s="65"/>
      <c r="H40" s="66"/>
      <c r="I40" s="64"/>
      <c r="J40" s="65"/>
      <c r="K40" s="65"/>
      <c r="L40" s="65"/>
      <c r="M40" s="65"/>
      <c r="N40" s="65"/>
      <c r="O40" s="65"/>
    </row>
    <row r="41" spans="1:15" x14ac:dyDescent="0.4">
      <c r="A41" s="64"/>
      <c r="B41" s="65"/>
      <c r="C41" s="65"/>
      <c r="D41" s="65"/>
      <c r="E41" s="65"/>
      <c r="F41" s="65"/>
      <c r="G41" s="65"/>
      <c r="H41" s="66"/>
      <c r="I41" s="64"/>
      <c r="J41" s="65"/>
      <c r="K41" s="65"/>
      <c r="L41" s="65"/>
      <c r="M41" s="65"/>
      <c r="N41" s="65"/>
      <c r="O41" s="65"/>
    </row>
    <row r="42" spans="1:15" x14ac:dyDescent="0.4">
      <c r="A42" s="64"/>
      <c r="B42" s="65"/>
      <c r="C42" s="65"/>
      <c r="D42" s="65"/>
      <c r="E42" s="65"/>
      <c r="F42" s="65"/>
      <c r="G42" s="65"/>
      <c r="H42" s="66"/>
      <c r="I42" s="64"/>
      <c r="J42" s="65"/>
      <c r="K42" s="65"/>
      <c r="L42" s="65"/>
      <c r="M42" s="65"/>
      <c r="N42" s="65"/>
      <c r="O42" s="65"/>
    </row>
    <row r="43" spans="1:15" x14ac:dyDescent="0.4">
      <c r="A43" s="64"/>
      <c r="B43" s="65"/>
      <c r="C43" s="65"/>
      <c r="D43" s="65"/>
      <c r="E43" s="65"/>
      <c r="F43" s="65"/>
      <c r="G43" s="65"/>
      <c r="H43" s="66"/>
      <c r="I43" s="64"/>
      <c r="J43" s="65"/>
      <c r="K43" s="65"/>
      <c r="L43" s="65"/>
      <c r="M43" s="65"/>
      <c r="N43" s="65"/>
      <c r="O43" s="65"/>
    </row>
    <row r="44" spans="1:15" x14ac:dyDescent="0.4">
      <c r="A44" s="64"/>
      <c r="B44" s="65"/>
      <c r="C44" s="65"/>
      <c r="D44" s="65"/>
      <c r="E44" s="65"/>
      <c r="F44" s="65"/>
      <c r="G44" s="65"/>
      <c r="H44" s="66"/>
      <c r="I44" s="64"/>
      <c r="J44" s="65"/>
      <c r="K44" s="65"/>
      <c r="L44" s="65"/>
      <c r="M44" s="65"/>
      <c r="N44" s="65"/>
      <c r="O44" s="65"/>
    </row>
    <row r="45" spans="1:15" x14ac:dyDescent="0.4">
      <c r="A45" s="64"/>
      <c r="B45" s="65"/>
      <c r="C45" s="65"/>
      <c r="D45" s="65"/>
      <c r="E45" s="65"/>
      <c r="F45" s="65"/>
      <c r="G45" s="65"/>
      <c r="H45" s="66"/>
      <c r="I45" s="64"/>
      <c r="J45" s="65"/>
      <c r="K45" s="65"/>
      <c r="L45" s="65"/>
      <c r="M45" s="65"/>
      <c r="N45" s="65"/>
      <c r="O45" s="65"/>
    </row>
    <row r="46" spans="1:15" x14ac:dyDescent="0.4">
      <c r="A46" s="64"/>
      <c r="B46" s="65"/>
      <c r="C46" s="65"/>
      <c r="D46" s="65"/>
      <c r="E46" s="65"/>
      <c r="F46" s="65"/>
      <c r="G46" s="65"/>
      <c r="H46" s="66"/>
      <c r="I46" s="64"/>
      <c r="J46" s="65"/>
      <c r="K46" s="65"/>
      <c r="L46" s="65"/>
      <c r="M46" s="65"/>
      <c r="N46" s="65"/>
      <c r="O46" s="65"/>
    </row>
    <row r="47" spans="1:15" x14ac:dyDescent="0.4">
      <c r="A47" s="64"/>
      <c r="B47" s="65"/>
      <c r="C47" s="65"/>
      <c r="D47" s="65"/>
      <c r="E47" s="65"/>
      <c r="F47" s="65"/>
      <c r="G47" s="65"/>
      <c r="H47" s="66"/>
      <c r="I47" s="64"/>
      <c r="J47" s="65"/>
      <c r="K47" s="65"/>
      <c r="L47" s="65"/>
      <c r="M47" s="65"/>
      <c r="N47" s="65"/>
      <c r="O47" s="65"/>
    </row>
    <row r="48" spans="1:15" x14ac:dyDescent="0.4">
      <c r="A48" s="64"/>
      <c r="B48" s="65"/>
      <c r="C48" s="65"/>
      <c r="D48" s="65"/>
      <c r="E48" s="65"/>
      <c r="F48" s="65"/>
      <c r="G48" s="65"/>
      <c r="H48" s="66"/>
      <c r="I48" s="64"/>
      <c r="J48" s="65"/>
      <c r="K48" s="65"/>
      <c r="L48" s="65"/>
      <c r="M48" s="65"/>
      <c r="N48" s="65"/>
      <c r="O48" s="65"/>
    </row>
    <row r="49" spans="1:15" x14ac:dyDescent="0.4">
      <c r="A49" s="64"/>
      <c r="B49" s="65"/>
      <c r="C49" s="65"/>
      <c r="D49" s="65"/>
      <c r="E49" s="65"/>
      <c r="F49" s="65"/>
      <c r="G49" s="65"/>
      <c r="H49" s="66"/>
      <c r="I49" s="64"/>
      <c r="J49" s="65"/>
      <c r="K49" s="65"/>
      <c r="L49" s="65"/>
      <c r="M49" s="65"/>
      <c r="N49" s="65"/>
      <c r="O49" s="65"/>
    </row>
    <row r="50" spans="1:15" x14ac:dyDescent="0.4">
      <c r="A50" s="64"/>
      <c r="B50" s="65"/>
      <c r="C50" s="65"/>
      <c r="D50" s="65"/>
      <c r="E50" s="65"/>
      <c r="F50" s="65"/>
      <c r="G50" s="65"/>
      <c r="H50" s="66"/>
      <c r="I50" s="64"/>
      <c r="J50" s="65"/>
      <c r="K50" s="65"/>
      <c r="L50" s="65"/>
      <c r="M50" s="65"/>
      <c r="N50" s="65"/>
      <c r="O50" s="65"/>
    </row>
    <row r="51" spans="1:15" x14ac:dyDescent="0.4">
      <c r="A51" s="64"/>
      <c r="B51" s="65"/>
      <c r="C51" s="65"/>
      <c r="D51" s="65"/>
      <c r="E51" s="65"/>
      <c r="F51" s="65"/>
      <c r="G51" s="65"/>
      <c r="H51" s="66"/>
      <c r="I51" s="64"/>
      <c r="J51" s="65"/>
      <c r="K51" s="65"/>
      <c r="L51" s="65"/>
      <c r="M51" s="65"/>
      <c r="N51" s="65"/>
      <c r="O51" s="65"/>
    </row>
    <row r="52" spans="1:15" x14ac:dyDescent="0.4">
      <c r="A52" s="64"/>
      <c r="B52" s="65"/>
      <c r="C52" s="65"/>
      <c r="D52" s="65"/>
      <c r="E52" s="65"/>
      <c r="F52" s="65"/>
      <c r="G52" s="65"/>
      <c r="H52" s="66"/>
      <c r="I52" s="64"/>
      <c r="J52" s="65"/>
      <c r="K52" s="65"/>
      <c r="L52" s="65"/>
      <c r="M52" s="65"/>
      <c r="N52" s="65"/>
      <c r="O52" s="65"/>
    </row>
    <row r="53" spans="1:15" x14ac:dyDescent="0.4">
      <c r="A53" s="64"/>
      <c r="B53" s="65"/>
      <c r="C53" s="65"/>
      <c r="D53" s="65"/>
      <c r="E53" s="65"/>
      <c r="F53" s="65"/>
      <c r="G53" s="65"/>
      <c r="H53" s="66"/>
      <c r="I53" s="64"/>
      <c r="J53" s="65"/>
      <c r="K53" s="65"/>
      <c r="L53" s="65"/>
      <c r="M53" s="65"/>
      <c r="N53" s="65"/>
      <c r="O53" s="65"/>
    </row>
    <row r="54" spans="1:15" x14ac:dyDescent="0.4">
      <c r="A54" s="64"/>
      <c r="B54" s="65"/>
      <c r="C54" s="65"/>
      <c r="D54" s="65"/>
      <c r="E54" s="65"/>
      <c r="F54" s="65"/>
      <c r="G54" s="65"/>
      <c r="H54" s="66"/>
      <c r="I54" s="64"/>
      <c r="J54" s="65"/>
      <c r="K54" s="65"/>
      <c r="L54" s="65"/>
      <c r="M54" s="65"/>
      <c r="N54" s="65"/>
      <c r="O54" s="65"/>
    </row>
    <row r="55" spans="1:15" x14ac:dyDescent="0.4">
      <c r="A55" s="64"/>
      <c r="B55" s="65"/>
      <c r="C55" s="65"/>
      <c r="D55" s="65"/>
      <c r="E55" s="65"/>
      <c r="F55" s="65"/>
      <c r="G55" s="65"/>
      <c r="H55" s="66"/>
      <c r="I55" s="64"/>
      <c r="J55" s="65"/>
      <c r="K55" s="65"/>
      <c r="L55" s="65"/>
      <c r="M55" s="65"/>
      <c r="N55" s="65"/>
      <c r="O55" s="65"/>
    </row>
    <row r="56" spans="1:15" x14ac:dyDescent="0.4">
      <c r="A56" s="64"/>
      <c r="B56" s="65"/>
      <c r="C56" s="65"/>
      <c r="D56" s="65"/>
      <c r="E56" s="65"/>
      <c r="F56" s="65"/>
      <c r="G56" s="65"/>
      <c r="H56" s="66"/>
      <c r="I56" s="64"/>
      <c r="J56" s="65"/>
      <c r="K56" s="65"/>
      <c r="L56" s="65"/>
      <c r="M56" s="65"/>
      <c r="N56" s="65"/>
      <c r="O56" s="65"/>
    </row>
    <row r="57" spans="1:15" x14ac:dyDescent="0.4">
      <c r="A57" s="64"/>
      <c r="B57" s="65"/>
      <c r="C57" s="65"/>
      <c r="D57" s="65"/>
      <c r="E57" s="65"/>
      <c r="F57" s="65"/>
      <c r="G57" s="65"/>
      <c r="H57" s="66"/>
      <c r="I57" s="64"/>
      <c r="J57" s="65"/>
      <c r="K57" s="65"/>
      <c r="L57" s="65"/>
      <c r="M57" s="65"/>
      <c r="N57" s="65"/>
      <c r="O57" s="65"/>
    </row>
    <row r="58" spans="1:15" x14ac:dyDescent="0.4">
      <c r="A58" s="64"/>
      <c r="B58" s="65"/>
      <c r="C58" s="65"/>
      <c r="D58" s="65"/>
      <c r="E58" s="65"/>
      <c r="F58" s="65"/>
      <c r="G58" s="65"/>
      <c r="H58" s="66"/>
      <c r="I58" s="64"/>
      <c r="J58" s="65"/>
      <c r="K58" s="65"/>
      <c r="L58" s="65"/>
      <c r="M58" s="65"/>
      <c r="N58" s="65"/>
      <c r="O58" s="65"/>
    </row>
    <row r="59" spans="1:15" x14ac:dyDescent="0.4">
      <c r="A59" s="67"/>
      <c r="B59" s="68"/>
      <c r="C59" s="68"/>
      <c r="D59" s="68"/>
      <c r="E59" s="68"/>
      <c r="F59" s="68"/>
      <c r="G59" s="68"/>
      <c r="H59" s="69"/>
      <c r="I59" s="67"/>
      <c r="J59" s="68"/>
      <c r="K59" s="68"/>
      <c r="L59" s="68"/>
      <c r="M59" s="68"/>
      <c r="N59" s="68"/>
      <c r="O59" s="68"/>
    </row>
  </sheetData>
  <sheetProtection algorithmName="SHA-512" hashValue="qdxLEZke2O+6VzilVocaRD1O8ewBw6jGrZGALu96XehAM/dzgYcHFZr0I7uFQ/uKJsCyXHLNLh4zNwhrEZRV1Q==" saltValue="6tiWSa9esjU1MJWmHZPw0A==" spinCount="100000" sheet="1" objects="1" scenarios="1" insertRows="0" insertHyperlinks="0"/>
  <protectedRanges>
    <protectedRange algorithmName="SHA-512" hashValue="HEumj/IYeytq63JLBvRX49CR3RX3/8bNFvS9+OdcTMyo9YHqhnqFSop70G/rP79mV/+vx7XTL33uE0UuVSWHoQ==" saltValue="bOHRk3jMyIJV/W6gTdtXJA==" spinCount="100000" sqref="A21:O59" name="AC1"/>
  </protectedRanges>
  <mergeCells count="13">
    <mergeCell ref="A21:H59"/>
    <mergeCell ref="I21:O59"/>
    <mergeCell ref="M2:N4"/>
    <mergeCell ref="K14:N14"/>
    <mergeCell ref="K15:N15"/>
    <mergeCell ref="A20:H20"/>
    <mergeCell ref="I20:O20"/>
    <mergeCell ref="A2:H17"/>
    <mergeCell ref="A1:H1"/>
    <mergeCell ref="J1:K1"/>
    <mergeCell ref="M1:N1"/>
    <mergeCell ref="J12:N12"/>
    <mergeCell ref="K13:N13"/>
  </mergeCells>
  <phoneticPr fontId="14" type="noConversion"/>
  <conditionalFormatting sqref="M2:N4 K2:K11 O12:O15">
    <cfRule type="cellIs" dxfId="27" priority="1" operator="equal">
      <formula>ErrorText</formula>
    </cfRule>
  </conditionalFormatting>
  <pageMargins left="0.7" right="0.7" top="0.75" bottom="0.75" header="0.3" footer="0.3"/>
  <pageSetup paperSize="9" orientation="portrait"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5"/>
  <sheetViews>
    <sheetView topLeftCell="D23" zoomScale="70" zoomScaleNormal="70" workbookViewId="0">
      <selection activeCell="J42" sqref="J42"/>
    </sheetView>
  </sheetViews>
  <sheetFormatPr defaultColWidth="9" defaultRowHeight="13.9" x14ac:dyDescent="0.4"/>
  <cols>
    <col min="1" max="1" width="18.46484375" customWidth="1"/>
    <col min="2" max="2" width="25.796875" customWidth="1"/>
    <col min="3" max="3" width="30.33203125" customWidth="1"/>
    <col min="4" max="4" width="36.1328125" customWidth="1"/>
    <col min="5" max="5" width="31.33203125" customWidth="1"/>
    <col min="6" max="6" width="24.796875" customWidth="1"/>
    <col min="7" max="7" width="30.46484375" customWidth="1"/>
    <col min="8" max="8" width="50.6640625" customWidth="1"/>
    <col min="9" max="9" width="21.6640625" customWidth="1"/>
    <col min="10" max="10" width="29.46484375" customWidth="1"/>
    <col min="11" max="11" width="17.33203125" customWidth="1"/>
    <col min="12" max="12" width="64" customWidth="1"/>
    <col min="15" max="15" width="16.33203125" hidden="1" customWidth="1"/>
  </cols>
  <sheetData>
    <row r="1" spans="1:15" x14ac:dyDescent="0.4">
      <c r="A1" s="2" t="s">
        <v>26</v>
      </c>
      <c r="B1" s="6" t="str" cm="1">
        <f t="array" ref="B1" ca="1">IF(SUM(COUNTIF(INDIRECT({"$F$2","$I$15","$I$39","$I$54","$I$63","$I$71","$J$93"}),"="&amp;IncompleteText))&gt;0,IncompleteText,IF(SUM(COUNTIF(INDIRECT({"$F$2","$I$15","$I$39","$I$54","$I$63","$I$71","$J$93"}),"="&amp;ErrorText))&gt;0,ErrorText,OKText))</f>
        <v>OK</v>
      </c>
    </row>
    <row r="2" spans="1:15" x14ac:dyDescent="0.4">
      <c r="A2" s="71" t="s">
        <v>27</v>
      </c>
      <c r="B2" s="71"/>
      <c r="C2" s="71"/>
      <c r="D2" s="71"/>
      <c r="E2" s="6" t="str">
        <f>IF(COUNTBLANK(C3:C13)&gt;0,IncompleteText,OKText)</f>
        <v>OK</v>
      </c>
    </row>
    <row r="3" spans="1:15" x14ac:dyDescent="0.4">
      <c r="A3" s="72" t="s">
        <v>28</v>
      </c>
      <c r="B3" s="72"/>
      <c r="C3" s="73" t="s">
        <v>29</v>
      </c>
      <c r="D3" s="73"/>
    </row>
    <row r="4" spans="1:15" x14ac:dyDescent="0.4">
      <c r="A4" s="72" t="s">
        <v>30</v>
      </c>
      <c r="B4" s="72"/>
      <c r="C4" s="73" t="s">
        <v>31</v>
      </c>
      <c r="D4" s="73"/>
    </row>
    <row r="5" spans="1:15" x14ac:dyDescent="0.4">
      <c r="A5" s="72" t="s">
        <v>32</v>
      </c>
      <c r="B5" s="72"/>
      <c r="C5" s="42" t="s">
        <v>33</v>
      </c>
      <c r="D5" s="2" t="s">
        <v>34</v>
      </c>
    </row>
    <row r="6" spans="1:15" x14ac:dyDescent="0.4">
      <c r="A6" s="72" t="s">
        <v>35</v>
      </c>
      <c r="B6" s="72"/>
      <c r="C6" s="42" t="s">
        <v>36</v>
      </c>
      <c r="D6" s="2" t="s">
        <v>21</v>
      </c>
    </row>
    <row r="7" spans="1:15" x14ac:dyDescent="0.4">
      <c r="A7" s="72" t="s">
        <v>37</v>
      </c>
      <c r="B7" s="72"/>
      <c r="C7" s="42" t="s">
        <v>38</v>
      </c>
      <c r="D7" s="2" t="s">
        <v>21</v>
      </c>
    </row>
    <row r="8" spans="1:15" x14ac:dyDescent="0.4">
      <c r="A8" s="72" t="s">
        <v>39</v>
      </c>
      <c r="B8" s="72"/>
      <c r="C8" s="42" t="s">
        <v>40</v>
      </c>
      <c r="D8" s="2" t="s">
        <v>21</v>
      </c>
    </row>
    <row r="9" spans="1:15" x14ac:dyDescent="0.4">
      <c r="A9" s="72" t="s">
        <v>41</v>
      </c>
      <c r="B9" s="72"/>
      <c r="C9" s="42" t="s">
        <v>42</v>
      </c>
      <c r="D9" s="2" t="s">
        <v>23</v>
      </c>
    </row>
    <row r="10" spans="1:15" x14ac:dyDescent="0.4">
      <c r="A10" s="72" t="s">
        <v>43</v>
      </c>
      <c r="B10" s="72"/>
      <c r="C10" s="42" t="s">
        <v>44</v>
      </c>
      <c r="D10" s="2" t="s">
        <v>23</v>
      </c>
    </row>
    <row r="11" spans="1:15" x14ac:dyDescent="0.4">
      <c r="A11" s="72" t="s">
        <v>45</v>
      </c>
      <c r="B11" s="72"/>
      <c r="C11" s="42" t="s">
        <v>46</v>
      </c>
      <c r="D11" s="2" t="s">
        <v>47</v>
      </c>
    </row>
    <row r="12" spans="1:15" x14ac:dyDescent="0.4">
      <c r="A12" s="72" t="s">
        <v>48</v>
      </c>
      <c r="B12" s="72"/>
      <c r="C12" s="73" t="s">
        <v>49</v>
      </c>
      <c r="D12" s="73"/>
    </row>
    <row r="13" spans="1:15" x14ac:dyDescent="0.4">
      <c r="A13" s="72" t="s">
        <v>50</v>
      </c>
      <c r="B13" s="74"/>
      <c r="C13" s="73" t="s">
        <v>51</v>
      </c>
      <c r="D13" s="73"/>
    </row>
    <row r="15" spans="1:15" x14ac:dyDescent="0.4">
      <c r="A15" s="71" t="s">
        <v>52</v>
      </c>
      <c r="B15" s="57"/>
      <c r="C15" s="57"/>
      <c r="D15" s="57"/>
      <c r="E15" s="57"/>
      <c r="F15" s="57"/>
      <c r="G15" s="57"/>
      <c r="H15" s="57"/>
      <c r="I15" s="6" t="str">
        <f>IF(COUNTIF(I17:I38,"="&amp;IncompleteText),IncompleteText,IF(COUNTIF(I17:I38,"="&amp;ErrorText),ErrorText,OKText))</f>
        <v>OK</v>
      </c>
      <c r="J15" s="1"/>
      <c r="K15" s="75" t="s">
        <v>53</v>
      </c>
      <c r="L15" s="75"/>
      <c r="O15" t="s">
        <v>54</v>
      </c>
    </row>
    <row r="16" spans="1:15" ht="14.25" customHeight="1" x14ac:dyDescent="0.4">
      <c r="A16" s="2" t="s">
        <v>55</v>
      </c>
      <c r="B16" s="2" t="s">
        <v>56</v>
      </c>
      <c r="C16" s="2" t="s">
        <v>57</v>
      </c>
      <c r="D16" s="2" t="s">
        <v>58</v>
      </c>
      <c r="E16" s="2" t="s">
        <v>59</v>
      </c>
      <c r="F16" s="2" t="s">
        <v>60</v>
      </c>
      <c r="G16" s="26" t="s">
        <v>61</v>
      </c>
      <c r="H16" s="26" t="s">
        <v>62</v>
      </c>
      <c r="I16" s="2" t="s">
        <v>63</v>
      </c>
      <c r="J16" s="26" t="s">
        <v>64</v>
      </c>
      <c r="K16" s="83" t="s">
        <v>65</v>
      </c>
      <c r="L16" s="84"/>
      <c r="M16" t="s">
        <v>66</v>
      </c>
      <c r="O16" t="s">
        <v>67</v>
      </c>
    </row>
    <row r="17" spans="1:15" x14ac:dyDescent="0.4">
      <c r="A17" s="43" t="s">
        <v>68</v>
      </c>
      <c r="B17" s="42" t="s">
        <v>69</v>
      </c>
      <c r="C17" s="18">
        <v>25.12</v>
      </c>
      <c r="D17" s="30">
        <v>600</v>
      </c>
      <c r="E17" s="18">
        <v>165</v>
      </c>
      <c r="F17" s="18">
        <v>200</v>
      </c>
      <c r="G17" s="18" t="s">
        <v>69</v>
      </c>
      <c r="H17" s="18" t="s">
        <v>70</v>
      </c>
      <c r="I17" s="6" t="str">
        <f>IF(COUNTBLANK(A17:H17)=8,IncompleteText,IF(AND(COUNTBLANK(A17:H17)=0,F17&gt;=85),IF(AND(H17="其他驱动系统",COUNTBLANK(J17)=1),ErrorText,OKText),ErrorText))</f>
        <v>OK</v>
      </c>
      <c r="J17" s="38"/>
      <c r="K17" s="85"/>
      <c r="L17" s="86"/>
      <c r="O17" t="s">
        <v>70</v>
      </c>
    </row>
    <row r="18" spans="1:15" x14ac:dyDescent="0.4">
      <c r="A18" s="18" t="s">
        <v>68</v>
      </c>
      <c r="B18" s="42" t="s">
        <v>69</v>
      </c>
      <c r="C18" s="18">
        <v>25.12</v>
      </c>
      <c r="D18" s="18">
        <v>600</v>
      </c>
      <c r="E18" s="18">
        <v>165</v>
      </c>
      <c r="F18" s="18">
        <v>200</v>
      </c>
      <c r="G18" s="18" t="s">
        <v>69</v>
      </c>
      <c r="H18" s="18" t="s">
        <v>71</v>
      </c>
      <c r="I18" s="6" t="str">
        <f t="shared" ref="I18:I24" si="0">IF(COUNTBLANK(A18:H18)=8,"",IF(AND(COUNTBLANK(A18:H18)=0,F18&gt;=85),IF(AND(H18="其他驱动系统",COUNTBLANK(J18)=1),ErrorText,OKText),ErrorText))</f>
        <v>OK</v>
      </c>
      <c r="J18" s="38"/>
      <c r="K18" s="85"/>
      <c r="L18" s="86"/>
      <c r="O18" t="s">
        <v>71</v>
      </c>
    </row>
    <row r="19" spans="1:15" x14ac:dyDescent="0.4">
      <c r="A19" s="18" t="s">
        <v>72</v>
      </c>
      <c r="B19" s="42" t="s">
        <v>73</v>
      </c>
      <c r="C19" s="18">
        <v>25</v>
      </c>
      <c r="D19" s="18">
        <v>900</v>
      </c>
      <c r="E19" s="18">
        <v>160</v>
      </c>
      <c r="F19" s="18">
        <v>200</v>
      </c>
      <c r="G19" s="18" t="s">
        <v>73</v>
      </c>
      <c r="H19" s="18" t="s">
        <v>74</v>
      </c>
      <c r="I19" s="6" t="str">
        <f t="shared" si="0"/>
        <v>OK</v>
      </c>
      <c r="J19" s="38"/>
      <c r="K19" s="85"/>
      <c r="L19" s="86"/>
      <c r="O19" t="s">
        <v>74</v>
      </c>
    </row>
    <row r="20" spans="1:15" x14ac:dyDescent="0.4">
      <c r="A20" s="18" t="s">
        <v>72</v>
      </c>
      <c r="B20" s="42" t="s">
        <v>73</v>
      </c>
      <c r="C20" s="18">
        <v>25</v>
      </c>
      <c r="D20" s="18">
        <v>900</v>
      </c>
      <c r="E20" s="18">
        <v>160</v>
      </c>
      <c r="F20" s="18">
        <v>200</v>
      </c>
      <c r="G20" s="18" t="s">
        <v>73</v>
      </c>
      <c r="H20" s="18" t="s">
        <v>75</v>
      </c>
      <c r="I20" s="6" t="str">
        <f t="shared" si="0"/>
        <v>OK</v>
      </c>
      <c r="J20" s="38"/>
      <c r="K20" s="85"/>
      <c r="L20" s="86"/>
      <c r="O20" t="s">
        <v>75</v>
      </c>
    </row>
    <row r="21" spans="1:15" x14ac:dyDescent="0.4">
      <c r="A21" s="18" t="s">
        <v>72</v>
      </c>
      <c r="B21" s="42" t="s">
        <v>73</v>
      </c>
      <c r="C21" s="18">
        <v>25</v>
      </c>
      <c r="D21" s="18">
        <v>900</v>
      </c>
      <c r="E21" s="18">
        <v>160</v>
      </c>
      <c r="F21" s="18">
        <v>200</v>
      </c>
      <c r="G21" s="18" t="s">
        <v>73</v>
      </c>
      <c r="H21" s="18" t="s">
        <v>76</v>
      </c>
      <c r="I21" s="6" t="str">
        <f t="shared" si="0"/>
        <v>OK</v>
      </c>
      <c r="J21" s="38"/>
      <c r="K21" s="85"/>
      <c r="L21" s="86"/>
      <c r="O21" t="s">
        <v>76</v>
      </c>
    </row>
    <row r="22" spans="1:15" x14ac:dyDescent="0.4">
      <c r="A22" s="18" t="s">
        <v>77</v>
      </c>
      <c r="B22" s="42" t="s">
        <v>78</v>
      </c>
      <c r="C22" s="18">
        <v>2</v>
      </c>
      <c r="D22" s="18">
        <v>600</v>
      </c>
      <c r="E22" s="18">
        <v>21</v>
      </c>
      <c r="F22" s="18">
        <v>105</v>
      </c>
      <c r="G22" s="18" t="s">
        <v>78</v>
      </c>
      <c r="H22" s="18" t="s">
        <v>79</v>
      </c>
      <c r="I22" s="6" t="str">
        <f t="shared" si="0"/>
        <v>OK</v>
      </c>
      <c r="J22" s="38"/>
      <c r="K22" s="85"/>
      <c r="L22" s="86"/>
      <c r="O22" t="s">
        <v>79</v>
      </c>
    </row>
    <row r="23" spans="1:15" x14ac:dyDescent="0.4">
      <c r="A23" s="18" t="s">
        <v>77</v>
      </c>
      <c r="B23" s="42" t="s">
        <v>78</v>
      </c>
      <c r="C23" s="18">
        <v>2</v>
      </c>
      <c r="D23" s="18">
        <v>600</v>
      </c>
      <c r="E23" s="18">
        <v>21</v>
      </c>
      <c r="F23" s="18">
        <v>105</v>
      </c>
      <c r="G23" s="18" t="s">
        <v>78</v>
      </c>
      <c r="H23" s="18" t="s">
        <v>80</v>
      </c>
      <c r="I23" s="6" t="str">
        <f t="shared" si="0"/>
        <v>OK</v>
      </c>
      <c r="J23" s="38"/>
      <c r="K23" s="85"/>
      <c r="L23" s="86"/>
      <c r="O23" t="s">
        <v>80</v>
      </c>
    </row>
    <row r="24" spans="1:15" x14ac:dyDescent="0.4">
      <c r="A24" s="18" t="s">
        <v>81</v>
      </c>
      <c r="B24" s="42" t="s">
        <v>82</v>
      </c>
      <c r="C24" s="18">
        <v>0.51890000000000003</v>
      </c>
      <c r="D24" s="18">
        <v>600</v>
      </c>
      <c r="E24" s="18">
        <v>2</v>
      </c>
      <c r="F24" s="18">
        <v>200</v>
      </c>
      <c r="G24" s="18" t="s">
        <v>82</v>
      </c>
      <c r="H24" s="18" t="s">
        <v>83</v>
      </c>
      <c r="I24" s="6" t="str">
        <f t="shared" si="0"/>
        <v>OK</v>
      </c>
      <c r="J24" s="38"/>
      <c r="K24" s="85"/>
      <c r="L24" s="86"/>
      <c r="O24" t="s">
        <v>83</v>
      </c>
    </row>
    <row r="25" spans="1:15" x14ac:dyDescent="0.4">
      <c r="A25" s="18" t="s">
        <v>84</v>
      </c>
      <c r="B25" s="42" t="s">
        <v>85</v>
      </c>
      <c r="C25" s="18">
        <v>6</v>
      </c>
      <c r="D25" s="18">
        <v>1500</v>
      </c>
      <c r="E25" s="18">
        <v>125</v>
      </c>
      <c r="F25" s="18">
        <v>125</v>
      </c>
      <c r="G25" s="18" t="s">
        <v>85</v>
      </c>
      <c r="H25" s="18" t="s">
        <v>86</v>
      </c>
      <c r="I25" s="6"/>
      <c r="J25" s="38"/>
      <c r="K25" s="85"/>
      <c r="L25" s="86"/>
      <c r="O25" t="s">
        <v>86</v>
      </c>
    </row>
    <row r="26" spans="1:15" x14ac:dyDescent="0.4">
      <c r="A26" s="18" t="s">
        <v>72</v>
      </c>
      <c r="B26" s="42" t="s">
        <v>73</v>
      </c>
      <c r="C26" s="18">
        <v>25</v>
      </c>
      <c r="D26" s="18">
        <v>900</v>
      </c>
      <c r="E26" s="18">
        <v>160</v>
      </c>
      <c r="F26" s="18">
        <v>200</v>
      </c>
      <c r="G26" s="18" t="s">
        <v>73</v>
      </c>
      <c r="H26" s="18" t="s">
        <v>87</v>
      </c>
      <c r="I26" s="6" t="str">
        <f t="shared" ref="I26:I38" si="1">IF(COUNTBLANK(A26:H26)=8,"",IF(AND(COUNTBLANK(A26:H26)=0,F26&gt;=85),IF(AND(H26="其他驱动系统",COUNTBLANK(J26)=1),ErrorText,OKText),ErrorText))</f>
        <v>OK</v>
      </c>
      <c r="J26" s="38"/>
      <c r="K26" s="85"/>
      <c r="L26" s="86"/>
      <c r="O26" t="s">
        <v>87</v>
      </c>
    </row>
    <row r="27" spans="1:15" x14ac:dyDescent="0.4">
      <c r="A27" s="18" t="s">
        <v>72</v>
      </c>
      <c r="B27" s="42" t="s">
        <v>73</v>
      </c>
      <c r="C27" s="18">
        <v>25</v>
      </c>
      <c r="D27" s="30">
        <v>900</v>
      </c>
      <c r="E27" s="18">
        <v>160</v>
      </c>
      <c r="F27" s="18">
        <v>200</v>
      </c>
      <c r="G27" s="18" t="s">
        <v>73</v>
      </c>
      <c r="H27" s="18" t="s">
        <v>88</v>
      </c>
      <c r="I27" s="6" t="str">
        <f t="shared" si="1"/>
        <v>OK</v>
      </c>
      <c r="J27" s="38"/>
      <c r="K27" s="85"/>
      <c r="L27" s="86"/>
      <c r="O27" t="s">
        <v>88</v>
      </c>
    </row>
    <row r="28" spans="1:15" x14ac:dyDescent="0.4">
      <c r="A28" s="18" t="s">
        <v>81</v>
      </c>
      <c r="B28" s="42" t="s">
        <v>82</v>
      </c>
      <c r="C28" s="18">
        <v>2.6269999999999998</v>
      </c>
      <c r="D28" s="18">
        <v>600</v>
      </c>
      <c r="E28" s="18">
        <v>13.1</v>
      </c>
      <c r="F28" s="18">
        <v>200</v>
      </c>
      <c r="G28" s="18" t="s">
        <v>82</v>
      </c>
      <c r="H28" s="18" t="s">
        <v>89</v>
      </c>
      <c r="I28" s="6" t="str">
        <f t="shared" si="1"/>
        <v>OK</v>
      </c>
      <c r="J28" s="38"/>
      <c r="K28" s="85"/>
      <c r="L28" s="86"/>
      <c r="O28" t="s">
        <v>89</v>
      </c>
    </row>
    <row r="29" spans="1:15" x14ac:dyDescent="0.4">
      <c r="A29" s="18" t="s">
        <v>77</v>
      </c>
      <c r="B29" s="42" t="s">
        <v>78</v>
      </c>
      <c r="C29" s="18">
        <v>2</v>
      </c>
      <c r="D29" s="18">
        <v>600</v>
      </c>
      <c r="E29" s="18">
        <v>21</v>
      </c>
      <c r="F29" s="18">
        <v>105</v>
      </c>
      <c r="G29" s="18" t="s">
        <v>78</v>
      </c>
      <c r="H29" s="18" t="s">
        <v>90</v>
      </c>
      <c r="I29" s="6" t="str">
        <f t="shared" si="1"/>
        <v>OK</v>
      </c>
      <c r="J29" s="38"/>
      <c r="K29" s="85"/>
      <c r="L29" s="86"/>
      <c r="O29" t="s">
        <v>90</v>
      </c>
    </row>
    <row r="30" spans="1:15" x14ac:dyDescent="0.4">
      <c r="A30" s="18" t="s">
        <v>72</v>
      </c>
      <c r="B30" s="42" t="s">
        <v>91</v>
      </c>
      <c r="C30" s="18">
        <v>4</v>
      </c>
      <c r="D30" s="18">
        <v>1500</v>
      </c>
      <c r="E30" s="18">
        <v>35</v>
      </c>
      <c r="F30" s="18">
        <v>125</v>
      </c>
      <c r="G30" s="18" t="s">
        <v>91</v>
      </c>
      <c r="H30" s="18" t="s">
        <v>92</v>
      </c>
      <c r="I30" s="6" t="str">
        <f t="shared" si="1"/>
        <v>OK</v>
      </c>
      <c r="J30" s="38"/>
      <c r="K30" s="85"/>
      <c r="L30" s="86"/>
      <c r="O30" t="s">
        <v>92</v>
      </c>
    </row>
    <row r="31" spans="1:15" x14ac:dyDescent="0.4">
      <c r="A31" s="18" t="s">
        <v>72</v>
      </c>
      <c r="B31" s="42" t="s">
        <v>91</v>
      </c>
      <c r="C31" s="18">
        <v>4</v>
      </c>
      <c r="D31" s="18">
        <v>1500</v>
      </c>
      <c r="E31" s="18">
        <v>35</v>
      </c>
      <c r="F31" s="18">
        <v>125</v>
      </c>
      <c r="G31" s="18" t="s">
        <v>91</v>
      </c>
      <c r="H31" s="18" t="s">
        <v>93</v>
      </c>
      <c r="I31" s="6" t="str">
        <f t="shared" si="1"/>
        <v>OK</v>
      </c>
      <c r="J31" s="38"/>
      <c r="K31" s="85"/>
      <c r="L31" s="86"/>
      <c r="O31" t="s">
        <v>93</v>
      </c>
    </row>
    <row r="32" spans="1:15" ht="41.65" x14ac:dyDescent="0.4">
      <c r="A32" s="18" t="s">
        <v>81</v>
      </c>
      <c r="B32" s="42" t="s">
        <v>82</v>
      </c>
      <c r="C32" s="18">
        <v>0.51890000000000003</v>
      </c>
      <c r="D32" s="18">
        <v>600</v>
      </c>
      <c r="E32" s="18">
        <v>2</v>
      </c>
      <c r="F32" s="18">
        <v>200</v>
      </c>
      <c r="G32" s="18" t="s">
        <v>82</v>
      </c>
      <c r="H32" s="18" t="s">
        <v>94</v>
      </c>
      <c r="I32" s="6" t="str">
        <f t="shared" si="1"/>
        <v>OK</v>
      </c>
      <c r="J32" s="38" t="s">
        <v>95</v>
      </c>
      <c r="K32" s="85"/>
      <c r="L32" s="86"/>
      <c r="O32" t="s">
        <v>94</v>
      </c>
    </row>
    <row r="33" spans="1:15" x14ac:dyDescent="0.4">
      <c r="A33" s="18" t="s">
        <v>96</v>
      </c>
      <c r="B33" s="42" t="s">
        <v>97</v>
      </c>
      <c r="C33" s="18">
        <v>0.32469999999999999</v>
      </c>
      <c r="D33" s="18">
        <v>3000</v>
      </c>
      <c r="E33" s="18">
        <v>3</v>
      </c>
      <c r="F33" s="18">
        <v>200</v>
      </c>
      <c r="G33" s="18" t="s">
        <v>97</v>
      </c>
      <c r="H33" s="18" t="s">
        <v>98</v>
      </c>
      <c r="I33" s="6" t="str">
        <f t="shared" si="1"/>
        <v>OK</v>
      </c>
      <c r="J33" s="38"/>
      <c r="K33" s="85"/>
      <c r="L33" s="86"/>
      <c r="O33" t="s">
        <v>98</v>
      </c>
    </row>
    <row r="34" spans="1:15" x14ac:dyDescent="0.4">
      <c r="A34" s="18" t="s">
        <v>99</v>
      </c>
      <c r="B34" s="42" t="s">
        <v>100</v>
      </c>
      <c r="C34" s="18">
        <v>0.75</v>
      </c>
      <c r="D34" s="18">
        <v>300</v>
      </c>
      <c r="E34" s="18">
        <v>20</v>
      </c>
      <c r="F34" s="18">
        <v>160</v>
      </c>
      <c r="G34" s="18" t="s">
        <v>100</v>
      </c>
      <c r="H34" s="18" t="s">
        <v>101</v>
      </c>
      <c r="I34" s="6" t="str">
        <f t="shared" si="1"/>
        <v>OK</v>
      </c>
      <c r="J34" s="38" t="s">
        <v>102</v>
      </c>
      <c r="K34" s="85"/>
      <c r="L34" s="86"/>
      <c r="O34" t="s">
        <v>101</v>
      </c>
    </row>
    <row r="35" spans="1:15" ht="27.75" x14ac:dyDescent="0.4">
      <c r="A35" s="18" t="s">
        <v>99</v>
      </c>
      <c r="B35" s="42" t="s">
        <v>100</v>
      </c>
      <c r="C35" s="18">
        <v>1.5</v>
      </c>
      <c r="D35" s="18">
        <v>500</v>
      </c>
      <c r="E35" s="18">
        <v>20</v>
      </c>
      <c r="F35" s="18">
        <v>160</v>
      </c>
      <c r="G35" s="18" t="s">
        <v>100</v>
      </c>
      <c r="H35" s="18" t="s">
        <v>101</v>
      </c>
      <c r="I35" s="6" t="str">
        <f t="shared" si="1"/>
        <v>OK</v>
      </c>
      <c r="J35" s="38" t="s">
        <v>103</v>
      </c>
      <c r="K35" s="85"/>
      <c r="L35" s="86"/>
    </row>
    <row r="36" spans="1:15" x14ac:dyDescent="0.4">
      <c r="A36" s="18"/>
      <c r="B36" s="42"/>
      <c r="C36" s="18"/>
      <c r="D36" s="18"/>
      <c r="E36" s="18"/>
      <c r="F36" s="18"/>
      <c r="G36" s="18"/>
      <c r="H36" s="18"/>
      <c r="I36" s="6" t="str">
        <f t="shared" si="1"/>
        <v/>
      </c>
      <c r="J36" s="38"/>
      <c r="K36" s="85"/>
      <c r="L36" s="86"/>
    </row>
    <row r="37" spans="1:15" x14ac:dyDescent="0.4">
      <c r="A37" s="18"/>
      <c r="B37" s="42"/>
      <c r="C37" s="18"/>
      <c r="D37" s="18"/>
      <c r="E37" s="18"/>
      <c r="F37" s="18"/>
      <c r="G37" s="18"/>
      <c r="H37" s="18"/>
      <c r="I37" s="6" t="str">
        <f t="shared" si="1"/>
        <v/>
      </c>
      <c r="J37" s="38"/>
      <c r="K37" s="85"/>
      <c r="L37" s="86"/>
    </row>
    <row r="38" spans="1:15" x14ac:dyDescent="0.4">
      <c r="A38" s="18"/>
      <c r="B38" s="42"/>
      <c r="C38" s="18"/>
      <c r="D38" s="18"/>
      <c r="E38" s="18"/>
      <c r="F38" s="18"/>
      <c r="G38" s="18"/>
      <c r="H38" s="18"/>
      <c r="I38" s="6" t="str">
        <f t="shared" si="1"/>
        <v/>
      </c>
      <c r="J38" s="38"/>
      <c r="K38" s="87"/>
      <c r="L38" s="88"/>
    </row>
    <row r="40" spans="1:15" x14ac:dyDescent="0.4">
      <c r="A40" s="71" t="s">
        <v>104</v>
      </c>
      <c r="B40" s="71"/>
      <c r="C40" s="71"/>
      <c r="D40" s="71"/>
      <c r="E40" s="71"/>
      <c r="F40" s="71"/>
      <c r="G40" s="71"/>
      <c r="H40" s="71"/>
      <c r="I40" s="6" t="str">
        <f>IF(COUNTIF(I42:I53,"="&amp;IncompleteText),IncompleteText,IF(COUNTIF(I42:I53,"="&amp;ErrorText),ErrorText,OKText))</f>
        <v>OK</v>
      </c>
      <c r="J40" s="57" t="s">
        <v>53</v>
      </c>
      <c r="K40" s="57"/>
      <c r="L40" s="57"/>
    </row>
    <row r="41" spans="1:15" x14ac:dyDescent="0.4">
      <c r="A41" s="2" t="s">
        <v>55</v>
      </c>
      <c r="B41" s="2" t="s">
        <v>56</v>
      </c>
      <c r="C41" s="2" t="s">
        <v>105</v>
      </c>
      <c r="D41" s="2" t="s">
        <v>59</v>
      </c>
      <c r="E41" s="2" t="s">
        <v>106</v>
      </c>
      <c r="F41" s="2" t="s">
        <v>60</v>
      </c>
      <c r="G41" s="26" t="str">
        <f>G16</f>
        <v>说明书链接 Datasheet Hyperlink</v>
      </c>
      <c r="H41" s="26" t="str">
        <f>H16</f>
        <v>位置 Location</v>
      </c>
      <c r="I41" s="2" t="s">
        <v>63</v>
      </c>
      <c r="J41" s="2" t="s">
        <v>64</v>
      </c>
      <c r="K41" s="80" t="s">
        <v>107</v>
      </c>
      <c r="L41" s="82"/>
    </row>
    <row r="42" spans="1:15" x14ac:dyDescent="0.4">
      <c r="A42" s="18" t="s">
        <v>108</v>
      </c>
      <c r="B42" s="42" t="s">
        <v>109</v>
      </c>
      <c r="C42" s="18">
        <v>700</v>
      </c>
      <c r="D42" s="18">
        <v>80</v>
      </c>
      <c r="E42" s="18">
        <v>600</v>
      </c>
      <c r="F42" s="44">
        <v>200</v>
      </c>
      <c r="G42" s="18" t="s">
        <v>109</v>
      </c>
      <c r="H42" s="18" t="s">
        <v>70</v>
      </c>
      <c r="I42" s="6" t="str">
        <f>IF(COUNTBLANK(A42:H42)=8,IncompleteText,IF(AND(COUNTBLANK(A42:H42)=0,F42&gt;=85),IF(AND(H42="其他驱动系统",COUNTBLANK(J42)=1),ErrorText,OKText),ErrorText))</f>
        <v>OK</v>
      </c>
      <c r="J42" s="18" t="s">
        <v>110</v>
      </c>
      <c r="K42" s="82"/>
      <c r="L42" s="82"/>
    </row>
    <row r="43" spans="1:15" x14ac:dyDescent="0.4">
      <c r="A43" s="18" t="s">
        <v>111</v>
      </c>
      <c r="B43" s="42" t="s">
        <v>112</v>
      </c>
      <c r="C43" s="18">
        <v>32</v>
      </c>
      <c r="D43" s="18">
        <v>10</v>
      </c>
      <c r="E43" s="18">
        <v>100</v>
      </c>
      <c r="F43" s="18">
        <v>125</v>
      </c>
      <c r="G43" s="18" t="s">
        <v>113</v>
      </c>
      <c r="H43" s="18" t="s">
        <v>101</v>
      </c>
      <c r="I43" s="6" t="str">
        <f t="shared" ref="I43:I53" si="2">IF(COUNTBLANK(A43:H43)=8,"",IF(AND(COUNTBLANK(A43:H43)=0,F43&gt;=85),IF(AND(H43="其他驱动系统",COUNTBLANK(J43)=1),ErrorText,OKText),ErrorText))</f>
        <v>OK</v>
      </c>
      <c r="J43" s="18" t="s">
        <v>114</v>
      </c>
      <c r="K43" s="82"/>
      <c r="L43" s="82"/>
    </row>
    <row r="44" spans="1:15" x14ac:dyDescent="0.4">
      <c r="A44" s="18" t="s">
        <v>115</v>
      </c>
      <c r="B44" s="42" t="s">
        <v>116</v>
      </c>
      <c r="C44" s="18">
        <v>600</v>
      </c>
      <c r="D44" s="18">
        <v>3.15</v>
      </c>
      <c r="E44" s="18">
        <v>20</v>
      </c>
      <c r="F44" s="18">
        <v>260</v>
      </c>
      <c r="G44" s="18" t="s">
        <v>116</v>
      </c>
      <c r="H44" s="18" t="s">
        <v>94</v>
      </c>
      <c r="I44" s="6" t="str">
        <f t="shared" si="2"/>
        <v>OK</v>
      </c>
      <c r="J44" s="18" t="s">
        <v>117</v>
      </c>
      <c r="K44" s="82"/>
      <c r="L44" s="82"/>
    </row>
    <row r="45" spans="1:15" x14ac:dyDescent="0.4">
      <c r="A45" s="18" t="s">
        <v>115</v>
      </c>
      <c r="B45" s="42" t="s">
        <v>118</v>
      </c>
      <c r="C45" s="18">
        <v>600</v>
      </c>
      <c r="D45" s="18">
        <v>1</v>
      </c>
      <c r="E45" s="18">
        <v>6</v>
      </c>
      <c r="F45" s="18">
        <v>260</v>
      </c>
      <c r="G45" s="18" t="s">
        <v>118</v>
      </c>
      <c r="H45" s="18" t="s">
        <v>80</v>
      </c>
      <c r="I45" s="6" t="str">
        <f t="shared" si="2"/>
        <v>OK</v>
      </c>
      <c r="J45" s="18"/>
      <c r="K45" s="82"/>
      <c r="L45" s="82"/>
    </row>
    <row r="46" spans="1:15" x14ac:dyDescent="0.4">
      <c r="A46" s="18" t="s">
        <v>115</v>
      </c>
      <c r="B46" s="42" t="s">
        <v>119</v>
      </c>
      <c r="C46" s="18">
        <v>600</v>
      </c>
      <c r="D46" s="18">
        <v>2</v>
      </c>
      <c r="E46" s="18">
        <v>8</v>
      </c>
      <c r="F46" s="18">
        <v>260</v>
      </c>
      <c r="G46" s="18" t="s">
        <v>119</v>
      </c>
      <c r="H46" s="18" t="s">
        <v>83</v>
      </c>
      <c r="I46" s="6" t="str">
        <f t="shared" si="2"/>
        <v>OK</v>
      </c>
      <c r="J46" s="18"/>
      <c r="K46" s="82"/>
      <c r="L46" s="82"/>
    </row>
    <row r="47" spans="1:15" x14ac:dyDescent="0.4">
      <c r="A47" s="18" t="s">
        <v>120</v>
      </c>
      <c r="B47" s="42" t="s">
        <v>121</v>
      </c>
      <c r="C47" s="18">
        <v>700</v>
      </c>
      <c r="D47" s="18">
        <v>16</v>
      </c>
      <c r="E47" s="18">
        <v>90</v>
      </c>
      <c r="F47" s="18">
        <v>120</v>
      </c>
      <c r="G47" s="18" t="s">
        <v>121</v>
      </c>
      <c r="H47" s="18" t="s">
        <v>89</v>
      </c>
      <c r="I47" s="6" t="str">
        <f t="shared" si="2"/>
        <v>OK</v>
      </c>
      <c r="J47" s="18"/>
      <c r="K47" s="82"/>
      <c r="L47" s="82"/>
    </row>
    <row r="48" spans="1:15" x14ac:dyDescent="0.4">
      <c r="A48" s="18" t="s">
        <v>115</v>
      </c>
      <c r="B48" s="42" t="s">
        <v>122</v>
      </c>
      <c r="C48" s="18">
        <v>500</v>
      </c>
      <c r="D48" s="18">
        <v>30</v>
      </c>
      <c r="E48" s="18">
        <v>100</v>
      </c>
      <c r="F48" s="18">
        <v>125</v>
      </c>
      <c r="G48" s="20" t="s">
        <v>122</v>
      </c>
      <c r="H48" s="18" t="s">
        <v>93</v>
      </c>
      <c r="I48" s="6" t="str">
        <f t="shared" si="2"/>
        <v>OK</v>
      </c>
      <c r="J48" s="18"/>
      <c r="K48" s="82"/>
      <c r="L48" s="82"/>
    </row>
    <row r="49" spans="1:12" x14ac:dyDescent="0.4">
      <c r="A49" s="18"/>
      <c r="B49" s="42"/>
      <c r="C49" s="18"/>
      <c r="D49" s="18"/>
      <c r="E49" s="18"/>
      <c r="F49" s="18"/>
      <c r="G49" s="18"/>
      <c r="H49" s="18"/>
      <c r="I49" s="6" t="str">
        <f t="shared" si="2"/>
        <v/>
      </c>
      <c r="J49" s="18"/>
      <c r="K49" s="82"/>
      <c r="L49" s="82"/>
    </row>
    <row r="50" spans="1:12" x14ac:dyDescent="0.4">
      <c r="A50" s="18"/>
      <c r="B50" s="42"/>
      <c r="C50" s="18"/>
      <c r="D50" s="18"/>
      <c r="E50" s="18"/>
      <c r="F50" s="18"/>
      <c r="G50" s="18"/>
      <c r="H50" s="18"/>
      <c r="I50" s="6" t="str">
        <f t="shared" si="2"/>
        <v/>
      </c>
      <c r="J50" s="18"/>
      <c r="K50" s="82"/>
      <c r="L50" s="82"/>
    </row>
    <row r="51" spans="1:12" x14ac:dyDescent="0.4">
      <c r="A51" s="18"/>
      <c r="B51" s="42"/>
      <c r="C51" s="18"/>
      <c r="D51" s="18"/>
      <c r="E51" s="18"/>
      <c r="F51" s="18"/>
      <c r="G51" s="18"/>
      <c r="H51" s="18"/>
      <c r="I51" s="6" t="str">
        <f t="shared" si="2"/>
        <v/>
      </c>
      <c r="J51" s="18"/>
      <c r="K51" s="82"/>
      <c r="L51" s="82"/>
    </row>
    <row r="52" spans="1:12" x14ac:dyDescent="0.4">
      <c r="A52" s="18"/>
      <c r="B52" s="42"/>
      <c r="C52" s="18"/>
      <c r="D52" s="18"/>
      <c r="E52" s="18"/>
      <c r="F52" s="18"/>
      <c r="G52" s="18"/>
      <c r="H52" s="18"/>
      <c r="I52" s="6" t="str">
        <f t="shared" si="2"/>
        <v/>
      </c>
      <c r="J52" s="18"/>
      <c r="K52" s="82"/>
      <c r="L52" s="82"/>
    </row>
    <row r="53" spans="1:12" x14ac:dyDescent="0.4">
      <c r="A53" s="18"/>
      <c r="B53" s="42"/>
      <c r="C53" s="18"/>
      <c r="D53" s="18"/>
      <c r="E53" s="18"/>
      <c r="F53" s="18"/>
      <c r="G53" s="18"/>
      <c r="H53" s="18"/>
      <c r="I53" s="6" t="str">
        <f t="shared" si="2"/>
        <v/>
      </c>
      <c r="J53" s="18"/>
      <c r="K53" s="82"/>
      <c r="L53" s="82"/>
    </row>
    <row r="55" spans="1:12" x14ac:dyDescent="0.4">
      <c r="A55" s="71" t="s">
        <v>123</v>
      </c>
      <c r="B55" s="71"/>
      <c r="C55" s="71"/>
      <c r="D55" s="71"/>
      <c r="E55" s="71"/>
      <c r="F55" s="71"/>
      <c r="G55" s="71"/>
      <c r="H55" s="71"/>
      <c r="I55" s="6" t="str">
        <f>IF(COUNTIF(I57:I62,"="&amp;IncompleteText),IncompleteText,IF(COUNTIF(I57:I62,"="&amp;ErrorText),ErrorText,OKText))</f>
        <v>OK</v>
      </c>
      <c r="J55" s="57" t="s">
        <v>53</v>
      </c>
      <c r="K55" s="57"/>
      <c r="L55" s="57"/>
    </row>
    <row r="56" spans="1:12" ht="15.75" customHeight="1" x14ac:dyDescent="0.4">
      <c r="A56" s="2" t="s">
        <v>55</v>
      </c>
      <c r="B56" s="2" t="s">
        <v>56</v>
      </c>
      <c r="C56" s="2" t="s">
        <v>58</v>
      </c>
      <c r="D56" s="2" t="s">
        <v>124</v>
      </c>
      <c r="E56" s="2" t="s">
        <v>125</v>
      </c>
      <c r="F56" s="2" t="s">
        <v>126</v>
      </c>
      <c r="G56" s="2" t="s">
        <v>61</v>
      </c>
      <c r="H56" s="2" t="s">
        <v>127</v>
      </c>
      <c r="I56" s="2" t="s">
        <v>63</v>
      </c>
      <c r="J56" s="2" t="s">
        <v>64</v>
      </c>
      <c r="K56" s="80" t="s">
        <v>128</v>
      </c>
      <c r="L56" s="82"/>
    </row>
    <row r="57" spans="1:12" x14ac:dyDescent="0.4">
      <c r="A57" s="42" t="s">
        <v>129</v>
      </c>
      <c r="B57" s="42" t="s">
        <v>130</v>
      </c>
      <c r="C57" s="42" t="s">
        <v>131</v>
      </c>
      <c r="D57" s="42" t="s">
        <v>132</v>
      </c>
      <c r="E57" s="42" t="s">
        <v>133</v>
      </c>
      <c r="F57" s="18">
        <v>0.05</v>
      </c>
      <c r="G57" s="18" t="s">
        <v>134</v>
      </c>
      <c r="H57" s="17" t="s">
        <v>135</v>
      </c>
      <c r="I57" s="6" t="str">
        <f>IF(COUNTBLANK(A57:H57)=8,IncompleteText,IF(COUNTBLANK(A57:H57)=0,OKText,ErrorText))</f>
        <v>OK</v>
      </c>
      <c r="J57" s="18"/>
      <c r="K57" s="82"/>
      <c r="L57" s="82"/>
    </row>
    <row r="58" spans="1:12" x14ac:dyDescent="0.4">
      <c r="A58" s="18" t="s">
        <v>136</v>
      </c>
      <c r="B58" s="42" t="s">
        <v>137</v>
      </c>
      <c r="C58" s="18">
        <v>2000</v>
      </c>
      <c r="D58" s="18">
        <v>5000</v>
      </c>
      <c r="E58" s="18">
        <v>75</v>
      </c>
      <c r="F58" s="18">
        <v>0.05</v>
      </c>
      <c r="G58" s="18" t="s">
        <v>138</v>
      </c>
      <c r="H58" s="17" t="s">
        <v>139</v>
      </c>
      <c r="I58" s="6" t="str">
        <f>IF(COUNTBLANK(A58:H58)=8,"",IF(COUNTBLANK(A58:H58)=0,OKText,ErrorText))</f>
        <v>OK</v>
      </c>
      <c r="J58" s="18"/>
      <c r="K58" s="82"/>
      <c r="L58" s="82"/>
    </row>
    <row r="59" spans="1:12" x14ac:dyDescent="0.4">
      <c r="A59" s="18" t="s">
        <v>140</v>
      </c>
      <c r="B59" s="42" t="s">
        <v>141</v>
      </c>
      <c r="C59" s="18">
        <v>700</v>
      </c>
      <c r="D59" s="18">
        <v>15000</v>
      </c>
      <c r="E59" s="18">
        <v>16</v>
      </c>
      <c r="F59" s="45">
        <v>0.25</v>
      </c>
      <c r="G59" s="18" t="s">
        <v>142</v>
      </c>
      <c r="H59" s="17" t="s">
        <v>143</v>
      </c>
      <c r="I59" s="6" t="str">
        <f>IF(COUNTBLANK(A59:H59)=8,"",IF(COUNTBLANK(A59:H59)=0,OKText,ErrorText))</f>
        <v>OK</v>
      </c>
      <c r="J59" s="18" t="s">
        <v>144</v>
      </c>
      <c r="K59" s="82"/>
      <c r="L59" s="82"/>
    </row>
    <row r="60" spans="1:12" x14ac:dyDescent="0.4">
      <c r="A60" s="18"/>
      <c r="B60" s="42"/>
      <c r="C60" s="18"/>
      <c r="D60" s="18"/>
      <c r="E60" s="18"/>
      <c r="F60" s="45"/>
      <c r="G60" s="18"/>
      <c r="H60" s="17"/>
      <c r="I60" s="6" t="str">
        <f>IF(COUNTBLANK(A60:H60)=8,"",IF(COUNTBLANK(A60:H60)=0,OKText,ErrorText))</f>
        <v/>
      </c>
      <c r="J60" s="18"/>
      <c r="K60" s="82"/>
      <c r="L60" s="82"/>
    </row>
    <row r="61" spans="1:12" x14ac:dyDescent="0.4">
      <c r="A61" s="18"/>
      <c r="B61" s="42"/>
      <c r="C61" s="18"/>
      <c r="D61" s="18"/>
      <c r="E61" s="18"/>
      <c r="F61" s="46"/>
      <c r="G61" s="18"/>
      <c r="H61" s="17"/>
      <c r="I61" s="6" t="str">
        <f>IF(COUNTBLANK(A61:H61)=8,"",IF(COUNTBLANK(A61:H61)=0,OKText,ErrorText))</f>
        <v/>
      </c>
      <c r="J61" s="18"/>
      <c r="K61" s="82"/>
      <c r="L61" s="82"/>
    </row>
    <row r="62" spans="1:12" x14ac:dyDescent="0.4">
      <c r="A62" s="18"/>
      <c r="B62" s="42"/>
      <c r="C62" s="18"/>
      <c r="D62" s="18"/>
      <c r="E62" s="18"/>
      <c r="F62" s="18"/>
      <c r="G62" s="18"/>
      <c r="H62" s="17"/>
      <c r="I62" s="6" t="str">
        <f>IF(COUNTBLANK(A62:H62)=8,"",IF(COUNTBLANK(A62:H62)=0,OKText,ErrorText))</f>
        <v/>
      </c>
      <c r="J62" s="18"/>
      <c r="K62" s="82"/>
      <c r="L62" s="82"/>
    </row>
    <row r="64" spans="1:12" x14ac:dyDescent="0.4">
      <c r="A64" s="71" t="s">
        <v>145</v>
      </c>
      <c r="B64" s="71"/>
      <c r="C64" s="71"/>
      <c r="D64" s="71"/>
      <c r="E64" s="71"/>
      <c r="F64" s="71"/>
      <c r="G64" s="71"/>
      <c r="H64" s="71"/>
      <c r="I64" s="6" t="str">
        <f>IF(COUNTIF(I66:I71,"="&amp;IncompleteText),IncompleteText,IF(COUNTIF(I66:I71,"="&amp;ErrorText),ErrorText,OKText))</f>
        <v>OK</v>
      </c>
      <c r="J64" s="57" t="s">
        <v>53</v>
      </c>
      <c r="K64" s="57"/>
      <c r="L64" s="57"/>
    </row>
    <row r="65" spans="1:12" x14ac:dyDescent="0.4">
      <c r="A65" s="2" t="s">
        <v>55</v>
      </c>
      <c r="B65" s="2" t="s">
        <v>56</v>
      </c>
      <c r="C65" s="2" t="s">
        <v>58</v>
      </c>
      <c r="D65" s="2" t="s">
        <v>146</v>
      </c>
      <c r="E65" s="2" t="s">
        <v>106</v>
      </c>
      <c r="F65" s="2" t="s">
        <v>147</v>
      </c>
      <c r="G65" s="2" t="s">
        <v>61</v>
      </c>
      <c r="H65" s="2" t="s">
        <v>127</v>
      </c>
      <c r="I65" s="2" t="s">
        <v>63</v>
      </c>
      <c r="J65" s="2" t="s">
        <v>64</v>
      </c>
      <c r="K65" s="80" t="s">
        <v>148</v>
      </c>
      <c r="L65" s="82"/>
    </row>
    <row r="66" spans="1:12" x14ac:dyDescent="0.4">
      <c r="A66" s="18" t="s">
        <v>149</v>
      </c>
      <c r="B66" s="42" t="s">
        <v>150</v>
      </c>
      <c r="C66" s="18">
        <v>600</v>
      </c>
      <c r="D66" s="18">
        <v>500</v>
      </c>
      <c r="E66" s="18">
        <v>900</v>
      </c>
      <c r="F66" s="18" t="s">
        <v>151</v>
      </c>
      <c r="G66" s="18" t="s">
        <v>152</v>
      </c>
      <c r="H66" s="17" t="s">
        <v>153</v>
      </c>
      <c r="I66" s="6" t="str">
        <f>IF(COUNTBLANK(A66:H66)=8,IncompleteText,IF(COUNTBLANK(A66:H66)=0,OKText,ErrorText))</f>
        <v>OK</v>
      </c>
      <c r="J66" s="18"/>
      <c r="K66" s="82"/>
      <c r="L66" s="82"/>
    </row>
    <row r="67" spans="1:12" x14ac:dyDescent="0.4">
      <c r="A67" s="18" t="s">
        <v>154</v>
      </c>
      <c r="B67" s="42" t="s">
        <v>155</v>
      </c>
      <c r="C67" s="18">
        <v>600</v>
      </c>
      <c r="D67" s="18">
        <v>50</v>
      </c>
      <c r="E67" s="18">
        <v>900</v>
      </c>
      <c r="F67" s="18" t="s">
        <v>151</v>
      </c>
      <c r="G67" s="18" t="s">
        <v>156</v>
      </c>
      <c r="H67" s="17" t="s">
        <v>157</v>
      </c>
      <c r="I67" s="6" t="str">
        <f>IF(COUNTBLANK(A67:H67)=8,"",IF(COUNTBLANK(A67:H67)=0,OKText,ErrorText))</f>
        <v>OK</v>
      </c>
      <c r="J67" s="18"/>
      <c r="K67" s="82"/>
      <c r="L67" s="82"/>
    </row>
    <row r="68" spans="1:12" x14ac:dyDescent="0.4">
      <c r="A68" s="18" t="s">
        <v>158</v>
      </c>
      <c r="B68" s="42" t="s">
        <v>159</v>
      </c>
      <c r="C68" s="18">
        <v>7500</v>
      </c>
      <c r="D68" s="18">
        <v>5</v>
      </c>
      <c r="E68" s="18">
        <v>9</v>
      </c>
      <c r="F68" s="18" t="s">
        <v>160</v>
      </c>
      <c r="G68" s="18" t="s">
        <v>161</v>
      </c>
      <c r="H68" s="17" t="s">
        <v>162</v>
      </c>
      <c r="I68" s="6" t="str">
        <f>IF(COUNTBLANK(A68:H68)=8,"",IF(COUNTBLANK(A68:H68)=0,OKText,ErrorText))</f>
        <v>OK</v>
      </c>
      <c r="J68" s="18"/>
      <c r="K68" s="82"/>
      <c r="L68" s="82"/>
    </row>
    <row r="69" spans="1:12" x14ac:dyDescent="0.4">
      <c r="A69" s="18"/>
      <c r="B69" s="42"/>
      <c r="C69" s="18"/>
      <c r="D69" s="18"/>
      <c r="E69" s="18"/>
      <c r="F69" s="18"/>
      <c r="G69" s="18"/>
      <c r="H69" s="17"/>
      <c r="I69" s="6" t="str">
        <f>IF(COUNTBLANK(A69:H69)=8,"",IF(COUNTBLANK(A69:H69)=0,OKText,ErrorText))</f>
        <v/>
      </c>
      <c r="J69" s="18"/>
      <c r="K69" s="82"/>
      <c r="L69" s="82"/>
    </row>
    <row r="70" spans="1:12" x14ac:dyDescent="0.4">
      <c r="A70" s="18"/>
      <c r="B70" s="42"/>
      <c r="C70" s="18"/>
      <c r="D70" s="18"/>
      <c r="E70" s="18"/>
      <c r="F70" s="18"/>
      <c r="G70" s="18"/>
      <c r="H70" s="17"/>
      <c r="I70" s="6" t="str">
        <f>IF(COUNTBLANK(A70:H70)=8,"",IF(COUNTBLANK(A70:H70)=0,OKText,ErrorText))</f>
        <v/>
      </c>
      <c r="J70" s="18"/>
      <c r="K70" s="82"/>
      <c r="L70" s="82"/>
    </row>
    <row r="72" spans="1:12" x14ac:dyDescent="0.4">
      <c r="A72" s="71" t="s">
        <v>163</v>
      </c>
      <c r="B72" s="57"/>
      <c r="C72" s="57"/>
      <c r="D72" s="57"/>
      <c r="E72" s="57"/>
      <c r="F72" s="57"/>
      <c r="G72" s="57"/>
      <c r="H72" s="57"/>
      <c r="I72" s="6" t="str">
        <f>IF(COUNTIF(I74:I92,"="&amp;IncompleteText),IncompleteText,IF(COUNTIF(I74:I92,"="&amp;ErrorText),ErrorText,OKText))</f>
        <v>OK</v>
      </c>
      <c r="J72" s="57" t="s">
        <v>53</v>
      </c>
      <c r="K72" s="57"/>
      <c r="L72" s="57"/>
    </row>
    <row r="73" spans="1:12" x14ac:dyDescent="0.4">
      <c r="A73" s="2" t="s">
        <v>55</v>
      </c>
      <c r="B73" s="2" t="s">
        <v>56</v>
      </c>
      <c r="C73" s="2" t="s">
        <v>58</v>
      </c>
      <c r="D73" s="2" t="s">
        <v>59</v>
      </c>
      <c r="E73" s="2" t="s">
        <v>164</v>
      </c>
      <c r="F73" s="76" t="s">
        <v>61</v>
      </c>
      <c r="G73" s="76"/>
      <c r="H73" s="2" t="s">
        <v>127</v>
      </c>
      <c r="I73" s="2" t="s">
        <v>63</v>
      </c>
      <c r="J73" s="2" t="s">
        <v>64</v>
      </c>
      <c r="K73" s="80" t="s">
        <v>165</v>
      </c>
      <c r="L73" s="81"/>
    </row>
    <row r="74" spans="1:12" x14ac:dyDescent="0.4">
      <c r="A74" s="18" t="s">
        <v>166</v>
      </c>
      <c r="B74" s="42" t="s">
        <v>167</v>
      </c>
      <c r="C74" s="18">
        <v>1000</v>
      </c>
      <c r="D74" s="18">
        <v>150</v>
      </c>
      <c r="E74" s="18">
        <v>25</v>
      </c>
      <c r="F74" s="73" t="s">
        <v>168</v>
      </c>
      <c r="G74" s="73"/>
      <c r="H74" s="17" t="s">
        <v>169</v>
      </c>
      <c r="I74" s="6" t="str">
        <f>IF(COUNTBLANK(A74:H74)=8,IncompleteText,IF(COUNTBLANK(A74:H74)=1,OKText,ErrorText))</f>
        <v>OK</v>
      </c>
      <c r="J74" s="18"/>
      <c r="K74" s="81"/>
      <c r="L74" s="81"/>
    </row>
    <row r="75" spans="1:12" x14ac:dyDescent="0.4">
      <c r="A75" s="18" t="s">
        <v>166</v>
      </c>
      <c r="B75" s="42" t="s">
        <v>170</v>
      </c>
      <c r="C75" s="18">
        <v>690</v>
      </c>
      <c r="D75" s="18">
        <v>250</v>
      </c>
      <c r="E75" s="18">
        <v>3456</v>
      </c>
      <c r="F75" s="73" t="s">
        <v>171</v>
      </c>
      <c r="G75" s="73"/>
      <c r="H75" s="17" t="s">
        <v>172</v>
      </c>
      <c r="I75" s="6" t="str">
        <f t="shared" ref="I75:I92" si="3">IF(COUNTBLANK(A75:H75)=8,"",IF(COUNTBLANK(A75:H75)=1,OKText,ErrorText))</f>
        <v>OK</v>
      </c>
      <c r="J75" s="18"/>
      <c r="K75" s="81"/>
      <c r="L75" s="81"/>
    </row>
    <row r="76" spans="1:12" x14ac:dyDescent="0.4">
      <c r="A76" s="18" t="s">
        <v>173</v>
      </c>
      <c r="B76" s="42" t="s">
        <v>174</v>
      </c>
      <c r="C76" s="18">
        <v>800</v>
      </c>
      <c r="D76" s="18">
        <v>40</v>
      </c>
      <c r="E76" s="18">
        <v>6</v>
      </c>
      <c r="F76" s="73" t="s">
        <v>174</v>
      </c>
      <c r="G76" s="73"/>
      <c r="H76" s="17" t="s">
        <v>175</v>
      </c>
      <c r="I76" s="6" t="str">
        <f t="shared" si="3"/>
        <v>OK</v>
      </c>
      <c r="J76" s="18"/>
      <c r="K76" s="81"/>
      <c r="L76" s="81"/>
    </row>
    <row r="77" spans="1:12" ht="27.75" x14ac:dyDescent="0.4">
      <c r="A77" s="18" t="s">
        <v>166</v>
      </c>
      <c r="B77" s="42" t="s">
        <v>176</v>
      </c>
      <c r="C77" s="18">
        <v>1000</v>
      </c>
      <c r="D77" s="18">
        <v>180</v>
      </c>
      <c r="E77" s="18">
        <v>35</v>
      </c>
      <c r="F77" s="73" t="s">
        <v>176</v>
      </c>
      <c r="G77" s="73"/>
      <c r="H77" s="17" t="s">
        <v>177</v>
      </c>
      <c r="I77" s="6" t="str">
        <f t="shared" si="3"/>
        <v>OK</v>
      </c>
      <c r="J77" s="30" t="s">
        <v>178</v>
      </c>
      <c r="K77" s="81"/>
      <c r="L77" s="81"/>
    </row>
    <row r="78" spans="1:12" x14ac:dyDescent="0.4">
      <c r="A78" s="18" t="s">
        <v>166</v>
      </c>
      <c r="B78" s="42" t="s">
        <v>179</v>
      </c>
      <c r="C78" s="18">
        <v>1000</v>
      </c>
      <c r="D78" s="18">
        <v>200</v>
      </c>
      <c r="E78" s="18">
        <v>35</v>
      </c>
      <c r="F78" s="73" t="s">
        <v>180</v>
      </c>
      <c r="G78" s="73"/>
      <c r="H78" s="17" t="s">
        <v>181</v>
      </c>
      <c r="I78" s="6" t="str">
        <f t="shared" si="3"/>
        <v>OK</v>
      </c>
      <c r="J78" s="30"/>
      <c r="K78" s="81"/>
      <c r="L78" s="81"/>
    </row>
    <row r="79" spans="1:12" x14ac:dyDescent="0.4">
      <c r="A79" s="18" t="s">
        <v>166</v>
      </c>
      <c r="B79" s="42" t="s">
        <v>179</v>
      </c>
      <c r="C79" s="18">
        <v>1000</v>
      </c>
      <c r="D79" s="18">
        <v>200</v>
      </c>
      <c r="E79" s="18">
        <v>35</v>
      </c>
      <c r="F79" s="73" t="s">
        <v>182</v>
      </c>
      <c r="G79" s="73"/>
      <c r="H79" s="17" t="s">
        <v>183</v>
      </c>
      <c r="I79" s="6" t="str">
        <f t="shared" si="3"/>
        <v>OK</v>
      </c>
      <c r="J79" s="18"/>
      <c r="K79" s="81"/>
      <c r="L79" s="81"/>
    </row>
    <row r="80" spans="1:12" x14ac:dyDescent="0.4">
      <c r="A80" s="18"/>
      <c r="B80" s="42"/>
      <c r="C80" s="18"/>
      <c r="D80" s="18"/>
      <c r="E80" s="18"/>
      <c r="F80" s="73"/>
      <c r="G80" s="73"/>
      <c r="H80" s="17"/>
      <c r="I80" s="6" t="str">
        <f t="shared" si="3"/>
        <v/>
      </c>
      <c r="J80" s="18"/>
      <c r="K80" s="81"/>
      <c r="L80" s="81"/>
    </row>
    <row r="81" spans="1:12" x14ac:dyDescent="0.4">
      <c r="A81" s="18"/>
      <c r="B81" s="42"/>
      <c r="C81" s="18"/>
      <c r="D81" s="18"/>
      <c r="E81" s="18"/>
      <c r="F81" s="73"/>
      <c r="G81" s="73"/>
      <c r="H81" s="17"/>
      <c r="I81" s="6" t="str">
        <f t="shared" si="3"/>
        <v/>
      </c>
      <c r="J81" s="18"/>
      <c r="K81" s="81"/>
      <c r="L81" s="81"/>
    </row>
    <row r="82" spans="1:12" x14ac:dyDescent="0.4">
      <c r="A82" s="18"/>
      <c r="B82" s="42"/>
      <c r="C82" s="18"/>
      <c r="D82" s="18"/>
      <c r="E82" s="18"/>
      <c r="F82" s="73"/>
      <c r="G82" s="73"/>
      <c r="H82" s="17"/>
      <c r="I82" s="6" t="str">
        <f t="shared" si="3"/>
        <v/>
      </c>
      <c r="J82" s="18"/>
      <c r="K82" s="81"/>
      <c r="L82" s="81"/>
    </row>
    <row r="83" spans="1:12" x14ac:dyDescent="0.4">
      <c r="A83" s="18"/>
      <c r="B83" s="42"/>
      <c r="C83" s="18"/>
      <c r="D83" s="18"/>
      <c r="E83" s="18"/>
      <c r="F83" s="73"/>
      <c r="G83" s="73"/>
      <c r="H83" s="17"/>
      <c r="I83" s="6" t="str">
        <f t="shared" si="3"/>
        <v/>
      </c>
      <c r="J83" s="18"/>
      <c r="K83" s="81"/>
      <c r="L83" s="81"/>
    </row>
    <row r="84" spans="1:12" x14ac:dyDescent="0.4">
      <c r="A84" s="18"/>
      <c r="B84" s="42"/>
      <c r="C84" s="18"/>
      <c r="D84" s="18"/>
      <c r="E84" s="18"/>
      <c r="F84" s="73"/>
      <c r="G84" s="73"/>
      <c r="H84" s="17"/>
      <c r="I84" s="6" t="str">
        <f t="shared" si="3"/>
        <v/>
      </c>
      <c r="J84" s="18"/>
      <c r="K84" s="81"/>
      <c r="L84" s="81"/>
    </row>
    <row r="85" spans="1:12" x14ac:dyDescent="0.4">
      <c r="A85" s="18"/>
      <c r="B85" s="42"/>
      <c r="C85" s="18"/>
      <c r="D85" s="18"/>
      <c r="E85" s="18"/>
      <c r="F85" s="73"/>
      <c r="G85" s="73"/>
      <c r="H85" s="17"/>
      <c r="I85" s="6" t="str">
        <f t="shared" si="3"/>
        <v/>
      </c>
      <c r="J85" s="18"/>
      <c r="K85" s="81"/>
      <c r="L85" s="81"/>
    </row>
    <row r="86" spans="1:12" x14ac:dyDescent="0.4">
      <c r="A86" s="18"/>
      <c r="B86" s="42"/>
      <c r="C86" s="18"/>
      <c r="D86" s="18"/>
      <c r="E86" s="18"/>
      <c r="F86" s="73"/>
      <c r="G86" s="73"/>
      <c r="H86" s="17"/>
      <c r="I86" s="6" t="str">
        <f t="shared" si="3"/>
        <v/>
      </c>
      <c r="J86" s="18"/>
      <c r="K86" s="81"/>
      <c r="L86" s="81"/>
    </row>
    <row r="87" spans="1:12" x14ac:dyDescent="0.4">
      <c r="A87" s="18"/>
      <c r="B87" s="42"/>
      <c r="C87" s="18"/>
      <c r="D87" s="18"/>
      <c r="E87" s="18"/>
      <c r="F87" s="73"/>
      <c r="G87" s="73"/>
      <c r="H87" s="17"/>
      <c r="I87" s="6" t="str">
        <f t="shared" si="3"/>
        <v/>
      </c>
      <c r="J87" s="18"/>
      <c r="K87" s="81"/>
      <c r="L87" s="81"/>
    </row>
    <row r="88" spans="1:12" x14ac:dyDescent="0.4">
      <c r="A88" s="18"/>
      <c r="B88" s="42"/>
      <c r="C88" s="18"/>
      <c r="D88" s="18"/>
      <c r="E88" s="18"/>
      <c r="F88" s="73"/>
      <c r="G88" s="73"/>
      <c r="H88" s="17"/>
      <c r="I88" s="6" t="str">
        <f t="shared" si="3"/>
        <v/>
      </c>
      <c r="J88" s="18"/>
      <c r="K88" s="81"/>
      <c r="L88" s="81"/>
    </row>
    <row r="89" spans="1:12" x14ac:dyDescent="0.4">
      <c r="A89" s="18"/>
      <c r="B89" s="42"/>
      <c r="C89" s="18"/>
      <c r="D89" s="18"/>
      <c r="E89" s="18"/>
      <c r="F89" s="73"/>
      <c r="G89" s="73"/>
      <c r="H89" s="17"/>
      <c r="I89" s="6" t="str">
        <f t="shared" si="3"/>
        <v/>
      </c>
      <c r="J89" s="18"/>
      <c r="K89" s="81"/>
      <c r="L89" s="81"/>
    </row>
    <row r="90" spans="1:12" x14ac:dyDescent="0.4">
      <c r="A90" s="18"/>
      <c r="B90" s="42"/>
      <c r="C90" s="18"/>
      <c r="D90" s="18"/>
      <c r="E90" s="18"/>
      <c r="F90" s="73"/>
      <c r="G90" s="73"/>
      <c r="H90" s="17"/>
      <c r="I90" s="6" t="str">
        <f t="shared" si="3"/>
        <v/>
      </c>
      <c r="J90" s="18"/>
      <c r="K90" s="81"/>
      <c r="L90" s="81"/>
    </row>
    <row r="91" spans="1:12" x14ac:dyDescent="0.4">
      <c r="A91" s="18"/>
      <c r="B91" s="42"/>
      <c r="C91" s="18"/>
      <c r="D91" s="18"/>
      <c r="E91" s="18"/>
      <c r="F91" s="73"/>
      <c r="G91" s="73"/>
      <c r="H91" s="17"/>
      <c r="I91" s="6" t="str">
        <f t="shared" si="3"/>
        <v/>
      </c>
      <c r="J91" s="18"/>
      <c r="K91" s="81"/>
      <c r="L91" s="81"/>
    </row>
    <row r="92" spans="1:12" x14ac:dyDescent="0.4">
      <c r="A92" s="18"/>
      <c r="B92" s="42"/>
      <c r="C92" s="18"/>
      <c r="D92" s="18"/>
      <c r="E92" s="18"/>
      <c r="F92" s="73"/>
      <c r="G92" s="73"/>
      <c r="H92" s="17"/>
      <c r="I92" s="6" t="str">
        <f t="shared" si="3"/>
        <v/>
      </c>
      <c r="J92" s="18"/>
      <c r="K92" s="81"/>
      <c r="L92" s="81"/>
    </row>
    <row r="94" spans="1:12" x14ac:dyDescent="0.4">
      <c r="A94" s="71" t="s">
        <v>184</v>
      </c>
      <c r="B94" s="71"/>
      <c r="C94" s="71"/>
      <c r="D94" s="71"/>
      <c r="E94" s="71"/>
      <c r="F94" s="71"/>
      <c r="G94" s="71"/>
      <c r="H94" s="71"/>
      <c r="I94" s="71"/>
      <c r="J94" s="6" t="str">
        <f>IF(COUNTIF(J96:J105,"="&amp;IncompleteText),IncompleteText,IF(COUNTIF(J96:J105,"="&amp;ErrorText),ErrorText,OKText))</f>
        <v>OK</v>
      </c>
      <c r="K94" s="57" t="s">
        <v>53</v>
      </c>
      <c r="L94" s="57"/>
    </row>
    <row r="95" spans="1:12" x14ac:dyDescent="0.4">
      <c r="A95" s="2" t="s">
        <v>55</v>
      </c>
      <c r="B95" s="2" t="s">
        <v>56</v>
      </c>
      <c r="C95" s="2" t="s">
        <v>185</v>
      </c>
      <c r="D95" s="2" t="s">
        <v>186</v>
      </c>
      <c r="E95" s="2" t="s">
        <v>187</v>
      </c>
      <c r="F95" s="2" t="s">
        <v>60</v>
      </c>
      <c r="G95" s="2" t="s">
        <v>188</v>
      </c>
      <c r="H95" s="26" t="s">
        <v>61</v>
      </c>
      <c r="I95" s="2" t="s">
        <v>127</v>
      </c>
      <c r="J95" s="2" t="s">
        <v>63</v>
      </c>
      <c r="K95" s="2" t="s">
        <v>189</v>
      </c>
      <c r="L95" s="77" t="s">
        <v>190</v>
      </c>
    </row>
    <row r="96" spans="1:12" x14ac:dyDescent="0.4">
      <c r="A96" s="42" t="s">
        <v>191</v>
      </c>
      <c r="B96" s="42" t="s">
        <v>192</v>
      </c>
      <c r="C96" s="47">
        <v>0.43</v>
      </c>
      <c r="D96" s="47">
        <v>1460</v>
      </c>
      <c r="E96" s="19">
        <f t="shared" ref="E96:E105" si="4">IF(OR(ISBLANK(C96),ISBLANK(D96)),"",C96*D96)</f>
        <v>627.79999999999995</v>
      </c>
      <c r="F96" s="47">
        <v>121</v>
      </c>
      <c r="G96" s="42" t="s">
        <v>193</v>
      </c>
      <c r="H96" s="18" t="s">
        <v>194</v>
      </c>
      <c r="I96" s="17" t="s">
        <v>195</v>
      </c>
      <c r="J96" s="6" t="str">
        <f>IF(COUNTBLANK(B96:I96)=8,IncompleteText,IF(AND(COUNTBLANK(B96:I96)=0,E96&gt;=85),OKText,ErrorText))</f>
        <v>OK</v>
      </c>
      <c r="K96" s="17" t="s">
        <v>196</v>
      </c>
      <c r="L96" s="78"/>
    </row>
    <row r="97" spans="1:12" x14ac:dyDescent="0.4">
      <c r="A97" s="18" t="s">
        <v>197</v>
      </c>
      <c r="B97" s="42" t="s">
        <v>198</v>
      </c>
      <c r="C97" s="47">
        <v>7.0000000000000007E-2</v>
      </c>
      <c r="D97" s="47">
        <v>85714.3</v>
      </c>
      <c r="E97" s="19">
        <f t="shared" si="4"/>
        <v>6000.0010000000002</v>
      </c>
      <c r="F97" s="47">
        <v>260</v>
      </c>
      <c r="G97" s="42" t="s">
        <v>199</v>
      </c>
      <c r="H97" s="18" t="str">
        <f>HYPERLINK("https://r19cgtnv907.feishu.cn/wiki/EYa5wzaEuiBklGkeFCecnz7PnyM","7413D.pdf")</f>
        <v>7413D.pdf</v>
      </c>
      <c r="I97" s="17" t="s">
        <v>195</v>
      </c>
      <c r="J97" s="6" t="str">
        <f t="shared" ref="J97:J105" si="5">IF(COUNTBLANK(B97:I97)=8,"",IF(AND(COUNTBLANK(B97:I97)=0,E97&gt;=85),OKText,ErrorText))</f>
        <v>OK</v>
      </c>
      <c r="K97" s="17" t="s">
        <v>200</v>
      </c>
      <c r="L97" s="78"/>
    </row>
    <row r="98" spans="1:12" x14ac:dyDescent="0.4">
      <c r="A98" s="18" t="s">
        <v>201</v>
      </c>
      <c r="B98" s="42" t="s">
        <v>202</v>
      </c>
      <c r="C98" s="47">
        <v>2.9</v>
      </c>
      <c r="D98" s="47">
        <v>40000</v>
      </c>
      <c r="E98" s="19">
        <f t="shared" si="4"/>
        <v>116000</v>
      </c>
      <c r="F98" s="47">
        <v>127</v>
      </c>
      <c r="G98" s="42" t="s">
        <v>199</v>
      </c>
      <c r="H98" s="18" t="str">
        <f>HYPERLINK("https://r19cgtnv907.feishu.cn/wiki/F0CrwJYjlismXPkZEhGcwlAHnQd","SGS.pdf")</f>
        <v>SGS.pdf</v>
      </c>
      <c r="I98" s="17" t="s">
        <v>203</v>
      </c>
      <c r="J98" s="6" t="str">
        <f t="shared" si="5"/>
        <v>OK</v>
      </c>
      <c r="K98" s="17"/>
      <c r="L98" s="78"/>
    </row>
    <row r="99" spans="1:12" x14ac:dyDescent="0.4">
      <c r="A99" s="18" t="s">
        <v>204</v>
      </c>
      <c r="B99" s="42" t="s">
        <v>205</v>
      </c>
      <c r="C99" s="47">
        <v>3</v>
      </c>
      <c r="D99" s="47">
        <v>1500</v>
      </c>
      <c r="E99" s="19">
        <f t="shared" si="4"/>
        <v>4500</v>
      </c>
      <c r="F99" s="47">
        <v>121</v>
      </c>
      <c r="G99" s="42" t="s">
        <v>199</v>
      </c>
      <c r="H99" s="20" t="s">
        <v>206</v>
      </c>
      <c r="I99" s="17" t="s">
        <v>207</v>
      </c>
      <c r="J99" s="6" t="str">
        <f t="shared" si="5"/>
        <v>OK</v>
      </c>
      <c r="K99" s="17" t="s">
        <v>208</v>
      </c>
      <c r="L99" s="78"/>
    </row>
    <row r="100" spans="1:12" x14ac:dyDescent="0.4">
      <c r="A100" s="18"/>
      <c r="B100" s="42"/>
      <c r="C100" s="47"/>
      <c r="D100" s="47"/>
      <c r="E100" s="19" t="str">
        <f t="shared" si="4"/>
        <v/>
      </c>
      <c r="F100" s="47"/>
      <c r="G100" s="42"/>
      <c r="H100" s="18"/>
      <c r="I100" s="17"/>
      <c r="J100" s="6" t="str">
        <f t="shared" si="5"/>
        <v/>
      </c>
      <c r="K100" s="17"/>
      <c r="L100" s="78"/>
    </row>
    <row r="101" spans="1:12" x14ac:dyDescent="0.4">
      <c r="A101" s="18"/>
      <c r="B101" s="42"/>
      <c r="C101" s="47"/>
      <c r="D101" s="47"/>
      <c r="E101" s="19" t="str">
        <f t="shared" si="4"/>
        <v/>
      </c>
      <c r="F101" s="47"/>
      <c r="G101" s="42"/>
      <c r="H101" s="18"/>
      <c r="I101" s="17"/>
      <c r="J101" s="6" t="str">
        <f t="shared" si="5"/>
        <v/>
      </c>
      <c r="K101" s="17"/>
      <c r="L101" s="78"/>
    </row>
    <row r="102" spans="1:12" x14ac:dyDescent="0.4">
      <c r="A102" s="18"/>
      <c r="B102" s="42"/>
      <c r="C102" s="47"/>
      <c r="D102" s="47"/>
      <c r="E102" s="19" t="str">
        <f t="shared" si="4"/>
        <v/>
      </c>
      <c r="F102" s="47"/>
      <c r="G102" s="42"/>
      <c r="H102" s="18"/>
      <c r="I102" s="17"/>
      <c r="J102" s="6" t="str">
        <f t="shared" si="5"/>
        <v/>
      </c>
      <c r="K102" s="17"/>
      <c r="L102" s="78"/>
    </row>
    <row r="103" spans="1:12" x14ac:dyDescent="0.4">
      <c r="A103" s="18"/>
      <c r="B103" s="42"/>
      <c r="C103" s="47"/>
      <c r="D103" s="47"/>
      <c r="E103" s="19" t="str">
        <f t="shared" si="4"/>
        <v/>
      </c>
      <c r="F103" s="47"/>
      <c r="G103" s="42"/>
      <c r="H103" s="18"/>
      <c r="I103" s="17"/>
      <c r="J103" s="6" t="str">
        <f t="shared" si="5"/>
        <v/>
      </c>
      <c r="K103" s="17"/>
      <c r="L103" s="78"/>
    </row>
    <row r="104" spans="1:12" x14ac:dyDescent="0.4">
      <c r="A104" s="18"/>
      <c r="B104" s="42"/>
      <c r="C104" s="47"/>
      <c r="D104" s="47"/>
      <c r="E104" s="19" t="str">
        <f t="shared" si="4"/>
        <v/>
      </c>
      <c r="F104" s="47"/>
      <c r="G104" s="42"/>
      <c r="H104" s="18"/>
      <c r="I104" s="17"/>
      <c r="J104" s="6" t="str">
        <f t="shared" si="5"/>
        <v/>
      </c>
      <c r="K104" s="17"/>
      <c r="L104" s="78"/>
    </row>
    <row r="105" spans="1:12" x14ac:dyDescent="0.4">
      <c r="A105" s="18"/>
      <c r="B105" s="42"/>
      <c r="C105" s="47"/>
      <c r="D105" s="47"/>
      <c r="E105" s="19" t="str">
        <f t="shared" si="4"/>
        <v/>
      </c>
      <c r="F105" s="47"/>
      <c r="G105" s="42"/>
      <c r="H105" s="18"/>
      <c r="I105" s="17"/>
      <c r="J105" s="6" t="str">
        <f t="shared" si="5"/>
        <v/>
      </c>
      <c r="K105" s="17"/>
      <c r="L105" s="79"/>
    </row>
  </sheetData>
  <sheetProtection algorithmName="SHA-512" hashValue="X2eRGmDOZFpX8YArcmvlb5whTur/IPtet6BYM6Yms89UXZD3zmDDlr3N2QSNaXY3YwXBA2OBsuQla2kq8Dg+aA==" saltValue="BlRVl96zHOVEPm/xIKtiFg==" spinCount="100000" sheet="1" objects="1" scenarios="1" insertRows="0" insertHyperlinks="0" selectLockedCells="1"/>
  <protectedRanges>
    <protectedRange sqref="A96:D105 F96:I105 K96:K105" name="dat2"/>
    <protectedRange sqref="C3:D4 C5:C11 C12:D13 A17:H38 J17:J38 J42:J53 A42:H53 A57:H62 J57:J62 J66:J70 A66:H70 A74:H92 J74:J92" name="data1"/>
  </protectedRanges>
  <mergeCells count="54">
    <mergeCell ref="K94:L94"/>
    <mergeCell ref="L95:L105"/>
    <mergeCell ref="K73:L92"/>
    <mergeCell ref="K65:L70"/>
    <mergeCell ref="K56:L62"/>
    <mergeCell ref="F89:G89"/>
    <mergeCell ref="F90:G90"/>
    <mergeCell ref="F91:G91"/>
    <mergeCell ref="F92:G92"/>
    <mergeCell ref="A94:I94"/>
    <mergeCell ref="F84:G84"/>
    <mergeCell ref="F85:G85"/>
    <mergeCell ref="F86:G86"/>
    <mergeCell ref="F87:G87"/>
    <mergeCell ref="F88:G88"/>
    <mergeCell ref="F79:G79"/>
    <mergeCell ref="F80:G80"/>
    <mergeCell ref="F81:G81"/>
    <mergeCell ref="F82:G82"/>
    <mergeCell ref="F83:G83"/>
    <mergeCell ref="F74:G74"/>
    <mergeCell ref="F75:G75"/>
    <mergeCell ref="F76:G76"/>
    <mergeCell ref="F77:G77"/>
    <mergeCell ref="F78:G78"/>
    <mergeCell ref="A64:H64"/>
    <mergeCell ref="J64:L64"/>
    <mergeCell ref="A72:H72"/>
    <mergeCell ref="J72:L72"/>
    <mergeCell ref="F73:G73"/>
    <mergeCell ref="A15:H15"/>
    <mergeCell ref="K15:L15"/>
    <mergeCell ref="A40:H40"/>
    <mergeCell ref="J40:L40"/>
    <mergeCell ref="A55:H55"/>
    <mergeCell ref="J55:L55"/>
    <mergeCell ref="K41:L53"/>
    <mergeCell ref="K16:L38"/>
    <mergeCell ref="A10:B10"/>
    <mergeCell ref="A11:B11"/>
    <mergeCell ref="A12:B12"/>
    <mergeCell ref="C12:D12"/>
    <mergeCell ref="A13:B13"/>
    <mergeCell ref="C13:D13"/>
    <mergeCell ref="A5:B5"/>
    <mergeCell ref="A6:B6"/>
    <mergeCell ref="A7:B7"/>
    <mergeCell ref="A8:B8"/>
    <mergeCell ref="A9:B9"/>
    <mergeCell ref="A2:D2"/>
    <mergeCell ref="A3:B3"/>
    <mergeCell ref="C3:D3"/>
    <mergeCell ref="A4:B4"/>
    <mergeCell ref="C4:D4"/>
  </mergeCells>
  <phoneticPr fontId="14" type="noConversion"/>
  <dataValidations count="5">
    <dataValidation type="list" allowBlank="1" showInputMessage="1" showErrorMessage="1" sqref="F66:F70" xr:uid="{00000000-0002-0000-0100-000000000000}">
      <formula1>"NO,NC"</formula1>
    </dataValidation>
    <dataValidation type="list" allowBlank="1" showInputMessage="1" showErrorMessage="1" sqref="H17:H38 H42:H53" xr:uid="{00000000-0002-0000-0100-000001000000}">
      <formula1>$O$16:$O$34</formula1>
    </dataValidation>
    <dataValidation type="list" allowBlank="1" showInputMessage="1" showErrorMessage="1" sqref="H57:H62" xr:uid="{00000000-0002-0000-0100-000002000000}">
      <formula1>"预充电路 Precharge,放电回路 Discharge,其他-驱动系统 Other TS,其他-低压系统 Other LVS"</formula1>
    </dataValidation>
    <dataValidation type="list" allowBlank="1" showInputMessage="1" showErrorMessage="1" sqref="H66:H70" xr:uid="{00000000-0002-0000-0100-000003000000}">
      <formula1>"AIR,预充电 Precharge,放电 Discharge,其他 Other"</formula1>
    </dataValidation>
    <dataValidation type="list" allowBlank="1" showInputMessage="1" showErrorMessage="1" sqref="H74:H92" xr:uid="{00000000-0002-0000-0100-000004000000}">
      <formula1>"维护插头,电池箱主接插件,电池箱其他驱动系统接插件,HVD,能量计壳体,电机控制器壳体,电机控制器到电机,其他驱动系统位置"</formula1>
    </dataValidation>
  </dataValidations>
  <hyperlinks>
    <hyperlink ref="C13:D13" r:id="rId1" display="EP7064159HP 7500mAh 3.7V 20C V.1.0.pdf" xr:uid="{00000000-0004-0000-0100-000000000000}"/>
    <hyperlink ref="G26" r:id="rId2" xr:uid="{00000000-0004-0000-0100-000001000000}"/>
    <hyperlink ref="G20" r:id="rId3" xr:uid="{00000000-0004-0000-0100-000002000000}"/>
    <hyperlink ref="G21" r:id="rId4" xr:uid="{00000000-0004-0000-0100-000003000000}"/>
    <hyperlink ref="G27" r:id="rId5" xr:uid="{00000000-0004-0000-0100-000004000000}"/>
    <hyperlink ref="G17" r:id="rId6" xr:uid="{00000000-0004-0000-0100-000005000000}"/>
    <hyperlink ref="G28" r:id="rId7" xr:uid="{00000000-0004-0000-0100-000006000000}"/>
    <hyperlink ref="G30" r:id="rId8" xr:uid="{00000000-0004-0000-0100-000007000000}"/>
    <hyperlink ref="G31" r:id="rId9" xr:uid="{00000000-0004-0000-0100-000008000000}"/>
    <hyperlink ref="G34" r:id="rId10" xr:uid="{00000000-0004-0000-0100-000009000000}"/>
    <hyperlink ref="G18" r:id="rId11" xr:uid="{00000000-0004-0000-0100-00000A000000}"/>
    <hyperlink ref="G24" r:id="rId12" xr:uid="{00000000-0004-0000-0100-00000B000000}"/>
    <hyperlink ref="G29" r:id="rId13" xr:uid="{00000000-0004-0000-0100-00000C000000}"/>
    <hyperlink ref="G22" r:id="rId14" xr:uid="{00000000-0004-0000-0100-00000D000000}"/>
    <hyperlink ref="G23" r:id="rId15" xr:uid="{00000000-0004-0000-0100-00000E000000}"/>
    <hyperlink ref="G19" r:id="rId16" xr:uid="{00000000-0004-0000-0100-00000F000000}"/>
    <hyperlink ref="G32" r:id="rId17" xr:uid="{00000000-0004-0000-0100-000010000000}"/>
    <hyperlink ref="G25" r:id="rId18" xr:uid="{00000000-0004-0000-0100-000011000000}"/>
    <hyperlink ref="G33" r:id="rId19" xr:uid="{00000000-0004-0000-0100-000012000000}"/>
    <hyperlink ref="G35" r:id="rId20" xr:uid="{00000000-0004-0000-0100-000013000000}"/>
    <hyperlink ref="G42" r:id="rId21" xr:uid="{00000000-0004-0000-0100-000014000000}"/>
    <hyperlink ref="G43" r:id="rId22" xr:uid="{00000000-0004-0000-0100-000015000000}"/>
    <hyperlink ref="G44" r:id="rId23" xr:uid="{00000000-0004-0000-0100-000016000000}"/>
    <hyperlink ref="G45" r:id="rId24" xr:uid="{00000000-0004-0000-0100-000017000000}"/>
    <hyperlink ref="G46" r:id="rId25" xr:uid="{00000000-0004-0000-0100-000018000000}"/>
    <hyperlink ref="G47" r:id="rId26" xr:uid="{00000000-0004-0000-0100-000019000000}"/>
    <hyperlink ref="G57" r:id="rId27" xr:uid="{00000000-0004-0000-0100-00001A000000}"/>
    <hyperlink ref="G58" r:id="rId28" xr:uid="{00000000-0004-0000-0100-00001B000000}"/>
    <hyperlink ref="G59" r:id="rId29" xr:uid="{00000000-0004-0000-0100-00001C000000}"/>
    <hyperlink ref="G68" r:id="rId30" xr:uid="{00000000-0004-0000-0100-00001D000000}"/>
    <hyperlink ref="G67" r:id="rId31" xr:uid="{00000000-0004-0000-0100-00001E000000}"/>
    <hyperlink ref="G66" r:id="rId32" xr:uid="{00000000-0004-0000-0100-00001F000000}"/>
    <hyperlink ref="F75:G75" r:id="rId33" display="MINIMSD-250A.pdf" xr:uid="{00000000-0004-0000-0100-000020000000}"/>
    <hyperlink ref="F76:G76" r:id="rId34" display="YQ-3X" xr:uid="{00000000-0004-0000-0100-000021000000}"/>
    <hyperlink ref="F77:G77" r:id="rId35" display="HVCXP80FS" xr:uid="{00000000-0004-0000-0100-000022000000}"/>
    <hyperlink ref="F78:G78" r:id="rId36" display="UPC_P012ALS1" xr:uid="{00000000-0004-0000-0100-000023000000}"/>
    <hyperlink ref="F79:G79" r:id="rId37" display="UPC_R012ALS1" xr:uid="{00000000-0004-0000-0100-000024000000}"/>
    <hyperlink ref="F74:G74" r:id="rId38" display="C10-730186-200.pdf" xr:uid="{00000000-0004-0000-0100-000025000000}"/>
    <hyperlink ref="H96" r:id="rId39" xr:uid="{00000000-0004-0000-0100-000026000000}"/>
    <hyperlink ref="G48" r:id="rId40" xr:uid="{00000000-0004-0000-0100-000027000000}"/>
    <hyperlink ref="H99" r:id="rId41" xr:uid="{00000000-0004-0000-0100-000028000000}"/>
  </hyperlinks>
  <pageMargins left="0.7" right="0.7" top="0.75" bottom="0.75" header="0.3" footer="0.3"/>
  <pageSetup paperSize="9" orientation="portrait"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0"/>
  <sheetViews>
    <sheetView topLeftCell="A7" zoomScale="58" zoomScaleNormal="60" workbookViewId="0">
      <selection activeCell="A2" sqref="A2:K27"/>
    </sheetView>
  </sheetViews>
  <sheetFormatPr defaultColWidth="9" defaultRowHeight="13.9" x14ac:dyDescent="0.4"/>
  <cols>
    <col min="1" max="1" width="11" customWidth="1"/>
    <col min="11" max="11" width="16.1328125" customWidth="1"/>
    <col min="13" max="13" width="17" customWidth="1"/>
    <col min="25" max="25" width="22.796875" customWidth="1"/>
    <col min="26" max="26" width="25.33203125" customWidth="1"/>
    <col min="31" max="31" width="9" customWidth="1"/>
  </cols>
  <sheetData>
    <row r="1" spans="1:31" x14ac:dyDescent="0.4">
      <c r="A1" s="2" t="s">
        <v>26</v>
      </c>
      <c r="B1" s="6" t="str" cm="1">
        <f t="array" ref="B1" ca="1">IF(SUM(COUNTIF(INDIRECT({"$K$28","$W$28","$K$48"}),"="&amp;IncompleteText)),IncompleteText,IF(SUM(COUNTIF(INDIRECT({"$K$28","$W$28","$K$48"}),"="&amp;ErrorText)),ErrorText,OKText))</f>
        <v>OK</v>
      </c>
      <c r="C1" s="16"/>
      <c r="D1" s="16"/>
      <c r="E1" s="16"/>
      <c r="F1" s="16"/>
      <c r="G1" s="16"/>
      <c r="H1" s="16"/>
      <c r="I1" s="16"/>
      <c r="J1" s="16"/>
      <c r="K1" s="16"/>
    </row>
    <row r="2" spans="1:31" ht="32.25" customHeight="1" x14ac:dyDescent="0.4">
      <c r="A2" s="98" t="s">
        <v>209</v>
      </c>
      <c r="B2" s="98"/>
      <c r="C2" s="98"/>
      <c r="D2" s="98"/>
      <c r="E2" s="98"/>
      <c r="F2" s="98"/>
      <c r="G2" s="98"/>
      <c r="H2" s="98"/>
      <c r="I2" s="98"/>
      <c r="J2" s="98"/>
      <c r="K2" s="98"/>
      <c r="M2" s="97" t="s">
        <v>210</v>
      </c>
      <c r="N2" s="98"/>
      <c r="O2" s="98"/>
      <c r="P2" s="98"/>
      <c r="Q2" s="98"/>
      <c r="R2" s="98"/>
      <c r="S2" s="98"/>
      <c r="T2" s="98"/>
      <c r="U2" s="98"/>
      <c r="V2" s="98"/>
      <c r="W2" s="98"/>
      <c r="Y2" s="57" t="s">
        <v>211</v>
      </c>
      <c r="Z2" s="57"/>
      <c r="AA2" s="57"/>
      <c r="AB2" s="57"/>
      <c r="AC2" s="57"/>
      <c r="AD2" s="57"/>
      <c r="AE2" s="57"/>
    </row>
    <row r="3" spans="1:31" ht="32.25" customHeight="1" x14ac:dyDescent="0.4">
      <c r="A3" s="98"/>
      <c r="B3" s="98"/>
      <c r="C3" s="98"/>
      <c r="D3" s="98"/>
      <c r="E3" s="98"/>
      <c r="F3" s="98"/>
      <c r="G3" s="98"/>
      <c r="H3" s="98"/>
      <c r="I3" s="98"/>
      <c r="J3" s="98"/>
      <c r="K3" s="98"/>
      <c r="M3" s="98"/>
      <c r="N3" s="98"/>
      <c r="O3" s="98"/>
      <c r="P3" s="98"/>
      <c r="Q3" s="98"/>
      <c r="R3" s="98"/>
      <c r="S3" s="98"/>
      <c r="T3" s="98"/>
      <c r="U3" s="98"/>
      <c r="V3" s="98"/>
      <c r="W3" s="98"/>
      <c r="Y3" s="94" t="s">
        <v>212</v>
      </c>
      <c r="Z3" s="95"/>
      <c r="AA3" s="95"/>
      <c r="AB3" s="95"/>
      <c r="AC3" s="95"/>
      <c r="AD3" s="95"/>
      <c r="AE3" s="95"/>
    </row>
    <row r="4" spans="1:31" ht="32.25" customHeight="1" x14ac:dyDescent="0.4">
      <c r="A4" s="98"/>
      <c r="B4" s="98"/>
      <c r="C4" s="98"/>
      <c r="D4" s="98"/>
      <c r="E4" s="98"/>
      <c r="F4" s="98"/>
      <c r="G4" s="98"/>
      <c r="H4" s="98"/>
      <c r="I4" s="98"/>
      <c r="J4" s="98"/>
      <c r="K4" s="98"/>
      <c r="M4" s="98"/>
      <c r="N4" s="98"/>
      <c r="O4" s="98"/>
      <c r="P4" s="98"/>
      <c r="Q4" s="98"/>
      <c r="R4" s="98"/>
      <c r="S4" s="98"/>
      <c r="T4" s="98"/>
      <c r="U4" s="98"/>
      <c r="V4" s="98"/>
      <c r="W4" s="98"/>
      <c r="Y4" s="96"/>
      <c r="Z4" s="96"/>
      <c r="AA4" s="96"/>
      <c r="AB4" s="96"/>
      <c r="AC4" s="96"/>
      <c r="AD4" s="96"/>
      <c r="AE4" s="96"/>
    </row>
    <row r="5" spans="1:31" ht="32.25" customHeight="1" x14ac:dyDescent="0.4">
      <c r="A5" s="98"/>
      <c r="B5" s="98"/>
      <c r="C5" s="98"/>
      <c r="D5" s="98"/>
      <c r="E5" s="98"/>
      <c r="F5" s="98"/>
      <c r="G5" s="98"/>
      <c r="H5" s="98"/>
      <c r="I5" s="98"/>
      <c r="J5" s="98"/>
      <c r="K5" s="98"/>
      <c r="M5" s="98"/>
      <c r="N5" s="98"/>
      <c r="O5" s="98"/>
      <c r="P5" s="98"/>
      <c r="Q5" s="98"/>
      <c r="R5" s="98"/>
      <c r="S5" s="98"/>
      <c r="T5" s="98"/>
      <c r="U5" s="98"/>
      <c r="V5" s="98"/>
      <c r="W5" s="98"/>
      <c r="Y5" s="96"/>
      <c r="Z5" s="96"/>
      <c r="AA5" s="96"/>
      <c r="AB5" s="96"/>
      <c r="AC5" s="96"/>
      <c r="AD5" s="96"/>
      <c r="AE5" s="96"/>
    </row>
    <row r="6" spans="1:31" ht="32.25" customHeight="1" x14ac:dyDescent="0.4">
      <c r="A6" s="98"/>
      <c r="B6" s="98"/>
      <c r="C6" s="98"/>
      <c r="D6" s="98"/>
      <c r="E6" s="98"/>
      <c r="F6" s="98"/>
      <c r="G6" s="98"/>
      <c r="H6" s="98"/>
      <c r="I6" s="98"/>
      <c r="J6" s="98"/>
      <c r="K6" s="98"/>
      <c r="M6" s="98"/>
      <c r="N6" s="98"/>
      <c r="O6" s="98"/>
      <c r="P6" s="98"/>
      <c r="Q6" s="98"/>
      <c r="R6" s="98"/>
      <c r="S6" s="98"/>
      <c r="T6" s="98"/>
      <c r="U6" s="98"/>
      <c r="V6" s="98"/>
      <c r="W6" s="98"/>
      <c r="Y6" s="96"/>
      <c r="Z6" s="96"/>
      <c r="AA6" s="96"/>
      <c r="AB6" s="96"/>
      <c r="AC6" s="96"/>
      <c r="AD6" s="96"/>
      <c r="AE6" s="96"/>
    </row>
    <row r="7" spans="1:31" ht="32.25" customHeight="1" x14ac:dyDescent="0.4">
      <c r="A7" s="98"/>
      <c r="B7" s="98"/>
      <c r="C7" s="98"/>
      <c r="D7" s="98"/>
      <c r="E7" s="98"/>
      <c r="F7" s="98"/>
      <c r="G7" s="98"/>
      <c r="H7" s="98"/>
      <c r="I7" s="98"/>
      <c r="J7" s="98"/>
      <c r="K7" s="98"/>
      <c r="M7" s="98"/>
      <c r="N7" s="98"/>
      <c r="O7" s="98"/>
      <c r="P7" s="98"/>
      <c r="Q7" s="98"/>
      <c r="R7" s="98"/>
      <c r="S7" s="98"/>
      <c r="T7" s="98"/>
      <c r="U7" s="98"/>
      <c r="V7" s="98"/>
      <c r="W7" s="98"/>
      <c r="Y7" s="96"/>
      <c r="Z7" s="96"/>
      <c r="AA7" s="96"/>
      <c r="AB7" s="96"/>
      <c r="AC7" s="96"/>
      <c r="AD7" s="96"/>
      <c r="AE7" s="96"/>
    </row>
    <row r="8" spans="1:31" ht="32.25" customHeight="1" x14ac:dyDescent="0.4">
      <c r="A8" s="98"/>
      <c r="B8" s="98"/>
      <c r="C8" s="98"/>
      <c r="D8" s="98"/>
      <c r="E8" s="98"/>
      <c r="F8" s="98"/>
      <c r="G8" s="98"/>
      <c r="H8" s="98"/>
      <c r="I8" s="98"/>
      <c r="J8" s="98"/>
      <c r="K8" s="98"/>
      <c r="M8" s="98"/>
      <c r="N8" s="98"/>
      <c r="O8" s="98"/>
      <c r="P8" s="98"/>
      <c r="Q8" s="98"/>
      <c r="R8" s="98"/>
      <c r="S8" s="98"/>
      <c r="T8" s="98"/>
      <c r="U8" s="98"/>
      <c r="V8" s="98"/>
      <c r="W8" s="98"/>
      <c r="Y8" s="96"/>
      <c r="Z8" s="96"/>
      <c r="AA8" s="96"/>
      <c r="AB8" s="96"/>
      <c r="AC8" s="96"/>
      <c r="AD8" s="96"/>
      <c r="AE8" s="96"/>
    </row>
    <row r="9" spans="1:31" ht="32.25" customHeight="1" x14ac:dyDescent="0.4">
      <c r="A9" s="98"/>
      <c r="B9" s="98"/>
      <c r="C9" s="98"/>
      <c r="D9" s="98"/>
      <c r="E9" s="98"/>
      <c r="F9" s="98"/>
      <c r="G9" s="98"/>
      <c r="H9" s="98"/>
      <c r="I9" s="98"/>
      <c r="J9" s="98"/>
      <c r="K9" s="98"/>
      <c r="M9" s="98"/>
      <c r="N9" s="98"/>
      <c r="O9" s="98"/>
      <c r="P9" s="98"/>
      <c r="Q9" s="98"/>
      <c r="R9" s="98"/>
      <c r="S9" s="98"/>
      <c r="T9" s="98"/>
      <c r="U9" s="98"/>
      <c r="V9" s="98"/>
      <c r="W9" s="98"/>
      <c r="Y9" s="96"/>
      <c r="Z9" s="96"/>
      <c r="AA9" s="96"/>
      <c r="AB9" s="96"/>
      <c r="AC9" s="96"/>
      <c r="AD9" s="96"/>
      <c r="AE9" s="96"/>
    </row>
    <row r="10" spans="1:31" ht="32.25" customHeight="1" x14ac:dyDescent="0.4">
      <c r="A10" s="98"/>
      <c r="B10" s="98"/>
      <c r="C10" s="98"/>
      <c r="D10" s="98"/>
      <c r="E10" s="98"/>
      <c r="F10" s="98"/>
      <c r="G10" s="98"/>
      <c r="H10" s="98"/>
      <c r="I10" s="98"/>
      <c r="J10" s="98"/>
      <c r="K10" s="98"/>
      <c r="M10" s="98"/>
      <c r="N10" s="98"/>
      <c r="O10" s="98"/>
      <c r="P10" s="98"/>
      <c r="Q10" s="98"/>
      <c r="R10" s="98"/>
      <c r="S10" s="98"/>
      <c r="T10" s="98"/>
      <c r="U10" s="98"/>
      <c r="V10" s="98"/>
      <c r="W10" s="98"/>
      <c r="Y10" s="96"/>
      <c r="Z10" s="96"/>
      <c r="AA10" s="96"/>
      <c r="AB10" s="96"/>
      <c r="AC10" s="96"/>
      <c r="AD10" s="96"/>
      <c r="AE10" s="96"/>
    </row>
    <row r="11" spans="1:31" ht="32.25" customHeight="1" x14ac:dyDescent="0.4">
      <c r="A11" s="98"/>
      <c r="B11" s="98"/>
      <c r="C11" s="98"/>
      <c r="D11" s="98"/>
      <c r="E11" s="98"/>
      <c r="F11" s="98"/>
      <c r="G11" s="98"/>
      <c r="H11" s="98"/>
      <c r="I11" s="98"/>
      <c r="J11" s="98"/>
      <c r="K11" s="98"/>
      <c r="M11" s="98"/>
      <c r="N11" s="98"/>
      <c r="O11" s="98"/>
      <c r="P11" s="98"/>
      <c r="Q11" s="98"/>
      <c r="R11" s="98"/>
      <c r="S11" s="98"/>
      <c r="T11" s="98"/>
      <c r="U11" s="98"/>
      <c r="V11" s="98"/>
      <c r="W11" s="98"/>
      <c r="Y11" s="96"/>
      <c r="Z11" s="96"/>
      <c r="AA11" s="96"/>
      <c r="AB11" s="96"/>
      <c r="AC11" s="96"/>
      <c r="AD11" s="96"/>
      <c r="AE11" s="96"/>
    </row>
    <row r="12" spans="1:31" ht="32.25" customHeight="1" x14ac:dyDescent="0.4">
      <c r="A12" s="98"/>
      <c r="B12" s="98"/>
      <c r="C12" s="98"/>
      <c r="D12" s="98"/>
      <c r="E12" s="98"/>
      <c r="F12" s="98"/>
      <c r="G12" s="98"/>
      <c r="H12" s="98"/>
      <c r="I12" s="98"/>
      <c r="J12" s="98"/>
      <c r="K12" s="98"/>
      <c r="M12" s="98"/>
      <c r="N12" s="98"/>
      <c r="O12" s="98"/>
      <c r="P12" s="98"/>
      <c r="Q12" s="98"/>
      <c r="R12" s="98"/>
      <c r="S12" s="98"/>
      <c r="T12" s="98"/>
      <c r="U12" s="98"/>
      <c r="V12" s="98"/>
      <c r="W12" s="98"/>
      <c r="Y12" s="96"/>
      <c r="Z12" s="96"/>
      <c r="AA12" s="96"/>
      <c r="AB12" s="96"/>
      <c r="AC12" s="96"/>
      <c r="AD12" s="96"/>
      <c r="AE12" s="96"/>
    </row>
    <row r="13" spans="1:31" ht="32.25" customHeight="1" x14ac:dyDescent="0.4">
      <c r="A13" s="98"/>
      <c r="B13" s="98"/>
      <c r="C13" s="98"/>
      <c r="D13" s="98"/>
      <c r="E13" s="98"/>
      <c r="F13" s="98"/>
      <c r="G13" s="98"/>
      <c r="H13" s="98"/>
      <c r="I13" s="98"/>
      <c r="J13" s="98"/>
      <c r="K13" s="98"/>
      <c r="M13" s="98"/>
      <c r="N13" s="98"/>
      <c r="O13" s="98"/>
      <c r="P13" s="98"/>
      <c r="Q13" s="98"/>
      <c r="R13" s="98"/>
      <c r="S13" s="98"/>
      <c r="T13" s="98"/>
      <c r="U13" s="98"/>
      <c r="V13" s="98"/>
      <c r="W13" s="98"/>
      <c r="Y13" s="96"/>
      <c r="Z13" s="96"/>
      <c r="AA13" s="96"/>
      <c r="AB13" s="96"/>
      <c r="AC13" s="96"/>
      <c r="AD13" s="96"/>
      <c r="AE13" s="96"/>
    </row>
    <row r="14" spans="1:31" ht="32.25" customHeight="1" x14ac:dyDescent="0.4">
      <c r="A14" s="98"/>
      <c r="B14" s="98"/>
      <c r="C14" s="98"/>
      <c r="D14" s="98"/>
      <c r="E14" s="98"/>
      <c r="F14" s="98"/>
      <c r="G14" s="98"/>
      <c r="H14" s="98"/>
      <c r="I14" s="98"/>
      <c r="J14" s="98"/>
      <c r="K14" s="98"/>
      <c r="M14" s="98"/>
      <c r="N14" s="98"/>
      <c r="O14" s="98"/>
      <c r="P14" s="98"/>
      <c r="Q14" s="98"/>
      <c r="R14" s="98"/>
      <c r="S14" s="98"/>
      <c r="T14" s="98"/>
      <c r="U14" s="98"/>
      <c r="V14" s="98"/>
      <c r="W14" s="98"/>
      <c r="Y14" s="96"/>
      <c r="Z14" s="96"/>
      <c r="AA14" s="96"/>
      <c r="AB14" s="96"/>
      <c r="AC14" s="96"/>
      <c r="AD14" s="96"/>
      <c r="AE14" s="96"/>
    </row>
    <row r="15" spans="1:31" ht="32.25" customHeight="1" x14ac:dyDescent="0.4">
      <c r="A15" s="98"/>
      <c r="B15" s="98"/>
      <c r="C15" s="98"/>
      <c r="D15" s="98"/>
      <c r="E15" s="98"/>
      <c r="F15" s="98"/>
      <c r="G15" s="98"/>
      <c r="H15" s="98"/>
      <c r="I15" s="98"/>
      <c r="J15" s="98"/>
      <c r="K15" s="98"/>
      <c r="M15" s="98"/>
      <c r="N15" s="98"/>
      <c r="O15" s="98"/>
      <c r="P15" s="98"/>
      <c r="Q15" s="98"/>
      <c r="R15" s="98"/>
      <c r="S15" s="98"/>
      <c r="T15" s="98"/>
      <c r="U15" s="98"/>
      <c r="V15" s="98"/>
      <c r="W15" s="98"/>
      <c r="Y15" s="96"/>
      <c r="Z15" s="96"/>
      <c r="AA15" s="96"/>
      <c r="AB15" s="96"/>
      <c r="AC15" s="96"/>
      <c r="AD15" s="96"/>
      <c r="AE15" s="96"/>
    </row>
    <row r="16" spans="1:31" ht="32.25" customHeight="1" x14ac:dyDescent="0.4">
      <c r="A16" s="98"/>
      <c r="B16" s="98"/>
      <c r="C16" s="98"/>
      <c r="D16" s="98"/>
      <c r="E16" s="98"/>
      <c r="F16" s="98"/>
      <c r="G16" s="98"/>
      <c r="H16" s="98"/>
      <c r="I16" s="98"/>
      <c r="J16" s="98"/>
      <c r="K16" s="98"/>
      <c r="M16" s="98"/>
      <c r="N16" s="98"/>
      <c r="O16" s="98"/>
      <c r="P16" s="98"/>
      <c r="Q16" s="98"/>
      <c r="R16" s="98"/>
      <c r="S16" s="98"/>
      <c r="T16" s="98"/>
      <c r="U16" s="98"/>
      <c r="V16" s="98"/>
      <c r="W16" s="98"/>
      <c r="Y16" s="96"/>
      <c r="Z16" s="96"/>
      <c r="AA16" s="96"/>
      <c r="AB16" s="96"/>
      <c r="AC16" s="96"/>
      <c r="AD16" s="96"/>
      <c r="AE16" s="96"/>
    </row>
    <row r="17" spans="1:31" ht="32.25" customHeight="1" x14ac:dyDescent="0.4">
      <c r="A17" s="98"/>
      <c r="B17" s="98"/>
      <c r="C17" s="98"/>
      <c r="D17" s="98"/>
      <c r="E17" s="98"/>
      <c r="F17" s="98"/>
      <c r="G17" s="98"/>
      <c r="H17" s="98"/>
      <c r="I17" s="98"/>
      <c r="J17" s="98"/>
      <c r="K17" s="98"/>
      <c r="M17" s="98"/>
      <c r="N17" s="98"/>
      <c r="O17" s="98"/>
      <c r="P17" s="98"/>
      <c r="Q17" s="98"/>
      <c r="R17" s="98"/>
      <c r="S17" s="98"/>
      <c r="T17" s="98"/>
      <c r="U17" s="98"/>
      <c r="V17" s="98"/>
      <c r="W17" s="98"/>
      <c r="Y17" s="96"/>
      <c r="Z17" s="96"/>
      <c r="AA17" s="96"/>
      <c r="AB17" s="96"/>
      <c r="AC17" s="96"/>
      <c r="AD17" s="96"/>
      <c r="AE17" s="96"/>
    </row>
    <row r="18" spans="1:31" ht="32.25" customHeight="1" x14ac:dyDescent="0.4">
      <c r="A18" s="98"/>
      <c r="B18" s="98"/>
      <c r="C18" s="98"/>
      <c r="D18" s="98"/>
      <c r="E18" s="98"/>
      <c r="F18" s="98"/>
      <c r="G18" s="98"/>
      <c r="H18" s="98"/>
      <c r="I18" s="98"/>
      <c r="J18" s="98"/>
      <c r="K18" s="98"/>
      <c r="M18" s="98"/>
      <c r="N18" s="98"/>
      <c r="O18" s="98"/>
      <c r="P18" s="98"/>
      <c r="Q18" s="98"/>
      <c r="R18" s="98"/>
      <c r="S18" s="98"/>
      <c r="T18" s="98"/>
      <c r="U18" s="98"/>
      <c r="V18" s="98"/>
      <c r="W18" s="98"/>
      <c r="Y18" s="96"/>
      <c r="Z18" s="96"/>
      <c r="AA18" s="96"/>
      <c r="AB18" s="96"/>
      <c r="AC18" s="96"/>
      <c r="AD18" s="96"/>
      <c r="AE18" s="96"/>
    </row>
    <row r="19" spans="1:31" ht="32.25" customHeight="1" x14ac:dyDescent="0.4">
      <c r="A19" s="98"/>
      <c r="B19" s="98"/>
      <c r="C19" s="98"/>
      <c r="D19" s="98"/>
      <c r="E19" s="98"/>
      <c r="F19" s="98"/>
      <c r="G19" s="98"/>
      <c r="H19" s="98"/>
      <c r="I19" s="98"/>
      <c r="J19" s="98"/>
      <c r="K19" s="98"/>
      <c r="M19" s="98"/>
      <c r="N19" s="98"/>
      <c r="O19" s="98"/>
      <c r="P19" s="98"/>
      <c r="Q19" s="98"/>
      <c r="R19" s="98"/>
      <c r="S19" s="98"/>
      <c r="T19" s="98"/>
      <c r="U19" s="98"/>
      <c r="V19" s="98"/>
      <c r="W19" s="98"/>
      <c r="Y19" s="96"/>
      <c r="Z19" s="96"/>
      <c r="AA19" s="96"/>
      <c r="AB19" s="96"/>
      <c r="AC19" s="96"/>
      <c r="AD19" s="96"/>
      <c r="AE19" s="96"/>
    </row>
    <row r="20" spans="1:31" ht="32.25" customHeight="1" x14ac:dyDescent="0.4">
      <c r="A20" s="98"/>
      <c r="B20" s="98"/>
      <c r="C20" s="98"/>
      <c r="D20" s="98"/>
      <c r="E20" s="98"/>
      <c r="F20" s="98"/>
      <c r="G20" s="98"/>
      <c r="H20" s="98"/>
      <c r="I20" s="98"/>
      <c r="J20" s="98"/>
      <c r="K20" s="98"/>
      <c r="M20" s="98"/>
      <c r="N20" s="98"/>
      <c r="O20" s="98"/>
      <c r="P20" s="98"/>
      <c r="Q20" s="98"/>
      <c r="R20" s="98"/>
      <c r="S20" s="98"/>
      <c r="T20" s="98"/>
      <c r="U20" s="98"/>
      <c r="V20" s="98"/>
      <c r="W20" s="98"/>
      <c r="Y20" s="96"/>
      <c r="Z20" s="96"/>
      <c r="AA20" s="96"/>
      <c r="AB20" s="96"/>
      <c r="AC20" s="96"/>
      <c r="AD20" s="96"/>
      <c r="AE20" s="96"/>
    </row>
    <row r="21" spans="1:31" ht="32.25" customHeight="1" x14ac:dyDescent="0.4">
      <c r="A21" s="98"/>
      <c r="B21" s="98"/>
      <c r="C21" s="98"/>
      <c r="D21" s="98"/>
      <c r="E21" s="98"/>
      <c r="F21" s="98"/>
      <c r="G21" s="98"/>
      <c r="H21" s="98"/>
      <c r="I21" s="98"/>
      <c r="J21" s="98"/>
      <c r="K21" s="98"/>
      <c r="M21" s="98"/>
      <c r="N21" s="98"/>
      <c r="O21" s="98"/>
      <c r="P21" s="98"/>
      <c r="Q21" s="98"/>
      <c r="R21" s="98"/>
      <c r="S21" s="98"/>
      <c r="T21" s="98"/>
      <c r="U21" s="98"/>
      <c r="V21" s="98"/>
      <c r="W21" s="98"/>
      <c r="Y21" s="96"/>
      <c r="Z21" s="96"/>
      <c r="AA21" s="96"/>
      <c r="AB21" s="96"/>
      <c r="AC21" s="96"/>
      <c r="AD21" s="96"/>
      <c r="AE21" s="96"/>
    </row>
    <row r="22" spans="1:31" ht="32.25" customHeight="1" x14ac:dyDescent="0.4">
      <c r="A22" s="98"/>
      <c r="B22" s="98"/>
      <c r="C22" s="98"/>
      <c r="D22" s="98"/>
      <c r="E22" s="98"/>
      <c r="F22" s="98"/>
      <c r="G22" s="98"/>
      <c r="H22" s="98"/>
      <c r="I22" s="98"/>
      <c r="J22" s="98"/>
      <c r="K22" s="98"/>
      <c r="M22" s="98"/>
      <c r="N22" s="98"/>
      <c r="O22" s="98"/>
      <c r="P22" s="98"/>
      <c r="Q22" s="98"/>
      <c r="R22" s="98"/>
      <c r="S22" s="98"/>
      <c r="T22" s="98"/>
      <c r="U22" s="98"/>
      <c r="V22" s="98"/>
      <c r="W22" s="98"/>
      <c r="Y22" s="96"/>
      <c r="Z22" s="96"/>
      <c r="AA22" s="96"/>
      <c r="AB22" s="96"/>
      <c r="AC22" s="96"/>
      <c r="AD22" s="96"/>
      <c r="AE22" s="96"/>
    </row>
    <row r="23" spans="1:31" ht="32.25" customHeight="1" x14ac:dyDescent="0.4">
      <c r="A23" s="98"/>
      <c r="B23" s="98"/>
      <c r="C23" s="98"/>
      <c r="D23" s="98"/>
      <c r="E23" s="98"/>
      <c r="F23" s="98"/>
      <c r="G23" s="98"/>
      <c r="H23" s="98"/>
      <c r="I23" s="98"/>
      <c r="J23" s="98"/>
      <c r="K23" s="98"/>
      <c r="M23" s="98"/>
      <c r="N23" s="98"/>
      <c r="O23" s="98"/>
      <c r="P23" s="98"/>
      <c r="Q23" s="98"/>
      <c r="R23" s="98"/>
      <c r="S23" s="98"/>
      <c r="T23" s="98"/>
      <c r="U23" s="98"/>
      <c r="V23" s="98"/>
      <c r="W23" s="98"/>
      <c r="Y23" s="96"/>
      <c r="Z23" s="96"/>
      <c r="AA23" s="96"/>
      <c r="AB23" s="96"/>
      <c r="AC23" s="96"/>
      <c r="AD23" s="96"/>
      <c r="AE23" s="96"/>
    </row>
    <row r="24" spans="1:31" ht="32.25" customHeight="1" x14ac:dyDescent="0.4">
      <c r="A24" s="98"/>
      <c r="B24" s="98"/>
      <c r="C24" s="98"/>
      <c r="D24" s="98"/>
      <c r="E24" s="98"/>
      <c r="F24" s="98"/>
      <c r="G24" s="98"/>
      <c r="H24" s="98"/>
      <c r="I24" s="98"/>
      <c r="J24" s="98"/>
      <c r="K24" s="98"/>
      <c r="M24" s="98"/>
      <c r="N24" s="98"/>
      <c r="O24" s="98"/>
      <c r="P24" s="98"/>
      <c r="Q24" s="98"/>
      <c r="R24" s="98"/>
      <c r="S24" s="98"/>
      <c r="T24" s="98"/>
      <c r="U24" s="98"/>
      <c r="V24" s="98"/>
      <c r="W24" s="98"/>
      <c r="Y24" s="96"/>
      <c r="Z24" s="96"/>
      <c r="AA24" s="96"/>
      <c r="AB24" s="96"/>
      <c r="AC24" s="96"/>
      <c r="AD24" s="96"/>
      <c r="AE24" s="96"/>
    </row>
    <row r="25" spans="1:31" ht="32.25" customHeight="1" x14ac:dyDescent="0.4">
      <c r="A25" s="98"/>
      <c r="B25" s="98"/>
      <c r="C25" s="98"/>
      <c r="D25" s="98"/>
      <c r="E25" s="98"/>
      <c r="F25" s="98"/>
      <c r="G25" s="98"/>
      <c r="H25" s="98"/>
      <c r="I25" s="98"/>
      <c r="J25" s="98"/>
      <c r="K25" s="98"/>
      <c r="M25" s="98"/>
      <c r="N25" s="98"/>
      <c r="O25" s="98"/>
      <c r="P25" s="98"/>
      <c r="Q25" s="98"/>
      <c r="R25" s="98"/>
      <c r="S25" s="98"/>
      <c r="T25" s="98"/>
      <c r="U25" s="98"/>
      <c r="V25" s="98"/>
      <c r="W25" s="98"/>
      <c r="Y25" s="96"/>
      <c r="Z25" s="96"/>
      <c r="AA25" s="96"/>
      <c r="AB25" s="96"/>
      <c r="AC25" s="96"/>
      <c r="AD25" s="96"/>
      <c r="AE25" s="96"/>
    </row>
    <row r="26" spans="1:31" ht="32.25" customHeight="1" x14ac:dyDescent="0.4">
      <c r="A26" s="98"/>
      <c r="B26" s="98"/>
      <c r="C26" s="98"/>
      <c r="D26" s="98"/>
      <c r="E26" s="98"/>
      <c r="F26" s="98"/>
      <c r="G26" s="98"/>
      <c r="H26" s="98"/>
      <c r="I26" s="98"/>
      <c r="J26" s="98"/>
      <c r="K26" s="98"/>
      <c r="M26" s="98"/>
      <c r="N26" s="98"/>
      <c r="O26" s="98"/>
      <c r="P26" s="98"/>
      <c r="Q26" s="98"/>
      <c r="R26" s="98"/>
      <c r="S26" s="98"/>
      <c r="T26" s="98"/>
      <c r="U26" s="98"/>
      <c r="V26" s="98"/>
      <c r="W26" s="98"/>
      <c r="Y26" s="96"/>
      <c r="Z26" s="96"/>
      <c r="AA26" s="96"/>
      <c r="AB26" s="96"/>
      <c r="AC26" s="96"/>
      <c r="AD26" s="96"/>
      <c r="AE26" s="96"/>
    </row>
    <row r="27" spans="1:31" ht="32.25" customHeight="1" x14ac:dyDescent="0.4">
      <c r="A27" s="98"/>
      <c r="B27" s="98"/>
      <c r="C27" s="98"/>
      <c r="D27" s="98"/>
      <c r="E27" s="98"/>
      <c r="F27" s="98"/>
      <c r="G27" s="98"/>
      <c r="H27" s="98"/>
      <c r="I27" s="98"/>
      <c r="J27" s="98"/>
      <c r="K27" s="98"/>
      <c r="M27" s="98"/>
      <c r="N27" s="98"/>
      <c r="O27" s="98"/>
      <c r="P27" s="98"/>
      <c r="Q27" s="98"/>
      <c r="R27" s="98"/>
      <c r="S27" s="98"/>
      <c r="T27" s="98"/>
      <c r="U27" s="98"/>
      <c r="V27" s="98"/>
      <c r="W27" s="98"/>
      <c r="Y27" s="96"/>
      <c r="Z27" s="96"/>
      <c r="AA27" s="96"/>
      <c r="AB27" s="96"/>
      <c r="AC27" s="96"/>
      <c r="AD27" s="96"/>
      <c r="AE27" s="96"/>
    </row>
    <row r="28" spans="1:31" x14ac:dyDescent="0.4">
      <c r="A28" s="89" t="s">
        <v>209</v>
      </c>
      <c r="B28" s="89"/>
      <c r="C28" s="89"/>
      <c r="D28" s="89"/>
      <c r="E28" s="89"/>
      <c r="F28" s="89"/>
      <c r="G28" s="89"/>
      <c r="H28" s="89"/>
      <c r="I28" s="89"/>
      <c r="J28" s="89"/>
      <c r="K28" s="93" t="str">
        <f>IF(COUNTIF(K30:K46,"="&amp;IncompleteText),IncompleteText,IF(COUNTIF(K30:K46,"="&amp;ErrorText),ErrorText,OKText))</f>
        <v>OK</v>
      </c>
      <c r="M28" s="89" t="s">
        <v>213</v>
      </c>
      <c r="N28" s="89"/>
      <c r="O28" s="89"/>
      <c r="P28" s="89"/>
      <c r="Q28" s="89"/>
      <c r="R28" s="89"/>
      <c r="S28" s="89"/>
      <c r="T28" s="89"/>
      <c r="U28" s="89"/>
      <c r="V28" s="89"/>
      <c r="W28" s="93" t="str">
        <f>IF(COUNTIF(W30:W43,"="&amp;IncompleteText),IncompleteText,IF(COUNTIF(W30:W43,"="&amp;ErrorText),ErrorText,OKText))</f>
        <v>OK</v>
      </c>
    </row>
    <row r="29" spans="1:31" x14ac:dyDescent="0.4">
      <c r="A29" s="90" t="s">
        <v>214</v>
      </c>
      <c r="B29" s="91"/>
      <c r="C29" s="41"/>
      <c r="D29" s="41"/>
      <c r="E29" s="41"/>
      <c r="F29" s="41"/>
      <c r="G29" s="41"/>
      <c r="H29" s="41"/>
      <c r="I29" s="41"/>
      <c r="J29" s="41"/>
      <c r="K29" s="70"/>
      <c r="M29" s="90" t="s">
        <v>214</v>
      </c>
      <c r="N29" s="91"/>
      <c r="O29" s="41"/>
      <c r="P29" s="41"/>
      <c r="Q29" s="41"/>
      <c r="R29" s="41"/>
      <c r="S29" s="41"/>
      <c r="T29" s="41"/>
      <c r="U29" s="41"/>
      <c r="V29" s="41"/>
      <c r="W29" s="70"/>
    </row>
    <row r="30" spans="1:31" x14ac:dyDescent="0.4">
      <c r="A30" s="92"/>
      <c r="B30" s="92"/>
      <c r="C30" s="72" t="s">
        <v>215</v>
      </c>
      <c r="D30" s="72"/>
      <c r="E30" s="72"/>
      <c r="F30" s="72"/>
      <c r="G30" s="72"/>
      <c r="H30" s="72"/>
      <c r="I30" s="74"/>
      <c r="J30" s="18" t="b">
        <v>1</v>
      </c>
      <c r="K30" s="6" t="str">
        <f t="shared" ref="K30:K42" si="0">IF(ISBLANK(J30),IncompleteText,IF(J30,OKText,ErrorText))</f>
        <v>OK</v>
      </c>
      <c r="M30" s="92"/>
      <c r="N30" s="92"/>
      <c r="O30" s="72" t="s">
        <v>216</v>
      </c>
      <c r="P30" s="72"/>
      <c r="Q30" s="72"/>
      <c r="R30" s="72"/>
      <c r="S30" s="72"/>
      <c r="T30" s="72"/>
      <c r="U30" s="74"/>
      <c r="V30" s="18" t="b">
        <v>1</v>
      </c>
      <c r="W30" s="6" t="str">
        <f t="shared" ref="W30:W40" si="1">IF(ISBLANK(V30),IncompleteText,IF(V30,OKText,ErrorText))</f>
        <v>OK</v>
      </c>
    </row>
    <row r="31" spans="1:31" x14ac:dyDescent="0.4">
      <c r="A31" s="72"/>
      <c r="B31" s="72"/>
      <c r="C31" s="72" t="s">
        <v>217</v>
      </c>
      <c r="D31" s="72"/>
      <c r="E31" s="72"/>
      <c r="F31" s="72"/>
      <c r="G31" s="72"/>
      <c r="H31" s="72"/>
      <c r="I31" s="74"/>
      <c r="J31" s="18" t="b">
        <v>1</v>
      </c>
      <c r="K31" s="6" t="str">
        <f t="shared" si="0"/>
        <v>OK</v>
      </c>
      <c r="M31" s="72"/>
      <c r="N31" s="72"/>
      <c r="O31" s="72" t="s">
        <v>218</v>
      </c>
      <c r="P31" s="72"/>
      <c r="Q31" s="72"/>
      <c r="R31" s="72"/>
      <c r="S31" s="72"/>
      <c r="T31" s="72"/>
      <c r="U31" s="74"/>
      <c r="V31" s="18" t="b">
        <v>1</v>
      </c>
      <c r="W31" s="6" t="str">
        <f t="shared" si="1"/>
        <v>OK</v>
      </c>
    </row>
    <row r="32" spans="1:31" x14ac:dyDescent="0.4">
      <c r="A32" s="72" t="s">
        <v>219</v>
      </c>
      <c r="B32" s="72"/>
      <c r="C32" s="72" t="s">
        <v>220</v>
      </c>
      <c r="D32" s="72"/>
      <c r="E32" s="72"/>
      <c r="F32" s="72"/>
      <c r="G32" s="72"/>
      <c r="H32" s="72"/>
      <c r="I32" s="74"/>
      <c r="J32" s="18" t="b">
        <v>1</v>
      </c>
      <c r="K32" s="6" t="str">
        <f t="shared" si="0"/>
        <v>OK</v>
      </c>
      <c r="M32" s="72"/>
      <c r="N32" s="72"/>
      <c r="O32" s="72" t="s">
        <v>221</v>
      </c>
      <c r="P32" s="72"/>
      <c r="Q32" s="72"/>
      <c r="R32" s="72"/>
      <c r="S32" s="72"/>
      <c r="T32" s="72"/>
      <c r="U32" s="74"/>
      <c r="V32" s="18" t="b">
        <v>1</v>
      </c>
      <c r="W32" s="6" t="str">
        <f t="shared" si="1"/>
        <v>OK</v>
      </c>
    </row>
    <row r="33" spans="1:23" x14ac:dyDescent="0.4">
      <c r="A33" s="72"/>
      <c r="B33" s="72"/>
      <c r="C33" s="72" t="s">
        <v>222</v>
      </c>
      <c r="D33" s="72"/>
      <c r="E33" s="72"/>
      <c r="F33" s="72"/>
      <c r="G33" s="72"/>
      <c r="H33" s="72"/>
      <c r="I33" s="74"/>
      <c r="J33" s="18" t="b">
        <v>1</v>
      </c>
      <c r="K33" s="6" t="str">
        <f t="shared" si="0"/>
        <v>OK</v>
      </c>
      <c r="M33" s="72"/>
      <c r="N33" s="72"/>
      <c r="O33" s="72" t="s">
        <v>223</v>
      </c>
      <c r="P33" s="72"/>
      <c r="Q33" s="72"/>
      <c r="R33" s="72"/>
      <c r="S33" s="72"/>
      <c r="T33" s="72"/>
      <c r="U33" s="74"/>
      <c r="V33" s="18" t="b">
        <v>1</v>
      </c>
      <c r="W33" s="6" t="str">
        <f t="shared" si="1"/>
        <v>OK</v>
      </c>
    </row>
    <row r="34" spans="1:23" x14ac:dyDescent="0.4">
      <c r="A34" s="72"/>
      <c r="B34" s="72"/>
      <c r="C34" s="72" t="s">
        <v>224</v>
      </c>
      <c r="D34" s="72"/>
      <c r="E34" s="72"/>
      <c r="F34" s="72"/>
      <c r="G34" s="72"/>
      <c r="H34" s="72"/>
      <c r="I34" s="74"/>
      <c r="J34" s="18" t="b">
        <v>1</v>
      </c>
      <c r="K34" s="6" t="str">
        <f t="shared" si="0"/>
        <v>OK</v>
      </c>
      <c r="M34" s="72"/>
      <c r="N34" s="72"/>
      <c r="O34" s="72" t="s">
        <v>225</v>
      </c>
      <c r="P34" s="72"/>
      <c r="Q34" s="72"/>
      <c r="R34" s="72"/>
      <c r="S34" s="72"/>
      <c r="T34" s="72"/>
      <c r="U34" s="74"/>
      <c r="V34" s="18" t="b">
        <v>1</v>
      </c>
      <c r="W34" s="6" t="str">
        <f t="shared" si="1"/>
        <v>OK</v>
      </c>
    </row>
    <row r="35" spans="1:23" x14ac:dyDescent="0.4">
      <c r="A35" s="72" t="s">
        <v>226</v>
      </c>
      <c r="B35" s="72"/>
      <c r="C35" s="72" t="s">
        <v>227</v>
      </c>
      <c r="D35" s="72"/>
      <c r="E35" s="72"/>
      <c r="F35" s="72"/>
      <c r="G35" s="72"/>
      <c r="H35" s="72"/>
      <c r="I35" s="74"/>
      <c r="J35" s="18" t="b">
        <v>1</v>
      </c>
      <c r="K35" s="6" t="str">
        <f t="shared" si="0"/>
        <v>OK</v>
      </c>
      <c r="M35" s="72"/>
      <c r="N35" s="72"/>
      <c r="O35" s="72" t="s">
        <v>228</v>
      </c>
      <c r="P35" s="72"/>
      <c r="Q35" s="72"/>
      <c r="R35" s="72"/>
      <c r="S35" s="72"/>
      <c r="T35" s="72"/>
      <c r="U35" s="74"/>
      <c r="V35" s="18" t="b">
        <v>1</v>
      </c>
      <c r="W35" s="6" t="str">
        <f t="shared" si="1"/>
        <v>OK</v>
      </c>
    </row>
    <row r="36" spans="1:23" x14ac:dyDescent="0.4">
      <c r="A36" s="72"/>
      <c r="B36" s="72"/>
      <c r="C36" s="72" t="s">
        <v>228</v>
      </c>
      <c r="D36" s="72"/>
      <c r="E36" s="72"/>
      <c r="F36" s="72"/>
      <c r="G36" s="72"/>
      <c r="H36" s="72"/>
      <c r="I36" s="74"/>
      <c r="J36" s="18" t="b">
        <v>1</v>
      </c>
      <c r="K36" s="6" t="str">
        <f t="shared" si="0"/>
        <v>OK</v>
      </c>
      <c r="M36" s="72"/>
      <c r="N36" s="72"/>
      <c r="O36" s="72" t="s">
        <v>229</v>
      </c>
      <c r="P36" s="72"/>
      <c r="Q36" s="72"/>
      <c r="R36" s="72"/>
      <c r="S36" s="72"/>
      <c r="T36" s="72"/>
      <c r="U36" s="74"/>
      <c r="V36" s="18" t="b">
        <v>1</v>
      </c>
      <c r="W36" s="6" t="str">
        <f t="shared" si="1"/>
        <v>OK</v>
      </c>
    </row>
    <row r="37" spans="1:23" x14ac:dyDescent="0.4">
      <c r="A37" s="72"/>
      <c r="B37" s="72"/>
      <c r="C37" s="72" t="s">
        <v>229</v>
      </c>
      <c r="D37" s="72"/>
      <c r="E37" s="72"/>
      <c r="F37" s="72"/>
      <c r="G37" s="72"/>
      <c r="H37" s="72"/>
      <c r="I37" s="74"/>
      <c r="J37" s="18" t="b">
        <v>1</v>
      </c>
      <c r="K37" s="6" t="str">
        <f t="shared" si="0"/>
        <v>OK</v>
      </c>
      <c r="M37" s="72"/>
      <c r="N37" s="72"/>
      <c r="O37" s="72" t="s">
        <v>230</v>
      </c>
      <c r="P37" s="72"/>
      <c r="Q37" s="72"/>
      <c r="R37" s="72"/>
      <c r="S37" s="72"/>
      <c r="T37" s="72"/>
      <c r="U37" s="74"/>
      <c r="V37" s="18" t="b">
        <v>1</v>
      </c>
      <c r="W37" s="6" t="str">
        <f t="shared" si="1"/>
        <v>OK</v>
      </c>
    </row>
    <row r="38" spans="1:23" x14ac:dyDescent="0.4">
      <c r="A38" s="72"/>
      <c r="B38" s="72"/>
      <c r="C38" s="72" t="s">
        <v>230</v>
      </c>
      <c r="D38" s="72"/>
      <c r="E38" s="72"/>
      <c r="F38" s="72"/>
      <c r="G38" s="72"/>
      <c r="H38" s="72"/>
      <c r="I38" s="74"/>
      <c r="J38" s="18" t="b">
        <v>1</v>
      </c>
      <c r="K38" s="6" t="str">
        <f t="shared" si="0"/>
        <v>OK</v>
      </c>
      <c r="M38" s="72" t="s">
        <v>231</v>
      </c>
      <c r="N38" s="72"/>
      <c r="O38" s="72" t="s">
        <v>232</v>
      </c>
      <c r="P38" s="72"/>
      <c r="Q38" s="72"/>
      <c r="R38" s="72"/>
      <c r="S38" s="72"/>
      <c r="T38" s="72"/>
      <c r="U38" s="74"/>
      <c r="V38" s="18" t="b">
        <v>1</v>
      </c>
      <c r="W38" s="6" t="str">
        <f t="shared" si="1"/>
        <v>OK</v>
      </c>
    </row>
    <row r="39" spans="1:23" x14ac:dyDescent="0.4">
      <c r="A39" s="72" t="s">
        <v>233</v>
      </c>
      <c r="B39" s="72"/>
      <c r="C39" s="72" t="s">
        <v>234</v>
      </c>
      <c r="D39" s="72"/>
      <c r="E39" s="72"/>
      <c r="F39" s="72"/>
      <c r="G39" s="72"/>
      <c r="H39" s="72"/>
      <c r="I39" s="74"/>
      <c r="J39" s="18" t="b">
        <v>1</v>
      </c>
      <c r="K39" s="6" t="str">
        <f t="shared" si="0"/>
        <v>OK</v>
      </c>
      <c r="M39" s="72" t="s">
        <v>235</v>
      </c>
      <c r="N39" s="72"/>
      <c r="O39" s="72" t="s">
        <v>236</v>
      </c>
      <c r="P39" s="72"/>
      <c r="Q39" s="72"/>
      <c r="R39" s="72"/>
      <c r="S39" s="72"/>
      <c r="T39" s="72"/>
      <c r="U39" s="74"/>
      <c r="V39" s="18" t="b">
        <v>1</v>
      </c>
      <c r="W39" s="6" t="str">
        <f t="shared" si="1"/>
        <v>OK</v>
      </c>
    </row>
    <row r="40" spans="1:23" x14ac:dyDescent="0.4">
      <c r="A40" s="72"/>
      <c r="B40" s="72"/>
      <c r="C40" s="72" t="s">
        <v>237</v>
      </c>
      <c r="D40" s="72"/>
      <c r="E40" s="72"/>
      <c r="F40" s="72"/>
      <c r="G40" s="72"/>
      <c r="H40" s="72"/>
      <c r="I40" s="74"/>
      <c r="J40" s="18" t="b">
        <v>1</v>
      </c>
      <c r="K40" s="6" t="str">
        <f t="shared" si="0"/>
        <v>OK</v>
      </c>
      <c r="M40" s="72"/>
      <c r="N40" s="72"/>
      <c r="O40" s="72" t="s">
        <v>238</v>
      </c>
      <c r="P40" s="72"/>
      <c r="Q40" s="72"/>
      <c r="R40" s="72"/>
      <c r="S40" s="72"/>
      <c r="T40" s="72"/>
      <c r="U40" s="74"/>
      <c r="V40" s="18" t="b">
        <v>1</v>
      </c>
      <c r="W40" s="6" t="str">
        <f t="shared" si="1"/>
        <v>OK</v>
      </c>
    </row>
    <row r="41" spans="1:23" x14ac:dyDescent="0.4">
      <c r="A41" s="72"/>
      <c r="B41" s="72"/>
      <c r="C41" s="72" t="s">
        <v>239</v>
      </c>
      <c r="D41" s="72"/>
      <c r="E41" s="72"/>
      <c r="F41" s="72"/>
      <c r="G41" s="72"/>
      <c r="H41" s="72"/>
      <c r="I41" s="74"/>
      <c r="J41" s="18" t="b">
        <v>1</v>
      </c>
      <c r="K41" s="6" t="str">
        <f t="shared" si="0"/>
        <v>OK</v>
      </c>
      <c r="M41" s="72" t="s">
        <v>240</v>
      </c>
      <c r="N41" s="72"/>
      <c r="O41" s="72" t="s">
        <v>241</v>
      </c>
      <c r="P41" s="72"/>
      <c r="Q41" s="72"/>
      <c r="R41" s="72"/>
      <c r="S41" s="72"/>
      <c r="T41" s="72"/>
      <c r="U41" s="74"/>
      <c r="V41" s="18" t="b">
        <v>1</v>
      </c>
      <c r="W41" s="6" t="str">
        <f t="shared" ref="W41:W42" si="2">IF(ISBLANK(V41),IncompleteText,IF(V41,OKText,ErrorText))</f>
        <v>OK</v>
      </c>
    </row>
    <row r="42" spans="1:23" x14ac:dyDescent="0.4">
      <c r="A42" s="72" t="s">
        <v>242</v>
      </c>
      <c r="B42" s="72"/>
      <c r="C42" s="72" t="s">
        <v>243</v>
      </c>
      <c r="D42" s="72"/>
      <c r="E42" s="72"/>
      <c r="F42" s="72"/>
      <c r="G42" s="72"/>
      <c r="H42" s="72"/>
      <c r="I42" s="74"/>
      <c r="J42" s="18" t="b">
        <v>1</v>
      </c>
      <c r="K42" s="6" t="str">
        <f t="shared" si="0"/>
        <v>OK</v>
      </c>
      <c r="M42" s="72" t="s">
        <v>244</v>
      </c>
      <c r="N42" s="72"/>
      <c r="O42" s="72" t="s">
        <v>245</v>
      </c>
      <c r="P42" s="72"/>
      <c r="Q42" s="72"/>
      <c r="R42" s="72"/>
      <c r="S42" s="72"/>
      <c r="T42" s="72"/>
      <c r="U42" s="74"/>
      <c r="V42" s="18" t="b">
        <v>1</v>
      </c>
      <c r="W42" s="6" t="str">
        <f t="shared" si="2"/>
        <v>OK</v>
      </c>
    </row>
    <row r="43" spans="1:23" x14ac:dyDescent="0.4">
      <c r="A43" s="72" t="s">
        <v>246</v>
      </c>
      <c r="B43" s="72"/>
      <c r="C43" s="72" t="s">
        <v>247</v>
      </c>
      <c r="D43" s="72"/>
      <c r="E43" s="72"/>
      <c r="F43" s="72"/>
      <c r="G43" s="72"/>
      <c r="H43" s="72"/>
      <c r="I43" s="74"/>
      <c r="J43" s="18" t="b">
        <v>1</v>
      </c>
      <c r="K43" s="6" t="str">
        <f t="shared" ref="K43:K44" si="3">IF(ISBLANK(J43),IncompleteText,IF(J43,OKText,ErrorText))</f>
        <v>OK</v>
      </c>
      <c r="M43" s="72"/>
      <c r="N43" s="72"/>
      <c r="O43" s="72" t="s">
        <v>248</v>
      </c>
      <c r="P43" s="72"/>
      <c r="Q43" s="72"/>
      <c r="R43" s="72"/>
      <c r="S43" s="72"/>
      <c r="T43" s="72"/>
      <c r="U43" s="74"/>
      <c r="V43" s="18" t="b">
        <v>1</v>
      </c>
      <c r="W43" s="6" t="str">
        <f t="shared" ref="W43" si="4">IF(ISBLANK(V43),IncompleteText,IF(V43,OKText,ErrorText))</f>
        <v>OK</v>
      </c>
    </row>
    <row r="44" spans="1:23" x14ac:dyDescent="0.4">
      <c r="A44" s="72" t="s">
        <v>249</v>
      </c>
      <c r="B44" s="72"/>
      <c r="C44" s="72" t="s">
        <v>250</v>
      </c>
      <c r="D44" s="72"/>
      <c r="E44" s="72"/>
      <c r="F44" s="72"/>
      <c r="G44" s="72"/>
      <c r="H44" s="72"/>
      <c r="I44" s="74"/>
      <c r="J44" s="18" t="b">
        <v>1</v>
      </c>
      <c r="K44" s="6" t="str">
        <f t="shared" si="3"/>
        <v>OK</v>
      </c>
    </row>
    <row r="45" spans="1:23" x14ac:dyDescent="0.4">
      <c r="A45" s="72" t="s">
        <v>251</v>
      </c>
      <c r="B45" s="72"/>
      <c r="C45" s="72" t="s">
        <v>252</v>
      </c>
      <c r="D45" s="72"/>
      <c r="E45" s="72"/>
      <c r="F45" s="72"/>
      <c r="G45" s="72"/>
      <c r="H45" s="72"/>
      <c r="I45" s="74"/>
      <c r="J45" s="18" t="b">
        <v>1</v>
      </c>
      <c r="K45" s="6" t="str">
        <f t="shared" ref="K45" si="5">IF(ISBLANK(J45),IncompleteText,IF(J45,OKText,ErrorText))</f>
        <v>OK</v>
      </c>
    </row>
    <row r="46" spans="1:23" x14ac:dyDescent="0.4">
      <c r="A46" s="72" t="s">
        <v>253</v>
      </c>
      <c r="B46" s="72"/>
      <c r="C46" s="72" t="s">
        <v>172</v>
      </c>
      <c r="D46" s="72"/>
      <c r="E46" s="72"/>
      <c r="F46" s="72"/>
      <c r="G46" s="72"/>
      <c r="H46" s="72"/>
      <c r="I46" s="74"/>
      <c r="J46" s="18" t="b">
        <v>1</v>
      </c>
      <c r="K46" s="6" t="str">
        <f t="shared" ref="K46" si="6">IF(ISBLANK(J46),IncompleteText,IF(J46,OKText,ErrorText))</f>
        <v>OK</v>
      </c>
    </row>
    <row r="48" spans="1:23" x14ac:dyDescent="0.4">
      <c r="A48" s="89" t="s">
        <v>254</v>
      </c>
      <c r="B48" s="89"/>
      <c r="C48" s="89"/>
      <c r="D48" s="89"/>
      <c r="E48" s="89"/>
      <c r="F48" s="89"/>
      <c r="G48" s="89"/>
      <c r="H48" s="89"/>
      <c r="I48" s="89"/>
      <c r="J48" s="89"/>
      <c r="K48" s="70" t="str">
        <f>IF(COUNTIF(K50:K50,"="&amp;IncompleteText),IncompleteText,IF(COUNTIF(K50:K50,"="&amp;ErrorText),ErrorText,OKText))</f>
        <v>OK</v>
      </c>
    </row>
    <row r="49" spans="1:11" x14ac:dyDescent="0.4">
      <c r="A49" s="90" t="s">
        <v>255</v>
      </c>
      <c r="B49" s="91"/>
      <c r="C49" s="41"/>
      <c r="D49" s="41"/>
      <c r="E49" s="41"/>
      <c r="F49" s="41"/>
      <c r="G49" s="41"/>
      <c r="H49" s="41"/>
      <c r="I49" s="41"/>
      <c r="J49" s="41"/>
      <c r="K49" s="70"/>
    </row>
    <row r="50" spans="1:11" x14ac:dyDescent="0.4">
      <c r="A50" s="92" t="s">
        <v>256</v>
      </c>
      <c r="B50" s="92"/>
      <c r="C50" s="72" t="s">
        <v>257</v>
      </c>
      <c r="D50" s="72"/>
      <c r="E50" s="72"/>
      <c r="F50" s="72"/>
      <c r="G50" s="72"/>
      <c r="H50" s="72"/>
      <c r="I50" s="74"/>
      <c r="J50" s="18" t="b">
        <v>1</v>
      </c>
      <c r="K50" s="6" t="str">
        <f t="shared" ref="K50" si="7">IF(ISBLANK(J50),IncompleteText,IF(J50,OKText,ErrorText))</f>
        <v>OK</v>
      </c>
    </row>
  </sheetData>
  <sheetProtection algorithmName="SHA-512" hashValue="RGeXukY6cRM9e/PNsn+R7au5DMQifB+UJ8PgblwGvv9FC1icBVDZ/rfTO63RFcOm5D82tCWqf57ZkFCf0uGtrQ==" saltValue="PWnXTAEJzDqpQsBhnUs/WA==" spinCount="100000" sheet="1" scenarios="1" insertHyperlinks="0" selectLockedCells="1"/>
  <mergeCells count="77">
    <mergeCell ref="A48:J48"/>
    <mergeCell ref="A49:B49"/>
    <mergeCell ref="A50:B50"/>
    <mergeCell ref="C50:I50"/>
    <mergeCell ref="K28:K29"/>
    <mergeCell ref="K48:K49"/>
    <mergeCell ref="A44:B44"/>
    <mergeCell ref="C44:I44"/>
    <mergeCell ref="A45:B45"/>
    <mergeCell ref="C45:I45"/>
    <mergeCell ref="A46:B46"/>
    <mergeCell ref="C46:I46"/>
    <mergeCell ref="A42:B42"/>
    <mergeCell ref="C42:I42"/>
    <mergeCell ref="M42:N42"/>
    <mergeCell ref="O42:U42"/>
    <mergeCell ref="A43:B43"/>
    <mergeCell ref="C43:I43"/>
    <mergeCell ref="M43:N43"/>
    <mergeCell ref="O43:U43"/>
    <mergeCell ref="A40:B40"/>
    <mergeCell ref="C40:I40"/>
    <mergeCell ref="M40:N40"/>
    <mergeCell ref="O40:U40"/>
    <mergeCell ref="A41:B41"/>
    <mergeCell ref="C41:I41"/>
    <mergeCell ref="M41:N41"/>
    <mergeCell ref="O41:U41"/>
    <mergeCell ref="A38:B38"/>
    <mergeCell ref="C38:I38"/>
    <mergeCell ref="M38:N38"/>
    <mergeCell ref="O38:U38"/>
    <mergeCell ref="A39:B39"/>
    <mergeCell ref="C39:I39"/>
    <mergeCell ref="M39:N39"/>
    <mergeCell ref="O39:U39"/>
    <mergeCell ref="A36:B36"/>
    <mergeCell ref="C36:I36"/>
    <mergeCell ref="M36:N36"/>
    <mergeCell ref="O36:U36"/>
    <mergeCell ref="A37:B37"/>
    <mergeCell ref="C37:I37"/>
    <mergeCell ref="M37:N37"/>
    <mergeCell ref="O37:U37"/>
    <mergeCell ref="A34:B34"/>
    <mergeCell ref="C34:I34"/>
    <mergeCell ref="M34:N34"/>
    <mergeCell ref="O34:U34"/>
    <mergeCell ref="A35:B35"/>
    <mergeCell ref="C35:I35"/>
    <mergeCell ref="M35:N35"/>
    <mergeCell ref="O35:U35"/>
    <mergeCell ref="A32:B32"/>
    <mergeCell ref="C32:I32"/>
    <mergeCell ref="M32:N32"/>
    <mergeCell ref="O32:U32"/>
    <mergeCell ref="A33:B33"/>
    <mergeCell ref="C33:I33"/>
    <mergeCell ref="M33:N33"/>
    <mergeCell ref="O33:U33"/>
    <mergeCell ref="A30:B30"/>
    <mergeCell ref="C30:I30"/>
    <mergeCell ref="M30:N30"/>
    <mergeCell ref="O30:U30"/>
    <mergeCell ref="A31:B31"/>
    <mergeCell ref="C31:I31"/>
    <mergeCell ref="M31:N31"/>
    <mergeCell ref="O31:U31"/>
    <mergeCell ref="Y2:AE2"/>
    <mergeCell ref="A28:J28"/>
    <mergeCell ref="M28:V28"/>
    <mergeCell ref="A29:B29"/>
    <mergeCell ref="M29:N29"/>
    <mergeCell ref="W28:W29"/>
    <mergeCell ref="Y3:AE27"/>
    <mergeCell ref="M2:W27"/>
    <mergeCell ref="A2:K27"/>
  </mergeCells>
  <phoneticPr fontId="14" type="noConversion"/>
  <dataValidations count="1">
    <dataValidation type="list" allowBlank="1" showInputMessage="1" showErrorMessage="1" sqref="J50 J30:J46 V30:V46" xr:uid="{00000000-0002-0000-0200-000000000000}">
      <formula1>"TRUE,FALSE"</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98"/>
  <sheetViews>
    <sheetView topLeftCell="N2" zoomScale="72" zoomScaleNormal="115" workbookViewId="0">
      <selection activeCell="U11" sqref="U11:V11"/>
    </sheetView>
  </sheetViews>
  <sheetFormatPr defaultColWidth="10.6640625" defaultRowHeight="13.9" x14ac:dyDescent="0.4"/>
  <cols>
    <col min="1" max="1" width="14.1328125" customWidth="1"/>
    <col min="4" max="4" width="12.33203125" customWidth="1"/>
    <col min="5" max="5" width="15.796875" customWidth="1"/>
    <col min="7" max="7" width="15.1328125" customWidth="1"/>
    <col min="8" max="8" width="16.796875" customWidth="1"/>
    <col min="10" max="10" width="10.6640625" customWidth="1"/>
    <col min="11" max="11" width="11.796875" customWidth="1"/>
    <col min="14" max="14" width="19.796875" customWidth="1"/>
    <col min="17" max="17" width="16.796875" customWidth="1"/>
    <col min="20" max="20" width="12.796875" customWidth="1"/>
    <col min="26" max="26" width="10.6640625" customWidth="1"/>
    <col min="34" max="34" width="14.46484375" customWidth="1"/>
  </cols>
  <sheetData>
    <row r="1" spans="1:53" x14ac:dyDescent="0.4">
      <c r="A1" s="2" t="s">
        <v>26</v>
      </c>
      <c r="B1" s="6" t="str" cm="1">
        <f t="array" ref="B1" ca="1">IF(SUM(COUNTIF(INDIRECT({"$G$3","$G$4","$J$8","$Q$8","$W$8","$AD$8","$Z$52","$Q$52","$H$52","$F$61","$H$83"}),"="&amp;IncompleteText)),IncompleteText,IF(SUM(COUNTIF(INDIRECT({"$G$3","$G$4","$J$8","$Q$8","$W$8","$AD$8","$Z$52","$Q$52","$H$52","$F$61","$H$82"}),"="&amp;ErrorText)),ErrorText,OKText))</f>
        <v>OK</v>
      </c>
    </row>
    <row r="3" spans="1:53" x14ac:dyDescent="0.4">
      <c r="A3" s="72" t="s">
        <v>258</v>
      </c>
      <c r="B3" s="72"/>
      <c r="C3" s="72"/>
      <c r="D3" s="74"/>
      <c r="E3" s="18" t="s">
        <v>259</v>
      </c>
      <c r="F3" s="5"/>
      <c r="G3" s="6" t="str">
        <f>IF(ISBLANK(E3),IncompleteText,OKText)</f>
        <v>OK</v>
      </c>
    </row>
    <row r="4" spans="1:53" x14ac:dyDescent="0.4">
      <c r="A4" s="72" t="s">
        <v>20</v>
      </c>
      <c r="B4" s="72"/>
      <c r="C4" s="72"/>
      <c r="D4" s="74"/>
      <c r="E4" s="36" cm="1">
        <f t="array" ref="E4">IF(E3="串联 Serial",SUM(C12:C29)*BattCellMaxV,C12*BattCellMaxV*SUM(IF(FREQUENCY(E12:E29,E12:E29)&gt;0,1)))</f>
        <v>546</v>
      </c>
      <c r="F4" s="5" t="s">
        <v>21</v>
      </c>
      <c r="G4" s="6" t="str">
        <f>IF(MaxTSVoltage=0,IncompleteText,IF(E4&gt;600,ErrorText,OKText))</f>
        <v>OK</v>
      </c>
    </row>
    <row r="5" spans="1:53" x14ac:dyDescent="0.4">
      <c r="A5" s="72" t="s">
        <v>260</v>
      </c>
      <c r="B5" s="72"/>
      <c r="C5" s="72"/>
      <c r="D5" s="74"/>
      <c r="E5" s="36" cm="1">
        <f t="array" ref="E5">IF(E3="串联 Serial",SUM(C12:C29)*BattCellNomV,C12*BattCellNomV*SUM(IF(FREQUENCY(E12:E29,E12:E29)&gt;0,1)))</f>
        <v>481</v>
      </c>
      <c r="F5" s="5" t="s">
        <v>21</v>
      </c>
      <c r="G5" s="6"/>
    </row>
    <row r="6" spans="1:53" x14ac:dyDescent="0.4">
      <c r="A6" s="72" t="s">
        <v>261</v>
      </c>
      <c r="B6" s="72"/>
      <c r="C6" s="72"/>
      <c r="D6" s="74"/>
      <c r="E6" s="36">
        <f>SUMPRODUCT(B12:B29,C12:C29)</f>
        <v>260</v>
      </c>
      <c r="F6" s="5"/>
      <c r="G6" s="6"/>
    </row>
    <row r="8" spans="1:53" x14ac:dyDescent="0.4">
      <c r="A8" s="71" t="s">
        <v>262</v>
      </c>
      <c r="B8" s="71"/>
      <c r="C8" s="71"/>
      <c r="D8" s="71"/>
      <c r="E8" s="71"/>
      <c r="F8" s="71"/>
      <c r="G8" s="71"/>
      <c r="H8" s="71"/>
      <c r="I8" s="71"/>
      <c r="J8" s="6" t="str">
        <f>IF(COUNTIF(J9:J29,"="&amp;IncompleteText),IncompleteText,IF(COUNTIF(J9:J29,"="&amp;ErrorText),ErrorText,OKText))</f>
        <v>OK</v>
      </c>
      <c r="K8" s="71" t="s">
        <v>263</v>
      </c>
      <c r="L8" s="71"/>
      <c r="M8" s="71"/>
      <c r="N8" s="71"/>
      <c r="O8" s="71"/>
      <c r="P8" s="71"/>
      <c r="Q8" s="6" t="str">
        <f>IF(COUNTIF(Q9:Q30,"="&amp;IncompleteText),IncompleteText,IF(COUNTIF(Q9:Q30,"="&amp;ErrorText),ErrorText,OKText))</f>
        <v>OK</v>
      </c>
      <c r="R8" s="71" t="s">
        <v>264</v>
      </c>
      <c r="S8" s="71"/>
      <c r="T8" s="71"/>
      <c r="U8" s="71"/>
      <c r="V8" s="71"/>
      <c r="W8" s="6" t="str">
        <f>IF(COUNTIF(W9:W21,"="&amp;IncompleteText),IncompleteText,IF(COUNTIF(W9:W21,"="&amp;ErrorText),ErrorText,OKText))</f>
        <v>OK</v>
      </c>
      <c r="X8" s="71" t="s">
        <v>265</v>
      </c>
      <c r="Y8" s="71"/>
      <c r="Z8" s="71"/>
      <c r="AA8" s="71"/>
      <c r="AB8" s="71"/>
      <c r="AC8" s="71"/>
      <c r="AD8" s="6" t="str">
        <f>IF(COUNTIF(AD9:AD18,"="&amp;IncompleteText),IncompleteText,IF(COUNTIF(AD9:AD18,"="&amp;ErrorText),ErrorText,OKText))</f>
        <v>OK</v>
      </c>
      <c r="AE8" s="71" t="s">
        <v>266</v>
      </c>
      <c r="AF8" s="71"/>
      <c r="AG8" s="71"/>
      <c r="AH8" s="71"/>
      <c r="AI8" s="71"/>
      <c r="AJ8" s="71"/>
      <c r="AK8" s="6" t="str">
        <f>IF(COUNTIF(AK9:AK18,"="&amp;IncompleteText),IncompleteText,IF(COUNTIF(AK9:AK18,"="&amp;ErrorText),ErrorText,OKText))</f>
        <v>OK</v>
      </c>
      <c r="AM8" s="71" t="s">
        <v>266</v>
      </c>
      <c r="AN8" s="71"/>
      <c r="AO8" s="71"/>
      <c r="AP8" s="71"/>
      <c r="AQ8" s="71"/>
      <c r="AR8" s="71"/>
      <c r="AS8" s="71"/>
      <c r="AU8" s="57" t="s">
        <v>267</v>
      </c>
      <c r="AV8" s="57"/>
      <c r="AW8" s="57"/>
      <c r="AX8" s="57"/>
      <c r="AY8" s="57"/>
      <c r="AZ8" s="57"/>
      <c r="BA8" s="57"/>
    </row>
    <row r="9" spans="1:53" s="27" customFormat="1" ht="35.25" customHeight="1" x14ac:dyDescent="0.4">
      <c r="A9" s="99" t="s">
        <v>268</v>
      </c>
      <c r="B9" s="99"/>
      <c r="C9" s="100"/>
      <c r="D9" s="101" t="s">
        <v>269</v>
      </c>
      <c r="E9" s="102"/>
      <c r="F9" s="10"/>
      <c r="G9" s="10"/>
      <c r="H9" s="10"/>
      <c r="I9" s="10"/>
      <c r="J9" s="8" t="str">
        <f>IF(ISBLANK(D9),IncompleteText,OKText)</f>
        <v>OK</v>
      </c>
      <c r="K9" s="99" t="s">
        <v>270</v>
      </c>
      <c r="L9" s="99"/>
      <c r="M9" s="99"/>
      <c r="N9" s="100"/>
      <c r="O9" s="103" t="s">
        <v>271</v>
      </c>
      <c r="P9" s="103"/>
      <c r="Q9" s="8" t="str">
        <f>IF(ISBLANK(O9),IncompleteText,OKText)</f>
        <v>OK</v>
      </c>
      <c r="R9" s="99" t="s">
        <v>272</v>
      </c>
      <c r="S9" s="99"/>
      <c r="T9" s="100"/>
      <c r="U9" s="101" t="s">
        <v>167</v>
      </c>
      <c r="V9" s="102"/>
      <c r="W9" s="8" t="str">
        <f>IF(ISBLANK(U9),IncompleteText,OKText)</f>
        <v>OK</v>
      </c>
      <c r="X9" s="104" t="s">
        <v>273</v>
      </c>
      <c r="Y9" s="104"/>
      <c r="Z9" s="104"/>
      <c r="AA9" s="105"/>
      <c r="AB9" s="103" t="s">
        <v>192</v>
      </c>
      <c r="AC9" s="103"/>
      <c r="AD9" s="8" t="str">
        <f>IF(ISBLANK(AB9),IncompleteText,OKText)</f>
        <v>OK</v>
      </c>
      <c r="AE9" s="104" t="s">
        <v>274</v>
      </c>
      <c r="AF9" s="104"/>
      <c r="AG9" s="104"/>
      <c r="AH9" s="105"/>
      <c r="AI9" s="103" t="s">
        <v>275</v>
      </c>
      <c r="AJ9" s="103"/>
      <c r="AK9" s="8" t="str">
        <f>IF(ISBLANK(AI9),IncompleteText,OKText)</f>
        <v>OK</v>
      </c>
      <c r="AM9" s="97" t="s">
        <v>276</v>
      </c>
      <c r="AN9" s="97"/>
      <c r="AO9" s="97"/>
      <c r="AP9" s="97"/>
      <c r="AQ9" s="97"/>
      <c r="AR9" s="97"/>
      <c r="AS9" s="97"/>
      <c r="AU9" s="97"/>
      <c r="AV9" s="97"/>
      <c r="AW9" s="97"/>
      <c r="AX9" s="97"/>
      <c r="AY9" s="97"/>
      <c r="AZ9" s="97"/>
      <c r="BA9" s="97"/>
    </row>
    <row r="10" spans="1:53" x14ac:dyDescent="0.4">
      <c r="A10" s="111" t="s">
        <v>277</v>
      </c>
      <c r="B10" s="111" t="s">
        <v>278</v>
      </c>
      <c r="C10" s="111" t="s">
        <v>279</v>
      </c>
      <c r="D10" s="130" t="s">
        <v>280</v>
      </c>
      <c r="E10" s="130" t="s">
        <v>281</v>
      </c>
      <c r="F10" s="130" t="s">
        <v>282</v>
      </c>
      <c r="G10" s="130"/>
      <c r="H10" s="130" t="s">
        <v>283</v>
      </c>
      <c r="I10" s="130"/>
      <c r="J10" s="2"/>
      <c r="K10" s="106" t="s">
        <v>284</v>
      </c>
      <c r="L10" s="106"/>
      <c r="M10" s="106"/>
      <c r="N10" s="107"/>
      <c r="O10" s="73" t="s">
        <v>285</v>
      </c>
      <c r="P10" s="73"/>
      <c r="Q10" s="6" t="str">
        <f>IF(ISBLANK(O10),IncompleteText,OKText)</f>
        <v>OK</v>
      </c>
      <c r="R10" s="106" t="s">
        <v>286</v>
      </c>
      <c r="S10" s="106"/>
      <c r="T10" s="107"/>
      <c r="U10" s="19">
        <f>VLOOKUP(U9,ConnectorTable,3,FALSE)</f>
        <v>150</v>
      </c>
      <c r="V10" s="5" t="s">
        <v>23</v>
      </c>
      <c r="W10" s="6" t="str">
        <f>IF(ISERROR(U10),IncompleteText,IF(E3="串联 Serial",IF(U10&gt;=U20,OKText,ErrorText),IF(E3="并联 Parallel",IF(U10&gt;=U12,OKText,ErrorText),IncompleteText)))</f>
        <v>OK</v>
      </c>
      <c r="X10" s="106" t="s">
        <v>287</v>
      </c>
      <c r="Y10" s="106"/>
      <c r="Z10" s="106"/>
      <c r="AA10" s="107"/>
      <c r="AB10" s="19">
        <f>VLOOKUP(AB9,InsulationsTable,4,FALSE)</f>
        <v>627.79999999999995</v>
      </c>
      <c r="AC10" s="5" t="s">
        <v>21</v>
      </c>
      <c r="AD10" s="6" t="str">
        <f>IF(ISERROR(AB10),IncompleteText,IF(AB10&lt;MaxTSVoltage,ErrorText,OKText))</f>
        <v>OK</v>
      </c>
      <c r="AE10" s="106" t="s">
        <v>288</v>
      </c>
      <c r="AF10" s="106"/>
      <c r="AG10" s="106"/>
      <c r="AH10" s="107"/>
      <c r="AI10" s="18">
        <v>20</v>
      </c>
      <c r="AJ10" s="5" t="s">
        <v>289</v>
      </c>
      <c r="AK10" s="6" t="str">
        <f>IF(ISBLANK(AI10),IncompleteText,OKText)</f>
        <v>OK</v>
      </c>
      <c r="AM10" s="97"/>
      <c r="AN10" s="97"/>
      <c r="AO10" s="97"/>
      <c r="AP10" s="97"/>
      <c r="AQ10" s="97"/>
      <c r="AR10" s="97"/>
      <c r="AS10" s="97"/>
      <c r="AU10" s="97"/>
      <c r="AV10" s="97"/>
      <c r="AW10" s="97"/>
      <c r="AX10" s="97"/>
      <c r="AY10" s="97"/>
      <c r="AZ10" s="97"/>
      <c r="BA10" s="97"/>
    </row>
    <row r="11" spans="1:53" x14ac:dyDescent="0.4">
      <c r="A11" s="111"/>
      <c r="B11" s="111"/>
      <c r="C11" s="111"/>
      <c r="D11" s="130"/>
      <c r="E11" s="130"/>
      <c r="F11" s="130"/>
      <c r="G11" s="130"/>
      <c r="H11" s="130"/>
      <c r="I11" s="130"/>
      <c r="J11" s="2"/>
      <c r="K11" s="15" t="s">
        <v>28</v>
      </c>
      <c r="L11" s="73" t="s">
        <v>290</v>
      </c>
      <c r="M11" s="73"/>
      <c r="N11" s="15" t="s">
        <v>291</v>
      </c>
      <c r="O11" s="73" t="s">
        <v>292</v>
      </c>
      <c r="P11" s="73"/>
      <c r="Q11" s="6" t="str">
        <f>IF(O10="供应商提供 From Suppliers",IF(OR(ISBLANK(L11),ISBLANK(O11)),IncompleteText,OKText),"")</f>
        <v>OK</v>
      </c>
      <c r="R11" s="106" t="s">
        <v>293</v>
      </c>
      <c r="S11" s="106"/>
      <c r="T11" s="107"/>
      <c r="U11" s="108" t="s">
        <v>109</v>
      </c>
      <c r="V11" s="109"/>
      <c r="W11" s="6" t="str">
        <f>IF(E3="串联 Serial","",IF(ISBLANK(U11),IncompleteText,OKText))</f>
        <v/>
      </c>
      <c r="X11" s="106" t="s">
        <v>294</v>
      </c>
      <c r="Y11" s="106"/>
      <c r="Z11" s="106"/>
      <c r="AA11" s="107"/>
      <c r="AB11" s="19">
        <f>VLOOKUP(AB9,InsulationsTable,5,FALSE)</f>
        <v>121</v>
      </c>
      <c r="AC11" s="5" t="s">
        <v>47</v>
      </c>
      <c r="AD11" s="6" t="str">
        <f>IF(ISERROR(AB11),IncompleteText,IF(AB11&lt;90,ErrorText,OKText))</f>
        <v>OK</v>
      </c>
      <c r="AE11" s="106" t="s">
        <v>295</v>
      </c>
      <c r="AF11" s="106"/>
      <c r="AG11" s="106"/>
      <c r="AH11" s="107"/>
      <c r="AI11" s="18">
        <v>20</v>
      </c>
      <c r="AJ11" s="5" t="s">
        <v>289</v>
      </c>
      <c r="AK11" s="6" t="str">
        <f>IF(ISBLANK(AI11),IncompleteText,OKText)</f>
        <v>OK</v>
      </c>
      <c r="AM11" s="97"/>
      <c r="AN11" s="97"/>
      <c r="AO11" s="97"/>
      <c r="AP11" s="97"/>
      <c r="AQ11" s="97"/>
      <c r="AR11" s="97"/>
      <c r="AS11" s="97"/>
      <c r="AU11" s="97"/>
      <c r="AV11" s="97"/>
      <c r="AW11" s="97"/>
      <c r="AX11" s="97"/>
      <c r="AY11" s="97"/>
      <c r="AZ11" s="97"/>
      <c r="BA11" s="97"/>
    </row>
    <row r="12" spans="1:53" x14ac:dyDescent="0.4">
      <c r="A12" s="15">
        <v>1</v>
      </c>
      <c r="B12" s="18">
        <v>2</v>
      </c>
      <c r="C12" s="18">
        <v>26</v>
      </c>
      <c r="D12" s="18">
        <v>10</v>
      </c>
      <c r="E12" s="18">
        <v>1</v>
      </c>
      <c r="F12" s="110">
        <f t="shared" ref="F12:F29" si="0">C12*BattCellMaxV</f>
        <v>109.2</v>
      </c>
      <c r="G12" s="110"/>
      <c r="H12" s="110">
        <f t="shared" ref="H12:H29" si="1">F12*B12*BattCellCapacity*0.0036</f>
        <v>5.8967999999999998</v>
      </c>
      <c r="I12" s="110"/>
      <c r="J12" s="6" t="str">
        <f>IF(COUNTBLANK(A12:E12)&gt;0,IncompleteText,IF(OR(F12&gt;120,H12&gt;6),ErrorText,OKText))</f>
        <v>OK</v>
      </c>
      <c r="K12" s="111" t="s">
        <v>296</v>
      </c>
      <c r="L12" s="111"/>
      <c r="M12" s="111"/>
      <c r="N12" s="112"/>
      <c r="O12" s="18">
        <v>2200</v>
      </c>
      <c r="P12" s="5" t="s">
        <v>21</v>
      </c>
      <c r="Q12" s="6" t="str">
        <f>IF(ISBLANK(O12),IncompleteText,IF(O12&lt;E4,ErrorText,OKText))</f>
        <v>OK</v>
      </c>
      <c r="R12" s="106" t="s">
        <v>297</v>
      </c>
      <c r="S12" s="106"/>
      <c r="T12" s="107"/>
      <c r="U12" s="19">
        <f>VLOOKUP(U11,FuseTable,3,FALSE)</f>
        <v>80</v>
      </c>
      <c r="V12" s="5" t="s">
        <v>23</v>
      </c>
      <c r="W12" s="2"/>
      <c r="X12" s="106" t="s">
        <v>298</v>
      </c>
      <c r="Y12" s="106"/>
      <c r="Z12" s="106"/>
      <c r="AA12" s="107"/>
      <c r="AB12" s="73" t="s">
        <v>192</v>
      </c>
      <c r="AC12" s="73"/>
      <c r="AD12" s="6" t="str">
        <f>IF(ISBLANK(AB12),IncompleteText,OKText)</f>
        <v>OK</v>
      </c>
      <c r="AE12" s="106" t="s">
        <v>299</v>
      </c>
      <c r="AF12" s="106"/>
      <c r="AG12" s="106"/>
      <c r="AH12" s="107"/>
      <c r="AI12" s="73" t="s">
        <v>300</v>
      </c>
      <c r="AJ12" s="73"/>
      <c r="AK12" s="6" t="str">
        <f>IF(ISBLANK(AI12),IncompleteText,OKText)</f>
        <v>OK</v>
      </c>
      <c r="AM12" s="97"/>
      <c r="AN12" s="97"/>
      <c r="AO12" s="97"/>
      <c r="AP12" s="97"/>
      <c r="AQ12" s="97"/>
      <c r="AR12" s="97"/>
      <c r="AS12" s="97"/>
      <c r="AU12" s="97"/>
      <c r="AV12" s="97"/>
      <c r="AW12" s="97"/>
      <c r="AX12" s="97"/>
      <c r="AY12" s="97"/>
      <c r="AZ12" s="97"/>
      <c r="BA12" s="97"/>
    </row>
    <row r="13" spans="1:53" x14ac:dyDescent="0.4">
      <c r="A13" s="15">
        <v>2</v>
      </c>
      <c r="B13" s="18">
        <v>2</v>
      </c>
      <c r="C13" s="18">
        <v>26</v>
      </c>
      <c r="D13" s="18">
        <v>10</v>
      </c>
      <c r="E13" s="18">
        <v>2</v>
      </c>
      <c r="F13" s="110">
        <f t="shared" si="0"/>
        <v>109.2</v>
      </c>
      <c r="G13" s="110"/>
      <c r="H13" s="110">
        <f t="shared" si="1"/>
        <v>5.8967999999999998</v>
      </c>
      <c r="I13" s="110"/>
      <c r="J13" s="6" t="str">
        <f t="shared" ref="J13:J29" si="2">IF(COUNTBLANK(A13:E13)=4,"",IF(COUNTBLANK(A13:E13)&gt;0,IncompleteText,IF(OR(F13&gt;120,H13&gt;6),ErrorText,OKText)))</f>
        <v>OK</v>
      </c>
      <c r="K13" s="106" t="s">
        <v>301</v>
      </c>
      <c r="L13" s="106"/>
      <c r="M13" s="106"/>
      <c r="N13" s="107"/>
      <c r="O13" s="18">
        <v>600</v>
      </c>
      <c r="P13" s="5" t="s">
        <v>21</v>
      </c>
      <c r="Q13" s="6" t="str">
        <f>IF(ISBLANK(O13),IncompleteText,IF(O13&lt;MAX(F12:G29),ErrorText,OKText))</f>
        <v>OK</v>
      </c>
      <c r="R13" s="71" t="s">
        <v>153</v>
      </c>
      <c r="S13" s="71"/>
      <c r="T13" s="71"/>
      <c r="U13" s="71"/>
      <c r="V13" s="71"/>
      <c r="W13" s="2"/>
      <c r="X13" s="106" t="s">
        <v>287</v>
      </c>
      <c r="Y13" s="106"/>
      <c r="Z13" s="106"/>
      <c r="AA13" s="107"/>
      <c r="AB13" s="19">
        <f>VLOOKUP(AB12,InsulationsTable,4,FALSE)</f>
        <v>627.79999999999995</v>
      </c>
      <c r="AC13" s="5" t="s">
        <v>21</v>
      </c>
      <c r="AD13" s="6" t="str">
        <f>IF(ISERROR(AB13),IncompleteText,IF(AB13&lt;MaxTSVoltage,ErrorText,OKText))</f>
        <v>OK</v>
      </c>
      <c r="AM13" s="97"/>
      <c r="AN13" s="97"/>
      <c r="AO13" s="97"/>
      <c r="AP13" s="97"/>
      <c r="AQ13" s="97"/>
      <c r="AR13" s="97"/>
      <c r="AS13" s="97"/>
      <c r="AU13" s="97"/>
      <c r="AV13" s="97"/>
      <c r="AW13" s="97"/>
      <c r="AX13" s="97"/>
      <c r="AY13" s="97"/>
      <c r="AZ13" s="97"/>
      <c r="BA13" s="97"/>
    </row>
    <row r="14" spans="1:53" x14ac:dyDescent="0.4">
      <c r="A14" s="15">
        <v>3</v>
      </c>
      <c r="B14" s="18">
        <v>2</v>
      </c>
      <c r="C14" s="18">
        <v>26</v>
      </c>
      <c r="D14" s="18">
        <v>10</v>
      </c>
      <c r="E14" s="18">
        <v>3</v>
      </c>
      <c r="F14" s="110">
        <f t="shared" si="0"/>
        <v>109.2</v>
      </c>
      <c r="G14" s="110"/>
      <c r="H14" s="110">
        <f t="shared" si="1"/>
        <v>5.8967999999999998</v>
      </c>
      <c r="I14" s="110"/>
      <c r="J14" s="6" t="str">
        <f t="shared" si="2"/>
        <v>OK</v>
      </c>
      <c r="K14" s="106" t="s">
        <v>302</v>
      </c>
      <c r="L14" s="106"/>
      <c r="M14" s="106"/>
      <c r="N14" s="107"/>
      <c r="O14" s="113"/>
      <c r="P14" s="114"/>
      <c r="Q14" s="6" t="str">
        <f>IF($O$10="车队自制 Team design",IF(ISBLANK(O14),IncompleteText,OKText),"")</f>
        <v/>
      </c>
      <c r="R14" s="106" t="s">
        <v>303</v>
      </c>
      <c r="S14" s="106"/>
      <c r="T14" s="107"/>
      <c r="U14" s="108" t="s">
        <v>150</v>
      </c>
      <c r="V14" s="109"/>
      <c r="W14" s="6" t="str">
        <f>IF(ISBLANK(U14),IncompleteText,OKText)</f>
        <v>OK</v>
      </c>
      <c r="X14" s="106" t="s">
        <v>294</v>
      </c>
      <c r="Y14" s="106"/>
      <c r="Z14" s="106"/>
      <c r="AA14" s="107"/>
      <c r="AB14" s="19">
        <f>VLOOKUP(AB12,InsulationsTable,5,FALSE)</f>
        <v>121</v>
      </c>
      <c r="AC14" s="5" t="s">
        <v>47</v>
      </c>
      <c r="AD14" s="6" t="str">
        <f>IF(ISERROR(AB14),IncompleteText,IF(AB14&lt;90,ErrorText,OKText))</f>
        <v>OK</v>
      </c>
      <c r="AM14" s="97"/>
      <c r="AN14" s="97"/>
      <c r="AO14" s="97"/>
      <c r="AP14" s="97"/>
      <c r="AQ14" s="97"/>
      <c r="AR14" s="97"/>
      <c r="AS14" s="97"/>
      <c r="AU14" s="97"/>
      <c r="AV14" s="97"/>
      <c r="AW14" s="97"/>
      <c r="AX14" s="97"/>
      <c r="AY14" s="97"/>
      <c r="AZ14" s="97"/>
      <c r="BA14" s="97"/>
    </row>
    <row r="15" spans="1:53" x14ac:dyDescent="0.4">
      <c r="A15" s="15">
        <v>4</v>
      </c>
      <c r="B15" s="18">
        <v>2</v>
      </c>
      <c r="C15" s="18">
        <v>26</v>
      </c>
      <c r="D15" s="18">
        <v>10</v>
      </c>
      <c r="E15" s="18">
        <v>4</v>
      </c>
      <c r="F15" s="110">
        <f t="shared" si="0"/>
        <v>109.2</v>
      </c>
      <c r="G15" s="110"/>
      <c r="H15" s="110">
        <f t="shared" si="1"/>
        <v>5.8967999999999998</v>
      </c>
      <c r="I15" s="110"/>
      <c r="J15" s="6" t="str">
        <f t="shared" si="2"/>
        <v>OK</v>
      </c>
      <c r="K15" s="106" t="s">
        <v>304</v>
      </c>
      <c r="L15" s="106"/>
      <c r="M15" s="106"/>
      <c r="N15" s="107"/>
      <c r="O15" s="113"/>
      <c r="P15" s="114"/>
      <c r="Q15" s="6" t="str">
        <f>IF($O$10="车队自制 Team design",IF(ISBLANK(O15),IncompleteText,OKText),"")</f>
        <v/>
      </c>
      <c r="R15" s="106" t="s">
        <v>305</v>
      </c>
      <c r="S15" s="106"/>
      <c r="T15" s="107"/>
      <c r="U15" s="19">
        <f>VLOOKUP(U14,ContactorsTable,2,FALSE)</f>
        <v>600</v>
      </c>
      <c r="V15" s="5" t="s">
        <v>306</v>
      </c>
      <c r="W15" s="6" t="str">
        <f>IF(ISERROR(U15),IncompleteText,IF(U15&lt;MaxTSVoltage,ErrorText,OKText))</f>
        <v>OK</v>
      </c>
      <c r="X15" s="106" t="s">
        <v>307</v>
      </c>
      <c r="Y15" s="106"/>
      <c r="Z15" s="106"/>
      <c r="AA15" s="107"/>
      <c r="AB15" s="113" t="s">
        <v>192</v>
      </c>
      <c r="AC15" s="114"/>
      <c r="AD15" s="6" t="str">
        <f>IF(ISBLANK(AB15),IncompleteText,OKText)</f>
        <v>OK</v>
      </c>
      <c r="AM15" s="97"/>
      <c r="AN15" s="97"/>
      <c r="AO15" s="97"/>
      <c r="AP15" s="97"/>
      <c r="AQ15" s="97"/>
      <c r="AR15" s="97"/>
      <c r="AS15" s="97"/>
      <c r="AU15" s="97"/>
      <c r="AV15" s="97"/>
      <c r="AW15" s="97"/>
      <c r="AX15" s="97"/>
      <c r="AY15" s="97"/>
      <c r="AZ15" s="97"/>
      <c r="BA15" s="97"/>
    </row>
    <row r="16" spans="1:53" x14ac:dyDescent="0.4">
      <c r="A16" s="15">
        <v>5</v>
      </c>
      <c r="B16" s="18">
        <v>2</v>
      </c>
      <c r="C16" s="18">
        <v>26</v>
      </c>
      <c r="D16" s="18">
        <v>10</v>
      </c>
      <c r="E16" s="18">
        <v>5</v>
      </c>
      <c r="F16" s="110">
        <f t="shared" si="0"/>
        <v>109.2</v>
      </c>
      <c r="G16" s="110"/>
      <c r="H16" s="110">
        <f t="shared" si="1"/>
        <v>5.8967999999999998</v>
      </c>
      <c r="I16" s="110"/>
      <c r="J16" s="6" t="str">
        <f t="shared" si="2"/>
        <v>OK</v>
      </c>
      <c r="K16" s="115" t="s">
        <v>308</v>
      </c>
      <c r="L16" s="115"/>
      <c r="M16" s="115"/>
      <c r="N16" s="115"/>
      <c r="O16" s="115"/>
      <c r="P16" s="115"/>
      <c r="Q16" s="2"/>
      <c r="R16" s="106" t="s">
        <v>309</v>
      </c>
      <c r="S16" s="106"/>
      <c r="T16" s="107"/>
      <c r="U16" s="19">
        <f>VLOOKUP(U14,ContactorsTable,4,FALSE)</f>
        <v>900</v>
      </c>
      <c r="V16" s="5" t="s">
        <v>23</v>
      </c>
      <c r="W16" s="2"/>
      <c r="X16" s="106" t="s">
        <v>287</v>
      </c>
      <c r="Y16" s="106"/>
      <c r="Z16" s="106"/>
      <c r="AA16" s="107"/>
      <c r="AB16" s="19">
        <f>VLOOKUP(AB15,InsulationsTable,4,FALSE)</f>
        <v>627.79999999999995</v>
      </c>
      <c r="AC16" s="5" t="s">
        <v>21</v>
      </c>
      <c r="AD16" s="6" t="str">
        <f>IF(ISERROR(AB16),IncompleteText,IF(AB16&lt;MaxTSVoltage,ErrorText,OKText))</f>
        <v>OK</v>
      </c>
      <c r="AM16" s="97"/>
      <c r="AN16" s="97"/>
      <c r="AO16" s="97"/>
      <c r="AP16" s="97"/>
      <c r="AQ16" s="97"/>
      <c r="AR16" s="97"/>
      <c r="AS16" s="97"/>
      <c r="AU16" s="97"/>
      <c r="AV16" s="97"/>
      <c r="AW16" s="97"/>
      <c r="AX16" s="97"/>
      <c r="AY16" s="97"/>
      <c r="AZ16" s="97"/>
      <c r="BA16" s="97"/>
    </row>
    <row r="17" spans="1:53" x14ac:dyDescent="0.4">
      <c r="A17" s="15">
        <v>6</v>
      </c>
      <c r="B17" s="18"/>
      <c r="C17" s="18"/>
      <c r="D17" s="18"/>
      <c r="E17" s="18"/>
      <c r="F17" s="110">
        <f t="shared" si="0"/>
        <v>0</v>
      </c>
      <c r="G17" s="110"/>
      <c r="H17" s="110">
        <f t="shared" si="1"/>
        <v>0</v>
      </c>
      <c r="I17" s="110"/>
      <c r="J17" s="6" t="str">
        <f t="shared" si="2"/>
        <v/>
      </c>
      <c r="K17" s="106" t="s">
        <v>310</v>
      </c>
      <c r="L17" s="106"/>
      <c r="M17" s="106"/>
      <c r="N17" s="107"/>
      <c r="O17" s="18">
        <v>40</v>
      </c>
      <c r="P17" s="5" t="s">
        <v>311</v>
      </c>
      <c r="Q17" s="6" t="str">
        <f>IF(ISBLANK(O17),IncompleteText,OKText)</f>
        <v>OK</v>
      </c>
      <c r="R17" s="106" t="s">
        <v>312</v>
      </c>
      <c r="S17" s="106"/>
      <c r="T17" s="107"/>
      <c r="U17" s="19">
        <f>VLOOKUP(U14,ContactorsTable,3,FALSE)</f>
        <v>500</v>
      </c>
      <c r="V17" s="5" t="s">
        <v>23</v>
      </c>
      <c r="W17" s="6" t="str">
        <f>IF(ISERROR(U17),IncompleteText,IF(U17&gt;=U20,OKText,ErrorText))</f>
        <v>OK</v>
      </c>
      <c r="X17" s="106" t="s">
        <v>294</v>
      </c>
      <c r="Y17" s="106"/>
      <c r="Z17" s="106"/>
      <c r="AA17" s="107"/>
      <c r="AB17" s="19">
        <f>VLOOKUP(AB15,InsulationsTable,5,FALSE)</f>
        <v>121</v>
      </c>
      <c r="AC17" s="5" t="s">
        <v>47</v>
      </c>
      <c r="AD17" s="6" t="str">
        <f>IF(ISERROR(AB17),IncompleteText,IF(AB17&lt;90,ErrorText,OKText))</f>
        <v>OK</v>
      </c>
      <c r="AM17" s="97"/>
      <c r="AN17" s="97"/>
      <c r="AO17" s="97"/>
      <c r="AP17" s="97"/>
      <c r="AQ17" s="97"/>
      <c r="AR17" s="97"/>
      <c r="AS17" s="97"/>
      <c r="AU17" s="97"/>
      <c r="AV17" s="97"/>
      <c r="AW17" s="97"/>
      <c r="AX17" s="97"/>
      <c r="AY17" s="97"/>
      <c r="AZ17" s="97"/>
      <c r="BA17" s="97"/>
    </row>
    <row r="18" spans="1:53" x14ac:dyDescent="0.4">
      <c r="A18" s="15">
        <v>7</v>
      </c>
      <c r="B18" s="18"/>
      <c r="C18" s="18"/>
      <c r="D18" s="18"/>
      <c r="E18" s="18"/>
      <c r="F18" s="110">
        <f t="shared" si="0"/>
        <v>0</v>
      </c>
      <c r="G18" s="110"/>
      <c r="H18" s="110">
        <f t="shared" si="1"/>
        <v>0</v>
      </c>
      <c r="I18" s="110"/>
      <c r="J18" s="6" t="str">
        <f t="shared" si="2"/>
        <v/>
      </c>
      <c r="K18" s="106" t="s">
        <v>313</v>
      </c>
      <c r="L18" s="106"/>
      <c r="M18" s="106"/>
      <c r="N18" s="107"/>
      <c r="O18" s="73" t="s">
        <v>109</v>
      </c>
      <c r="P18" s="73"/>
      <c r="Q18" s="6" t="str">
        <f>IF(ISBLANK(O18),IncompleteText,OKText)</f>
        <v>OK</v>
      </c>
      <c r="R18" s="57" t="s">
        <v>314</v>
      </c>
      <c r="S18" s="57"/>
      <c r="T18" s="57"/>
      <c r="U18" s="57"/>
      <c r="V18" s="57"/>
      <c r="W18" s="2"/>
      <c r="X18" s="106" t="s">
        <v>315</v>
      </c>
      <c r="Y18" s="106"/>
      <c r="Z18" s="106"/>
      <c r="AA18" s="107"/>
      <c r="AB18" s="19" t="str">
        <f>VLOOKUP(AB15,InsulationsTable,6,FALSE)</f>
        <v>VTM-0</v>
      </c>
      <c r="AC18" s="5"/>
      <c r="AD18" s="6" t="str">
        <f>IF(ISNA(AB18),IncompleteText,OKText)</f>
        <v>OK</v>
      </c>
      <c r="AM18" s="97"/>
      <c r="AN18" s="97"/>
      <c r="AO18" s="97"/>
      <c r="AP18" s="97"/>
      <c r="AQ18" s="97"/>
      <c r="AR18" s="97"/>
      <c r="AS18" s="97"/>
      <c r="AU18" s="97"/>
      <c r="AV18" s="97"/>
      <c r="AW18" s="97"/>
      <c r="AX18" s="97"/>
      <c r="AY18" s="97"/>
      <c r="AZ18" s="97"/>
      <c r="BA18" s="97"/>
    </row>
    <row r="19" spans="1:53" x14ac:dyDescent="0.4">
      <c r="A19" s="15">
        <v>8</v>
      </c>
      <c r="B19" s="18"/>
      <c r="C19" s="18"/>
      <c r="D19" s="18"/>
      <c r="E19" s="18"/>
      <c r="F19" s="110">
        <f t="shared" si="0"/>
        <v>0</v>
      </c>
      <c r="G19" s="110"/>
      <c r="H19" s="110">
        <f t="shared" si="1"/>
        <v>0</v>
      </c>
      <c r="I19" s="110"/>
      <c r="J19" s="6" t="str">
        <f t="shared" si="2"/>
        <v/>
      </c>
      <c r="K19" s="106" t="s">
        <v>316</v>
      </c>
      <c r="L19" s="106"/>
      <c r="M19" s="106"/>
      <c r="N19" s="107"/>
      <c r="O19" s="73" t="s">
        <v>317</v>
      </c>
      <c r="P19" s="73"/>
      <c r="Q19" s="6" t="str">
        <f>IF(ISBLANK(O19),IncompleteText,OKText)</f>
        <v>OK</v>
      </c>
      <c r="R19" s="116" t="s">
        <v>314</v>
      </c>
      <c r="S19" s="116"/>
      <c r="T19" s="117"/>
      <c r="U19" s="108" t="s">
        <v>109</v>
      </c>
      <c r="V19" s="109"/>
      <c r="W19" s="6" t="str">
        <f>IF(ISBLANK(U19),IncompleteText,OKText)</f>
        <v>OK</v>
      </c>
      <c r="AM19" s="97"/>
      <c r="AN19" s="97"/>
      <c r="AO19" s="97"/>
      <c r="AP19" s="97"/>
      <c r="AQ19" s="97"/>
      <c r="AR19" s="97"/>
      <c r="AS19" s="97"/>
      <c r="AU19" s="97"/>
      <c r="AV19" s="97"/>
      <c r="AW19" s="97"/>
      <c r="AX19" s="97"/>
      <c r="AY19" s="97"/>
      <c r="AZ19" s="97"/>
      <c r="BA19" s="97"/>
    </row>
    <row r="20" spans="1:53" x14ac:dyDescent="0.4">
      <c r="A20" s="15">
        <v>9</v>
      </c>
      <c r="B20" s="18"/>
      <c r="C20" s="18"/>
      <c r="D20" s="18"/>
      <c r="E20" s="18"/>
      <c r="F20" s="110">
        <f t="shared" si="0"/>
        <v>0</v>
      </c>
      <c r="G20" s="110"/>
      <c r="H20" s="110">
        <f t="shared" si="1"/>
        <v>0</v>
      </c>
      <c r="I20" s="110"/>
      <c r="J20" s="6" t="str">
        <f t="shared" si="2"/>
        <v/>
      </c>
      <c r="K20" s="118" t="s">
        <v>318</v>
      </c>
      <c r="L20" s="119"/>
      <c r="M20" s="119"/>
      <c r="N20" s="120"/>
      <c r="O20" s="56"/>
      <c r="P20" s="56"/>
      <c r="Q20" s="6" t="str">
        <f>IF(O19="其他 Other",IF(ISBLANK(O20),IncompleteText,OKText),"")</f>
        <v/>
      </c>
      <c r="R20" s="106" t="s">
        <v>319</v>
      </c>
      <c r="S20" s="106"/>
      <c r="T20" s="107"/>
      <c r="U20" s="19">
        <f>VLOOKUP(U19,FuseTable,3,FALSE)</f>
        <v>80</v>
      </c>
      <c r="V20" s="5" t="s">
        <v>23</v>
      </c>
      <c r="W20" s="2"/>
      <c r="AM20" s="97"/>
      <c r="AN20" s="97"/>
      <c r="AO20" s="97"/>
      <c r="AP20" s="97"/>
      <c r="AQ20" s="97"/>
      <c r="AR20" s="97"/>
      <c r="AS20" s="97"/>
      <c r="AU20" s="97"/>
      <c r="AV20" s="97"/>
      <c r="AW20" s="97"/>
      <c r="AX20" s="97"/>
      <c r="AY20" s="97"/>
      <c r="AZ20" s="97"/>
      <c r="BA20" s="97"/>
    </row>
    <row r="21" spans="1:53" x14ac:dyDescent="0.4">
      <c r="A21" s="15">
        <v>10</v>
      </c>
      <c r="B21" s="18"/>
      <c r="C21" s="18"/>
      <c r="D21" s="18"/>
      <c r="E21" s="18"/>
      <c r="F21" s="110">
        <f t="shared" si="0"/>
        <v>0</v>
      </c>
      <c r="G21" s="110"/>
      <c r="H21" s="110">
        <f t="shared" si="1"/>
        <v>0</v>
      </c>
      <c r="I21" s="110"/>
      <c r="J21" s="6" t="str">
        <f t="shared" si="2"/>
        <v/>
      </c>
      <c r="K21" s="106" t="s">
        <v>320</v>
      </c>
      <c r="L21" s="106"/>
      <c r="M21" s="106"/>
      <c r="N21" s="107"/>
      <c r="O21" s="121">
        <f>VLOOKUP(O18,FuseTable,2,FALSE)</f>
        <v>700</v>
      </c>
      <c r="P21" s="121"/>
      <c r="Q21" s="6" t="str">
        <f>IF(ISERROR(O21),IncompleteText,IF(AND(O21&lt;MAX(F12:G29),O9="集中式 Centralized"),ErrorText,OKText))</f>
        <v>OK</v>
      </c>
      <c r="R21" s="106" t="s">
        <v>321</v>
      </c>
      <c r="S21" s="106"/>
      <c r="T21" s="107"/>
      <c r="U21" s="19">
        <f>VLOOKUP(U19,FuseTable,2,FALSE)</f>
        <v>700</v>
      </c>
      <c r="V21" s="5" t="s">
        <v>21</v>
      </c>
      <c r="W21" s="6" t="str">
        <f>IF(U21&lt;MaxTSVoltage,ErrorText,OKText)</f>
        <v>OK</v>
      </c>
      <c r="AM21" s="97"/>
      <c r="AN21" s="97"/>
      <c r="AO21" s="97"/>
      <c r="AP21" s="97"/>
      <c r="AQ21" s="97"/>
      <c r="AR21" s="97"/>
      <c r="AS21" s="97"/>
      <c r="AU21" s="97"/>
      <c r="AV21" s="97"/>
      <c r="AW21" s="97"/>
      <c r="AX21" s="97"/>
      <c r="AY21" s="97"/>
      <c r="AZ21" s="97"/>
      <c r="BA21" s="97"/>
    </row>
    <row r="22" spans="1:53" x14ac:dyDescent="0.4">
      <c r="A22" s="15">
        <v>11</v>
      </c>
      <c r="B22" s="18"/>
      <c r="C22" s="18"/>
      <c r="D22" s="18"/>
      <c r="E22" s="18"/>
      <c r="F22" s="110">
        <f t="shared" si="0"/>
        <v>0</v>
      </c>
      <c r="G22" s="110"/>
      <c r="H22" s="110">
        <f t="shared" si="1"/>
        <v>0</v>
      </c>
      <c r="I22" s="110"/>
      <c r="J22" s="6" t="str">
        <f t="shared" si="2"/>
        <v/>
      </c>
      <c r="K22" s="115" t="s">
        <v>322</v>
      </c>
      <c r="L22" s="115"/>
      <c r="M22" s="115"/>
      <c r="N22" s="115"/>
      <c r="O22" s="115"/>
      <c r="P22" s="115"/>
      <c r="Q22" s="2"/>
      <c r="AM22" s="97"/>
      <c r="AN22" s="97"/>
      <c r="AO22" s="97"/>
      <c r="AP22" s="97"/>
      <c r="AQ22" s="97"/>
      <c r="AR22" s="97"/>
      <c r="AS22" s="97"/>
      <c r="AU22" s="97"/>
      <c r="AV22" s="97"/>
      <c r="AW22" s="97"/>
      <c r="AX22" s="97"/>
      <c r="AY22" s="97"/>
      <c r="AZ22" s="97"/>
      <c r="BA22" s="97"/>
    </row>
    <row r="23" spans="1:53" x14ac:dyDescent="0.4">
      <c r="A23" s="15">
        <v>12</v>
      </c>
      <c r="B23" s="18"/>
      <c r="C23" s="18"/>
      <c r="D23" s="18"/>
      <c r="E23" s="18"/>
      <c r="F23" s="110">
        <f t="shared" si="0"/>
        <v>0</v>
      </c>
      <c r="G23" s="110"/>
      <c r="H23" s="110">
        <f t="shared" si="1"/>
        <v>0</v>
      </c>
      <c r="I23" s="110"/>
      <c r="J23" s="6" t="str">
        <f t="shared" si="2"/>
        <v/>
      </c>
      <c r="K23" s="106" t="s">
        <v>323</v>
      </c>
      <c r="L23" s="106"/>
      <c r="M23" s="106"/>
      <c r="N23" s="107"/>
      <c r="O23" s="108" t="s">
        <v>324</v>
      </c>
      <c r="P23" s="109"/>
      <c r="Q23" s="6" t="str">
        <f>IF(ISBLANK(O23),IncompleteText,OKText)</f>
        <v>OK</v>
      </c>
      <c r="AM23" s="97"/>
      <c r="AN23" s="97"/>
      <c r="AO23" s="97"/>
      <c r="AP23" s="97"/>
      <c r="AQ23" s="97"/>
      <c r="AR23" s="97"/>
      <c r="AS23" s="97"/>
      <c r="AU23" s="97"/>
      <c r="AV23" s="97"/>
      <c r="AW23" s="97"/>
      <c r="AX23" s="97"/>
      <c r="AY23" s="97"/>
      <c r="AZ23" s="97"/>
      <c r="BA23" s="97"/>
    </row>
    <row r="24" spans="1:53" x14ac:dyDescent="0.4">
      <c r="A24" s="15">
        <v>13</v>
      </c>
      <c r="B24" s="18"/>
      <c r="C24" s="18"/>
      <c r="D24" s="18"/>
      <c r="E24" s="18"/>
      <c r="F24" s="110">
        <f t="shared" si="0"/>
        <v>0</v>
      </c>
      <c r="G24" s="110"/>
      <c r="H24" s="110">
        <f t="shared" si="1"/>
        <v>0</v>
      </c>
      <c r="I24" s="110"/>
      <c r="J24" s="6" t="str">
        <f t="shared" si="2"/>
        <v/>
      </c>
      <c r="K24" s="106" t="s">
        <v>325</v>
      </c>
      <c r="L24" s="106"/>
      <c r="M24" s="106"/>
      <c r="N24" s="107"/>
      <c r="O24" s="18"/>
      <c r="P24" s="5" t="s">
        <v>289</v>
      </c>
      <c r="Q24" s="6" t="str">
        <f>IF(O23="极耳 Cell tabs","",IF(ISBLANK(O24),IncompleteText,IF(O24&lt;10,OKText,ErrorText)))</f>
        <v/>
      </c>
      <c r="AM24" s="97"/>
      <c r="AN24" s="97"/>
      <c r="AO24" s="97"/>
      <c r="AP24" s="97"/>
      <c r="AQ24" s="97"/>
      <c r="AR24" s="97"/>
      <c r="AS24" s="97"/>
      <c r="AU24" s="97"/>
      <c r="AV24" s="97"/>
      <c r="AW24" s="97"/>
      <c r="AX24" s="97"/>
      <c r="AY24" s="97"/>
      <c r="AZ24" s="97"/>
      <c r="BA24" s="97"/>
    </row>
    <row r="25" spans="1:53" x14ac:dyDescent="0.4">
      <c r="A25" s="15">
        <v>14</v>
      </c>
      <c r="B25" s="18"/>
      <c r="C25" s="18"/>
      <c r="D25" s="18"/>
      <c r="E25" s="18"/>
      <c r="F25" s="110">
        <f t="shared" si="0"/>
        <v>0</v>
      </c>
      <c r="G25" s="110"/>
      <c r="H25" s="110">
        <f t="shared" si="1"/>
        <v>0</v>
      </c>
      <c r="I25" s="110"/>
      <c r="J25" s="6" t="str">
        <f t="shared" si="2"/>
        <v/>
      </c>
      <c r="K25" s="106" t="s">
        <v>326</v>
      </c>
      <c r="L25" s="106"/>
      <c r="M25" s="106"/>
      <c r="N25" s="107"/>
      <c r="O25" s="18">
        <v>2</v>
      </c>
      <c r="P25" s="5" t="s">
        <v>327</v>
      </c>
      <c r="Q25" s="6" t="str">
        <f>IF(ISBLANK(O25),IncompleteText,OKText)</f>
        <v>OK</v>
      </c>
      <c r="AM25" s="97"/>
      <c r="AN25" s="97"/>
      <c r="AO25" s="97"/>
      <c r="AP25" s="97"/>
      <c r="AQ25" s="97"/>
      <c r="AR25" s="97"/>
      <c r="AS25" s="97"/>
      <c r="AU25" s="97"/>
      <c r="AV25" s="97"/>
      <c r="AW25" s="97"/>
      <c r="AX25" s="97"/>
      <c r="AY25" s="97"/>
      <c r="AZ25" s="97"/>
      <c r="BA25" s="97"/>
    </row>
    <row r="26" spans="1:53" x14ac:dyDescent="0.4">
      <c r="A26" s="15">
        <v>15</v>
      </c>
      <c r="B26" s="18"/>
      <c r="C26" s="18"/>
      <c r="D26" s="18"/>
      <c r="E26" s="18"/>
      <c r="F26" s="110">
        <f t="shared" si="0"/>
        <v>0</v>
      </c>
      <c r="G26" s="110"/>
      <c r="H26" s="110">
        <f t="shared" si="1"/>
        <v>0</v>
      </c>
      <c r="I26" s="110"/>
      <c r="J26" s="6" t="str">
        <f t="shared" si="2"/>
        <v/>
      </c>
      <c r="K26" s="106" t="s">
        <v>328</v>
      </c>
      <c r="L26" s="106"/>
      <c r="M26" s="106"/>
      <c r="N26" s="107"/>
      <c r="O26" s="108"/>
      <c r="P26" s="109"/>
      <c r="Q26" s="2"/>
      <c r="AM26" s="97"/>
      <c r="AN26" s="97"/>
      <c r="AO26" s="97"/>
      <c r="AP26" s="97"/>
      <c r="AQ26" s="97"/>
      <c r="AR26" s="97"/>
      <c r="AS26" s="97"/>
      <c r="AU26" s="97"/>
      <c r="AV26" s="97"/>
      <c r="AW26" s="97"/>
      <c r="AX26" s="97"/>
      <c r="AY26" s="97"/>
      <c r="AZ26" s="97"/>
      <c r="BA26" s="97"/>
    </row>
    <row r="27" spans="1:53" x14ac:dyDescent="0.4">
      <c r="A27" s="15">
        <v>16</v>
      </c>
      <c r="B27" s="18"/>
      <c r="C27" s="18"/>
      <c r="D27" s="18"/>
      <c r="E27" s="18"/>
      <c r="F27" s="110">
        <f t="shared" si="0"/>
        <v>0</v>
      </c>
      <c r="G27" s="110"/>
      <c r="H27" s="110">
        <f t="shared" si="1"/>
        <v>0</v>
      </c>
      <c r="I27" s="110"/>
      <c r="J27" s="6" t="str">
        <f t="shared" si="2"/>
        <v/>
      </c>
      <c r="K27" s="106" t="s">
        <v>329</v>
      </c>
      <c r="L27" s="106"/>
      <c r="M27" s="106"/>
      <c r="N27" s="107"/>
      <c r="O27" s="108"/>
      <c r="P27" s="109"/>
      <c r="Q27" s="6" t="str">
        <f>IF(ISBLANK($O$26),"",IF(ISBLANK(O27),IncompleteText,OKText))</f>
        <v/>
      </c>
      <c r="AM27" s="97"/>
      <c r="AN27" s="97"/>
      <c r="AO27" s="97"/>
      <c r="AP27" s="97"/>
      <c r="AQ27" s="97"/>
      <c r="AR27" s="97"/>
      <c r="AS27" s="97"/>
      <c r="AU27" s="97"/>
      <c r="AV27" s="97"/>
      <c r="AW27" s="97"/>
      <c r="AX27" s="97"/>
      <c r="AY27" s="97"/>
      <c r="AZ27" s="97"/>
      <c r="BA27" s="97"/>
    </row>
    <row r="28" spans="1:53" x14ac:dyDescent="0.4">
      <c r="A28" s="15">
        <v>17</v>
      </c>
      <c r="B28" s="18"/>
      <c r="C28" s="18"/>
      <c r="D28" s="18"/>
      <c r="E28" s="18"/>
      <c r="F28" s="110">
        <f t="shared" si="0"/>
        <v>0</v>
      </c>
      <c r="G28" s="110"/>
      <c r="H28" s="110">
        <f t="shared" si="1"/>
        <v>0</v>
      </c>
      <c r="I28" s="110"/>
      <c r="J28" s="6" t="str">
        <f t="shared" si="2"/>
        <v/>
      </c>
      <c r="K28" s="106" t="s">
        <v>330</v>
      </c>
      <c r="L28" s="106"/>
      <c r="M28" s="106"/>
      <c r="N28" s="107"/>
      <c r="O28" s="18"/>
      <c r="P28" s="5" t="s">
        <v>331</v>
      </c>
      <c r="Q28" s="6" t="str">
        <f>IF(ISBLANK($O$26),"",IF(ISBLANK(O28),IncompleteText,OKText))</f>
        <v/>
      </c>
      <c r="AM28" s="97"/>
      <c r="AN28" s="97"/>
      <c r="AO28" s="97"/>
      <c r="AP28" s="97"/>
      <c r="AQ28" s="97"/>
      <c r="AR28" s="97"/>
      <c r="AS28" s="97"/>
      <c r="AU28" s="97"/>
      <c r="AV28" s="97"/>
      <c r="AW28" s="97"/>
      <c r="AX28" s="97"/>
      <c r="AY28" s="97"/>
      <c r="AZ28" s="97"/>
      <c r="BA28" s="97"/>
    </row>
    <row r="29" spans="1:53" x14ac:dyDescent="0.4">
      <c r="A29" s="15">
        <v>18</v>
      </c>
      <c r="B29" s="18"/>
      <c r="C29" s="18"/>
      <c r="D29" s="18"/>
      <c r="E29" s="18"/>
      <c r="F29" s="110">
        <f t="shared" si="0"/>
        <v>0</v>
      </c>
      <c r="G29" s="110"/>
      <c r="H29" s="110">
        <f t="shared" si="1"/>
        <v>0</v>
      </c>
      <c r="I29" s="110"/>
      <c r="J29" s="6" t="str">
        <f t="shared" si="2"/>
        <v/>
      </c>
      <c r="K29" s="106" t="s">
        <v>332</v>
      </c>
      <c r="L29" s="106"/>
      <c r="M29" s="106"/>
      <c r="N29" s="107"/>
      <c r="O29" s="18"/>
      <c r="P29" s="5" t="s">
        <v>289</v>
      </c>
      <c r="Q29" s="6" t="str">
        <f>IF(ISBLANK($O$26),"",IF(ISBLANK(O29),IncompleteText,OKText))</f>
        <v/>
      </c>
      <c r="AM29" s="97"/>
      <c r="AN29" s="97"/>
      <c r="AO29" s="97"/>
      <c r="AP29" s="97"/>
      <c r="AQ29" s="97"/>
      <c r="AR29" s="97"/>
      <c r="AS29" s="97"/>
      <c r="AU29" s="97"/>
      <c r="AV29" s="97"/>
      <c r="AW29" s="97"/>
      <c r="AX29" s="97"/>
      <c r="AY29" s="97"/>
      <c r="AZ29" s="97"/>
      <c r="BA29" s="97"/>
    </row>
    <row r="30" spans="1:53" x14ac:dyDescent="0.4">
      <c r="K30" s="106" t="s">
        <v>333</v>
      </c>
      <c r="L30" s="106"/>
      <c r="M30" s="106"/>
      <c r="N30" s="107"/>
      <c r="O30" s="36">
        <f>SUMIF(J12:J29,"=OK",D12:D29)*CellsPerTempSensor/TotalCells*100</f>
        <v>38.461538461538503</v>
      </c>
      <c r="P30" s="5" t="s">
        <v>334</v>
      </c>
      <c r="Q30" s="6" t="str">
        <f>IF(ISERROR(O30),IncompleteText,IF(O30&lt;20,ErrorText,OKText))</f>
        <v>OK</v>
      </c>
    </row>
    <row r="33" spans="1:53" ht="14" customHeight="1" x14ac:dyDescent="0.4">
      <c r="A33" s="98" t="s">
        <v>335</v>
      </c>
      <c r="B33" s="98"/>
      <c r="C33" s="98"/>
      <c r="D33" s="98"/>
      <c r="E33" s="98"/>
      <c r="F33" s="98"/>
      <c r="G33" s="98"/>
      <c r="H33" s="98"/>
      <c r="J33" s="97" t="s">
        <v>336</v>
      </c>
      <c r="K33" s="98"/>
      <c r="L33" s="98"/>
      <c r="M33" s="98"/>
      <c r="N33" s="98"/>
      <c r="O33" s="98"/>
      <c r="P33" s="98"/>
      <c r="Q33" s="98"/>
      <c r="S33" s="98" t="s">
        <v>337</v>
      </c>
      <c r="T33" s="98"/>
      <c r="U33" s="98"/>
      <c r="V33" s="98"/>
      <c r="W33" s="98"/>
      <c r="X33" s="98"/>
      <c r="Y33" s="98"/>
      <c r="Z33" s="98"/>
      <c r="AB33" s="157" t="s">
        <v>338</v>
      </c>
      <c r="AC33" s="158"/>
      <c r="AD33" s="158"/>
      <c r="AE33" s="158"/>
      <c r="AF33" s="158"/>
      <c r="AG33" s="158"/>
      <c r="AH33" s="158"/>
      <c r="AI33" s="159"/>
      <c r="AK33" s="141" t="s">
        <v>339</v>
      </c>
      <c r="AL33" s="142"/>
      <c r="AM33" s="142"/>
      <c r="AN33" s="142"/>
      <c r="AO33" s="142"/>
      <c r="AP33" s="142"/>
      <c r="AQ33" s="142"/>
      <c r="AR33" s="143"/>
      <c r="AT33" s="98" t="s">
        <v>340</v>
      </c>
      <c r="AU33" s="98"/>
      <c r="AV33" s="98"/>
      <c r="AW33" s="98"/>
      <c r="AX33" s="98"/>
      <c r="AY33" s="98"/>
      <c r="AZ33" s="98"/>
      <c r="BA33" s="98"/>
    </row>
    <row r="34" spans="1:53" x14ac:dyDescent="0.4">
      <c r="A34" s="98"/>
      <c r="B34" s="98"/>
      <c r="C34" s="98"/>
      <c r="D34" s="98"/>
      <c r="E34" s="98"/>
      <c r="F34" s="98"/>
      <c r="G34" s="98"/>
      <c r="H34" s="98"/>
      <c r="J34" s="98"/>
      <c r="K34" s="98"/>
      <c r="L34" s="98"/>
      <c r="M34" s="98"/>
      <c r="N34" s="98"/>
      <c r="O34" s="98"/>
      <c r="P34" s="98"/>
      <c r="Q34" s="98"/>
      <c r="S34" s="98"/>
      <c r="T34" s="98"/>
      <c r="U34" s="98"/>
      <c r="V34" s="98"/>
      <c r="W34" s="98"/>
      <c r="X34" s="98"/>
      <c r="Y34" s="98"/>
      <c r="Z34" s="98"/>
      <c r="AB34" s="160"/>
      <c r="AC34" s="161"/>
      <c r="AD34" s="161"/>
      <c r="AE34" s="161"/>
      <c r="AF34" s="161"/>
      <c r="AG34" s="161"/>
      <c r="AH34" s="161"/>
      <c r="AI34" s="162"/>
      <c r="AK34" s="144"/>
      <c r="AL34" s="145"/>
      <c r="AM34" s="145"/>
      <c r="AN34" s="145"/>
      <c r="AO34" s="145"/>
      <c r="AP34" s="145"/>
      <c r="AQ34" s="145"/>
      <c r="AR34" s="146"/>
      <c r="AT34" s="98"/>
      <c r="AU34" s="98"/>
      <c r="AV34" s="98"/>
      <c r="AW34" s="98"/>
      <c r="AX34" s="98"/>
      <c r="AY34" s="98"/>
      <c r="AZ34" s="98"/>
      <c r="BA34" s="98"/>
    </row>
    <row r="35" spans="1:53" x14ac:dyDescent="0.4">
      <c r="A35" s="98"/>
      <c r="B35" s="98"/>
      <c r="C35" s="98"/>
      <c r="D35" s="98"/>
      <c r="E35" s="98"/>
      <c r="F35" s="98"/>
      <c r="G35" s="98"/>
      <c r="H35" s="98"/>
      <c r="J35" s="98"/>
      <c r="K35" s="98"/>
      <c r="L35" s="98"/>
      <c r="M35" s="98"/>
      <c r="N35" s="98"/>
      <c r="O35" s="98"/>
      <c r="P35" s="98"/>
      <c r="Q35" s="98"/>
      <c r="S35" s="98"/>
      <c r="T35" s="98"/>
      <c r="U35" s="98"/>
      <c r="V35" s="98"/>
      <c r="W35" s="98"/>
      <c r="X35" s="98"/>
      <c r="Y35" s="98"/>
      <c r="Z35" s="98"/>
      <c r="AB35" s="160"/>
      <c r="AC35" s="161"/>
      <c r="AD35" s="161"/>
      <c r="AE35" s="161"/>
      <c r="AF35" s="161"/>
      <c r="AG35" s="161"/>
      <c r="AH35" s="161"/>
      <c r="AI35" s="162"/>
      <c r="AK35" s="144"/>
      <c r="AL35" s="145"/>
      <c r="AM35" s="145"/>
      <c r="AN35" s="145"/>
      <c r="AO35" s="145"/>
      <c r="AP35" s="145"/>
      <c r="AQ35" s="145"/>
      <c r="AR35" s="146"/>
      <c r="AT35" s="98"/>
      <c r="AU35" s="98"/>
      <c r="AV35" s="98"/>
      <c r="AW35" s="98"/>
      <c r="AX35" s="98"/>
      <c r="AY35" s="98"/>
      <c r="AZ35" s="98"/>
      <c r="BA35" s="98"/>
    </row>
    <row r="36" spans="1:53" x14ac:dyDescent="0.4">
      <c r="A36" s="98"/>
      <c r="B36" s="98"/>
      <c r="C36" s="98"/>
      <c r="D36" s="98"/>
      <c r="E36" s="98"/>
      <c r="F36" s="98"/>
      <c r="G36" s="98"/>
      <c r="H36" s="98"/>
      <c r="J36" s="98"/>
      <c r="K36" s="98"/>
      <c r="L36" s="98"/>
      <c r="M36" s="98"/>
      <c r="N36" s="98"/>
      <c r="O36" s="98"/>
      <c r="P36" s="98"/>
      <c r="Q36" s="98"/>
      <c r="S36" s="98"/>
      <c r="T36" s="98"/>
      <c r="U36" s="98"/>
      <c r="V36" s="98"/>
      <c r="W36" s="98"/>
      <c r="X36" s="98"/>
      <c r="Y36" s="98"/>
      <c r="Z36" s="98"/>
      <c r="AB36" s="160"/>
      <c r="AC36" s="161"/>
      <c r="AD36" s="161"/>
      <c r="AE36" s="161"/>
      <c r="AF36" s="161"/>
      <c r="AG36" s="161"/>
      <c r="AH36" s="161"/>
      <c r="AI36" s="162"/>
      <c r="AK36" s="144"/>
      <c r="AL36" s="145"/>
      <c r="AM36" s="145"/>
      <c r="AN36" s="145"/>
      <c r="AO36" s="145"/>
      <c r="AP36" s="145"/>
      <c r="AQ36" s="145"/>
      <c r="AR36" s="146"/>
      <c r="AT36" s="98"/>
      <c r="AU36" s="98"/>
      <c r="AV36" s="98"/>
      <c r="AW36" s="98"/>
      <c r="AX36" s="98"/>
      <c r="AY36" s="98"/>
      <c r="AZ36" s="98"/>
      <c r="BA36" s="98"/>
    </row>
    <row r="37" spans="1:53" x14ac:dyDescent="0.4">
      <c r="A37" s="98"/>
      <c r="B37" s="98"/>
      <c r="C37" s="98"/>
      <c r="D37" s="98"/>
      <c r="E37" s="98"/>
      <c r="F37" s="98"/>
      <c r="G37" s="98"/>
      <c r="H37" s="98"/>
      <c r="J37" s="98"/>
      <c r="K37" s="98"/>
      <c r="L37" s="98"/>
      <c r="M37" s="98"/>
      <c r="N37" s="98"/>
      <c r="O37" s="98"/>
      <c r="P37" s="98"/>
      <c r="Q37" s="98"/>
      <c r="S37" s="98"/>
      <c r="T37" s="98"/>
      <c r="U37" s="98"/>
      <c r="V37" s="98"/>
      <c r="W37" s="98"/>
      <c r="X37" s="98"/>
      <c r="Y37" s="98"/>
      <c r="Z37" s="98"/>
      <c r="AB37" s="160"/>
      <c r="AC37" s="161"/>
      <c r="AD37" s="161"/>
      <c r="AE37" s="161"/>
      <c r="AF37" s="161"/>
      <c r="AG37" s="161"/>
      <c r="AH37" s="161"/>
      <c r="AI37" s="162"/>
      <c r="AK37" s="144"/>
      <c r="AL37" s="145"/>
      <c r="AM37" s="145"/>
      <c r="AN37" s="145"/>
      <c r="AO37" s="145"/>
      <c r="AP37" s="145"/>
      <c r="AQ37" s="145"/>
      <c r="AR37" s="146"/>
      <c r="AT37" s="98"/>
      <c r="AU37" s="98"/>
      <c r="AV37" s="98"/>
      <c r="AW37" s="98"/>
      <c r="AX37" s="98"/>
      <c r="AY37" s="98"/>
      <c r="AZ37" s="98"/>
      <c r="BA37" s="98"/>
    </row>
    <row r="38" spans="1:53" x14ac:dyDescent="0.4">
      <c r="A38" s="98"/>
      <c r="B38" s="98"/>
      <c r="C38" s="98"/>
      <c r="D38" s="98"/>
      <c r="E38" s="98"/>
      <c r="F38" s="98"/>
      <c r="G38" s="98"/>
      <c r="H38" s="98"/>
      <c r="J38" s="98"/>
      <c r="K38" s="98"/>
      <c r="L38" s="98"/>
      <c r="M38" s="98"/>
      <c r="N38" s="98"/>
      <c r="O38" s="98"/>
      <c r="P38" s="98"/>
      <c r="Q38" s="98"/>
      <c r="S38" s="98"/>
      <c r="T38" s="98"/>
      <c r="U38" s="98"/>
      <c r="V38" s="98"/>
      <c r="W38" s="98"/>
      <c r="X38" s="98"/>
      <c r="Y38" s="98"/>
      <c r="Z38" s="98"/>
      <c r="AB38" s="160"/>
      <c r="AC38" s="161"/>
      <c r="AD38" s="161"/>
      <c r="AE38" s="161"/>
      <c r="AF38" s="161"/>
      <c r="AG38" s="161"/>
      <c r="AH38" s="161"/>
      <c r="AI38" s="162"/>
      <c r="AK38" s="144"/>
      <c r="AL38" s="145"/>
      <c r="AM38" s="145"/>
      <c r="AN38" s="145"/>
      <c r="AO38" s="145"/>
      <c r="AP38" s="145"/>
      <c r="AQ38" s="145"/>
      <c r="AR38" s="146"/>
      <c r="AT38" s="98"/>
      <c r="AU38" s="98"/>
      <c r="AV38" s="98"/>
      <c r="AW38" s="98"/>
      <c r="AX38" s="98"/>
      <c r="AY38" s="98"/>
      <c r="AZ38" s="98"/>
      <c r="BA38" s="98"/>
    </row>
    <row r="39" spans="1:53" x14ac:dyDescent="0.4">
      <c r="A39" s="98"/>
      <c r="B39" s="98"/>
      <c r="C39" s="98"/>
      <c r="D39" s="98"/>
      <c r="E39" s="98"/>
      <c r="F39" s="98"/>
      <c r="G39" s="98"/>
      <c r="H39" s="98"/>
      <c r="J39" s="98"/>
      <c r="K39" s="98"/>
      <c r="L39" s="98"/>
      <c r="M39" s="98"/>
      <c r="N39" s="98"/>
      <c r="O39" s="98"/>
      <c r="P39" s="98"/>
      <c r="Q39" s="98"/>
      <c r="S39" s="98"/>
      <c r="T39" s="98"/>
      <c r="U39" s="98"/>
      <c r="V39" s="98"/>
      <c r="W39" s="98"/>
      <c r="X39" s="98"/>
      <c r="Y39" s="98"/>
      <c r="Z39" s="98"/>
      <c r="AB39" s="160"/>
      <c r="AC39" s="161"/>
      <c r="AD39" s="161"/>
      <c r="AE39" s="161"/>
      <c r="AF39" s="161"/>
      <c r="AG39" s="161"/>
      <c r="AH39" s="161"/>
      <c r="AI39" s="162"/>
      <c r="AK39" s="144"/>
      <c r="AL39" s="145"/>
      <c r="AM39" s="145"/>
      <c r="AN39" s="145"/>
      <c r="AO39" s="145"/>
      <c r="AP39" s="145"/>
      <c r="AQ39" s="145"/>
      <c r="AR39" s="146"/>
      <c r="AT39" s="98"/>
      <c r="AU39" s="98"/>
      <c r="AV39" s="98"/>
      <c r="AW39" s="98"/>
      <c r="AX39" s="98"/>
      <c r="AY39" s="98"/>
      <c r="AZ39" s="98"/>
      <c r="BA39" s="98"/>
    </row>
    <row r="40" spans="1:53" x14ac:dyDescent="0.4">
      <c r="A40" s="98"/>
      <c r="B40" s="98"/>
      <c r="C40" s="98"/>
      <c r="D40" s="98"/>
      <c r="E40" s="98"/>
      <c r="F40" s="98"/>
      <c r="G40" s="98"/>
      <c r="H40" s="98"/>
      <c r="J40" s="98"/>
      <c r="K40" s="98"/>
      <c r="L40" s="98"/>
      <c r="M40" s="98"/>
      <c r="N40" s="98"/>
      <c r="O40" s="98"/>
      <c r="P40" s="98"/>
      <c r="Q40" s="98"/>
      <c r="S40" s="98"/>
      <c r="T40" s="98"/>
      <c r="U40" s="98"/>
      <c r="V40" s="98"/>
      <c r="W40" s="98"/>
      <c r="X40" s="98"/>
      <c r="Y40" s="98"/>
      <c r="Z40" s="98"/>
      <c r="AB40" s="160"/>
      <c r="AC40" s="161"/>
      <c r="AD40" s="161"/>
      <c r="AE40" s="161"/>
      <c r="AF40" s="161"/>
      <c r="AG40" s="161"/>
      <c r="AH40" s="161"/>
      <c r="AI40" s="162"/>
      <c r="AK40" s="144"/>
      <c r="AL40" s="145"/>
      <c r="AM40" s="145"/>
      <c r="AN40" s="145"/>
      <c r="AO40" s="145"/>
      <c r="AP40" s="145"/>
      <c r="AQ40" s="145"/>
      <c r="AR40" s="146"/>
      <c r="AT40" s="98"/>
      <c r="AU40" s="98"/>
      <c r="AV40" s="98"/>
      <c r="AW40" s="98"/>
      <c r="AX40" s="98"/>
      <c r="AY40" s="98"/>
      <c r="AZ40" s="98"/>
      <c r="BA40" s="98"/>
    </row>
    <row r="41" spans="1:53" x14ac:dyDescent="0.4">
      <c r="A41" s="98"/>
      <c r="B41" s="98"/>
      <c r="C41" s="98"/>
      <c r="D41" s="98"/>
      <c r="E41" s="98"/>
      <c r="F41" s="98"/>
      <c r="G41" s="98"/>
      <c r="H41" s="98"/>
      <c r="J41" s="98"/>
      <c r="K41" s="98"/>
      <c r="L41" s="98"/>
      <c r="M41" s="98"/>
      <c r="N41" s="98"/>
      <c r="O41" s="98"/>
      <c r="P41" s="98"/>
      <c r="Q41" s="98"/>
      <c r="S41" s="98"/>
      <c r="T41" s="98"/>
      <c r="U41" s="98"/>
      <c r="V41" s="98"/>
      <c r="W41" s="98"/>
      <c r="X41" s="98"/>
      <c r="Y41" s="98"/>
      <c r="Z41" s="98"/>
      <c r="AB41" s="160"/>
      <c r="AC41" s="161"/>
      <c r="AD41" s="161"/>
      <c r="AE41" s="161"/>
      <c r="AF41" s="161"/>
      <c r="AG41" s="161"/>
      <c r="AH41" s="161"/>
      <c r="AI41" s="162"/>
      <c r="AK41" s="144"/>
      <c r="AL41" s="145"/>
      <c r="AM41" s="145"/>
      <c r="AN41" s="145"/>
      <c r="AO41" s="145"/>
      <c r="AP41" s="145"/>
      <c r="AQ41" s="145"/>
      <c r="AR41" s="146"/>
      <c r="AT41" s="98"/>
      <c r="AU41" s="98"/>
      <c r="AV41" s="98"/>
      <c r="AW41" s="98"/>
      <c r="AX41" s="98"/>
      <c r="AY41" s="98"/>
      <c r="AZ41" s="98"/>
      <c r="BA41" s="98"/>
    </row>
    <row r="42" spans="1:53" x14ac:dyDescent="0.4">
      <c r="A42" s="98"/>
      <c r="B42" s="98"/>
      <c r="C42" s="98"/>
      <c r="D42" s="98"/>
      <c r="E42" s="98"/>
      <c r="F42" s="98"/>
      <c r="G42" s="98"/>
      <c r="H42" s="98"/>
      <c r="J42" s="98"/>
      <c r="K42" s="98"/>
      <c r="L42" s="98"/>
      <c r="M42" s="98"/>
      <c r="N42" s="98"/>
      <c r="O42" s="98"/>
      <c r="P42" s="98"/>
      <c r="Q42" s="98"/>
      <c r="S42" s="98"/>
      <c r="T42" s="98"/>
      <c r="U42" s="98"/>
      <c r="V42" s="98"/>
      <c r="W42" s="98"/>
      <c r="X42" s="98"/>
      <c r="Y42" s="98"/>
      <c r="Z42" s="98"/>
      <c r="AB42" s="160"/>
      <c r="AC42" s="161"/>
      <c r="AD42" s="161"/>
      <c r="AE42" s="161"/>
      <c r="AF42" s="161"/>
      <c r="AG42" s="161"/>
      <c r="AH42" s="161"/>
      <c r="AI42" s="162"/>
      <c r="AK42" s="144"/>
      <c r="AL42" s="145"/>
      <c r="AM42" s="145"/>
      <c r="AN42" s="145"/>
      <c r="AO42" s="145"/>
      <c r="AP42" s="145"/>
      <c r="AQ42" s="145"/>
      <c r="AR42" s="146"/>
      <c r="AT42" s="98"/>
      <c r="AU42" s="98"/>
      <c r="AV42" s="98"/>
      <c r="AW42" s="98"/>
      <c r="AX42" s="98"/>
      <c r="AY42" s="98"/>
      <c r="AZ42" s="98"/>
      <c r="BA42" s="98"/>
    </row>
    <row r="43" spans="1:53" x14ac:dyDescent="0.4">
      <c r="A43" s="98"/>
      <c r="B43" s="98"/>
      <c r="C43" s="98"/>
      <c r="D43" s="98"/>
      <c r="E43" s="98"/>
      <c r="F43" s="98"/>
      <c r="G43" s="98"/>
      <c r="H43" s="98"/>
      <c r="J43" s="98"/>
      <c r="K43" s="98"/>
      <c r="L43" s="98"/>
      <c r="M43" s="98"/>
      <c r="N43" s="98"/>
      <c r="O43" s="98"/>
      <c r="P43" s="98"/>
      <c r="Q43" s="98"/>
      <c r="S43" s="98"/>
      <c r="T43" s="98"/>
      <c r="U43" s="98"/>
      <c r="V43" s="98"/>
      <c r="W43" s="98"/>
      <c r="X43" s="98"/>
      <c r="Y43" s="98"/>
      <c r="Z43" s="98"/>
      <c r="AB43" s="160"/>
      <c r="AC43" s="161"/>
      <c r="AD43" s="161"/>
      <c r="AE43" s="161"/>
      <c r="AF43" s="161"/>
      <c r="AG43" s="161"/>
      <c r="AH43" s="161"/>
      <c r="AI43" s="162"/>
      <c r="AK43" s="144"/>
      <c r="AL43" s="145"/>
      <c r="AM43" s="145"/>
      <c r="AN43" s="145"/>
      <c r="AO43" s="145"/>
      <c r="AP43" s="145"/>
      <c r="AQ43" s="145"/>
      <c r="AR43" s="146"/>
      <c r="AT43" s="98"/>
      <c r="AU43" s="98"/>
      <c r="AV43" s="98"/>
      <c r="AW43" s="98"/>
      <c r="AX43" s="98"/>
      <c r="AY43" s="98"/>
      <c r="AZ43" s="98"/>
      <c r="BA43" s="98"/>
    </row>
    <row r="44" spans="1:53" x14ac:dyDescent="0.4">
      <c r="A44" s="98"/>
      <c r="B44" s="98"/>
      <c r="C44" s="98"/>
      <c r="D44" s="98"/>
      <c r="E44" s="98"/>
      <c r="F44" s="98"/>
      <c r="G44" s="98"/>
      <c r="H44" s="98"/>
      <c r="J44" s="98"/>
      <c r="K44" s="98"/>
      <c r="L44" s="98"/>
      <c r="M44" s="98"/>
      <c r="N44" s="98"/>
      <c r="O44" s="98"/>
      <c r="P44" s="98"/>
      <c r="Q44" s="98"/>
      <c r="S44" s="98"/>
      <c r="T44" s="98"/>
      <c r="U44" s="98"/>
      <c r="V44" s="98"/>
      <c r="W44" s="98"/>
      <c r="X44" s="98"/>
      <c r="Y44" s="98"/>
      <c r="Z44" s="98"/>
      <c r="AB44" s="160"/>
      <c r="AC44" s="161"/>
      <c r="AD44" s="161"/>
      <c r="AE44" s="161"/>
      <c r="AF44" s="161"/>
      <c r="AG44" s="161"/>
      <c r="AH44" s="161"/>
      <c r="AI44" s="162"/>
      <c r="AK44" s="144"/>
      <c r="AL44" s="145"/>
      <c r="AM44" s="145"/>
      <c r="AN44" s="145"/>
      <c r="AO44" s="145"/>
      <c r="AP44" s="145"/>
      <c r="AQ44" s="145"/>
      <c r="AR44" s="146"/>
      <c r="AT44" s="98"/>
      <c r="AU44" s="98"/>
      <c r="AV44" s="98"/>
      <c r="AW44" s="98"/>
      <c r="AX44" s="98"/>
      <c r="AY44" s="98"/>
      <c r="AZ44" s="98"/>
      <c r="BA44" s="98"/>
    </row>
    <row r="45" spans="1:53" x14ac:dyDescent="0.4">
      <c r="A45" s="98"/>
      <c r="B45" s="98"/>
      <c r="C45" s="98"/>
      <c r="D45" s="98"/>
      <c r="E45" s="98"/>
      <c r="F45" s="98"/>
      <c r="G45" s="98"/>
      <c r="H45" s="98"/>
      <c r="J45" s="98"/>
      <c r="K45" s="98"/>
      <c r="L45" s="98"/>
      <c r="M45" s="98"/>
      <c r="N45" s="98"/>
      <c r="O45" s="98"/>
      <c r="P45" s="98"/>
      <c r="Q45" s="98"/>
      <c r="S45" s="98"/>
      <c r="T45" s="98"/>
      <c r="U45" s="98"/>
      <c r="V45" s="98"/>
      <c r="W45" s="98"/>
      <c r="X45" s="98"/>
      <c r="Y45" s="98"/>
      <c r="Z45" s="98"/>
      <c r="AB45" s="160"/>
      <c r="AC45" s="161"/>
      <c r="AD45" s="161"/>
      <c r="AE45" s="161"/>
      <c r="AF45" s="161"/>
      <c r="AG45" s="161"/>
      <c r="AH45" s="161"/>
      <c r="AI45" s="162"/>
      <c r="AK45" s="144"/>
      <c r="AL45" s="145"/>
      <c r="AM45" s="145"/>
      <c r="AN45" s="145"/>
      <c r="AO45" s="145"/>
      <c r="AP45" s="145"/>
      <c r="AQ45" s="145"/>
      <c r="AR45" s="146"/>
      <c r="AT45" s="98"/>
      <c r="AU45" s="98"/>
      <c r="AV45" s="98"/>
      <c r="AW45" s="98"/>
      <c r="AX45" s="98"/>
      <c r="AY45" s="98"/>
      <c r="AZ45" s="98"/>
      <c r="BA45" s="98"/>
    </row>
    <row r="46" spans="1:53" x14ac:dyDescent="0.4">
      <c r="A46" s="98"/>
      <c r="B46" s="98"/>
      <c r="C46" s="98"/>
      <c r="D46" s="98"/>
      <c r="E46" s="98"/>
      <c r="F46" s="98"/>
      <c r="G46" s="98"/>
      <c r="H46" s="98"/>
      <c r="J46" s="98"/>
      <c r="K46" s="98"/>
      <c r="L46" s="98"/>
      <c r="M46" s="98"/>
      <c r="N46" s="98"/>
      <c r="O46" s="98"/>
      <c r="P46" s="98"/>
      <c r="Q46" s="98"/>
      <c r="S46" s="98"/>
      <c r="T46" s="98"/>
      <c r="U46" s="98"/>
      <c r="V46" s="98"/>
      <c r="W46" s="98"/>
      <c r="X46" s="98"/>
      <c r="Y46" s="98"/>
      <c r="Z46" s="98"/>
      <c r="AB46" s="160"/>
      <c r="AC46" s="161"/>
      <c r="AD46" s="161"/>
      <c r="AE46" s="161"/>
      <c r="AF46" s="161"/>
      <c r="AG46" s="161"/>
      <c r="AH46" s="161"/>
      <c r="AI46" s="162"/>
      <c r="AK46" s="144"/>
      <c r="AL46" s="145"/>
      <c r="AM46" s="145"/>
      <c r="AN46" s="145"/>
      <c r="AO46" s="145"/>
      <c r="AP46" s="145"/>
      <c r="AQ46" s="145"/>
      <c r="AR46" s="146"/>
      <c r="AT46" s="98"/>
      <c r="AU46" s="98"/>
      <c r="AV46" s="98"/>
      <c r="AW46" s="98"/>
      <c r="AX46" s="98"/>
      <c r="AY46" s="98"/>
      <c r="AZ46" s="98"/>
      <c r="BA46" s="98"/>
    </row>
    <row r="47" spans="1:53" x14ac:dyDescent="0.4">
      <c r="A47" s="98"/>
      <c r="B47" s="98"/>
      <c r="C47" s="98"/>
      <c r="D47" s="98"/>
      <c r="E47" s="98"/>
      <c r="F47" s="98"/>
      <c r="G47" s="98"/>
      <c r="H47" s="98"/>
      <c r="J47" s="98"/>
      <c r="K47" s="98"/>
      <c r="L47" s="98"/>
      <c r="M47" s="98"/>
      <c r="N47" s="98"/>
      <c r="O47" s="98"/>
      <c r="P47" s="98"/>
      <c r="Q47" s="98"/>
      <c r="S47" s="98"/>
      <c r="T47" s="98"/>
      <c r="U47" s="98"/>
      <c r="V47" s="98"/>
      <c r="W47" s="98"/>
      <c r="X47" s="98"/>
      <c r="Y47" s="98"/>
      <c r="Z47" s="98"/>
      <c r="AB47" s="160"/>
      <c r="AC47" s="161"/>
      <c r="AD47" s="161"/>
      <c r="AE47" s="161"/>
      <c r="AF47" s="161"/>
      <c r="AG47" s="161"/>
      <c r="AH47" s="161"/>
      <c r="AI47" s="162"/>
      <c r="AK47" s="144"/>
      <c r="AL47" s="145"/>
      <c r="AM47" s="145"/>
      <c r="AN47" s="145"/>
      <c r="AO47" s="145"/>
      <c r="AP47" s="145"/>
      <c r="AQ47" s="145"/>
      <c r="AR47" s="146"/>
      <c r="AT47" s="98"/>
      <c r="AU47" s="98"/>
      <c r="AV47" s="98"/>
      <c r="AW47" s="98"/>
      <c r="AX47" s="98"/>
      <c r="AY47" s="98"/>
      <c r="AZ47" s="98"/>
      <c r="BA47" s="98"/>
    </row>
    <row r="48" spans="1:53" x14ac:dyDescent="0.4">
      <c r="A48" s="98"/>
      <c r="B48" s="98"/>
      <c r="C48" s="98"/>
      <c r="D48" s="98"/>
      <c r="E48" s="98"/>
      <c r="F48" s="98"/>
      <c r="G48" s="98"/>
      <c r="H48" s="98"/>
      <c r="J48" s="98"/>
      <c r="K48" s="98"/>
      <c r="L48" s="98"/>
      <c r="M48" s="98"/>
      <c r="N48" s="98"/>
      <c r="O48" s="98"/>
      <c r="P48" s="98"/>
      <c r="Q48" s="98"/>
      <c r="S48" s="98"/>
      <c r="T48" s="98"/>
      <c r="U48" s="98"/>
      <c r="V48" s="98"/>
      <c r="W48" s="98"/>
      <c r="X48" s="98"/>
      <c r="Y48" s="98"/>
      <c r="Z48" s="98"/>
      <c r="AB48" s="160"/>
      <c r="AC48" s="161"/>
      <c r="AD48" s="161"/>
      <c r="AE48" s="161"/>
      <c r="AF48" s="161"/>
      <c r="AG48" s="161"/>
      <c r="AH48" s="161"/>
      <c r="AI48" s="162"/>
      <c r="AK48" s="144"/>
      <c r="AL48" s="145"/>
      <c r="AM48" s="145"/>
      <c r="AN48" s="145"/>
      <c r="AO48" s="145"/>
      <c r="AP48" s="145"/>
      <c r="AQ48" s="145"/>
      <c r="AR48" s="146"/>
      <c r="AT48" s="98"/>
      <c r="AU48" s="98"/>
      <c r="AV48" s="98"/>
      <c r="AW48" s="98"/>
      <c r="AX48" s="98"/>
      <c r="AY48" s="98"/>
      <c r="AZ48" s="98"/>
      <c r="BA48" s="98"/>
    </row>
    <row r="49" spans="1:53" x14ac:dyDescent="0.4">
      <c r="A49" s="98"/>
      <c r="B49" s="98"/>
      <c r="C49" s="98"/>
      <c r="D49" s="98"/>
      <c r="E49" s="98"/>
      <c r="F49" s="98"/>
      <c r="G49" s="98"/>
      <c r="H49" s="98"/>
      <c r="J49" s="98"/>
      <c r="K49" s="98"/>
      <c r="L49" s="98"/>
      <c r="M49" s="98"/>
      <c r="N49" s="98"/>
      <c r="O49" s="98"/>
      <c r="P49" s="98"/>
      <c r="Q49" s="98"/>
      <c r="S49" s="98"/>
      <c r="T49" s="98"/>
      <c r="U49" s="98"/>
      <c r="V49" s="98"/>
      <c r="W49" s="98"/>
      <c r="X49" s="98"/>
      <c r="Y49" s="98"/>
      <c r="Z49" s="98"/>
      <c r="AB49" s="160"/>
      <c r="AC49" s="161"/>
      <c r="AD49" s="161"/>
      <c r="AE49" s="161"/>
      <c r="AF49" s="161"/>
      <c r="AG49" s="161"/>
      <c r="AH49" s="161"/>
      <c r="AI49" s="162"/>
      <c r="AK49" s="144"/>
      <c r="AL49" s="145"/>
      <c r="AM49" s="145"/>
      <c r="AN49" s="145"/>
      <c r="AO49" s="145"/>
      <c r="AP49" s="145"/>
      <c r="AQ49" s="145"/>
      <c r="AR49" s="146"/>
      <c r="AT49" s="98"/>
      <c r="AU49" s="98"/>
      <c r="AV49" s="98"/>
      <c r="AW49" s="98"/>
      <c r="AX49" s="98"/>
      <c r="AY49" s="98"/>
      <c r="AZ49" s="98"/>
      <c r="BA49" s="98"/>
    </row>
    <row r="50" spans="1:53" x14ac:dyDescent="0.4">
      <c r="A50" s="98"/>
      <c r="B50" s="98"/>
      <c r="C50" s="98"/>
      <c r="D50" s="98"/>
      <c r="E50" s="98"/>
      <c r="F50" s="98"/>
      <c r="G50" s="98"/>
      <c r="H50" s="98"/>
      <c r="J50" s="98"/>
      <c r="K50" s="98"/>
      <c r="L50" s="98"/>
      <c r="M50" s="98"/>
      <c r="N50" s="98"/>
      <c r="O50" s="98"/>
      <c r="P50" s="98"/>
      <c r="Q50" s="98"/>
      <c r="S50" s="98"/>
      <c r="T50" s="98"/>
      <c r="U50" s="98"/>
      <c r="V50" s="98"/>
      <c r="W50" s="98"/>
      <c r="X50" s="98"/>
      <c r="Y50" s="98"/>
      <c r="Z50" s="98"/>
      <c r="AB50" s="160"/>
      <c r="AC50" s="161"/>
      <c r="AD50" s="161"/>
      <c r="AE50" s="161"/>
      <c r="AF50" s="161"/>
      <c r="AG50" s="161"/>
      <c r="AH50" s="161"/>
      <c r="AI50" s="162"/>
      <c r="AK50" s="144"/>
      <c r="AL50" s="145"/>
      <c r="AM50" s="145"/>
      <c r="AN50" s="145"/>
      <c r="AO50" s="145"/>
      <c r="AP50" s="145"/>
      <c r="AQ50" s="145"/>
      <c r="AR50" s="146"/>
      <c r="AT50" s="98"/>
      <c r="AU50" s="98"/>
      <c r="AV50" s="98"/>
      <c r="AW50" s="98"/>
      <c r="AX50" s="98"/>
      <c r="AY50" s="98"/>
      <c r="AZ50" s="98"/>
      <c r="BA50" s="98"/>
    </row>
    <row r="51" spans="1:53" x14ac:dyDescent="0.4">
      <c r="A51" s="98"/>
      <c r="B51" s="98"/>
      <c r="C51" s="98"/>
      <c r="D51" s="98"/>
      <c r="E51" s="98"/>
      <c r="F51" s="98"/>
      <c r="G51" s="98"/>
      <c r="H51" s="98"/>
      <c r="J51" s="98"/>
      <c r="K51" s="98"/>
      <c r="L51" s="98"/>
      <c r="M51" s="98"/>
      <c r="N51" s="98"/>
      <c r="O51" s="98"/>
      <c r="P51" s="98"/>
      <c r="Q51" s="98"/>
      <c r="S51" s="98"/>
      <c r="T51" s="98"/>
      <c r="U51" s="98"/>
      <c r="V51" s="98"/>
      <c r="W51" s="98"/>
      <c r="X51" s="98"/>
      <c r="Y51" s="98"/>
      <c r="Z51" s="98"/>
      <c r="AB51" s="163"/>
      <c r="AC51" s="164"/>
      <c r="AD51" s="164"/>
      <c r="AE51" s="164"/>
      <c r="AF51" s="164"/>
      <c r="AG51" s="164"/>
      <c r="AH51" s="164"/>
      <c r="AI51" s="165"/>
      <c r="AK51" s="147"/>
      <c r="AL51" s="148"/>
      <c r="AM51" s="148"/>
      <c r="AN51" s="148"/>
      <c r="AO51" s="148"/>
      <c r="AP51" s="148"/>
      <c r="AQ51" s="148"/>
      <c r="AR51" s="149"/>
      <c r="AT51" s="98"/>
      <c r="AU51" s="98"/>
      <c r="AV51" s="98"/>
      <c r="AW51" s="98"/>
      <c r="AX51" s="98"/>
      <c r="AY51" s="98"/>
      <c r="AZ51" s="98"/>
      <c r="BA51" s="98"/>
    </row>
    <row r="52" spans="1:53" x14ac:dyDescent="0.4">
      <c r="A52" s="71" t="s">
        <v>335</v>
      </c>
      <c r="B52" s="71"/>
      <c r="C52" s="71"/>
      <c r="D52" s="71"/>
      <c r="E52" s="71"/>
      <c r="F52" s="71"/>
      <c r="G52" s="71"/>
      <c r="H52" s="6" t="str">
        <f>IF(COUNTIF(H53:H56,"="&amp;IncompleteText),IncompleteText,IF(COUNTIF(H53:H55,"="&amp;ErrorText),ErrorText,OKText))</f>
        <v>OK</v>
      </c>
      <c r="J52" s="71" t="s">
        <v>336</v>
      </c>
      <c r="K52" s="71"/>
      <c r="L52" s="71"/>
      <c r="M52" s="71"/>
      <c r="N52" s="71"/>
      <c r="O52" s="71"/>
      <c r="P52" s="71"/>
      <c r="Q52" s="6" t="str">
        <f>IF(COUNTIF(Q53:Q55,"="&amp;IncompleteText),IncompleteText,IF(COUNTIF(Q53:Q55,"="&amp;ErrorText),ErrorText,OKText))</f>
        <v>OK</v>
      </c>
      <c r="S52" s="71" t="s">
        <v>337</v>
      </c>
      <c r="T52" s="71"/>
      <c r="U52" s="71"/>
      <c r="V52" s="71"/>
      <c r="W52" s="71"/>
      <c r="X52" s="71"/>
      <c r="Y52" s="71"/>
      <c r="Z52" s="6" t="str">
        <f>IF(COUNTIF(Z53:Z54,"="&amp;IncompleteText),IncompleteText,IF(COUNTIF(Z53:Z54,"="&amp;ErrorText),ErrorText,OKText))</f>
        <v>OK</v>
      </c>
      <c r="AB52" s="89" t="s">
        <v>338</v>
      </c>
      <c r="AC52" s="89"/>
      <c r="AD52" s="89"/>
      <c r="AE52" s="89"/>
      <c r="AF52" s="89"/>
      <c r="AG52" s="89"/>
      <c r="AH52" s="89"/>
      <c r="AI52" s="6" t="str">
        <f>IF(COUNTIF(AI53,"="&amp;IncompleteText),IncompleteText,IF(COUNTIF(AI53,"="&amp;ErrorText),ErrorText,OKText))</f>
        <v>OK</v>
      </c>
      <c r="AK52" s="89" t="s">
        <v>341</v>
      </c>
      <c r="AL52" s="89"/>
      <c r="AM52" s="89"/>
      <c r="AN52" s="89"/>
      <c r="AO52" s="89"/>
      <c r="AP52" s="89"/>
      <c r="AQ52" s="89"/>
      <c r="AR52" s="6" t="str">
        <f>IF(COUNTIF(AR53,"="&amp;IncompleteText),IncompleteText,IF(COUNTIF(AR53,"="&amp;ErrorText),ErrorText,OKText))</f>
        <v>OK</v>
      </c>
      <c r="AT52" s="71" t="s">
        <v>342</v>
      </c>
      <c r="AU52" s="71"/>
      <c r="AV52" s="71"/>
      <c r="AW52" s="71"/>
      <c r="AX52" s="71"/>
      <c r="AY52" s="71"/>
      <c r="AZ52" s="71"/>
      <c r="BA52" s="6" t="str">
        <f>IF(COUNTIF(BA53,"="&amp;IncompleteText),IncompleteText,IF(COUNTIF(BA53,"="&amp;ErrorText),ErrorText,OKText))</f>
        <v>OK</v>
      </c>
    </row>
    <row r="53" spans="1:53" s="27" customFormat="1" ht="37.5" customHeight="1" x14ac:dyDescent="0.4">
      <c r="A53" s="122" t="s">
        <v>343</v>
      </c>
      <c r="B53" s="122"/>
      <c r="C53" s="122"/>
      <c r="D53" s="122"/>
      <c r="E53" s="122"/>
      <c r="F53" s="122"/>
      <c r="G53" s="28" t="b">
        <v>1</v>
      </c>
      <c r="H53" s="8" t="str">
        <f>IF(ISBLANK(G53),IncompleteText,IF(G53,OKText,ErrorText))</f>
        <v>OK</v>
      </c>
      <c r="J53" s="122" t="s">
        <v>344</v>
      </c>
      <c r="K53" s="122"/>
      <c r="L53" s="122"/>
      <c r="M53" s="122"/>
      <c r="N53" s="122"/>
      <c r="O53" s="123"/>
      <c r="P53" s="28" t="b">
        <v>1</v>
      </c>
      <c r="Q53" s="8" t="str">
        <f>IF(ISBLANK(P53),IncompleteText,IF(P53,OKText,ErrorText))</f>
        <v>OK</v>
      </c>
      <c r="S53" s="124" t="s">
        <v>345</v>
      </c>
      <c r="T53" s="124"/>
      <c r="U53" s="124"/>
      <c r="V53" s="124"/>
      <c r="W53" s="124"/>
      <c r="X53" s="125"/>
      <c r="Y53" s="28" t="b">
        <v>1</v>
      </c>
      <c r="Z53" s="8" t="str">
        <f>IF(ISBLANK(Y53),IncompleteText,IF(Y53,OKText,ErrorText))</f>
        <v>OK</v>
      </c>
      <c r="AB53" s="99" t="s">
        <v>346</v>
      </c>
      <c r="AC53" s="99"/>
      <c r="AD53" s="99"/>
      <c r="AE53" s="99"/>
      <c r="AF53" s="99"/>
      <c r="AG53" s="100"/>
      <c r="AH53" s="28" t="b">
        <v>1</v>
      </c>
      <c r="AI53" s="8" t="str">
        <f>IF(ISBLANK(AH53),IncompleteText,IF(AH53,OKText,ErrorText))</f>
        <v>OK</v>
      </c>
      <c r="AK53" s="99" t="s">
        <v>347</v>
      </c>
      <c r="AL53" s="99"/>
      <c r="AM53" s="99"/>
      <c r="AN53" s="99"/>
      <c r="AO53" s="99"/>
      <c r="AP53" s="100"/>
      <c r="AQ53" s="28" t="b">
        <v>1</v>
      </c>
      <c r="AR53" s="8" t="str">
        <f>IF(ISBLANK(AQ53),IncompleteText,IF(AQ53,OKText,ErrorText))</f>
        <v>OK</v>
      </c>
      <c r="AT53" s="99" t="s">
        <v>348</v>
      </c>
      <c r="AU53" s="99"/>
      <c r="AV53" s="99"/>
      <c r="AW53" s="99"/>
      <c r="AX53" s="99"/>
      <c r="AY53" s="100"/>
      <c r="AZ53" s="28" t="b">
        <v>1</v>
      </c>
      <c r="BA53" s="8" t="str">
        <f>IF(ISBLANK(AZ53),IncompleteText,IF(AZ53,OKText,ErrorText))</f>
        <v>OK</v>
      </c>
    </row>
    <row r="54" spans="1:53" ht="27.75" x14ac:dyDescent="0.4">
      <c r="A54" s="72" t="s">
        <v>349</v>
      </c>
      <c r="B54" s="72"/>
      <c r="C54" s="72"/>
      <c r="D54" s="72"/>
      <c r="E54" s="72"/>
      <c r="F54" s="72"/>
      <c r="G54" s="18" t="b">
        <v>1</v>
      </c>
      <c r="H54" s="6" t="str">
        <f>IF(ISBLANK(G54),IncompleteText,IF(G54,OKText,ErrorText))</f>
        <v>OK</v>
      </c>
      <c r="J54" s="72" t="s">
        <v>350</v>
      </c>
      <c r="K54" s="72"/>
      <c r="L54" s="72"/>
      <c r="M54" s="72"/>
      <c r="N54" s="72"/>
      <c r="O54" s="74"/>
      <c r="P54" s="18" t="b">
        <v>1</v>
      </c>
      <c r="Q54" s="6" t="str">
        <f>IF(ISBLANK(P54),IncompleteText,IF(P54,OKText,ErrorText))</f>
        <v>OK</v>
      </c>
      <c r="S54" s="126" t="s">
        <v>351</v>
      </c>
      <c r="T54" s="126"/>
      <c r="U54" s="126"/>
      <c r="V54" s="126"/>
      <c r="W54" s="126"/>
      <c r="X54" s="127"/>
      <c r="Y54" s="18" t="b">
        <v>1</v>
      </c>
      <c r="Z54" s="6" t="str">
        <f>IF(ISBLANK(Y54),IncompleteText,IF(Y54,OKText,ErrorText))</f>
        <v>OK</v>
      </c>
      <c r="AB54" s="128" t="s">
        <v>267</v>
      </c>
      <c r="AC54" s="128"/>
      <c r="AD54" s="128"/>
      <c r="AE54" s="128"/>
      <c r="AF54" s="128"/>
      <c r="AG54" s="128"/>
      <c r="AH54" s="129"/>
      <c r="AI54" s="40" t="s">
        <v>352</v>
      </c>
      <c r="AK54" s="128" t="s">
        <v>267</v>
      </c>
      <c r="AL54" s="128"/>
      <c r="AM54" s="128"/>
      <c r="AN54" s="128"/>
      <c r="AO54" s="128"/>
      <c r="AP54" s="128"/>
      <c r="AQ54" s="129"/>
      <c r="AR54" s="40" t="s">
        <v>352</v>
      </c>
      <c r="AT54" s="71" t="s">
        <v>267</v>
      </c>
      <c r="AU54" s="71"/>
      <c r="AV54" s="71"/>
      <c r="AW54" s="71"/>
      <c r="AX54" s="71"/>
      <c r="AY54" s="71"/>
      <c r="AZ54" s="71"/>
      <c r="BA54" s="40" t="s">
        <v>352</v>
      </c>
    </row>
    <row r="55" spans="1:53" ht="27.75" customHeight="1" x14ac:dyDescent="0.4">
      <c r="A55" s="72" t="s">
        <v>353</v>
      </c>
      <c r="B55" s="72"/>
      <c r="C55" s="72"/>
      <c r="D55" s="72"/>
      <c r="E55" s="72"/>
      <c r="F55" s="72"/>
      <c r="G55" s="18" t="b">
        <v>1</v>
      </c>
      <c r="H55" s="6" t="str">
        <f>IF(ISBLANK(G55),IncompleteText,IF(G55,OKText,ErrorText))</f>
        <v>OK</v>
      </c>
      <c r="J55" s="126" t="s">
        <v>354</v>
      </c>
      <c r="K55" s="126"/>
      <c r="L55" s="126"/>
      <c r="M55" s="126"/>
      <c r="N55" s="126"/>
      <c r="O55" s="127"/>
      <c r="P55" s="18" t="b">
        <v>1</v>
      </c>
      <c r="Q55" s="6" t="str">
        <f>IF(ISBLANK(P55),IncompleteText,IF(P55,OKText,ErrorText))</f>
        <v>OK</v>
      </c>
      <c r="S55" s="54" t="s">
        <v>267</v>
      </c>
      <c r="T55" s="54"/>
      <c r="U55" s="54"/>
      <c r="V55" s="54"/>
      <c r="W55" s="54"/>
      <c r="X55" s="54"/>
      <c r="Y55" s="54"/>
      <c r="Z55" s="135" t="s">
        <v>352</v>
      </c>
      <c r="AB55" s="150"/>
      <c r="AC55" s="95"/>
      <c r="AD55" s="95"/>
      <c r="AE55" s="95"/>
      <c r="AF55" s="95"/>
      <c r="AG55" s="95"/>
      <c r="AH55" s="151"/>
      <c r="AI55" s="131" t="s">
        <v>355</v>
      </c>
      <c r="AK55" s="150"/>
      <c r="AL55" s="95"/>
      <c r="AM55" s="95"/>
      <c r="AN55" s="95"/>
      <c r="AO55" s="95"/>
      <c r="AP55" s="95"/>
      <c r="AQ55" s="151"/>
      <c r="AR55" s="131" t="s">
        <v>356</v>
      </c>
      <c r="AT55" s="140"/>
      <c r="AU55" s="140"/>
      <c r="AV55" s="140"/>
      <c r="AW55" s="140"/>
      <c r="AX55" s="140"/>
      <c r="AY55" s="140"/>
      <c r="AZ55" s="140"/>
      <c r="BA55" s="138" t="s">
        <v>357</v>
      </c>
    </row>
    <row r="56" spans="1:53" ht="23" customHeight="1" x14ac:dyDescent="0.4">
      <c r="A56" s="72" t="s">
        <v>358</v>
      </c>
      <c r="B56" s="72"/>
      <c r="C56" s="72"/>
      <c r="D56" s="72"/>
      <c r="E56" s="72"/>
      <c r="F56" s="74"/>
      <c r="G56" s="18" t="b">
        <v>1</v>
      </c>
      <c r="H56" s="6" t="str">
        <f>IF(ISBLANK(G56),IncompleteText,IF(G56,OKText,ErrorText))</f>
        <v>OK</v>
      </c>
      <c r="J56" s="72" t="s">
        <v>359</v>
      </c>
      <c r="K56" s="72"/>
      <c r="L56" s="72"/>
      <c r="M56" s="72"/>
      <c r="N56" s="72"/>
      <c r="O56" s="74"/>
      <c r="P56" s="18" t="b">
        <v>1</v>
      </c>
      <c r="Q56" s="6" t="s">
        <v>360</v>
      </c>
      <c r="S56" s="166"/>
      <c r="T56" s="166"/>
      <c r="U56" s="166"/>
      <c r="V56" s="166"/>
      <c r="W56" s="166"/>
      <c r="X56" s="166"/>
      <c r="Y56" s="166"/>
      <c r="Z56" s="136"/>
      <c r="AB56" s="152"/>
      <c r="AC56" s="96"/>
      <c r="AD56" s="96"/>
      <c r="AE56" s="96"/>
      <c r="AF56" s="96"/>
      <c r="AG56" s="96"/>
      <c r="AH56" s="153"/>
      <c r="AI56" s="131"/>
      <c r="AK56" s="152"/>
      <c r="AL56" s="96"/>
      <c r="AM56" s="96"/>
      <c r="AN56" s="96"/>
      <c r="AO56" s="96"/>
      <c r="AP56" s="96"/>
      <c r="AQ56" s="153"/>
      <c r="AR56" s="131"/>
      <c r="AT56" s="140"/>
      <c r="AU56" s="140"/>
      <c r="AV56" s="140"/>
      <c r="AW56" s="140"/>
      <c r="AX56" s="140"/>
      <c r="AY56" s="140"/>
      <c r="AZ56" s="140"/>
      <c r="BA56" s="138"/>
    </row>
    <row r="57" spans="1:53" x14ac:dyDescent="0.4">
      <c r="A57" s="71" t="s">
        <v>267</v>
      </c>
      <c r="B57" s="71"/>
      <c r="C57" s="71"/>
      <c r="D57" s="71"/>
      <c r="E57" s="71"/>
      <c r="F57" s="71"/>
      <c r="G57" s="71"/>
      <c r="H57" s="37" t="s">
        <v>352</v>
      </c>
      <c r="J57" s="71" t="s">
        <v>267</v>
      </c>
      <c r="K57" s="71"/>
      <c r="L57" s="71"/>
      <c r="M57" s="71"/>
      <c r="N57" s="71"/>
      <c r="O57" s="71"/>
      <c r="P57" s="71"/>
      <c r="Q57" s="37" t="s">
        <v>352</v>
      </c>
      <c r="S57" s="140"/>
      <c r="T57" s="140"/>
      <c r="U57" s="140"/>
      <c r="V57" s="140"/>
      <c r="W57" s="140"/>
      <c r="X57" s="140"/>
      <c r="Y57" s="140"/>
      <c r="Z57" s="137" t="s">
        <v>361</v>
      </c>
      <c r="AB57" s="152"/>
      <c r="AC57" s="96"/>
      <c r="AD57" s="96"/>
      <c r="AE57" s="96"/>
      <c r="AF57" s="96"/>
      <c r="AG57" s="96"/>
      <c r="AH57" s="153"/>
      <c r="AI57" s="131"/>
      <c r="AK57" s="152"/>
      <c r="AL57" s="96"/>
      <c r="AM57" s="96"/>
      <c r="AN57" s="96"/>
      <c r="AO57" s="96"/>
      <c r="AP57" s="96"/>
      <c r="AQ57" s="153"/>
      <c r="AR57" s="131"/>
      <c r="AT57" s="140"/>
      <c r="AU57" s="140"/>
      <c r="AV57" s="140"/>
      <c r="AW57" s="140"/>
      <c r="AX57" s="140"/>
      <c r="AY57" s="140"/>
      <c r="AZ57" s="140"/>
      <c r="BA57" s="138"/>
    </row>
    <row r="58" spans="1:53" x14ac:dyDescent="0.4">
      <c r="A58" s="139"/>
      <c r="B58" s="139"/>
      <c r="C58" s="139"/>
      <c r="D58" s="139"/>
      <c r="E58" s="139"/>
      <c r="F58" s="139"/>
      <c r="G58" s="139"/>
      <c r="H58" s="131" t="s">
        <v>362</v>
      </c>
      <c r="J58" s="139"/>
      <c r="K58" s="139"/>
      <c r="L58" s="139"/>
      <c r="M58" s="139"/>
      <c r="N58" s="139"/>
      <c r="O58" s="139"/>
      <c r="P58" s="139"/>
      <c r="Q58" s="132" t="s">
        <v>363</v>
      </c>
      <c r="S58" s="140"/>
      <c r="T58" s="140"/>
      <c r="U58" s="140"/>
      <c r="V58" s="140"/>
      <c r="W58" s="140"/>
      <c r="X58" s="140"/>
      <c r="Y58" s="140"/>
      <c r="Z58" s="137"/>
      <c r="AB58" s="152"/>
      <c r="AC58" s="96"/>
      <c r="AD58" s="96"/>
      <c r="AE58" s="96"/>
      <c r="AF58" s="96"/>
      <c r="AG58" s="96"/>
      <c r="AH58" s="153"/>
      <c r="AI58" s="131"/>
      <c r="AK58" s="152"/>
      <c r="AL58" s="96"/>
      <c r="AM58" s="96"/>
      <c r="AN58" s="96"/>
      <c r="AO58" s="96"/>
      <c r="AP58" s="96"/>
      <c r="AQ58" s="153"/>
      <c r="AR58" s="131"/>
      <c r="AT58" s="140"/>
      <c r="AU58" s="140"/>
      <c r="AV58" s="140"/>
      <c r="AW58" s="140"/>
      <c r="AX58" s="140"/>
      <c r="AY58" s="140"/>
      <c r="AZ58" s="140"/>
      <c r="BA58" s="138"/>
    </row>
    <row r="59" spans="1:53" x14ac:dyDescent="0.4">
      <c r="A59" s="139"/>
      <c r="B59" s="139"/>
      <c r="C59" s="139"/>
      <c r="D59" s="139"/>
      <c r="E59" s="139"/>
      <c r="F59" s="139"/>
      <c r="G59" s="139"/>
      <c r="H59" s="131"/>
      <c r="J59" s="139"/>
      <c r="K59" s="139"/>
      <c r="L59" s="139"/>
      <c r="M59" s="139"/>
      <c r="N59" s="139"/>
      <c r="O59" s="139"/>
      <c r="P59" s="139"/>
      <c r="Q59" s="133"/>
      <c r="S59" s="140"/>
      <c r="T59" s="140"/>
      <c r="U59" s="140"/>
      <c r="V59" s="140"/>
      <c r="W59" s="140"/>
      <c r="X59" s="140"/>
      <c r="Y59" s="140"/>
      <c r="Z59" s="137"/>
      <c r="AB59" s="154"/>
      <c r="AC59" s="155"/>
      <c r="AD59" s="155"/>
      <c r="AE59" s="155"/>
      <c r="AF59" s="155"/>
      <c r="AG59" s="155"/>
      <c r="AH59" s="156"/>
      <c r="AI59" s="131"/>
      <c r="AK59" s="154"/>
      <c r="AL59" s="155"/>
      <c r="AM59" s="155"/>
      <c r="AN59" s="155"/>
      <c r="AO59" s="155"/>
      <c r="AP59" s="155"/>
      <c r="AQ59" s="156"/>
      <c r="AR59" s="131"/>
      <c r="AT59" s="140"/>
      <c r="AU59" s="140"/>
      <c r="AV59" s="140"/>
      <c r="AW59" s="140"/>
      <c r="AX59" s="140"/>
      <c r="AY59" s="140"/>
      <c r="AZ59" s="140"/>
      <c r="BA59" s="138"/>
    </row>
    <row r="60" spans="1:53" x14ac:dyDescent="0.4">
      <c r="A60" s="139"/>
      <c r="B60" s="139"/>
      <c r="C60" s="139"/>
      <c r="D60" s="139"/>
      <c r="E60" s="139"/>
      <c r="F60" s="139"/>
      <c r="G60" s="139"/>
      <c r="H60" s="131"/>
      <c r="J60" s="139"/>
      <c r="K60" s="139"/>
      <c r="L60" s="139"/>
      <c r="M60" s="139"/>
      <c r="N60" s="139"/>
      <c r="O60" s="139"/>
      <c r="P60" s="139"/>
      <c r="Q60" s="134"/>
      <c r="S60" s="140"/>
      <c r="T60" s="140"/>
      <c r="U60" s="140"/>
      <c r="V60" s="140"/>
      <c r="W60" s="140"/>
      <c r="X60" s="140"/>
      <c r="Y60" s="140"/>
      <c r="Z60" s="137"/>
    </row>
    <row r="64" spans="1:53" x14ac:dyDescent="0.4">
      <c r="A64" s="98" t="s">
        <v>364</v>
      </c>
      <c r="B64" s="98"/>
      <c r="C64" s="98"/>
      <c r="D64" s="98"/>
      <c r="E64" s="98"/>
      <c r="F64" s="98"/>
      <c r="G64" s="98"/>
      <c r="H64" s="98"/>
    </row>
    <row r="65" spans="1:8" x14ac:dyDescent="0.4">
      <c r="A65" s="98"/>
      <c r="B65" s="98"/>
      <c r="C65" s="98"/>
      <c r="D65" s="98"/>
      <c r="E65" s="98"/>
      <c r="F65" s="98"/>
      <c r="G65" s="98"/>
      <c r="H65" s="98"/>
    </row>
    <row r="66" spans="1:8" x14ac:dyDescent="0.4">
      <c r="A66" s="98"/>
      <c r="B66" s="98"/>
      <c r="C66" s="98"/>
      <c r="D66" s="98"/>
      <c r="E66" s="98"/>
      <c r="F66" s="98"/>
      <c r="G66" s="98"/>
      <c r="H66" s="98"/>
    </row>
    <row r="67" spans="1:8" x14ac:dyDescent="0.4">
      <c r="A67" s="98"/>
      <c r="B67" s="98"/>
      <c r="C67" s="98"/>
      <c r="D67" s="98"/>
      <c r="E67" s="98"/>
      <c r="F67" s="98"/>
      <c r="G67" s="98"/>
      <c r="H67" s="98"/>
    </row>
    <row r="68" spans="1:8" x14ac:dyDescent="0.4">
      <c r="A68" s="98"/>
      <c r="B68" s="98"/>
      <c r="C68" s="98"/>
      <c r="D68" s="98"/>
      <c r="E68" s="98"/>
      <c r="F68" s="98"/>
      <c r="G68" s="98"/>
      <c r="H68" s="98"/>
    </row>
    <row r="69" spans="1:8" x14ac:dyDescent="0.4">
      <c r="A69" s="98"/>
      <c r="B69" s="98"/>
      <c r="C69" s="98"/>
      <c r="D69" s="98"/>
      <c r="E69" s="98"/>
      <c r="F69" s="98"/>
      <c r="G69" s="98"/>
      <c r="H69" s="98"/>
    </row>
    <row r="70" spans="1:8" x14ac:dyDescent="0.4">
      <c r="A70" s="98"/>
      <c r="B70" s="98"/>
      <c r="C70" s="98"/>
      <c r="D70" s="98"/>
      <c r="E70" s="98"/>
      <c r="F70" s="98"/>
      <c r="G70" s="98"/>
      <c r="H70" s="98"/>
    </row>
    <row r="71" spans="1:8" x14ac:dyDescent="0.4">
      <c r="A71" s="98"/>
      <c r="B71" s="98"/>
      <c r="C71" s="98"/>
      <c r="D71" s="98"/>
      <c r="E71" s="98"/>
      <c r="F71" s="98"/>
      <c r="G71" s="98"/>
      <c r="H71" s="98"/>
    </row>
    <row r="72" spans="1:8" x14ac:dyDescent="0.4">
      <c r="A72" s="98"/>
      <c r="B72" s="98"/>
      <c r="C72" s="98"/>
      <c r="D72" s="98"/>
      <c r="E72" s="98"/>
      <c r="F72" s="98"/>
      <c r="G72" s="98"/>
      <c r="H72" s="98"/>
    </row>
    <row r="73" spans="1:8" x14ac:dyDescent="0.4">
      <c r="A73" s="98"/>
      <c r="B73" s="98"/>
      <c r="C73" s="98"/>
      <c r="D73" s="98"/>
      <c r="E73" s="98"/>
      <c r="F73" s="98"/>
      <c r="G73" s="98"/>
      <c r="H73" s="98"/>
    </row>
    <row r="74" spans="1:8" x14ac:dyDescent="0.4">
      <c r="A74" s="98"/>
      <c r="B74" s="98"/>
      <c r="C74" s="98"/>
      <c r="D74" s="98"/>
      <c r="E74" s="98"/>
      <c r="F74" s="98"/>
      <c r="G74" s="98"/>
      <c r="H74" s="98"/>
    </row>
    <row r="75" spans="1:8" x14ac:dyDescent="0.4">
      <c r="A75" s="98"/>
      <c r="B75" s="98"/>
      <c r="C75" s="98"/>
      <c r="D75" s="98"/>
      <c r="E75" s="98"/>
      <c r="F75" s="98"/>
      <c r="G75" s="98"/>
      <c r="H75" s="98"/>
    </row>
    <row r="76" spans="1:8" x14ac:dyDescent="0.4">
      <c r="A76" s="98"/>
      <c r="B76" s="98"/>
      <c r="C76" s="98"/>
      <c r="D76" s="98"/>
      <c r="E76" s="98"/>
      <c r="F76" s="98"/>
      <c r="G76" s="98"/>
      <c r="H76" s="98"/>
    </row>
    <row r="77" spans="1:8" x14ac:dyDescent="0.4">
      <c r="A77" s="98"/>
      <c r="B77" s="98"/>
      <c r="C77" s="98"/>
      <c r="D77" s="98"/>
      <c r="E77" s="98"/>
      <c r="F77" s="98"/>
      <c r="G77" s="98"/>
      <c r="H77" s="98"/>
    </row>
    <row r="78" spans="1:8" x14ac:dyDescent="0.4">
      <c r="A78" s="98"/>
      <c r="B78" s="98"/>
      <c r="C78" s="98"/>
      <c r="D78" s="98"/>
      <c r="E78" s="98"/>
      <c r="F78" s="98"/>
      <c r="G78" s="98"/>
      <c r="H78" s="98"/>
    </row>
    <row r="79" spans="1:8" x14ac:dyDescent="0.4">
      <c r="A79" s="98"/>
      <c r="B79" s="98"/>
      <c r="C79" s="98"/>
      <c r="D79" s="98"/>
      <c r="E79" s="98"/>
      <c r="F79" s="98"/>
      <c r="G79" s="98"/>
      <c r="H79" s="98"/>
    </row>
    <row r="80" spans="1:8" x14ac:dyDescent="0.4">
      <c r="A80" s="98"/>
      <c r="B80" s="98"/>
      <c r="C80" s="98"/>
      <c r="D80" s="98"/>
      <c r="E80" s="98"/>
      <c r="F80" s="98"/>
      <c r="G80" s="98"/>
      <c r="H80" s="98"/>
    </row>
    <row r="81" spans="1:8" x14ac:dyDescent="0.4">
      <c r="A81" s="98"/>
      <c r="B81" s="98"/>
      <c r="C81" s="98"/>
      <c r="D81" s="98"/>
      <c r="E81" s="98"/>
      <c r="F81" s="98"/>
      <c r="G81" s="98"/>
      <c r="H81" s="98"/>
    </row>
    <row r="82" spans="1:8" x14ac:dyDescent="0.4">
      <c r="A82" s="98"/>
      <c r="B82" s="98"/>
      <c r="C82" s="98"/>
      <c r="D82" s="98"/>
      <c r="E82" s="98"/>
      <c r="F82" s="98"/>
      <c r="G82" s="98"/>
      <c r="H82" s="98"/>
    </row>
    <row r="83" spans="1:8" x14ac:dyDescent="0.4">
      <c r="A83" s="71" t="s">
        <v>364</v>
      </c>
      <c r="B83" s="71"/>
      <c r="C83" s="71"/>
      <c r="D83" s="71"/>
      <c r="E83" s="71"/>
      <c r="F83" s="71"/>
      <c r="G83" s="71"/>
      <c r="H83" s="6" t="str">
        <f>IF(COUNTIF(H84:H92,"="&amp;IncompleteText),IncompleteText,IF(COUNTIF(H84:H92,"="&amp;ErrorText),ErrorText,OKText))</f>
        <v>OK</v>
      </c>
    </row>
    <row r="84" spans="1:8" x14ac:dyDescent="0.4">
      <c r="A84" s="72" t="s">
        <v>365</v>
      </c>
      <c r="B84" s="72"/>
      <c r="C84" s="72"/>
      <c r="D84" s="72"/>
      <c r="E84" s="72"/>
      <c r="F84" s="72"/>
      <c r="G84" s="18" t="s">
        <v>366</v>
      </c>
      <c r="H84" s="6" t="str">
        <f>IF(ISBLANK(G84),IncompleteText,OKText)</f>
        <v>OK</v>
      </c>
    </row>
    <row r="85" spans="1:8" x14ac:dyDescent="0.4">
      <c r="A85" s="72" t="s">
        <v>367</v>
      </c>
      <c r="B85" s="72"/>
      <c r="C85" s="72"/>
      <c r="D85" s="72"/>
      <c r="E85" s="72"/>
      <c r="F85" s="74"/>
      <c r="G85" s="18">
        <v>3000</v>
      </c>
      <c r="H85" s="6" t="str">
        <f>IF(G$84="车队自制电路 Self-designed",OKText,IF(ISBLANK(G85),IncompleteText,IF(G85&gt;MaxTSVoltage,OKText,ErrorText)))</f>
        <v>OK</v>
      </c>
    </row>
    <row r="86" spans="1:8" x14ac:dyDescent="0.4">
      <c r="A86" s="72" t="s">
        <v>368</v>
      </c>
      <c r="B86" s="72"/>
      <c r="C86" s="72"/>
      <c r="D86" s="72"/>
      <c r="E86" s="72"/>
      <c r="F86" s="74"/>
      <c r="G86" s="18" t="s">
        <v>369</v>
      </c>
      <c r="H86" s="6" t="str">
        <f>IF(G$84="车队自制电路 Self-designed",OKText,IF(ISBLANK(G86),IncompleteText,OKText))</f>
        <v>OK</v>
      </c>
    </row>
    <row r="87" spans="1:8" x14ac:dyDescent="0.4">
      <c r="A87" s="72" t="s">
        <v>370</v>
      </c>
      <c r="B87" s="72"/>
      <c r="C87" s="72"/>
      <c r="D87" s="72"/>
      <c r="E87" s="72"/>
      <c r="F87" s="74"/>
      <c r="G87" s="18"/>
      <c r="H87" s="6" t="str">
        <f>IF(G$84="供应商采购 From suppliers",OKText,IF(ISBLANK(G87),IncompleteText,IF(G87,OKText,ErrorText)))</f>
        <v>OK</v>
      </c>
    </row>
    <row r="88" spans="1:8" ht="31.5" customHeight="1" x14ac:dyDescent="0.4">
      <c r="A88" s="126" t="s">
        <v>371</v>
      </c>
      <c r="B88" s="126"/>
      <c r="C88" s="126"/>
      <c r="D88" s="126"/>
      <c r="E88" s="126"/>
      <c r="F88" s="127"/>
      <c r="G88" s="18"/>
      <c r="H88" s="6" t="str">
        <f>IF(G$84="供应商采购 From suppliers",OKText,IF(ISBLANK(G88),IncompleteText,IF(ISBLANK(G88),ErrorText,OKText)))</f>
        <v>OK</v>
      </c>
    </row>
    <row r="89" spans="1:8" x14ac:dyDescent="0.4">
      <c r="A89" s="72" t="s">
        <v>372</v>
      </c>
      <c r="B89" s="72"/>
      <c r="C89" s="72"/>
      <c r="D89" s="72"/>
      <c r="E89" s="72"/>
      <c r="F89" s="74"/>
      <c r="G89" s="20"/>
      <c r="H89" s="6" t="str">
        <f>IF(G$84="供应商采购 From suppliers",OKText,IF(ISBLANK(G89),IncompleteText,OKText))</f>
        <v>OK</v>
      </c>
    </row>
    <row r="90" spans="1:8" x14ac:dyDescent="0.4">
      <c r="A90" s="72" t="s">
        <v>373</v>
      </c>
      <c r="B90" s="72"/>
      <c r="C90" s="72"/>
      <c r="D90" s="72"/>
      <c r="E90" s="72"/>
      <c r="F90" s="74"/>
      <c r="G90" s="18"/>
      <c r="H90" s="6" t="str">
        <f>IF(G$84="供应商采购 From suppliers",OKText,IF(ISBLANK(G90),IncompleteText,IF(ISBLANK(G90),ErrorText,OKText)))</f>
        <v>OK</v>
      </c>
    </row>
    <row r="91" spans="1:8" x14ac:dyDescent="0.4">
      <c r="A91" s="72" t="s">
        <v>374</v>
      </c>
      <c r="B91" s="72"/>
      <c r="C91" s="72"/>
      <c r="D91" s="72"/>
      <c r="E91" s="72"/>
      <c r="F91" s="74"/>
      <c r="G91" s="18" t="s">
        <v>109</v>
      </c>
      <c r="H91" s="6" t="str">
        <f>IF(ISBLANK(G91),IncompleteText,OKText)</f>
        <v>OK</v>
      </c>
    </row>
    <row r="92" spans="1:8" ht="29.25" customHeight="1" x14ac:dyDescent="0.4">
      <c r="A92" s="126" t="s">
        <v>375</v>
      </c>
      <c r="B92" s="126"/>
      <c r="C92" s="126"/>
      <c r="D92" s="126"/>
      <c r="E92" s="126"/>
      <c r="F92" s="127"/>
      <c r="G92" s="18" t="b">
        <v>1</v>
      </c>
      <c r="H92" s="6" t="str">
        <f>IF(ISBLANK(G92),IncompleteText,IF(G92,OKText,ErrorText))</f>
        <v>OK</v>
      </c>
    </row>
    <row r="94" spans="1:8" x14ac:dyDescent="0.4">
      <c r="A94" s="57" t="s">
        <v>376</v>
      </c>
      <c r="B94" s="57"/>
      <c r="C94" s="57"/>
      <c r="D94" s="57"/>
      <c r="E94" s="57"/>
      <c r="F94" s="57"/>
      <c r="G94" s="57"/>
    </row>
    <row r="95" spans="1:8" x14ac:dyDescent="0.4">
      <c r="A95" s="140"/>
      <c r="B95" s="140"/>
      <c r="C95" s="140"/>
      <c r="D95" s="140"/>
      <c r="E95" s="140"/>
      <c r="F95" s="140"/>
      <c r="G95" s="140"/>
    </row>
    <row r="96" spans="1:8" x14ac:dyDescent="0.4">
      <c r="A96" s="140"/>
      <c r="B96" s="140"/>
      <c r="C96" s="140"/>
      <c r="D96" s="140"/>
      <c r="E96" s="140"/>
      <c r="F96" s="140"/>
      <c r="G96" s="140"/>
    </row>
    <row r="97" spans="1:7" x14ac:dyDescent="0.4">
      <c r="A97" s="140"/>
      <c r="B97" s="140"/>
      <c r="C97" s="140"/>
      <c r="D97" s="140"/>
      <c r="E97" s="140"/>
      <c r="F97" s="140"/>
      <c r="G97" s="140"/>
    </row>
    <row r="98" spans="1:7" x14ac:dyDescent="0.4">
      <c r="A98" s="140"/>
      <c r="B98" s="140"/>
      <c r="C98" s="140"/>
      <c r="D98" s="140"/>
      <c r="E98" s="140"/>
      <c r="F98" s="140"/>
      <c r="G98" s="140"/>
    </row>
  </sheetData>
  <sheetProtection algorithmName="SHA-512" hashValue="BgyKkj6cfP8lZagLyCwnHNViLGLq/pQcQUwIJGkIEjstGQOIi4MsZFrfns6m3PXJ6fGqYYATbfRAjT+d9f4dKw==" saltValue="je/64q/hKkAprQmsBkCiWA==" spinCount="100000" sheet="1" scenarios="1" insertHyperlinks="0" selectLockedCells="1"/>
  <mergeCells count="185">
    <mergeCell ref="A95:G98"/>
    <mergeCell ref="A64:H82"/>
    <mergeCell ref="AK55:AQ59"/>
    <mergeCell ref="AT55:AZ59"/>
    <mergeCell ref="S55:Y56"/>
    <mergeCell ref="Q58:Q60"/>
    <mergeCell ref="Z55:Z56"/>
    <mergeCell ref="Z57:Z60"/>
    <mergeCell ref="AI55:AI59"/>
    <mergeCell ref="AR55:AR59"/>
    <mergeCell ref="BA55:BA59"/>
    <mergeCell ref="F10:G11"/>
    <mergeCell ref="H10:I11"/>
    <mergeCell ref="A33:H51"/>
    <mergeCell ref="J33:Q51"/>
    <mergeCell ref="J58:P60"/>
    <mergeCell ref="A58:G60"/>
    <mergeCell ref="S33:Z51"/>
    <mergeCell ref="S57:Y60"/>
    <mergeCell ref="AK33:AR51"/>
    <mergeCell ref="AT33:BA51"/>
    <mergeCell ref="AB55:AH59"/>
    <mergeCell ref="AM9:AS29"/>
    <mergeCell ref="AB33:AI51"/>
    <mergeCell ref="AU9:BA29"/>
    <mergeCell ref="A90:F90"/>
    <mergeCell ref="A91:F91"/>
    <mergeCell ref="A92:F92"/>
    <mergeCell ref="A94:G94"/>
    <mergeCell ref="A10:A11"/>
    <mergeCell ref="B10:B11"/>
    <mergeCell ref="C10:C11"/>
    <mergeCell ref="D10:D11"/>
    <mergeCell ref="E10:E11"/>
    <mergeCell ref="A57:G57"/>
    <mergeCell ref="J57:P57"/>
    <mergeCell ref="A83:G83"/>
    <mergeCell ref="A84:F84"/>
    <mergeCell ref="A85:F85"/>
    <mergeCell ref="A86:F86"/>
    <mergeCell ref="A87:F87"/>
    <mergeCell ref="A88:F88"/>
    <mergeCell ref="A89:F89"/>
    <mergeCell ref="H58:H60"/>
    <mergeCell ref="A54:F54"/>
    <mergeCell ref="J54:O54"/>
    <mergeCell ref="S54:X54"/>
    <mergeCell ref="AB54:AH54"/>
    <mergeCell ref="AK54:AQ54"/>
    <mergeCell ref="AT54:AZ54"/>
    <mergeCell ref="A55:F55"/>
    <mergeCell ref="J55:O55"/>
    <mergeCell ref="A56:F56"/>
    <mergeCell ref="J56:O56"/>
    <mergeCell ref="S52:Y52"/>
    <mergeCell ref="AB52:AH52"/>
    <mergeCell ref="AK52:AQ52"/>
    <mergeCell ref="AT52:AZ52"/>
    <mergeCell ref="A53:F53"/>
    <mergeCell ref="J53:O53"/>
    <mergeCell ref="S53:X53"/>
    <mergeCell ref="AB53:AG53"/>
    <mergeCell ref="AK53:AP53"/>
    <mergeCell ref="AT53:AY53"/>
    <mergeCell ref="F28:G28"/>
    <mergeCell ref="H28:I28"/>
    <mergeCell ref="K28:N28"/>
    <mergeCell ref="F29:G29"/>
    <mergeCell ref="H29:I29"/>
    <mergeCell ref="K29:N29"/>
    <mergeCell ref="K30:N30"/>
    <mergeCell ref="A52:G52"/>
    <mergeCell ref="J52:P52"/>
    <mergeCell ref="F25:G25"/>
    <mergeCell ref="H25:I25"/>
    <mergeCell ref="K25:N25"/>
    <mergeCell ref="F26:G26"/>
    <mergeCell ref="H26:I26"/>
    <mergeCell ref="K26:N26"/>
    <mergeCell ref="O26:P26"/>
    <mergeCell ref="F27:G27"/>
    <mergeCell ref="H27:I27"/>
    <mergeCell ref="K27:N27"/>
    <mergeCell ref="O27:P27"/>
    <mergeCell ref="F22:G22"/>
    <mergeCell ref="H22:I22"/>
    <mergeCell ref="K22:P22"/>
    <mergeCell ref="F23:G23"/>
    <mergeCell ref="H23:I23"/>
    <mergeCell ref="K23:N23"/>
    <mergeCell ref="O23:P23"/>
    <mergeCell ref="F24:G24"/>
    <mergeCell ref="H24:I24"/>
    <mergeCell ref="K24:N24"/>
    <mergeCell ref="F20:G20"/>
    <mergeCell ref="H20:I20"/>
    <mergeCell ref="K20:N20"/>
    <mergeCell ref="O20:P20"/>
    <mergeCell ref="R20:T20"/>
    <mergeCell ref="F21:G21"/>
    <mergeCell ref="H21:I21"/>
    <mergeCell ref="K21:N21"/>
    <mergeCell ref="O21:P21"/>
    <mergeCell ref="R21:T21"/>
    <mergeCell ref="F18:G18"/>
    <mergeCell ref="H18:I18"/>
    <mergeCell ref="K18:N18"/>
    <mergeCell ref="O18:P18"/>
    <mergeCell ref="R18:V18"/>
    <mergeCell ref="X18:AA18"/>
    <mergeCell ref="F19:G19"/>
    <mergeCell ref="H19:I19"/>
    <mergeCell ref="K19:N19"/>
    <mergeCell ref="O19:P19"/>
    <mergeCell ref="R19:T19"/>
    <mergeCell ref="U19:V19"/>
    <mergeCell ref="AB15:AC15"/>
    <mergeCell ref="F16:G16"/>
    <mergeCell ref="H16:I16"/>
    <mergeCell ref="K16:P16"/>
    <mergeCell ref="R16:T16"/>
    <mergeCell ref="X16:AA16"/>
    <mergeCell ref="F17:G17"/>
    <mergeCell ref="H17:I17"/>
    <mergeCell ref="K17:N17"/>
    <mergeCell ref="R17:T17"/>
    <mergeCell ref="X17:AA17"/>
    <mergeCell ref="F14:G14"/>
    <mergeCell ref="H14:I14"/>
    <mergeCell ref="K14:N14"/>
    <mergeCell ref="O14:P14"/>
    <mergeCell ref="R14:T14"/>
    <mergeCell ref="U14:V14"/>
    <mergeCell ref="X14:AA14"/>
    <mergeCell ref="F15:G15"/>
    <mergeCell ref="H15:I15"/>
    <mergeCell ref="K15:N15"/>
    <mergeCell ref="O15:P15"/>
    <mergeCell ref="R15:T15"/>
    <mergeCell ref="X15:AA15"/>
    <mergeCell ref="F12:G12"/>
    <mergeCell ref="H12:I12"/>
    <mergeCell ref="K12:N12"/>
    <mergeCell ref="R12:T12"/>
    <mergeCell ref="X12:AA12"/>
    <mergeCell ref="AB12:AC12"/>
    <mergeCell ref="AE12:AH12"/>
    <mergeCell ref="AI12:AJ12"/>
    <mergeCell ref="F13:G13"/>
    <mergeCell ref="H13:I13"/>
    <mergeCell ref="K13:N13"/>
    <mergeCell ref="R13:V13"/>
    <mergeCell ref="X13:AA13"/>
    <mergeCell ref="K10:N10"/>
    <mergeCell ref="O10:P10"/>
    <mergeCell ref="R10:T10"/>
    <mergeCell ref="X10:AA10"/>
    <mergeCell ref="AE10:AH10"/>
    <mergeCell ref="L11:M11"/>
    <mergeCell ref="O11:P11"/>
    <mergeCell ref="R11:T11"/>
    <mergeCell ref="U11:V11"/>
    <mergeCell ref="X11:AA11"/>
    <mergeCell ref="AE11:AH11"/>
    <mergeCell ref="AM8:AS8"/>
    <mergeCell ref="AU8:BA8"/>
    <mergeCell ref="A9:C9"/>
    <mergeCell ref="D9:E9"/>
    <mergeCell ref="K9:N9"/>
    <mergeCell ref="O9:P9"/>
    <mergeCell ref="R9:T9"/>
    <mergeCell ref="U9:V9"/>
    <mergeCell ref="X9:AA9"/>
    <mergeCell ref="AB9:AC9"/>
    <mergeCell ref="AE9:AH9"/>
    <mergeCell ref="AI9:AJ9"/>
    <mergeCell ref="A3:D3"/>
    <mergeCell ref="A4:D4"/>
    <mergeCell ref="A5:D5"/>
    <mergeCell ref="A6:D6"/>
    <mergeCell ref="A8:I8"/>
    <mergeCell ref="K8:P8"/>
    <mergeCell ref="R8:V8"/>
    <mergeCell ref="X8:AC8"/>
    <mergeCell ref="AE8:AJ8"/>
  </mergeCells>
  <phoneticPr fontId="14" type="noConversion"/>
  <conditionalFormatting sqref="A85:H86">
    <cfRule type="expression" dxfId="26" priority="2">
      <formula>$G$84="车队自制电路 Self-designed"</formula>
    </cfRule>
  </conditionalFormatting>
  <conditionalFormatting sqref="A87:H90">
    <cfRule type="expression" dxfId="25" priority="1">
      <formula>$G$84="供应商采购 From Suppliers"</formula>
    </cfRule>
  </conditionalFormatting>
  <conditionalFormatting sqref="K14:K15 O14:O15">
    <cfRule type="expression" dxfId="24" priority="22">
      <formula>$O$10="供应商提供 From Suppliers"</formula>
    </cfRule>
  </conditionalFormatting>
  <conditionalFormatting sqref="K20 O20:P20">
    <cfRule type="expression" dxfId="23" priority="21">
      <formula>$O$19&lt;&gt;"其他 Other"</formula>
    </cfRule>
  </conditionalFormatting>
  <conditionalFormatting sqref="K24 O24:Q24">
    <cfRule type="expression" dxfId="22" priority="20">
      <formula>$O$23="极耳 Cell tabs"</formula>
    </cfRule>
  </conditionalFormatting>
  <conditionalFormatting sqref="K11:L11 N11:O11">
    <cfRule type="expression" dxfId="21" priority="23">
      <formula>$O$10="车队自制 Team design"</formula>
    </cfRule>
  </conditionalFormatting>
  <dataValidations count="14">
    <dataValidation type="list" allowBlank="1" showInputMessage="1" showErrorMessage="1" sqref="E3" xr:uid="{00000000-0002-0000-0300-000000000000}">
      <formula1>"并联 Parallel,串联 Serial"</formula1>
    </dataValidation>
    <dataValidation type="list" allowBlank="1" showInputMessage="1" showErrorMessage="1" sqref="D9:E9" xr:uid="{00000000-0002-0000-0300-000001000000}">
      <formula1>"先并后串 Parallel then serial, 先串后并 Serial then parallel"</formula1>
    </dataValidation>
    <dataValidation type="list" allowBlank="1" showInputMessage="1" showErrorMessage="1" sqref="O9:P9" xr:uid="{00000000-0002-0000-0300-000002000000}">
      <formula1>"分布式 Distributed,集中式 Centralized"</formula1>
    </dataValidation>
    <dataValidation type="list" allowBlank="1" showInputMessage="1" showErrorMessage="1" sqref="U9:V9" xr:uid="{00000000-0002-0000-0300-000003000000}">
      <formula1>ConnectorNames</formula1>
    </dataValidation>
    <dataValidation type="list" allowBlank="1" showInputMessage="1" showErrorMessage="1" sqref="AB9:AC9 AB12:AC12 AB15" xr:uid="{00000000-0002-0000-0300-000004000000}">
      <formula1>InsulationNames</formula1>
    </dataValidation>
    <dataValidation type="list" allowBlank="1" showInputMessage="1" showErrorMessage="1" sqref="AI9:AJ9" xr:uid="{00000000-0002-0000-0300-000005000000}">
      <formula1>"50V-150V,150V-300V,300V-600V"</formula1>
    </dataValidation>
    <dataValidation type="list" allowBlank="1" showInputMessage="1" showErrorMessage="1" sqref="O10:P10" xr:uid="{00000000-0002-0000-0300-000006000000}">
      <formula1>"供应商提供 From Suppliers, 车队设计 Team design"</formula1>
    </dataValidation>
    <dataValidation type="list" allowBlank="1" showInputMessage="1" showErrorMessage="1" sqref="U11:V11 O18:P18 U19:V19 G91" xr:uid="{00000000-0002-0000-0300-000007000000}">
      <formula1>FuseName</formula1>
    </dataValidation>
    <dataValidation type="list" allowBlank="1" showInputMessage="1" showErrorMessage="1" sqref="AI12:AJ12" xr:uid="{00000000-0002-0000-0300-000008000000}">
      <formula1>"是,否"</formula1>
    </dataValidation>
    <dataValidation type="list" allowBlank="1" showInputMessage="1" showErrorMessage="1" sqref="U14" xr:uid="{00000000-0002-0000-0300-000009000000}">
      <formula1>ContactorNames</formula1>
    </dataValidation>
    <dataValidation type="list" allowBlank="1" showInputMessage="1" showErrorMessage="1" sqref="O19:P19" xr:uid="{00000000-0002-0000-0300-00000A000000}">
      <formula1>"BMS PCB,导线 Wiring, 其他 Other"</formula1>
    </dataValidation>
    <dataValidation type="list" allowBlank="1" showInputMessage="1" showErrorMessage="1" sqref="O23:P23" xr:uid="{00000000-0002-0000-0300-00000B000000}">
      <formula1>"极耳 Cell tabs,铜牌 Busbar"</formula1>
    </dataValidation>
    <dataValidation type="list" allowBlank="1" showInputMessage="1" showErrorMessage="1" sqref="AH53 AQ53 AZ53 G90 G92 G53:G56 G87:G88 P53:P56 Y53:Y54" xr:uid="{00000000-0002-0000-0300-00000C000000}">
      <formula1>"TRUE,FALSE"</formula1>
    </dataValidation>
    <dataValidation type="list" allowBlank="1" showInputMessage="1" showErrorMessage="1" sqref="G84" xr:uid="{00000000-0002-0000-0300-00000D000000}">
      <formula1>"车队自制电路 Self-designed,供应商采购 From suppliers"</formula1>
    </dataValidation>
  </dataValidations>
  <hyperlinks>
    <hyperlink ref="G86" r:id="rId1" xr:uid="{00000000-0004-0000-0300-000000000000}"/>
  </hyperlinks>
  <pageMargins left="0.7" right="0.7" top="0.75" bottom="0.75" header="0.3" footer="0.3"/>
  <pageSetup paperSize="9" orientation="portrait" verticalDpi="30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100"/>
  <sheetViews>
    <sheetView zoomScale="40" zoomScaleNormal="40" workbookViewId="0">
      <selection activeCell="E5" sqref="E5"/>
    </sheetView>
  </sheetViews>
  <sheetFormatPr defaultColWidth="10.6640625" defaultRowHeight="13.9" x14ac:dyDescent="0.4"/>
  <cols>
    <col min="1" max="1" width="14.1328125" customWidth="1"/>
    <col min="4" max="4" width="12.33203125" customWidth="1"/>
    <col min="5" max="5" width="15.796875" customWidth="1"/>
    <col min="7" max="7" width="15.1328125" customWidth="1"/>
    <col min="8" max="8" width="16.796875" customWidth="1"/>
    <col min="10" max="10" width="10.6640625" customWidth="1"/>
    <col min="11" max="11" width="11.796875" customWidth="1"/>
    <col min="14" max="14" width="19.796875" customWidth="1"/>
    <col min="17" max="17" width="16.796875" customWidth="1"/>
    <col min="20" max="20" width="12.796875" customWidth="1"/>
    <col min="26" max="26" width="10.6640625" customWidth="1"/>
  </cols>
  <sheetData>
    <row r="1" spans="1:53" x14ac:dyDescent="0.4">
      <c r="A1" s="2" t="s">
        <v>26</v>
      </c>
      <c r="B1" s="6" t="str" cm="1">
        <f t="array" ref="B1" ca="1">IF(SUM(COUNTIF(INDIRECT({"$G$3","$G$4","$J$8","$Q$8","$W$8","$AD$8","$Z$52","$Q$52","$H$52","$F$61","$H$83"}),"="&amp;IncompleteText)),IncompleteText,IF(SUM(COUNTIF(INDIRECT({"$G$3","$G$4","$J$8","$Q$8","$W$8","$AD$8","$Z$52","$Q$52","$H$52","$F$61","$H$82"}),"="&amp;ErrorText)),ErrorText,OKText))</f>
        <v>OK</v>
      </c>
    </row>
    <row r="3" spans="1:53" ht="54" customHeight="1" x14ac:dyDescent="0.4">
      <c r="A3" s="167" t="s">
        <v>377</v>
      </c>
      <c r="B3" s="167"/>
      <c r="C3" s="167"/>
      <c r="D3" s="167"/>
      <c r="E3" s="167"/>
      <c r="F3" s="167"/>
      <c r="G3" s="167"/>
    </row>
    <row r="5" spans="1:53" x14ac:dyDescent="0.4">
      <c r="A5" s="72" t="s">
        <v>258</v>
      </c>
      <c r="B5" s="72"/>
      <c r="C5" s="72"/>
      <c r="D5" s="74"/>
      <c r="E5" s="18"/>
      <c r="F5" s="5"/>
      <c r="G5" s="6" t="str">
        <f>IF(ISBLANK(E5),IncompleteText,OKText)</f>
        <v>BLANK</v>
      </c>
    </row>
    <row r="6" spans="1:53" x14ac:dyDescent="0.4">
      <c r="A6" s="72" t="s">
        <v>20</v>
      </c>
      <c r="B6" s="72"/>
      <c r="C6" s="72"/>
      <c r="D6" s="74"/>
      <c r="E6" s="36" cm="1">
        <f t="array" ref="E6">IF(E5="串联 Serial",SUM(C14:C31)*BattCellMaxV,C14*BattCellMaxV*SUM(IF(FREQUENCY(E14:E31,E14:E31)&gt;0,1)))</f>
        <v>0</v>
      </c>
      <c r="F6" s="5" t="s">
        <v>21</v>
      </c>
      <c r="G6" s="6" t="str">
        <f>IF(MaxTSVoltage=0,IncompleteText,IF(E6&gt;600,ErrorText,OKText))</f>
        <v>BLANK</v>
      </c>
    </row>
    <row r="7" spans="1:53" x14ac:dyDescent="0.4">
      <c r="A7" s="72" t="s">
        <v>260</v>
      </c>
      <c r="B7" s="72"/>
      <c r="C7" s="72"/>
      <c r="D7" s="74"/>
      <c r="E7" s="36" cm="1">
        <f t="array" ref="E7">IF(E5="串联 Serial",SUM(C14:C31)*BattCellNomV,C14*BattCellNomV*SUM(IF(FREQUENCY(E14:E31,E14:E31)&gt;0,1)))</f>
        <v>0</v>
      </c>
      <c r="F7" s="5" t="s">
        <v>21</v>
      </c>
      <c r="G7" s="6"/>
    </row>
    <row r="8" spans="1:53" x14ac:dyDescent="0.4">
      <c r="A8" s="72" t="s">
        <v>261</v>
      </c>
      <c r="B8" s="72"/>
      <c r="C8" s="72"/>
      <c r="D8" s="74"/>
      <c r="E8" s="36">
        <f>SUMPRODUCT(B14:B31,C14:C31)</f>
        <v>0</v>
      </c>
      <c r="F8" s="5"/>
      <c r="G8" s="6"/>
    </row>
    <row r="10" spans="1:53" x14ac:dyDescent="0.4">
      <c r="A10" s="71" t="s">
        <v>262</v>
      </c>
      <c r="B10" s="71"/>
      <c r="C10" s="71"/>
      <c r="D10" s="71"/>
      <c r="E10" s="71"/>
      <c r="F10" s="71"/>
      <c r="G10" s="71"/>
      <c r="H10" s="71"/>
      <c r="I10" s="71"/>
      <c r="J10" s="6" t="str">
        <f>IF(COUNTIF(J11:J31,"="&amp;IncompleteText),IncompleteText,IF(COUNTIF(J11:J31,"="&amp;ErrorText),ErrorText,OKText))</f>
        <v>BLANK</v>
      </c>
      <c r="K10" s="71" t="s">
        <v>263</v>
      </c>
      <c r="L10" s="71"/>
      <c r="M10" s="71"/>
      <c r="N10" s="71"/>
      <c r="O10" s="71"/>
      <c r="P10" s="71"/>
      <c r="Q10" s="6" t="str">
        <f>IF(COUNTIF(Q11:Q32,"="&amp;IncompleteText),IncompleteText,IF(COUNTIF(Q11:Q32,"="&amp;ErrorText),ErrorText,OKText))</f>
        <v>BLANK</v>
      </c>
      <c r="R10" s="71" t="s">
        <v>264</v>
      </c>
      <c r="S10" s="71"/>
      <c r="T10" s="71"/>
      <c r="U10" s="71"/>
      <c r="V10" s="71"/>
      <c r="W10" s="6" t="str">
        <f>IF(COUNTIF(W11:W23,"="&amp;IncompleteText),IncompleteText,IF(COUNTIF(W11:W23,"="&amp;ErrorText),ErrorText,OKText))</f>
        <v>BLANK</v>
      </c>
      <c r="X10" s="71" t="s">
        <v>265</v>
      </c>
      <c r="Y10" s="71"/>
      <c r="Z10" s="71"/>
      <c r="AA10" s="71"/>
      <c r="AB10" s="71"/>
      <c r="AC10" s="71"/>
      <c r="AD10" s="6" t="str">
        <f>IF(COUNTIF(AD11:AD20,"="&amp;IncompleteText),IncompleteText,IF(COUNTIF(AD11:AD20,"="&amp;ErrorText),ErrorText,OKText))</f>
        <v>BLANK</v>
      </c>
      <c r="AE10" s="71" t="s">
        <v>266</v>
      </c>
      <c r="AF10" s="71"/>
      <c r="AG10" s="71"/>
      <c r="AH10" s="71"/>
      <c r="AI10" s="71"/>
      <c r="AJ10" s="71"/>
      <c r="AK10" s="6" t="str">
        <f>IF(COUNTIF(AK11:AK20,"="&amp;IncompleteText),IncompleteText,IF(COUNTIF(AK11:AK20,"="&amp;ErrorText),ErrorText,OKText))</f>
        <v>BLANK</v>
      </c>
      <c r="AM10" s="71" t="s">
        <v>266</v>
      </c>
      <c r="AN10" s="71"/>
      <c r="AO10" s="71"/>
      <c r="AP10" s="71"/>
      <c r="AQ10" s="71"/>
      <c r="AR10" s="71"/>
      <c r="AS10" s="71"/>
      <c r="AU10" s="57" t="s">
        <v>267</v>
      </c>
      <c r="AV10" s="57"/>
      <c r="AW10" s="57"/>
      <c r="AX10" s="57"/>
      <c r="AY10" s="57"/>
      <c r="AZ10" s="57"/>
      <c r="BA10" s="57"/>
    </row>
    <row r="11" spans="1:53" s="27" customFormat="1" ht="35.25" customHeight="1" x14ac:dyDescent="0.4">
      <c r="A11" s="99" t="s">
        <v>268</v>
      </c>
      <c r="B11" s="99"/>
      <c r="C11" s="100"/>
      <c r="D11" s="101"/>
      <c r="E11" s="102"/>
      <c r="F11" s="10"/>
      <c r="G11" s="10"/>
      <c r="H11" s="10"/>
      <c r="I11" s="10"/>
      <c r="J11" s="8" t="str">
        <f>IF(ISBLANK(D11),IncompleteText,OKText)</f>
        <v>BLANK</v>
      </c>
      <c r="K11" s="99" t="s">
        <v>270</v>
      </c>
      <c r="L11" s="99"/>
      <c r="M11" s="99"/>
      <c r="N11" s="100"/>
      <c r="O11" s="103"/>
      <c r="P11" s="103"/>
      <c r="Q11" s="8" t="str">
        <f>IF(ISBLANK(O11),IncompleteText,OKText)</f>
        <v>BLANK</v>
      </c>
      <c r="R11" s="99" t="s">
        <v>272</v>
      </c>
      <c r="S11" s="99"/>
      <c r="T11" s="100"/>
      <c r="U11" s="101"/>
      <c r="V11" s="102"/>
      <c r="W11" s="8" t="str">
        <f>IF(ISBLANK(U11),IncompleteText,OKText)</f>
        <v>BLANK</v>
      </c>
      <c r="X11" s="104" t="s">
        <v>273</v>
      </c>
      <c r="Y11" s="104"/>
      <c r="Z11" s="104"/>
      <c r="AA11" s="105"/>
      <c r="AB11" s="103"/>
      <c r="AC11" s="103"/>
      <c r="AD11" s="8" t="str">
        <f>IF(ISBLANK(AB11),IncompleteText,OKText)</f>
        <v>BLANK</v>
      </c>
      <c r="AE11" s="104" t="s">
        <v>274</v>
      </c>
      <c r="AF11" s="104"/>
      <c r="AG11" s="104"/>
      <c r="AH11" s="105"/>
      <c r="AI11" s="103"/>
      <c r="AJ11" s="103"/>
      <c r="AK11" s="8" t="str">
        <f>IF(ISBLANK(AI11),IncompleteText,OKText)</f>
        <v>BLANK</v>
      </c>
      <c r="AM11" s="97" t="s">
        <v>276</v>
      </c>
      <c r="AN11" s="97"/>
      <c r="AO11" s="97"/>
      <c r="AP11" s="97"/>
      <c r="AQ11" s="97"/>
      <c r="AR11" s="97"/>
      <c r="AS11" s="97"/>
      <c r="AU11" s="97"/>
      <c r="AV11" s="97"/>
      <c r="AW11" s="97"/>
      <c r="AX11" s="97"/>
      <c r="AY11" s="97"/>
      <c r="AZ11" s="97"/>
      <c r="BA11" s="97"/>
    </row>
    <row r="12" spans="1:53" x14ac:dyDescent="0.4">
      <c r="A12" s="111" t="s">
        <v>277</v>
      </c>
      <c r="B12" s="111" t="s">
        <v>278</v>
      </c>
      <c r="C12" s="111" t="s">
        <v>279</v>
      </c>
      <c r="D12" s="130" t="s">
        <v>280</v>
      </c>
      <c r="E12" s="130" t="s">
        <v>281</v>
      </c>
      <c r="F12" s="130" t="s">
        <v>282</v>
      </c>
      <c r="G12" s="130"/>
      <c r="H12" s="130" t="s">
        <v>283</v>
      </c>
      <c r="I12" s="130"/>
      <c r="J12" s="2"/>
      <c r="K12" s="106" t="s">
        <v>284</v>
      </c>
      <c r="L12" s="106"/>
      <c r="M12" s="106"/>
      <c r="N12" s="107"/>
      <c r="O12" s="73"/>
      <c r="P12" s="73"/>
      <c r="Q12" s="6" t="str">
        <f>IF(ISBLANK(O12),IncompleteText,OKText)</f>
        <v>BLANK</v>
      </c>
      <c r="R12" s="106" t="s">
        <v>286</v>
      </c>
      <c r="S12" s="106"/>
      <c r="T12" s="107"/>
      <c r="U12" s="19" t="e">
        <f>VLOOKUP(U11,ConnectorTable,3,FALSE)</f>
        <v>#N/A</v>
      </c>
      <c r="V12" s="5" t="s">
        <v>23</v>
      </c>
      <c r="W12" s="6" t="str">
        <f>IF(ISERROR(U12),IncompleteText,IF(E5="串联 Serial",IF(U12&gt;=U22,OKText,ErrorText),IF(E5="并联 Parallel",IF(U12&gt;=U14,OKText,ErrorText),IncompleteText)))</f>
        <v>BLANK</v>
      </c>
      <c r="X12" s="106" t="s">
        <v>287</v>
      </c>
      <c r="Y12" s="106"/>
      <c r="Z12" s="106"/>
      <c r="AA12" s="107"/>
      <c r="AB12" s="19" t="e">
        <f>VLOOKUP(AB11,InsulationsTable,4,FALSE)</f>
        <v>#N/A</v>
      </c>
      <c r="AC12" s="5" t="s">
        <v>21</v>
      </c>
      <c r="AD12" s="6" t="str">
        <f>IF(ISERROR(AB12),IncompleteText,IF(AB12&lt;MaxTSVoltage,ErrorText,OKText))</f>
        <v>BLANK</v>
      </c>
      <c r="AE12" s="106" t="s">
        <v>288</v>
      </c>
      <c r="AF12" s="106"/>
      <c r="AG12" s="106"/>
      <c r="AH12" s="107"/>
      <c r="AI12" s="18"/>
      <c r="AJ12" s="5" t="s">
        <v>289</v>
      </c>
      <c r="AK12" s="6" t="str">
        <f>IF(ISBLANK(AI12),IncompleteText,OKText)</f>
        <v>BLANK</v>
      </c>
      <c r="AM12" s="97"/>
      <c r="AN12" s="97"/>
      <c r="AO12" s="97"/>
      <c r="AP12" s="97"/>
      <c r="AQ12" s="97"/>
      <c r="AR12" s="97"/>
      <c r="AS12" s="97"/>
      <c r="AU12" s="97"/>
      <c r="AV12" s="97"/>
      <c r="AW12" s="97"/>
      <c r="AX12" s="97"/>
      <c r="AY12" s="97"/>
      <c r="AZ12" s="97"/>
      <c r="BA12" s="97"/>
    </row>
    <row r="13" spans="1:53" x14ac:dyDescent="0.4">
      <c r="A13" s="111"/>
      <c r="B13" s="111"/>
      <c r="C13" s="111"/>
      <c r="D13" s="130"/>
      <c r="E13" s="130"/>
      <c r="F13" s="130"/>
      <c r="G13" s="130"/>
      <c r="H13" s="130"/>
      <c r="I13" s="130"/>
      <c r="J13" s="2"/>
      <c r="K13" s="15" t="s">
        <v>28</v>
      </c>
      <c r="L13" s="73"/>
      <c r="M13" s="73"/>
      <c r="N13" s="15" t="s">
        <v>291</v>
      </c>
      <c r="O13" s="73"/>
      <c r="P13" s="73"/>
      <c r="Q13" s="6" t="str">
        <f>IF(O12="供应商提供 From Suppliers",IF(OR(ISBLANK(L13),ISBLANK(O13)),IncompleteText,OKText),"")</f>
        <v/>
      </c>
      <c r="R13" s="106" t="s">
        <v>293</v>
      </c>
      <c r="S13" s="106"/>
      <c r="T13" s="107"/>
      <c r="U13" s="108"/>
      <c r="V13" s="109"/>
      <c r="W13" s="6" t="str">
        <f>IF(E5="串联 Serial","",IF(ISBLANK(U13),IncompleteText,OKText))</f>
        <v>BLANK</v>
      </c>
      <c r="X13" s="106" t="s">
        <v>294</v>
      </c>
      <c r="Y13" s="106"/>
      <c r="Z13" s="106"/>
      <c r="AA13" s="107"/>
      <c r="AB13" s="19" t="e">
        <f>VLOOKUP(AB11,InsulationsTable,5,FALSE)</f>
        <v>#N/A</v>
      </c>
      <c r="AC13" s="5" t="s">
        <v>47</v>
      </c>
      <c r="AD13" s="6" t="str">
        <f>IF(ISERROR(AB13),IncompleteText,IF(AB13&lt;90,ErrorText,OKText))</f>
        <v>BLANK</v>
      </c>
      <c r="AE13" s="106" t="s">
        <v>295</v>
      </c>
      <c r="AF13" s="106"/>
      <c r="AG13" s="106"/>
      <c r="AH13" s="107"/>
      <c r="AI13" s="18"/>
      <c r="AJ13" s="5" t="s">
        <v>289</v>
      </c>
      <c r="AK13" s="6" t="str">
        <f>IF(ISBLANK(AI13),IncompleteText,OKText)</f>
        <v>BLANK</v>
      </c>
      <c r="AM13" s="97"/>
      <c r="AN13" s="97"/>
      <c r="AO13" s="97"/>
      <c r="AP13" s="97"/>
      <c r="AQ13" s="97"/>
      <c r="AR13" s="97"/>
      <c r="AS13" s="97"/>
      <c r="AU13" s="97"/>
      <c r="AV13" s="97"/>
      <c r="AW13" s="97"/>
      <c r="AX13" s="97"/>
      <c r="AY13" s="97"/>
      <c r="AZ13" s="97"/>
      <c r="BA13" s="97"/>
    </row>
    <row r="14" spans="1:53" x14ac:dyDescent="0.4">
      <c r="A14" s="15">
        <v>1</v>
      </c>
      <c r="B14" s="18"/>
      <c r="C14" s="18"/>
      <c r="D14" s="18"/>
      <c r="E14" s="18"/>
      <c r="F14" s="110">
        <f t="shared" ref="F14:F31" si="0">C14*BattCellMaxV</f>
        <v>0</v>
      </c>
      <c r="G14" s="110"/>
      <c r="H14" s="110">
        <f t="shared" ref="H14:H31" si="1">F14*B14*BattCellCapacity*0.0036</f>
        <v>0</v>
      </c>
      <c r="I14" s="110"/>
      <c r="J14" s="6" t="str">
        <f>IF(COUNTBLANK(A14:E14)&gt;0,IncompleteText,IF(OR(F14&gt;120,H14&gt;6),ErrorText,OKText))</f>
        <v>BLANK</v>
      </c>
      <c r="K14" s="111" t="s">
        <v>296</v>
      </c>
      <c r="L14" s="111"/>
      <c r="M14" s="111"/>
      <c r="N14" s="112"/>
      <c r="O14" s="18"/>
      <c r="P14" s="5" t="s">
        <v>21</v>
      </c>
      <c r="Q14" s="6" t="str">
        <f>IF(ISBLANK(O14),IncompleteText,IF(O14&lt;E6,ErrorText,OKText))</f>
        <v>BLANK</v>
      </c>
      <c r="R14" s="106" t="s">
        <v>297</v>
      </c>
      <c r="S14" s="106"/>
      <c r="T14" s="107"/>
      <c r="U14" s="19" t="e">
        <f>VLOOKUP(U13,FuseTable,3,FALSE)</f>
        <v>#N/A</v>
      </c>
      <c r="V14" s="5" t="s">
        <v>23</v>
      </c>
      <c r="W14" s="2"/>
      <c r="X14" s="106" t="s">
        <v>298</v>
      </c>
      <c r="Y14" s="106"/>
      <c r="Z14" s="106"/>
      <c r="AA14" s="107"/>
      <c r="AB14" s="73"/>
      <c r="AC14" s="73"/>
      <c r="AD14" s="6" t="str">
        <f>IF(ISBLANK(AB14),IncompleteText,OKText)</f>
        <v>BLANK</v>
      </c>
      <c r="AE14" s="106" t="s">
        <v>299</v>
      </c>
      <c r="AF14" s="106"/>
      <c r="AG14" s="106"/>
      <c r="AH14" s="107"/>
      <c r="AI14" s="73"/>
      <c r="AJ14" s="73"/>
      <c r="AK14" s="6" t="str">
        <f>IF(ISBLANK(AI14),IncompleteText,OKText)</f>
        <v>BLANK</v>
      </c>
      <c r="AM14" s="97"/>
      <c r="AN14" s="97"/>
      <c r="AO14" s="97"/>
      <c r="AP14" s="97"/>
      <c r="AQ14" s="97"/>
      <c r="AR14" s="97"/>
      <c r="AS14" s="97"/>
      <c r="AU14" s="97"/>
      <c r="AV14" s="97"/>
      <c r="AW14" s="97"/>
      <c r="AX14" s="97"/>
      <c r="AY14" s="97"/>
      <c r="AZ14" s="97"/>
      <c r="BA14" s="97"/>
    </row>
    <row r="15" spans="1:53" x14ac:dyDescent="0.4">
      <c r="A15" s="15">
        <v>2</v>
      </c>
      <c r="B15" s="18"/>
      <c r="C15" s="18"/>
      <c r="D15" s="18"/>
      <c r="E15" s="18"/>
      <c r="F15" s="110">
        <f t="shared" si="0"/>
        <v>0</v>
      </c>
      <c r="G15" s="110"/>
      <c r="H15" s="110">
        <f t="shared" si="1"/>
        <v>0</v>
      </c>
      <c r="I15" s="110"/>
      <c r="J15" s="6" t="str">
        <f t="shared" ref="J15:J31" si="2">IF(COUNTBLANK(A15:E15)=4,"",IF(COUNTBLANK(A15:E15)&gt;0,IncompleteText,IF(OR(F15&gt;120,H15&gt;6),ErrorText,OKText)))</f>
        <v/>
      </c>
      <c r="K15" s="106" t="s">
        <v>301</v>
      </c>
      <c r="L15" s="106"/>
      <c r="M15" s="106"/>
      <c r="N15" s="107"/>
      <c r="O15" s="18"/>
      <c r="P15" s="5" t="s">
        <v>21</v>
      </c>
      <c r="Q15" s="6" t="str">
        <f>IF(ISBLANK(O15),IncompleteText,IF(O15&lt;MAX(F14:G31),ErrorText,OKText))</f>
        <v>BLANK</v>
      </c>
      <c r="R15" s="71" t="s">
        <v>153</v>
      </c>
      <c r="S15" s="71"/>
      <c r="T15" s="71"/>
      <c r="U15" s="71"/>
      <c r="V15" s="71"/>
      <c r="W15" s="2"/>
      <c r="X15" s="106" t="s">
        <v>287</v>
      </c>
      <c r="Y15" s="106"/>
      <c r="Z15" s="106"/>
      <c r="AA15" s="107"/>
      <c r="AB15" s="19" t="e">
        <f>VLOOKUP(AB14,InsulationsTable,4,FALSE)</f>
        <v>#N/A</v>
      </c>
      <c r="AC15" s="5" t="s">
        <v>21</v>
      </c>
      <c r="AD15" s="6" t="str">
        <f>IF(ISERROR(AB15),IncompleteText,IF(AB15&lt;MaxTSVoltage,ErrorText,OKText))</f>
        <v>BLANK</v>
      </c>
      <c r="AM15" s="97"/>
      <c r="AN15" s="97"/>
      <c r="AO15" s="97"/>
      <c r="AP15" s="97"/>
      <c r="AQ15" s="97"/>
      <c r="AR15" s="97"/>
      <c r="AS15" s="97"/>
      <c r="AU15" s="97"/>
      <c r="AV15" s="97"/>
      <c r="AW15" s="97"/>
      <c r="AX15" s="97"/>
      <c r="AY15" s="97"/>
      <c r="AZ15" s="97"/>
      <c r="BA15" s="97"/>
    </row>
    <row r="16" spans="1:53" x14ac:dyDescent="0.4">
      <c r="A16" s="15">
        <v>3</v>
      </c>
      <c r="B16" s="18"/>
      <c r="C16" s="18"/>
      <c r="D16" s="18"/>
      <c r="E16" s="18"/>
      <c r="F16" s="110">
        <f t="shared" si="0"/>
        <v>0</v>
      </c>
      <c r="G16" s="110"/>
      <c r="H16" s="110">
        <f t="shared" si="1"/>
        <v>0</v>
      </c>
      <c r="I16" s="110"/>
      <c r="J16" s="6" t="str">
        <f t="shared" si="2"/>
        <v/>
      </c>
      <c r="K16" s="106" t="s">
        <v>302</v>
      </c>
      <c r="L16" s="106"/>
      <c r="M16" s="106"/>
      <c r="N16" s="107"/>
      <c r="O16" s="113"/>
      <c r="P16" s="114"/>
      <c r="Q16" s="6" t="str">
        <f>IF($O$12="车队自制 Team design",IF(ISBLANK(O16),IncompleteText,OKText),"")</f>
        <v/>
      </c>
      <c r="R16" s="106" t="s">
        <v>303</v>
      </c>
      <c r="S16" s="106"/>
      <c r="T16" s="107"/>
      <c r="U16" s="108"/>
      <c r="V16" s="109"/>
      <c r="W16" s="6" t="str">
        <f>IF(ISBLANK(U16),IncompleteText,OKText)</f>
        <v>BLANK</v>
      </c>
      <c r="X16" s="106" t="s">
        <v>294</v>
      </c>
      <c r="Y16" s="106"/>
      <c r="Z16" s="106"/>
      <c r="AA16" s="107"/>
      <c r="AB16" s="19" t="e">
        <f>VLOOKUP(AB14,InsulationsTable,5,FALSE)</f>
        <v>#N/A</v>
      </c>
      <c r="AC16" s="5" t="s">
        <v>47</v>
      </c>
      <c r="AD16" s="6" t="str">
        <f>IF(ISERROR(AB16),IncompleteText,IF(AB16&lt;90,ErrorText,OKText))</f>
        <v>BLANK</v>
      </c>
      <c r="AM16" s="97"/>
      <c r="AN16" s="97"/>
      <c r="AO16" s="97"/>
      <c r="AP16" s="97"/>
      <c r="AQ16" s="97"/>
      <c r="AR16" s="97"/>
      <c r="AS16" s="97"/>
      <c r="AU16" s="97"/>
      <c r="AV16" s="97"/>
      <c r="AW16" s="97"/>
      <c r="AX16" s="97"/>
      <c r="AY16" s="97"/>
      <c r="AZ16" s="97"/>
      <c r="BA16" s="97"/>
    </row>
    <row r="17" spans="1:53" x14ac:dyDescent="0.4">
      <c r="A17" s="15">
        <v>4</v>
      </c>
      <c r="B17" s="18"/>
      <c r="C17" s="18"/>
      <c r="D17" s="18"/>
      <c r="E17" s="18"/>
      <c r="F17" s="110">
        <f t="shared" si="0"/>
        <v>0</v>
      </c>
      <c r="G17" s="110"/>
      <c r="H17" s="110">
        <f t="shared" si="1"/>
        <v>0</v>
      </c>
      <c r="I17" s="110"/>
      <c r="J17" s="6" t="str">
        <f t="shared" si="2"/>
        <v/>
      </c>
      <c r="K17" s="106" t="s">
        <v>304</v>
      </c>
      <c r="L17" s="106"/>
      <c r="M17" s="106"/>
      <c r="N17" s="107"/>
      <c r="O17" s="113"/>
      <c r="P17" s="114"/>
      <c r="Q17" s="6" t="str">
        <f>IF($O$12="车队自制 Team design",IF(ISBLANK(O17),IncompleteText,OKText),"")</f>
        <v/>
      </c>
      <c r="R17" s="106" t="s">
        <v>305</v>
      </c>
      <c r="S17" s="106"/>
      <c r="T17" s="107"/>
      <c r="U17" s="19" t="e">
        <f>VLOOKUP(U16,ContactorsTable,2,FALSE)</f>
        <v>#N/A</v>
      </c>
      <c r="V17" s="5" t="s">
        <v>306</v>
      </c>
      <c r="W17" s="6" t="str">
        <f>IF(ISERROR(U17),IncompleteText,IF(U17&lt;MaxTSVoltage,ErrorText,OKText))</f>
        <v>BLANK</v>
      </c>
      <c r="X17" s="106" t="s">
        <v>307</v>
      </c>
      <c r="Y17" s="106"/>
      <c r="Z17" s="106"/>
      <c r="AA17" s="107"/>
      <c r="AB17" s="113"/>
      <c r="AC17" s="114"/>
      <c r="AD17" s="6" t="str">
        <f>IF(ISBLANK(AB17),IncompleteText,OKText)</f>
        <v>BLANK</v>
      </c>
      <c r="AM17" s="97"/>
      <c r="AN17" s="97"/>
      <c r="AO17" s="97"/>
      <c r="AP17" s="97"/>
      <c r="AQ17" s="97"/>
      <c r="AR17" s="97"/>
      <c r="AS17" s="97"/>
      <c r="AU17" s="97"/>
      <c r="AV17" s="97"/>
      <c r="AW17" s="97"/>
      <c r="AX17" s="97"/>
      <c r="AY17" s="97"/>
      <c r="AZ17" s="97"/>
      <c r="BA17" s="97"/>
    </row>
    <row r="18" spans="1:53" x14ac:dyDescent="0.4">
      <c r="A18" s="15">
        <v>5</v>
      </c>
      <c r="B18" s="18"/>
      <c r="C18" s="18"/>
      <c r="D18" s="18"/>
      <c r="E18" s="18"/>
      <c r="F18" s="110">
        <f t="shared" si="0"/>
        <v>0</v>
      </c>
      <c r="G18" s="110"/>
      <c r="H18" s="110">
        <f t="shared" si="1"/>
        <v>0</v>
      </c>
      <c r="I18" s="110"/>
      <c r="J18" s="6" t="str">
        <f t="shared" si="2"/>
        <v/>
      </c>
      <c r="K18" s="115" t="s">
        <v>308</v>
      </c>
      <c r="L18" s="115"/>
      <c r="M18" s="115"/>
      <c r="N18" s="115"/>
      <c r="O18" s="115"/>
      <c r="P18" s="115"/>
      <c r="Q18" s="2"/>
      <c r="R18" s="106" t="s">
        <v>309</v>
      </c>
      <c r="S18" s="106"/>
      <c r="T18" s="107"/>
      <c r="U18" s="19" t="e">
        <f>VLOOKUP(U16,ContactorsTable,4,FALSE)</f>
        <v>#N/A</v>
      </c>
      <c r="V18" s="5" t="s">
        <v>23</v>
      </c>
      <c r="W18" s="2"/>
      <c r="X18" s="106" t="s">
        <v>287</v>
      </c>
      <c r="Y18" s="106"/>
      <c r="Z18" s="106"/>
      <c r="AA18" s="107"/>
      <c r="AB18" s="19" t="e">
        <f>VLOOKUP(AB17,InsulationsTable,4,FALSE)</f>
        <v>#N/A</v>
      </c>
      <c r="AC18" s="5" t="s">
        <v>21</v>
      </c>
      <c r="AD18" s="6" t="str">
        <f>IF(ISERROR(AB18),IncompleteText,IF(AB18&lt;MaxTSVoltage,ErrorText,OKText))</f>
        <v>BLANK</v>
      </c>
      <c r="AM18" s="97"/>
      <c r="AN18" s="97"/>
      <c r="AO18" s="97"/>
      <c r="AP18" s="97"/>
      <c r="AQ18" s="97"/>
      <c r="AR18" s="97"/>
      <c r="AS18" s="97"/>
      <c r="AU18" s="97"/>
      <c r="AV18" s="97"/>
      <c r="AW18" s="97"/>
      <c r="AX18" s="97"/>
      <c r="AY18" s="97"/>
      <c r="AZ18" s="97"/>
      <c r="BA18" s="97"/>
    </row>
    <row r="19" spans="1:53" x14ac:dyDescent="0.4">
      <c r="A19" s="15">
        <v>6</v>
      </c>
      <c r="B19" s="18"/>
      <c r="C19" s="18"/>
      <c r="D19" s="18"/>
      <c r="E19" s="18"/>
      <c r="F19" s="110">
        <f t="shared" si="0"/>
        <v>0</v>
      </c>
      <c r="G19" s="110"/>
      <c r="H19" s="110">
        <f t="shared" si="1"/>
        <v>0</v>
      </c>
      <c r="I19" s="110"/>
      <c r="J19" s="6" t="str">
        <f t="shared" si="2"/>
        <v/>
      </c>
      <c r="K19" s="106" t="s">
        <v>310</v>
      </c>
      <c r="L19" s="106"/>
      <c r="M19" s="106"/>
      <c r="N19" s="107"/>
      <c r="O19" s="18"/>
      <c r="P19" s="5" t="s">
        <v>311</v>
      </c>
      <c r="Q19" s="6" t="str">
        <f>IF(ISBLANK(O19),IncompleteText,OKText)</f>
        <v>BLANK</v>
      </c>
      <c r="R19" s="106" t="s">
        <v>312</v>
      </c>
      <c r="S19" s="106"/>
      <c r="T19" s="107"/>
      <c r="U19" s="19" t="e">
        <f>VLOOKUP(U16,ContactorsTable,3,FALSE)</f>
        <v>#N/A</v>
      </c>
      <c r="V19" s="5" t="s">
        <v>23</v>
      </c>
      <c r="W19" s="6" t="str">
        <f>IF(ISERROR(U19),IncompleteText,IF(U19&gt;=U22,OKText,ErrorText))</f>
        <v>BLANK</v>
      </c>
      <c r="X19" s="106" t="s">
        <v>294</v>
      </c>
      <c r="Y19" s="106"/>
      <c r="Z19" s="106"/>
      <c r="AA19" s="107"/>
      <c r="AB19" s="19" t="e">
        <f>VLOOKUP(AB17,InsulationsTable,5,FALSE)</f>
        <v>#N/A</v>
      </c>
      <c r="AC19" s="5" t="s">
        <v>47</v>
      </c>
      <c r="AD19" s="6" t="str">
        <f>IF(ISERROR(AB19),IncompleteText,IF(AB19&lt;90,ErrorText,OKText))</f>
        <v>BLANK</v>
      </c>
      <c r="AM19" s="97"/>
      <c r="AN19" s="97"/>
      <c r="AO19" s="97"/>
      <c r="AP19" s="97"/>
      <c r="AQ19" s="97"/>
      <c r="AR19" s="97"/>
      <c r="AS19" s="97"/>
      <c r="AU19" s="97"/>
      <c r="AV19" s="97"/>
      <c r="AW19" s="97"/>
      <c r="AX19" s="97"/>
      <c r="AY19" s="97"/>
      <c r="AZ19" s="97"/>
      <c r="BA19" s="97"/>
    </row>
    <row r="20" spans="1:53" x14ac:dyDescent="0.4">
      <c r="A20" s="15">
        <v>7</v>
      </c>
      <c r="B20" s="18"/>
      <c r="C20" s="18"/>
      <c r="D20" s="18"/>
      <c r="E20" s="18"/>
      <c r="F20" s="110">
        <f t="shared" si="0"/>
        <v>0</v>
      </c>
      <c r="G20" s="110"/>
      <c r="H20" s="110">
        <f t="shared" si="1"/>
        <v>0</v>
      </c>
      <c r="I20" s="110"/>
      <c r="J20" s="6" t="str">
        <f t="shared" si="2"/>
        <v/>
      </c>
      <c r="K20" s="106" t="s">
        <v>313</v>
      </c>
      <c r="L20" s="106"/>
      <c r="M20" s="106"/>
      <c r="N20" s="107"/>
      <c r="O20" s="73"/>
      <c r="P20" s="73"/>
      <c r="Q20" s="6" t="str">
        <f>IF(ISBLANK(O20),IncompleteText,OKText)</f>
        <v>BLANK</v>
      </c>
      <c r="R20" s="57" t="s">
        <v>314</v>
      </c>
      <c r="S20" s="57"/>
      <c r="T20" s="57"/>
      <c r="U20" s="57"/>
      <c r="V20" s="57"/>
      <c r="W20" s="2"/>
      <c r="X20" s="106" t="s">
        <v>315</v>
      </c>
      <c r="Y20" s="106"/>
      <c r="Z20" s="106"/>
      <c r="AA20" s="107"/>
      <c r="AB20" s="19" t="e">
        <f>VLOOKUP(AB17,InsulationsTable,6,FALSE)</f>
        <v>#N/A</v>
      </c>
      <c r="AC20" s="5"/>
      <c r="AD20" s="6" t="str">
        <f>IF(ISNA(AB20),IncompleteText,OKText)</f>
        <v>BLANK</v>
      </c>
      <c r="AM20" s="97"/>
      <c r="AN20" s="97"/>
      <c r="AO20" s="97"/>
      <c r="AP20" s="97"/>
      <c r="AQ20" s="97"/>
      <c r="AR20" s="97"/>
      <c r="AS20" s="97"/>
      <c r="AU20" s="97"/>
      <c r="AV20" s="97"/>
      <c r="AW20" s="97"/>
      <c r="AX20" s="97"/>
      <c r="AY20" s="97"/>
      <c r="AZ20" s="97"/>
      <c r="BA20" s="97"/>
    </row>
    <row r="21" spans="1:53" x14ac:dyDescent="0.4">
      <c r="A21" s="15">
        <v>8</v>
      </c>
      <c r="B21" s="18"/>
      <c r="C21" s="18"/>
      <c r="D21" s="18"/>
      <c r="E21" s="18"/>
      <c r="F21" s="110">
        <f t="shared" si="0"/>
        <v>0</v>
      </c>
      <c r="G21" s="110"/>
      <c r="H21" s="110">
        <f t="shared" si="1"/>
        <v>0</v>
      </c>
      <c r="I21" s="110"/>
      <c r="J21" s="6" t="str">
        <f t="shared" si="2"/>
        <v/>
      </c>
      <c r="K21" s="106" t="s">
        <v>316</v>
      </c>
      <c r="L21" s="106"/>
      <c r="M21" s="106"/>
      <c r="N21" s="107"/>
      <c r="O21" s="73"/>
      <c r="P21" s="73"/>
      <c r="Q21" s="6" t="str">
        <f>IF(ISBLANK(O21),IncompleteText,OKText)</f>
        <v>BLANK</v>
      </c>
      <c r="R21" s="116" t="s">
        <v>314</v>
      </c>
      <c r="S21" s="116"/>
      <c r="T21" s="117"/>
      <c r="U21" s="108"/>
      <c r="V21" s="109"/>
      <c r="W21" s="6" t="str">
        <f>IF(ISBLANK(U21),IncompleteText,OKText)</f>
        <v>BLANK</v>
      </c>
      <c r="AM21" s="97"/>
      <c r="AN21" s="97"/>
      <c r="AO21" s="97"/>
      <c r="AP21" s="97"/>
      <c r="AQ21" s="97"/>
      <c r="AR21" s="97"/>
      <c r="AS21" s="97"/>
      <c r="AU21" s="97"/>
      <c r="AV21" s="97"/>
      <c r="AW21" s="97"/>
      <c r="AX21" s="97"/>
      <c r="AY21" s="97"/>
      <c r="AZ21" s="97"/>
      <c r="BA21" s="97"/>
    </row>
    <row r="22" spans="1:53" x14ac:dyDescent="0.4">
      <c r="A22" s="15">
        <v>9</v>
      </c>
      <c r="B22" s="18"/>
      <c r="C22" s="18"/>
      <c r="D22" s="18"/>
      <c r="E22" s="18"/>
      <c r="F22" s="110">
        <f t="shared" si="0"/>
        <v>0</v>
      </c>
      <c r="G22" s="110"/>
      <c r="H22" s="110">
        <f t="shared" si="1"/>
        <v>0</v>
      </c>
      <c r="I22" s="110"/>
      <c r="J22" s="6" t="str">
        <f t="shared" si="2"/>
        <v/>
      </c>
      <c r="K22" s="118" t="s">
        <v>318</v>
      </c>
      <c r="L22" s="119"/>
      <c r="M22" s="119"/>
      <c r="N22" s="120"/>
      <c r="O22" s="56"/>
      <c r="P22" s="56"/>
      <c r="Q22" s="6" t="str">
        <f>IF(O21="其他 Other",IF(ISBLANK(O22),IncompleteText,OKText),"")</f>
        <v/>
      </c>
      <c r="R22" s="106" t="s">
        <v>319</v>
      </c>
      <c r="S22" s="106"/>
      <c r="T22" s="107"/>
      <c r="U22" s="19" t="e">
        <f>VLOOKUP(U21,FuseTable,3,FALSE)</f>
        <v>#N/A</v>
      </c>
      <c r="V22" s="5" t="s">
        <v>23</v>
      </c>
      <c r="W22" s="2"/>
      <c r="AM22" s="97"/>
      <c r="AN22" s="97"/>
      <c r="AO22" s="97"/>
      <c r="AP22" s="97"/>
      <c r="AQ22" s="97"/>
      <c r="AR22" s="97"/>
      <c r="AS22" s="97"/>
      <c r="AU22" s="97"/>
      <c r="AV22" s="97"/>
      <c r="AW22" s="97"/>
      <c r="AX22" s="97"/>
      <c r="AY22" s="97"/>
      <c r="AZ22" s="97"/>
      <c r="BA22" s="97"/>
    </row>
    <row r="23" spans="1:53" x14ac:dyDescent="0.4">
      <c r="A23" s="15">
        <v>10</v>
      </c>
      <c r="B23" s="18"/>
      <c r="C23" s="18"/>
      <c r="D23" s="18"/>
      <c r="E23" s="18"/>
      <c r="F23" s="110">
        <f t="shared" si="0"/>
        <v>0</v>
      </c>
      <c r="G23" s="110"/>
      <c r="H23" s="110">
        <f t="shared" si="1"/>
        <v>0</v>
      </c>
      <c r="I23" s="110"/>
      <c r="J23" s="6" t="str">
        <f t="shared" si="2"/>
        <v/>
      </c>
      <c r="K23" s="106" t="s">
        <v>320</v>
      </c>
      <c r="L23" s="106"/>
      <c r="M23" s="106"/>
      <c r="N23" s="107"/>
      <c r="O23" s="121" t="e">
        <f>VLOOKUP(O20,FuseTable,2,FALSE)</f>
        <v>#N/A</v>
      </c>
      <c r="P23" s="121"/>
      <c r="Q23" s="6" t="str">
        <f>IF(ISERROR(O23),IncompleteText,IF(AND(O23&lt;MAX(F14:G31),O11="集中式 Centralized"),ErrorText,OKText))</f>
        <v>BLANK</v>
      </c>
      <c r="R23" s="106" t="s">
        <v>321</v>
      </c>
      <c r="S23" s="106"/>
      <c r="T23" s="107"/>
      <c r="U23" s="19" t="e">
        <f>VLOOKUP(U21,FuseTable,2,FALSE)</f>
        <v>#N/A</v>
      </c>
      <c r="V23" s="5" t="s">
        <v>21</v>
      </c>
      <c r="W23" s="6" t="e">
        <f>IF(U23&lt;MaxTSVoltage,ErrorText,OKText)</f>
        <v>#N/A</v>
      </c>
      <c r="AM23" s="97"/>
      <c r="AN23" s="97"/>
      <c r="AO23" s="97"/>
      <c r="AP23" s="97"/>
      <c r="AQ23" s="97"/>
      <c r="AR23" s="97"/>
      <c r="AS23" s="97"/>
      <c r="AU23" s="97"/>
      <c r="AV23" s="97"/>
      <c r="AW23" s="97"/>
      <c r="AX23" s="97"/>
      <c r="AY23" s="97"/>
      <c r="AZ23" s="97"/>
      <c r="BA23" s="97"/>
    </row>
    <row r="24" spans="1:53" x14ac:dyDescent="0.4">
      <c r="A24" s="15">
        <v>11</v>
      </c>
      <c r="B24" s="18"/>
      <c r="C24" s="18"/>
      <c r="D24" s="18"/>
      <c r="E24" s="18"/>
      <c r="F24" s="110">
        <f t="shared" si="0"/>
        <v>0</v>
      </c>
      <c r="G24" s="110"/>
      <c r="H24" s="110">
        <f t="shared" si="1"/>
        <v>0</v>
      </c>
      <c r="I24" s="110"/>
      <c r="J24" s="6" t="str">
        <f t="shared" si="2"/>
        <v/>
      </c>
      <c r="K24" s="115" t="s">
        <v>322</v>
      </c>
      <c r="L24" s="115"/>
      <c r="M24" s="115"/>
      <c r="N24" s="115"/>
      <c r="O24" s="115"/>
      <c r="P24" s="115"/>
      <c r="Q24" s="2"/>
      <c r="AM24" s="97"/>
      <c r="AN24" s="97"/>
      <c r="AO24" s="97"/>
      <c r="AP24" s="97"/>
      <c r="AQ24" s="97"/>
      <c r="AR24" s="97"/>
      <c r="AS24" s="97"/>
      <c r="AU24" s="97"/>
      <c r="AV24" s="97"/>
      <c r="AW24" s="97"/>
      <c r="AX24" s="97"/>
      <c r="AY24" s="97"/>
      <c r="AZ24" s="97"/>
      <c r="BA24" s="97"/>
    </row>
    <row r="25" spans="1:53" x14ac:dyDescent="0.4">
      <c r="A25" s="15">
        <v>12</v>
      </c>
      <c r="B25" s="18"/>
      <c r="C25" s="18"/>
      <c r="D25" s="18"/>
      <c r="E25" s="18"/>
      <c r="F25" s="110">
        <f t="shared" si="0"/>
        <v>0</v>
      </c>
      <c r="G25" s="110"/>
      <c r="H25" s="110">
        <f t="shared" si="1"/>
        <v>0</v>
      </c>
      <c r="I25" s="110"/>
      <c r="J25" s="6" t="str">
        <f t="shared" si="2"/>
        <v/>
      </c>
      <c r="K25" s="106" t="s">
        <v>323</v>
      </c>
      <c r="L25" s="106"/>
      <c r="M25" s="106"/>
      <c r="N25" s="107"/>
      <c r="O25" s="108"/>
      <c r="P25" s="109"/>
      <c r="Q25" s="6" t="str">
        <f>IF(ISBLANK(O25),IncompleteText,OKText)</f>
        <v>BLANK</v>
      </c>
      <c r="AM25" s="97"/>
      <c r="AN25" s="97"/>
      <c r="AO25" s="97"/>
      <c r="AP25" s="97"/>
      <c r="AQ25" s="97"/>
      <c r="AR25" s="97"/>
      <c r="AS25" s="97"/>
      <c r="AU25" s="97"/>
      <c r="AV25" s="97"/>
      <c r="AW25" s="97"/>
      <c r="AX25" s="97"/>
      <c r="AY25" s="97"/>
      <c r="AZ25" s="97"/>
      <c r="BA25" s="97"/>
    </row>
    <row r="26" spans="1:53" x14ac:dyDescent="0.4">
      <c r="A26" s="15">
        <v>13</v>
      </c>
      <c r="B26" s="18"/>
      <c r="C26" s="18"/>
      <c r="D26" s="18"/>
      <c r="E26" s="18"/>
      <c r="F26" s="110">
        <f t="shared" si="0"/>
        <v>0</v>
      </c>
      <c r="G26" s="110"/>
      <c r="H26" s="110">
        <f t="shared" si="1"/>
        <v>0</v>
      </c>
      <c r="I26" s="110"/>
      <c r="J26" s="6" t="str">
        <f t="shared" si="2"/>
        <v/>
      </c>
      <c r="K26" s="106" t="s">
        <v>325</v>
      </c>
      <c r="L26" s="106"/>
      <c r="M26" s="106"/>
      <c r="N26" s="107"/>
      <c r="O26" s="18"/>
      <c r="P26" s="5" t="s">
        <v>289</v>
      </c>
      <c r="Q26" s="6" t="str">
        <f>IF(O25="极耳 Cell tabs","",IF(ISBLANK(O26),IncompleteText,IF(O26&lt;10,OKText,ErrorText)))</f>
        <v>BLANK</v>
      </c>
      <c r="AM26" s="97"/>
      <c r="AN26" s="97"/>
      <c r="AO26" s="97"/>
      <c r="AP26" s="97"/>
      <c r="AQ26" s="97"/>
      <c r="AR26" s="97"/>
      <c r="AS26" s="97"/>
      <c r="AU26" s="97"/>
      <c r="AV26" s="97"/>
      <c r="AW26" s="97"/>
      <c r="AX26" s="97"/>
      <c r="AY26" s="97"/>
      <c r="AZ26" s="97"/>
      <c r="BA26" s="97"/>
    </row>
    <row r="27" spans="1:53" x14ac:dyDescent="0.4">
      <c r="A27" s="15">
        <v>14</v>
      </c>
      <c r="B27" s="18"/>
      <c r="C27" s="18"/>
      <c r="D27" s="18"/>
      <c r="E27" s="18"/>
      <c r="F27" s="110">
        <f t="shared" si="0"/>
        <v>0</v>
      </c>
      <c r="G27" s="110"/>
      <c r="H27" s="110">
        <f t="shared" si="1"/>
        <v>0</v>
      </c>
      <c r="I27" s="110"/>
      <c r="J27" s="6" t="str">
        <f t="shared" si="2"/>
        <v/>
      </c>
      <c r="K27" s="106" t="s">
        <v>326</v>
      </c>
      <c r="L27" s="106"/>
      <c r="M27" s="106"/>
      <c r="N27" s="107"/>
      <c r="O27" s="18"/>
      <c r="P27" s="5" t="s">
        <v>327</v>
      </c>
      <c r="Q27" s="6" t="str">
        <f>IF(ISBLANK(O27),IncompleteText,OKText)</f>
        <v>BLANK</v>
      </c>
      <c r="AM27" s="97"/>
      <c r="AN27" s="97"/>
      <c r="AO27" s="97"/>
      <c r="AP27" s="97"/>
      <c r="AQ27" s="97"/>
      <c r="AR27" s="97"/>
      <c r="AS27" s="97"/>
      <c r="AU27" s="97"/>
      <c r="AV27" s="97"/>
      <c r="AW27" s="97"/>
      <c r="AX27" s="97"/>
      <c r="AY27" s="97"/>
      <c r="AZ27" s="97"/>
      <c r="BA27" s="97"/>
    </row>
    <row r="28" spans="1:53" x14ac:dyDescent="0.4">
      <c r="A28" s="15">
        <v>15</v>
      </c>
      <c r="B28" s="18"/>
      <c r="C28" s="18"/>
      <c r="D28" s="18"/>
      <c r="E28" s="18"/>
      <c r="F28" s="110">
        <f t="shared" si="0"/>
        <v>0</v>
      </c>
      <c r="G28" s="110"/>
      <c r="H28" s="110">
        <f t="shared" si="1"/>
        <v>0</v>
      </c>
      <c r="I28" s="110"/>
      <c r="J28" s="6" t="str">
        <f t="shared" si="2"/>
        <v/>
      </c>
      <c r="K28" s="106" t="s">
        <v>328</v>
      </c>
      <c r="L28" s="106"/>
      <c r="M28" s="106"/>
      <c r="N28" s="107"/>
      <c r="O28" s="108"/>
      <c r="P28" s="109"/>
      <c r="Q28" s="2"/>
      <c r="AM28" s="97"/>
      <c r="AN28" s="97"/>
      <c r="AO28" s="97"/>
      <c r="AP28" s="97"/>
      <c r="AQ28" s="97"/>
      <c r="AR28" s="97"/>
      <c r="AS28" s="97"/>
      <c r="AU28" s="97"/>
      <c r="AV28" s="97"/>
      <c r="AW28" s="97"/>
      <c r="AX28" s="97"/>
      <c r="AY28" s="97"/>
      <c r="AZ28" s="97"/>
      <c r="BA28" s="97"/>
    </row>
    <row r="29" spans="1:53" x14ac:dyDescent="0.4">
      <c r="A29" s="15">
        <v>16</v>
      </c>
      <c r="B29" s="18"/>
      <c r="C29" s="18"/>
      <c r="D29" s="18"/>
      <c r="E29" s="18"/>
      <c r="F29" s="110">
        <f t="shared" si="0"/>
        <v>0</v>
      </c>
      <c r="G29" s="110"/>
      <c r="H29" s="110">
        <f t="shared" si="1"/>
        <v>0</v>
      </c>
      <c r="I29" s="110"/>
      <c r="J29" s="6" t="str">
        <f t="shared" si="2"/>
        <v/>
      </c>
      <c r="K29" s="106" t="s">
        <v>329</v>
      </c>
      <c r="L29" s="106"/>
      <c r="M29" s="106"/>
      <c r="N29" s="107"/>
      <c r="O29" s="108"/>
      <c r="P29" s="109"/>
      <c r="Q29" s="6" t="str">
        <f>IF(ISBLANK($O$28),"",IF(ISBLANK(O29),IncompleteText,OKText))</f>
        <v/>
      </c>
      <c r="AM29" s="97"/>
      <c r="AN29" s="97"/>
      <c r="AO29" s="97"/>
      <c r="AP29" s="97"/>
      <c r="AQ29" s="97"/>
      <c r="AR29" s="97"/>
      <c r="AS29" s="97"/>
      <c r="AU29" s="97"/>
      <c r="AV29" s="97"/>
      <c r="AW29" s="97"/>
      <c r="AX29" s="97"/>
      <c r="AY29" s="97"/>
      <c r="AZ29" s="97"/>
      <c r="BA29" s="97"/>
    </row>
    <row r="30" spans="1:53" x14ac:dyDescent="0.4">
      <c r="A30" s="15">
        <v>17</v>
      </c>
      <c r="B30" s="18"/>
      <c r="C30" s="18"/>
      <c r="D30" s="18"/>
      <c r="E30" s="18"/>
      <c r="F30" s="110">
        <f t="shared" si="0"/>
        <v>0</v>
      </c>
      <c r="G30" s="110"/>
      <c r="H30" s="110">
        <f t="shared" si="1"/>
        <v>0</v>
      </c>
      <c r="I30" s="110"/>
      <c r="J30" s="6" t="str">
        <f t="shared" si="2"/>
        <v/>
      </c>
      <c r="K30" s="106" t="s">
        <v>330</v>
      </c>
      <c r="L30" s="106"/>
      <c r="M30" s="106"/>
      <c r="N30" s="107"/>
      <c r="O30" s="18"/>
      <c r="P30" s="5" t="s">
        <v>331</v>
      </c>
      <c r="Q30" s="6" t="str">
        <f>IF(ISBLANK($O$28),"",IF(ISBLANK(O30),IncompleteText,OKText))</f>
        <v/>
      </c>
      <c r="AM30" s="97"/>
      <c r="AN30" s="97"/>
      <c r="AO30" s="97"/>
      <c r="AP30" s="97"/>
      <c r="AQ30" s="97"/>
      <c r="AR30" s="97"/>
      <c r="AS30" s="97"/>
      <c r="AU30" s="97"/>
      <c r="AV30" s="97"/>
      <c r="AW30" s="97"/>
      <c r="AX30" s="97"/>
      <c r="AY30" s="97"/>
      <c r="AZ30" s="97"/>
      <c r="BA30" s="97"/>
    </row>
    <row r="31" spans="1:53" x14ac:dyDescent="0.4">
      <c r="A31" s="15">
        <v>18</v>
      </c>
      <c r="B31" s="18"/>
      <c r="C31" s="18"/>
      <c r="D31" s="18"/>
      <c r="E31" s="18"/>
      <c r="F31" s="110">
        <f t="shared" si="0"/>
        <v>0</v>
      </c>
      <c r="G31" s="110"/>
      <c r="H31" s="110">
        <f t="shared" si="1"/>
        <v>0</v>
      </c>
      <c r="I31" s="110"/>
      <c r="J31" s="6" t="str">
        <f t="shared" si="2"/>
        <v/>
      </c>
      <c r="K31" s="106" t="s">
        <v>332</v>
      </c>
      <c r="L31" s="106"/>
      <c r="M31" s="106"/>
      <c r="N31" s="107"/>
      <c r="O31" s="18"/>
      <c r="P31" s="5" t="s">
        <v>289</v>
      </c>
      <c r="Q31" s="6" t="str">
        <f>IF(ISBLANK($O$28),"",IF(ISBLANK(O31),IncompleteText,OKText))</f>
        <v/>
      </c>
      <c r="AM31" s="97"/>
      <c r="AN31" s="97"/>
      <c r="AO31" s="97"/>
      <c r="AP31" s="97"/>
      <c r="AQ31" s="97"/>
      <c r="AR31" s="97"/>
      <c r="AS31" s="97"/>
      <c r="AU31" s="97"/>
      <c r="AV31" s="97"/>
      <c r="AW31" s="97"/>
      <c r="AX31" s="97"/>
      <c r="AY31" s="97"/>
      <c r="AZ31" s="97"/>
      <c r="BA31" s="97"/>
    </row>
    <row r="32" spans="1:53" x14ac:dyDescent="0.4">
      <c r="K32" s="106" t="s">
        <v>333</v>
      </c>
      <c r="L32" s="106"/>
      <c r="M32" s="106"/>
      <c r="N32" s="107"/>
      <c r="O32" s="36" t="e">
        <f>SUMIF(J14:J31,"=OK",D14:D31)*CellsPerTempSensor/TotalCells*100</f>
        <v>#DIV/0!</v>
      </c>
      <c r="P32" s="5" t="s">
        <v>334</v>
      </c>
      <c r="Q32" s="6" t="str">
        <f>IF(ISERROR(O32),IncompleteText,IF(O32&lt;20,ErrorText,OKText))</f>
        <v>BLANK</v>
      </c>
    </row>
    <row r="35" spans="1:53" x14ac:dyDescent="0.4">
      <c r="A35" s="98" t="s">
        <v>335</v>
      </c>
      <c r="B35" s="98"/>
      <c r="C35" s="98"/>
      <c r="D35" s="98"/>
      <c r="E35" s="98"/>
      <c r="F35" s="98"/>
      <c r="G35" s="98"/>
      <c r="H35" s="98"/>
      <c r="J35" s="97" t="s">
        <v>336</v>
      </c>
      <c r="K35" s="98"/>
      <c r="L35" s="98"/>
      <c r="M35" s="98"/>
      <c r="N35" s="98"/>
      <c r="O35" s="98"/>
      <c r="P35" s="98"/>
      <c r="Q35" s="98"/>
      <c r="S35" s="98" t="s">
        <v>337</v>
      </c>
      <c r="T35" s="98"/>
      <c r="U35" s="98"/>
      <c r="V35" s="98"/>
      <c r="W35" s="98"/>
      <c r="X35" s="98"/>
      <c r="Y35" s="98"/>
      <c r="Z35" s="98"/>
      <c r="AB35" s="98" t="s">
        <v>338</v>
      </c>
      <c r="AC35" s="98"/>
      <c r="AD35" s="98"/>
      <c r="AE35" s="98"/>
      <c r="AF35" s="98"/>
      <c r="AG35" s="98"/>
      <c r="AH35" s="98"/>
      <c r="AI35" s="98"/>
      <c r="AK35" s="97" t="s">
        <v>339</v>
      </c>
      <c r="AL35" s="97"/>
      <c r="AM35" s="97"/>
      <c r="AN35" s="97"/>
      <c r="AO35" s="97"/>
      <c r="AP35" s="97"/>
      <c r="AQ35" s="97"/>
      <c r="AR35" s="97"/>
      <c r="AT35" s="98" t="s">
        <v>340</v>
      </c>
      <c r="AU35" s="98"/>
      <c r="AV35" s="98"/>
      <c r="AW35" s="98"/>
      <c r="AX35" s="98"/>
      <c r="AY35" s="98"/>
      <c r="AZ35" s="98"/>
      <c r="BA35" s="98"/>
    </row>
    <row r="36" spans="1:53" x14ac:dyDescent="0.4">
      <c r="A36" s="98"/>
      <c r="B36" s="98"/>
      <c r="C36" s="98"/>
      <c r="D36" s="98"/>
      <c r="E36" s="98"/>
      <c r="F36" s="98"/>
      <c r="G36" s="98"/>
      <c r="H36" s="98"/>
      <c r="J36" s="98"/>
      <c r="K36" s="98"/>
      <c r="L36" s="98"/>
      <c r="M36" s="98"/>
      <c r="N36" s="98"/>
      <c r="O36" s="98"/>
      <c r="P36" s="98"/>
      <c r="Q36" s="98"/>
      <c r="S36" s="98"/>
      <c r="T36" s="98"/>
      <c r="U36" s="98"/>
      <c r="V36" s="98"/>
      <c r="W36" s="98"/>
      <c r="X36" s="98"/>
      <c r="Y36" s="98"/>
      <c r="Z36" s="98"/>
      <c r="AB36" s="98"/>
      <c r="AC36" s="98"/>
      <c r="AD36" s="98"/>
      <c r="AE36" s="98"/>
      <c r="AF36" s="98"/>
      <c r="AG36" s="98"/>
      <c r="AH36" s="98"/>
      <c r="AI36" s="98"/>
      <c r="AK36" s="97"/>
      <c r="AL36" s="97"/>
      <c r="AM36" s="97"/>
      <c r="AN36" s="97"/>
      <c r="AO36" s="97"/>
      <c r="AP36" s="97"/>
      <c r="AQ36" s="97"/>
      <c r="AR36" s="97"/>
      <c r="AT36" s="98"/>
      <c r="AU36" s="98"/>
      <c r="AV36" s="98"/>
      <c r="AW36" s="98"/>
      <c r="AX36" s="98"/>
      <c r="AY36" s="98"/>
      <c r="AZ36" s="98"/>
      <c r="BA36" s="98"/>
    </row>
    <row r="37" spans="1:53" x14ac:dyDescent="0.4">
      <c r="A37" s="98"/>
      <c r="B37" s="98"/>
      <c r="C37" s="98"/>
      <c r="D37" s="98"/>
      <c r="E37" s="98"/>
      <c r="F37" s="98"/>
      <c r="G37" s="98"/>
      <c r="H37" s="98"/>
      <c r="J37" s="98"/>
      <c r="K37" s="98"/>
      <c r="L37" s="98"/>
      <c r="M37" s="98"/>
      <c r="N37" s="98"/>
      <c r="O37" s="98"/>
      <c r="P37" s="98"/>
      <c r="Q37" s="98"/>
      <c r="S37" s="98"/>
      <c r="T37" s="98"/>
      <c r="U37" s="98"/>
      <c r="V37" s="98"/>
      <c r="W37" s="98"/>
      <c r="X37" s="98"/>
      <c r="Y37" s="98"/>
      <c r="Z37" s="98"/>
      <c r="AB37" s="98"/>
      <c r="AC37" s="98"/>
      <c r="AD37" s="98"/>
      <c r="AE37" s="98"/>
      <c r="AF37" s="98"/>
      <c r="AG37" s="98"/>
      <c r="AH37" s="98"/>
      <c r="AI37" s="98"/>
      <c r="AK37" s="97"/>
      <c r="AL37" s="97"/>
      <c r="AM37" s="97"/>
      <c r="AN37" s="97"/>
      <c r="AO37" s="97"/>
      <c r="AP37" s="97"/>
      <c r="AQ37" s="97"/>
      <c r="AR37" s="97"/>
      <c r="AT37" s="98"/>
      <c r="AU37" s="98"/>
      <c r="AV37" s="98"/>
      <c r="AW37" s="98"/>
      <c r="AX37" s="98"/>
      <c r="AY37" s="98"/>
      <c r="AZ37" s="98"/>
      <c r="BA37" s="98"/>
    </row>
    <row r="38" spans="1:53" x14ac:dyDescent="0.4">
      <c r="A38" s="98"/>
      <c r="B38" s="98"/>
      <c r="C38" s="98"/>
      <c r="D38" s="98"/>
      <c r="E38" s="98"/>
      <c r="F38" s="98"/>
      <c r="G38" s="98"/>
      <c r="H38" s="98"/>
      <c r="J38" s="98"/>
      <c r="K38" s="98"/>
      <c r="L38" s="98"/>
      <c r="M38" s="98"/>
      <c r="N38" s="98"/>
      <c r="O38" s="98"/>
      <c r="P38" s="98"/>
      <c r="Q38" s="98"/>
      <c r="S38" s="98"/>
      <c r="T38" s="98"/>
      <c r="U38" s="98"/>
      <c r="V38" s="98"/>
      <c r="W38" s="98"/>
      <c r="X38" s="98"/>
      <c r="Y38" s="98"/>
      <c r="Z38" s="98"/>
      <c r="AB38" s="98"/>
      <c r="AC38" s="98"/>
      <c r="AD38" s="98"/>
      <c r="AE38" s="98"/>
      <c r="AF38" s="98"/>
      <c r="AG38" s="98"/>
      <c r="AH38" s="98"/>
      <c r="AI38" s="98"/>
      <c r="AK38" s="97"/>
      <c r="AL38" s="97"/>
      <c r="AM38" s="97"/>
      <c r="AN38" s="97"/>
      <c r="AO38" s="97"/>
      <c r="AP38" s="97"/>
      <c r="AQ38" s="97"/>
      <c r="AR38" s="97"/>
      <c r="AT38" s="98"/>
      <c r="AU38" s="98"/>
      <c r="AV38" s="98"/>
      <c r="AW38" s="98"/>
      <c r="AX38" s="98"/>
      <c r="AY38" s="98"/>
      <c r="AZ38" s="98"/>
      <c r="BA38" s="98"/>
    </row>
    <row r="39" spans="1:53" x14ac:dyDescent="0.4">
      <c r="A39" s="98"/>
      <c r="B39" s="98"/>
      <c r="C39" s="98"/>
      <c r="D39" s="98"/>
      <c r="E39" s="98"/>
      <c r="F39" s="98"/>
      <c r="G39" s="98"/>
      <c r="H39" s="98"/>
      <c r="J39" s="98"/>
      <c r="K39" s="98"/>
      <c r="L39" s="98"/>
      <c r="M39" s="98"/>
      <c r="N39" s="98"/>
      <c r="O39" s="98"/>
      <c r="P39" s="98"/>
      <c r="Q39" s="98"/>
      <c r="S39" s="98"/>
      <c r="T39" s="98"/>
      <c r="U39" s="98"/>
      <c r="V39" s="98"/>
      <c r="W39" s="98"/>
      <c r="X39" s="98"/>
      <c r="Y39" s="98"/>
      <c r="Z39" s="98"/>
      <c r="AB39" s="98"/>
      <c r="AC39" s="98"/>
      <c r="AD39" s="98"/>
      <c r="AE39" s="98"/>
      <c r="AF39" s="98"/>
      <c r="AG39" s="98"/>
      <c r="AH39" s="98"/>
      <c r="AI39" s="98"/>
      <c r="AK39" s="97"/>
      <c r="AL39" s="97"/>
      <c r="AM39" s="97"/>
      <c r="AN39" s="97"/>
      <c r="AO39" s="97"/>
      <c r="AP39" s="97"/>
      <c r="AQ39" s="97"/>
      <c r="AR39" s="97"/>
      <c r="AT39" s="98"/>
      <c r="AU39" s="98"/>
      <c r="AV39" s="98"/>
      <c r="AW39" s="98"/>
      <c r="AX39" s="98"/>
      <c r="AY39" s="98"/>
      <c r="AZ39" s="98"/>
      <c r="BA39" s="98"/>
    </row>
    <row r="40" spans="1:53" x14ac:dyDescent="0.4">
      <c r="A40" s="98"/>
      <c r="B40" s="98"/>
      <c r="C40" s="98"/>
      <c r="D40" s="98"/>
      <c r="E40" s="98"/>
      <c r="F40" s="98"/>
      <c r="G40" s="98"/>
      <c r="H40" s="98"/>
      <c r="J40" s="98"/>
      <c r="K40" s="98"/>
      <c r="L40" s="98"/>
      <c r="M40" s="98"/>
      <c r="N40" s="98"/>
      <c r="O40" s="98"/>
      <c r="P40" s="98"/>
      <c r="Q40" s="98"/>
      <c r="S40" s="98"/>
      <c r="T40" s="98"/>
      <c r="U40" s="98"/>
      <c r="V40" s="98"/>
      <c r="W40" s="98"/>
      <c r="X40" s="98"/>
      <c r="Y40" s="98"/>
      <c r="Z40" s="98"/>
      <c r="AB40" s="98"/>
      <c r="AC40" s="98"/>
      <c r="AD40" s="98"/>
      <c r="AE40" s="98"/>
      <c r="AF40" s="98"/>
      <c r="AG40" s="98"/>
      <c r="AH40" s="98"/>
      <c r="AI40" s="98"/>
      <c r="AK40" s="97"/>
      <c r="AL40" s="97"/>
      <c r="AM40" s="97"/>
      <c r="AN40" s="97"/>
      <c r="AO40" s="97"/>
      <c r="AP40" s="97"/>
      <c r="AQ40" s="97"/>
      <c r="AR40" s="97"/>
      <c r="AT40" s="98"/>
      <c r="AU40" s="98"/>
      <c r="AV40" s="98"/>
      <c r="AW40" s="98"/>
      <c r="AX40" s="98"/>
      <c r="AY40" s="98"/>
      <c r="AZ40" s="98"/>
      <c r="BA40" s="98"/>
    </row>
    <row r="41" spans="1:53" x14ac:dyDescent="0.4">
      <c r="A41" s="98"/>
      <c r="B41" s="98"/>
      <c r="C41" s="98"/>
      <c r="D41" s="98"/>
      <c r="E41" s="98"/>
      <c r="F41" s="98"/>
      <c r="G41" s="98"/>
      <c r="H41" s="98"/>
      <c r="J41" s="98"/>
      <c r="K41" s="98"/>
      <c r="L41" s="98"/>
      <c r="M41" s="98"/>
      <c r="N41" s="98"/>
      <c r="O41" s="98"/>
      <c r="P41" s="98"/>
      <c r="Q41" s="98"/>
      <c r="S41" s="98"/>
      <c r="T41" s="98"/>
      <c r="U41" s="98"/>
      <c r="V41" s="98"/>
      <c r="W41" s="98"/>
      <c r="X41" s="98"/>
      <c r="Y41" s="98"/>
      <c r="Z41" s="98"/>
      <c r="AB41" s="98"/>
      <c r="AC41" s="98"/>
      <c r="AD41" s="98"/>
      <c r="AE41" s="98"/>
      <c r="AF41" s="98"/>
      <c r="AG41" s="98"/>
      <c r="AH41" s="98"/>
      <c r="AI41" s="98"/>
      <c r="AK41" s="97"/>
      <c r="AL41" s="97"/>
      <c r="AM41" s="97"/>
      <c r="AN41" s="97"/>
      <c r="AO41" s="97"/>
      <c r="AP41" s="97"/>
      <c r="AQ41" s="97"/>
      <c r="AR41" s="97"/>
      <c r="AT41" s="98"/>
      <c r="AU41" s="98"/>
      <c r="AV41" s="98"/>
      <c r="AW41" s="98"/>
      <c r="AX41" s="98"/>
      <c r="AY41" s="98"/>
      <c r="AZ41" s="98"/>
      <c r="BA41" s="98"/>
    </row>
    <row r="42" spans="1:53" x14ac:dyDescent="0.4">
      <c r="A42" s="98"/>
      <c r="B42" s="98"/>
      <c r="C42" s="98"/>
      <c r="D42" s="98"/>
      <c r="E42" s="98"/>
      <c r="F42" s="98"/>
      <c r="G42" s="98"/>
      <c r="H42" s="98"/>
      <c r="J42" s="98"/>
      <c r="K42" s="98"/>
      <c r="L42" s="98"/>
      <c r="M42" s="98"/>
      <c r="N42" s="98"/>
      <c r="O42" s="98"/>
      <c r="P42" s="98"/>
      <c r="Q42" s="98"/>
      <c r="S42" s="98"/>
      <c r="T42" s="98"/>
      <c r="U42" s="98"/>
      <c r="V42" s="98"/>
      <c r="W42" s="98"/>
      <c r="X42" s="98"/>
      <c r="Y42" s="98"/>
      <c r="Z42" s="98"/>
      <c r="AB42" s="98"/>
      <c r="AC42" s="98"/>
      <c r="AD42" s="98"/>
      <c r="AE42" s="98"/>
      <c r="AF42" s="98"/>
      <c r="AG42" s="98"/>
      <c r="AH42" s="98"/>
      <c r="AI42" s="98"/>
      <c r="AK42" s="97"/>
      <c r="AL42" s="97"/>
      <c r="AM42" s="97"/>
      <c r="AN42" s="97"/>
      <c r="AO42" s="97"/>
      <c r="AP42" s="97"/>
      <c r="AQ42" s="97"/>
      <c r="AR42" s="97"/>
      <c r="AT42" s="98"/>
      <c r="AU42" s="98"/>
      <c r="AV42" s="98"/>
      <c r="AW42" s="98"/>
      <c r="AX42" s="98"/>
      <c r="AY42" s="98"/>
      <c r="AZ42" s="98"/>
      <c r="BA42" s="98"/>
    </row>
    <row r="43" spans="1:53" x14ac:dyDescent="0.4">
      <c r="A43" s="98"/>
      <c r="B43" s="98"/>
      <c r="C43" s="98"/>
      <c r="D43" s="98"/>
      <c r="E43" s="98"/>
      <c r="F43" s="98"/>
      <c r="G43" s="98"/>
      <c r="H43" s="98"/>
      <c r="J43" s="98"/>
      <c r="K43" s="98"/>
      <c r="L43" s="98"/>
      <c r="M43" s="98"/>
      <c r="N43" s="98"/>
      <c r="O43" s="98"/>
      <c r="P43" s="98"/>
      <c r="Q43" s="98"/>
      <c r="S43" s="98"/>
      <c r="T43" s="98"/>
      <c r="U43" s="98"/>
      <c r="V43" s="98"/>
      <c r="W43" s="98"/>
      <c r="X43" s="98"/>
      <c r="Y43" s="98"/>
      <c r="Z43" s="98"/>
      <c r="AB43" s="98"/>
      <c r="AC43" s="98"/>
      <c r="AD43" s="98"/>
      <c r="AE43" s="98"/>
      <c r="AF43" s="98"/>
      <c r="AG43" s="98"/>
      <c r="AH43" s="98"/>
      <c r="AI43" s="98"/>
      <c r="AK43" s="97"/>
      <c r="AL43" s="97"/>
      <c r="AM43" s="97"/>
      <c r="AN43" s="97"/>
      <c r="AO43" s="97"/>
      <c r="AP43" s="97"/>
      <c r="AQ43" s="97"/>
      <c r="AR43" s="97"/>
      <c r="AT43" s="98"/>
      <c r="AU43" s="98"/>
      <c r="AV43" s="98"/>
      <c r="AW43" s="98"/>
      <c r="AX43" s="98"/>
      <c r="AY43" s="98"/>
      <c r="AZ43" s="98"/>
      <c r="BA43" s="98"/>
    </row>
    <row r="44" spans="1:53" x14ac:dyDescent="0.4">
      <c r="A44" s="98"/>
      <c r="B44" s="98"/>
      <c r="C44" s="98"/>
      <c r="D44" s="98"/>
      <c r="E44" s="98"/>
      <c r="F44" s="98"/>
      <c r="G44" s="98"/>
      <c r="H44" s="98"/>
      <c r="J44" s="98"/>
      <c r="K44" s="98"/>
      <c r="L44" s="98"/>
      <c r="M44" s="98"/>
      <c r="N44" s="98"/>
      <c r="O44" s="98"/>
      <c r="P44" s="98"/>
      <c r="Q44" s="98"/>
      <c r="S44" s="98"/>
      <c r="T44" s="98"/>
      <c r="U44" s="98"/>
      <c r="V44" s="98"/>
      <c r="W44" s="98"/>
      <c r="X44" s="98"/>
      <c r="Y44" s="98"/>
      <c r="Z44" s="98"/>
      <c r="AB44" s="98"/>
      <c r="AC44" s="98"/>
      <c r="AD44" s="98"/>
      <c r="AE44" s="98"/>
      <c r="AF44" s="98"/>
      <c r="AG44" s="98"/>
      <c r="AH44" s="98"/>
      <c r="AI44" s="98"/>
      <c r="AK44" s="97"/>
      <c r="AL44" s="97"/>
      <c r="AM44" s="97"/>
      <c r="AN44" s="97"/>
      <c r="AO44" s="97"/>
      <c r="AP44" s="97"/>
      <c r="AQ44" s="97"/>
      <c r="AR44" s="97"/>
      <c r="AT44" s="98"/>
      <c r="AU44" s="98"/>
      <c r="AV44" s="98"/>
      <c r="AW44" s="98"/>
      <c r="AX44" s="98"/>
      <c r="AY44" s="98"/>
      <c r="AZ44" s="98"/>
      <c r="BA44" s="98"/>
    </row>
    <row r="45" spans="1:53" x14ac:dyDescent="0.4">
      <c r="A45" s="98"/>
      <c r="B45" s="98"/>
      <c r="C45" s="98"/>
      <c r="D45" s="98"/>
      <c r="E45" s="98"/>
      <c r="F45" s="98"/>
      <c r="G45" s="98"/>
      <c r="H45" s="98"/>
      <c r="J45" s="98"/>
      <c r="K45" s="98"/>
      <c r="L45" s="98"/>
      <c r="M45" s="98"/>
      <c r="N45" s="98"/>
      <c r="O45" s="98"/>
      <c r="P45" s="98"/>
      <c r="Q45" s="98"/>
      <c r="S45" s="98"/>
      <c r="T45" s="98"/>
      <c r="U45" s="98"/>
      <c r="V45" s="98"/>
      <c r="W45" s="98"/>
      <c r="X45" s="98"/>
      <c r="Y45" s="98"/>
      <c r="Z45" s="98"/>
      <c r="AB45" s="98"/>
      <c r="AC45" s="98"/>
      <c r="AD45" s="98"/>
      <c r="AE45" s="98"/>
      <c r="AF45" s="98"/>
      <c r="AG45" s="98"/>
      <c r="AH45" s="98"/>
      <c r="AI45" s="98"/>
      <c r="AK45" s="97"/>
      <c r="AL45" s="97"/>
      <c r="AM45" s="97"/>
      <c r="AN45" s="97"/>
      <c r="AO45" s="97"/>
      <c r="AP45" s="97"/>
      <c r="AQ45" s="97"/>
      <c r="AR45" s="97"/>
      <c r="AT45" s="98"/>
      <c r="AU45" s="98"/>
      <c r="AV45" s="98"/>
      <c r="AW45" s="98"/>
      <c r="AX45" s="98"/>
      <c r="AY45" s="98"/>
      <c r="AZ45" s="98"/>
      <c r="BA45" s="98"/>
    </row>
    <row r="46" spans="1:53" x14ac:dyDescent="0.4">
      <c r="A46" s="98"/>
      <c r="B46" s="98"/>
      <c r="C46" s="98"/>
      <c r="D46" s="98"/>
      <c r="E46" s="98"/>
      <c r="F46" s="98"/>
      <c r="G46" s="98"/>
      <c r="H46" s="98"/>
      <c r="J46" s="98"/>
      <c r="K46" s="98"/>
      <c r="L46" s="98"/>
      <c r="M46" s="98"/>
      <c r="N46" s="98"/>
      <c r="O46" s="98"/>
      <c r="P46" s="98"/>
      <c r="Q46" s="98"/>
      <c r="S46" s="98"/>
      <c r="T46" s="98"/>
      <c r="U46" s="98"/>
      <c r="V46" s="98"/>
      <c r="W46" s="98"/>
      <c r="X46" s="98"/>
      <c r="Y46" s="98"/>
      <c r="Z46" s="98"/>
      <c r="AB46" s="98"/>
      <c r="AC46" s="98"/>
      <c r="AD46" s="98"/>
      <c r="AE46" s="98"/>
      <c r="AF46" s="98"/>
      <c r="AG46" s="98"/>
      <c r="AH46" s="98"/>
      <c r="AI46" s="98"/>
      <c r="AK46" s="97"/>
      <c r="AL46" s="97"/>
      <c r="AM46" s="97"/>
      <c r="AN46" s="97"/>
      <c r="AO46" s="97"/>
      <c r="AP46" s="97"/>
      <c r="AQ46" s="97"/>
      <c r="AR46" s="97"/>
      <c r="AT46" s="98"/>
      <c r="AU46" s="98"/>
      <c r="AV46" s="98"/>
      <c r="AW46" s="98"/>
      <c r="AX46" s="98"/>
      <c r="AY46" s="98"/>
      <c r="AZ46" s="98"/>
      <c r="BA46" s="98"/>
    </row>
    <row r="47" spans="1:53" x14ac:dyDescent="0.4">
      <c r="A47" s="98"/>
      <c r="B47" s="98"/>
      <c r="C47" s="98"/>
      <c r="D47" s="98"/>
      <c r="E47" s="98"/>
      <c r="F47" s="98"/>
      <c r="G47" s="98"/>
      <c r="H47" s="98"/>
      <c r="J47" s="98"/>
      <c r="K47" s="98"/>
      <c r="L47" s="98"/>
      <c r="M47" s="98"/>
      <c r="N47" s="98"/>
      <c r="O47" s="98"/>
      <c r="P47" s="98"/>
      <c r="Q47" s="98"/>
      <c r="S47" s="98"/>
      <c r="T47" s="98"/>
      <c r="U47" s="98"/>
      <c r="V47" s="98"/>
      <c r="W47" s="98"/>
      <c r="X47" s="98"/>
      <c r="Y47" s="98"/>
      <c r="Z47" s="98"/>
      <c r="AB47" s="98"/>
      <c r="AC47" s="98"/>
      <c r="AD47" s="98"/>
      <c r="AE47" s="98"/>
      <c r="AF47" s="98"/>
      <c r="AG47" s="98"/>
      <c r="AH47" s="98"/>
      <c r="AI47" s="98"/>
      <c r="AK47" s="97"/>
      <c r="AL47" s="97"/>
      <c r="AM47" s="97"/>
      <c r="AN47" s="97"/>
      <c r="AO47" s="97"/>
      <c r="AP47" s="97"/>
      <c r="AQ47" s="97"/>
      <c r="AR47" s="97"/>
      <c r="AT47" s="98"/>
      <c r="AU47" s="98"/>
      <c r="AV47" s="98"/>
      <c r="AW47" s="98"/>
      <c r="AX47" s="98"/>
      <c r="AY47" s="98"/>
      <c r="AZ47" s="98"/>
      <c r="BA47" s="98"/>
    </row>
    <row r="48" spans="1:53" x14ac:dyDescent="0.4">
      <c r="A48" s="98"/>
      <c r="B48" s="98"/>
      <c r="C48" s="98"/>
      <c r="D48" s="98"/>
      <c r="E48" s="98"/>
      <c r="F48" s="98"/>
      <c r="G48" s="98"/>
      <c r="H48" s="98"/>
      <c r="J48" s="98"/>
      <c r="K48" s="98"/>
      <c r="L48" s="98"/>
      <c r="M48" s="98"/>
      <c r="N48" s="98"/>
      <c r="O48" s="98"/>
      <c r="P48" s="98"/>
      <c r="Q48" s="98"/>
      <c r="S48" s="98"/>
      <c r="T48" s="98"/>
      <c r="U48" s="98"/>
      <c r="V48" s="98"/>
      <c r="W48" s="98"/>
      <c r="X48" s="98"/>
      <c r="Y48" s="98"/>
      <c r="Z48" s="98"/>
      <c r="AB48" s="98"/>
      <c r="AC48" s="98"/>
      <c r="AD48" s="98"/>
      <c r="AE48" s="98"/>
      <c r="AF48" s="98"/>
      <c r="AG48" s="98"/>
      <c r="AH48" s="98"/>
      <c r="AI48" s="98"/>
      <c r="AK48" s="97"/>
      <c r="AL48" s="97"/>
      <c r="AM48" s="97"/>
      <c r="AN48" s="97"/>
      <c r="AO48" s="97"/>
      <c r="AP48" s="97"/>
      <c r="AQ48" s="97"/>
      <c r="AR48" s="97"/>
      <c r="AT48" s="98"/>
      <c r="AU48" s="98"/>
      <c r="AV48" s="98"/>
      <c r="AW48" s="98"/>
      <c r="AX48" s="98"/>
      <c r="AY48" s="98"/>
      <c r="AZ48" s="98"/>
      <c r="BA48" s="98"/>
    </row>
    <row r="49" spans="1:53" x14ac:dyDescent="0.4">
      <c r="A49" s="98"/>
      <c r="B49" s="98"/>
      <c r="C49" s="98"/>
      <c r="D49" s="98"/>
      <c r="E49" s="98"/>
      <c r="F49" s="98"/>
      <c r="G49" s="98"/>
      <c r="H49" s="98"/>
      <c r="J49" s="98"/>
      <c r="K49" s="98"/>
      <c r="L49" s="98"/>
      <c r="M49" s="98"/>
      <c r="N49" s="98"/>
      <c r="O49" s="98"/>
      <c r="P49" s="98"/>
      <c r="Q49" s="98"/>
      <c r="S49" s="98"/>
      <c r="T49" s="98"/>
      <c r="U49" s="98"/>
      <c r="V49" s="98"/>
      <c r="W49" s="98"/>
      <c r="X49" s="98"/>
      <c r="Y49" s="98"/>
      <c r="Z49" s="98"/>
      <c r="AB49" s="98"/>
      <c r="AC49" s="98"/>
      <c r="AD49" s="98"/>
      <c r="AE49" s="98"/>
      <c r="AF49" s="98"/>
      <c r="AG49" s="98"/>
      <c r="AH49" s="98"/>
      <c r="AI49" s="98"/>
      <c r="AK49" s="97"/>
      <c r="AL49" s="97"/>
      <c r="AM49" s="97"/>
      <c r="AN49" s="97"/>
      <c r="AO49" s="97"/>
      <c r="AP49" s="97"/>
      <c r="AQ49" s="97"/>
      <c r="AR49" s="97"/>
      <c r="AT49" s="98"/>
      <c r="AU49" s="98"/>
      <c r="AV49" s="98"/>
      <c r="AW49" s="98"/>
      <c r="AX49" s="98"/>
      <c r="AY49" s="98"/>
      <c r="AZ49" s="98"/>
      <c r="BA49" s="98"/>
    </row>
    <row r="50" spans="1:53" x14ac:dyDescent="0.4">
      <c r="A50" s="98"/>
      <c r="B50" s="98"/>
      <c r="C50" s="98"/>
      <c r="D50" s="98"/>
      <c r="E50" s="98"/>
      <c r="F50" s="98"/>
      <c r="G50" s="98"/>
      <c r="H50" s="98"/>
      <c r="J50" s="98"/>
      <c r="K50" s="98"/>
      <c r="L50" s="98"/>
      <c r="M50" s="98"/>
      <c r="N50" s="98"/>
      <c r="O50" s="98"/>
      <c r="P50" s="98"/>
      <c r="Q50" s="98"/>
      <c r="S50" s="98"/>
      <c r="T50" s="98"/>
      <c r="U50" s="98"/>
      <c r="V50" s="98"/>
      <c r="W50" s="98"/>
      <c r="X50" s="98"/>
      <c r="Y50" s="98"/>
      <c r="Z50" s="98"/>
      <c r="AB50" s="98"/>
      <c r="AC50" s="98"/>
      <c r="AD50" s="98"/>
      <c r="AE50" s="98"/>
      <c r="AF50" s="98"/>
      <c r="AG50" s="98"/>
      <c r="AH50" s="98"/>
      <c r="AI50" s="98"/>
      <c r="AK50" s="97"/>
      <c r="AL50" s="97"/>
      <c r="AM50" s="97"/>
      <c r="AN50" s="97"/>
      <c r="AO50" s="97"/>
      <c r="AP50" s="97"/>
      <c r="AQ50" s="97"/>
      <c r="AR50" s="97"/>
      <c r="AT50" s="98"/>
      <c r="AU50" s="98"/>
      <c r="AV50" s="98"/>
      <c r="AW50" s="98"/>
      <c r="AX50" s="98"/>
      <c r="AY50" s="98"/>
      <c r="AZ50" s="98"/>
      <c r="BA50" s="98"/>
    </row>
    <row r="51" spans="1:53" x14ac:dyDescent="0.4">
      <c r="A51" s="98"/>
      <c r="B51" s="98"/>
      <c r="C51" s="98"/>
      <c r="D51" s="98"/>
      <c r="E51" s="98"/>
      <c r="F51" s="98"/>
      <c r="G51" s="98"/>
      <c r="H51" s="98"/>
      <c r="J51" s="98"/>
      <c r="K51" s="98"/>
      <c r="L51" s="98"/>
      <c r="M51" s="98"/>
      <c r="N51" s="98"/>
      <c r="O51" s="98"/>
      <c r="P51" s="98"/>
      <c r="Q51" s="98"/>
      <c r="S51" s="98"/>
      <c r="T51" s="98"/>
      <c r="U51" s="98"/>
      <c r="V51" s="98"/>
      <c r="W51" s="98"/>
      <c r="X51" s="98"/>
      <c r="Y51" s="98"/>
      <c r="Z51" s="98"/>
      <c r="AB51" s="98"/>
      <c r="AC51" s="98"/>
      <c r="AD51" s="98"/>
      <c r="AE51" s="98"/>
      <c r="AF51" s="98"/>
      <c r="AG51" s="98"/>
      <c r="AH51" s="98"/>
      <c r="AI51" s="98"/>
      <c r="AK51" s="97"/>
      <c r="AL51" s="97"/>
      <c r="AM51" s="97"/>
      <c r="AN51" s="97"/>
      <c r="AO51" s="97"/>
      <c r="AP51" s="97"/>
      <c r="AQ51" s="97"/>
      <c r="AR51" s="97"/>
      <c r="AT51" s="98"/>
      <c r="AU51" s="98"/>
      <c r="AV51" s="98"/>
      <c r="AW51" s="98"/>
      <c r="AX51" s="98"/>
      <c r="AY51" s="98"/>
      <c r="AZ51" s="98"/>
      <c r="BA51" s="98"/>
    </row>
    <row r="52" spans="1:53" x14ac:dyDescent="0.4">
      <c r="A52" s="98"/>
      <c r="B52" s="98"/>
      <c r="C52" s="98"/>
      <c r="D52" s="98"/>
      <c r="E52" s="98"/>
      <c r="F52" s="98"/>
      <c r="G52" s="98"/>
      <c r="H52" s="98"/>
      <c r="J52" s="98"/>
      <c r="K52" s="98"/>
      <c r="L52" s="98"/>
      <c r="M52" s="98"/>
      <c r="N52" s="98"/>
      <c r="O52" s="98"/>
      <c r="P52" s="98"/>
      <c r="Q52" s="98"/>
      <c r="S52" s="98"/>
      <c r="T52" s="98"/>
      <c r="U52" s="98"/>
      <c r="V52" s="98"/>
      <c r="W52" s="98"/>
      <c r="X52" s="98"/>
      <c r="Y52" s="98"/>
      <c r="Z52" s="98"/>
      <c r="AB52" s="98"/>
      <c r="AC52" s="98"/>
      <c r="AD52" s="98"/>
      <c r="AE52" s="98"/>
      <c r="AF52" s="98"/>
      <c r="AG52" s="98"/>
      <c r="AH52" s="98"/>
      <c r="AI52" s="98"/>
      <c r="AK52" s="97"/>
      <c r="AL52" s="97"/>
      <c r="AM52" s="97"/>
      <c r="AN52" s="97"/>
      <c r="AO52" s="97"/>
      <c r="AP52" s="97"/>
      <c r="AQ52" s="97"/>
      <c r="AR52" s="97"/>
      <c r="AT52" s="98"/>
      <c r="AU52" s="98"/>
      <c r="AV52" s="98"/>
      <c r="AW52" s="98"/>
      <c r="AX52" s="98"/>
      <c r="AY52" s="98"/>
      <c r="AZ52" s="98"/>
      <c r="BA52" s="98"/>
    </row>
    <row r="53" spans="1:53" x14ac:dyDescent="0.4">
      <c r="A53" s="98"/>
      <c r="B53" s="98"/>
      <c r="C53" s="98"/>
      <c r="D53" s="98"/>
      <c r="E53" s="98"/>
      <c r="F53" s="98"/>
      <c r="G53" s="98"/>
      <c r="H53" s="98"/>
      <c r="J53" s="98"/>
      <c r="K53" s="98"/>
      <c r="L53" s="98"/>
      <c r="M53" s="98"/>
      <c r="N53" s="98"/>
      <c r="O53" s="98"/>
      <c r="P53" s="98"/>
      <c r="Q53" s="98"/>
      <c r="S53" s="98"/>
      <c r="T53" s="98"/>
      <c r="U53" s="98"/>
      <c r="V53" s="98"/>
      <c r="W53" s="98"/>
      <c r="X53" s="98"/>
      <c r="Y53" s="98"/>
      <c r="Z53" s="98"/>
      <c r="AB53" s="98"/>
      <c r="AC53" s="98"/>
      <c r="AD53" s="98"/>
      <c r="AE53" s="98"/>
      <c r="AF53" s="98"/>
      <c r="AG53" s="98"/>
      <c r="AH53" s="98"/>
      <c r="AI53" s="98"/>
      <c r="AK53" s="97"/>
      <c r="AL53" s="97"/>
      <c r="AM53" s="97"/>
      <c r="AN53" s="97"/>
      <c r="AO53" s="97"/>
      <c r="AP53" s="97"/>
      <c r="AQ53" s="97"/>
      <c r="AR53" s="97"/>
      <c r="AT53" s="98"/>
      <c r="AU53" s="98"/>
      <c r="AV53" s="98"/>
      <c r="AW53" s="98"/>
      <c r="AX53" s="98"/>
      <c r="AY53" s="98"/>
      <c r="AZ53" s="98"/>
      <c r="BA53" s="98"/>
    </row>
    <row r="54" spans="1:53" x14ac:dyDescent="0.4">
      <c r="A54" s="71" t="s">
        <v>335</v>
      </c>
      <c r="B54" s="71"/>
      <c r="C54" s="71"/>
      <c r="D54" s="71"/>
      <c r="E54" s="71"/>
      <c r="F54" s="71"/>
      <c r="G54" s="71"/>
      <c r="H54" s="6" t="str">
        <f>IF(COUNTIF(H55:H58,"="&amp;IncompleteText),IncompleteText,IF(COUNTIF(H55:H57,"="&amp;ErrorText),ErrorText,OKText))</f>
        <v>BLANK</v>
      </c>
      <c r="J54" s="71" t="s">
        <v>336</v>
      </c>
      <c r="K54" s="71"/>
      <c r="L54" s="71"/>
      <c r="M54" s="71"/>
      <c r="N54" s="71"/>
      <c r="O54" s="71"/>
      <c r="P54" s="71"/>
      <c r="Q54" s="6" t="str">
        <f>IF(COUNTIF(Q55:Q57,"="&amp;IncompleteText),IncompleteText,IF(COUNTIF(Q55:Q57,"="&amp;ErrorText),ErrorText,OKText))</f>
        <v>BLANK</v>
      </c>
      <c r="S54" s="71" t="s">
        <v>337</v>
      </c>
      <c r="T54" s="71"/>
      <c r="U54" s="71"/>
      <c r="V54" s="71"/>
      <c r="W54" s="71"/>
      <c r="X54" s="71"/>
      <c r="Y54" s="71"/>
      <c r="Z54" s="6" t="str">
        <f>IF(COUNTIF(Z55:Z56,"="&amp;IncompleteText),IncompleteText,IF(COUNTIF(Z55:Z56,"="&amp;ErrorText),ErrorText,OKText))</f>
        <v>BLANK</v>
      </c>
      <c r="AB54" s="71" t="s">
        <v>338</v>
      </c>
      <c r="AC54" s="71"/>
      <c r="AD54" s="71"/>
      <c r="AE54" s="71"/>
      <c r="AF54" s="71"/>
      <c r="AG54" s="71"/>
      <c r="AH54" s="71"/>
      <c r="AI54" s="6" t="str">
        <f>IF(COUNTIF(AI55,"="&amp;IncompleteText),IncompleteText,IF(COUNTIF(AI55,"="&amp;ErrorText),ErrorText,OKText))</f>
        <v>BLANK</v>
      </c>
      <c r="AK54" s="71" t="s">
        <v>341</v>
      </c>
      <c r="AL54" s="71"/>
      <c r="AM54" s="71"/>
      <c r="AN54" s="71"/>
      <c r="AO54" s="71"/>
      <c r="AP54" s="71"/>
      <c r="AQ54" s="71"/>
      <c r="AR54" s="6" t="str">
        <f>IF(COUNTIF(AR55,"="&amp;IncompleteText),IncompleteText,IF(COUNTIF(AR55,"="&amp;ErrorText),ErrorText,OKText))</f>
        <v>BLANK</v>
      </c>
      <c r="AT54" s="71" t="s">
        <v>342</v>
      </c>
      <c r="AU54" s="71"/>
      <c r="AV54" s="71"/>
      <c r="AW54" s="71"/>
      <c r="AX54" s="71"/>
      <c r="AY54" s="71"/>
      <c r="AZ54" s="71"/>
      <c r="BA54" s="6" t="str">
        <f>IF(COUNTIF(BA55,"="&amp;IncompleteText),IncompleteText,IF(COUNTIF(BA55,"="&amp;ErrorText),ErrorText,OKText))</f>
        <v>BLANK</v>
      </c>
    </row>
    <row r="55" spans="1:53" s="27" customFormat="1" ht="37.5" customHeight="1" x14ac:dyDescent="0.4">
      <c r="A55" s="122" t="s">
        <v>343</v>
      </c>
      <c r="B55" s="122"/>
      <c r="C55" s="122"/>
      <c r="D55" s="122"/>
      <c r="E55" s="122"/>
      <c r="F55" s="122"/>
      <c r="G55" s="28"/>
      <c r="H55" s="8" t="str">
        <f>IF(ISBLANK(G55),IncompleteText,IF(G55,OKText,ErrorText))</f>
        <v>BLANK</v>
      </c>
      <c r="J55" s="122" t="s">
        <v>344</v>
      </c>
      <c r="K55" s="122"/>
      <c r="L55" s="122"/>
      <c r="M55" s="122"/>
      <c r="N55" s="122"/>
      <c r="O55" s="123"/>
      <c r="P55" s="28"/>
      <c r="Q55" s="8" t="str">
        <f>IF(ISBLANK(P55),IncompleteText,IF(P55,OKText,ErrorText))</f>
        <v>BLANK</v>
      </c>
      <c r="S55" s="124" t="s">
        <v>345</v>
      </c>
      <c r="T55" s="124"/>
      <c r="U55" s="124"/>
      <c r="V55" s="124"/>
      <c r="W55" s="124"/>
      <c r="X55" s="125"/>
      <c r="Y55" s="28"/>
      <c r="Z55" s="8" t="str">
        <f>IF(ISBLANK(Y55),IncompleteText,IF(Y55,OKText,ErrorText))</f>
        <v>BLANK</v>
      </c>
      <c r="AB55" s="99" t="s">
        <v>346</v>
      </c>
      <c r="AC55" s="99"/>
      <c r="AD55" s="99"/>
      <c r="AE55" s="99"/>
      <c r="AF55" s="99"/>
      <c r="AG55" s="100"/>
      <c r="AH55" s="28"/>
      <c r="AI55" s="8" t="str">
        <f>IF(ISBLANK(AH55),IncompleteText,IF(AH55,OKText,ErrorText))</f>
        <v>BLANK</v>
      </c>
      <c r="AK55" s="99" t="s">
        <v>347</v>
      </c>
      <c r="AL55" s="99"/>
      <c r="AM55" s="99"/>
      <c r="AN55" s="99"/>
      <c r="AO55" s="99"/>
      <c r="AP55" s="100"/>
      <c r="AQ55" s="28"/>
      <c r="AR55" s="8" t="str">
        <f>IF(ISBLANK(AQ55),IncompleteText,IF(AQ55,OKText,ErrorText))</f>
        <v>BLANK</v>
      </c>
      <c r="AT55" s="99" t="s">
        <v>348</v>
      </c>
      <c r="AU55" s="99"/>
      <c r="AV55" s="99"/>
      <c r="AW55" s="99"/>
      <c r="AX55" s="99"/>
      <c r="AY55" s="100"/>
      <c r="AZ55" s="28"/>
      <c r="BA55" s="8" t="str">
        <f>IF(ISBLANK(AZ55),IncompleteText,IF(AZ55,OKText,ErrorText))</f>
        <v>BLANK</v>
      </c>
    </row>
    <row r="56" spans="1:53" ht="27.75" x14ac:dyDescent="0.4">
      <c r="A56" s="72" t="s">
        <v>349</v>
      </c>
      <c r="B56" s="72"/>
      <c r="C56" s="72"/>
      <c r="D56" s="72"/>
      <c r="E56" s="72"/>
      <c r="F56" s="72"/>
      <c r="G56" s="18"/>
      <c r="H56" s="6" t="str">
        <f>IF(ISBLANK(G56),IncompleteText,IF(G56,OKText,ErrorText))</f>
        <v>BLANK</v>
      </c>
      <c r="J56" s="72" t="s">
        <v>350</v>
      </c>
      <c r="K56" s="72"/>
      <c r="L56" s="72"/>
      <c r="M56" s="72"/>
      <c r="N56" s="72"/>
      <c r="O56" s="74"/>
      <c r="P56" s="18"/>
      <c r="Q56" s="6" t="str">
        <f>IF(ISBLANK(P56),IncompleteText,IF(P56,OKText,ErrorText))</f>
        <v>BLANK</v>
      </c>
      <c r="S56" s="126" t="s">
        <v>351</v>
      </c>
      <c r="T56" s="126"/>
      <c r="U56" s="126"/>
      <c r="V56" s="126"/>
      <c r="W56" s="126"/>
      <c r="X56" s="127"/>
      <c r="Y56" s="18"/>
      <c r="Z56" s="6" t="str">
        <f>IF(ISBLANK(Y56),IncompleteText,IF(Y56,OKText,ErrorText))</f>
        <v>BLANK</v>
      </c>
      <c r="AB56" s="54" t="s">
        <v>267</v>
      </c>
      <c r="AC56" s="54"/>
      <c r="AD56" s="54"/>
      <c r="AE56" s="54"/>
      <c r="AF56" s="54"/>
      <c r="AG56" s="54"/>
      <c r="AH56" s="54"/>
      <c r="AI56" s="40" t="s">
        <v>352</v>
      </c>
      <c r="AK56" s="54" t="s">
        <v>267</v>
      </c>
      <c r="AL56" s="54"/>
      <c r="AM56" s="54"/>
      <c r="AN56" s="54"/>
      <c r="AO56" s="54"/>
      <c r="AP56" s="54"/>
      <c r="AQ56" s="54"/>
      <c r="AR56" s="40" t="s">
        <v>352</v>
      </c>
      <c r="AT56" s="54" t="s">
        <v>267</v>
      </c>
      <c r="AU56" s="54"/>
      <c r="AV56" s="54"/>
      <c r="AW56" s="54"/>
      <c r="AX56" s="54"/>
      <c r="AY56" s="54"/>
      <c r="AZ56" s="54"/>
      <c r="BA56" s="40" t="s">
        <v>352</v>
      </c>
    </row>
    <row r="57" spans="1:53" ht="27.75" customHeight="1" x14ac:dyDescent="0.4">
      <c r="A57" s="72" t="s">
        <v>353</v>
      </c>
      <c r="B57" s="72"/>
      <c r="C57" s="72"/>
      <c r="D57" s="72"/>
      <c r="E57" s="72"/>
      <c r="F57" s="72"/>
      <c r="G57" s="18"/>
      <c r="H57" s="6" t="str">
        <f>IF(ISBLANK(G57),IncompleteText,IF(G57,OKText,ErrorText))</f>
        <v>BLANK</v>
      </c>
      <c r="J57" s="126" t="s">
        <v>354</v>
      </c>
      <c r="K57" s="126"/>
      <c r="L57" s="126"/>
      <c r="M57" s="126"/>
      <c r="N57" s="126"/>
      <c r="O57" s="127"/>
      <c r="P57" s="18"/>
      <c r="Q57" s="6" t="str">
        <f>IF(ISBLANK(P57),IncompleteText,IF(P57,OKText,ErrorText))</f>
        <v>BLANK</v>
      </c>
      <c r="S57" s="54" t="s">
        <v>267</v>
      </c>
      <c r="T57" s="54"/>
      <c r="U57" s="54"/>
      <c r="V57" s="54"/>
      <c r="W57" s="54"/>
      <c r="X57" s="54"/>
      <c r="Y57" s="54"/>
      <c r="Z57" s="39" t="s">
        <v>352</v>
      </c>
      <c r="AB57" s="140"/>
      <c r="AC57" s="140"/>
      <c r="AD57" s="140"/>
      <c r="AE57" s="140"/>
      <c r="AF57" s="140"/>
      <c r="AG57" s="140"/>
      <c r="AH57" s="140"/>
      <c r="AI57" s="131" t="s">
        <v>355</v>
      </c>
      <c r="AK57" s="140"/>
      <c r="AL57" s="140"/>
      <c r="AM57" s="140"/>
      <c r="AN57" s="140"/>
      <c r="AO57" s="140"/>
      <c r="AP57" s="140"/>
      <c r="AQ57" s="140"/>
      <c r="AR57" s="131" t="s">
        <v>356</v>
      </c>
      <c r="AT57" s="140"/>
      <c r="AU57" s="140"/>
      <c r="AV57" s="140"/>
      <c r="AW57" s="140"/>
      <c r="AX57" s="140"/>
      <c r="AY57" s="140"/>
      <c r="AZ57" s="140"/>
      <c r="BA57" s="138" t="s">
        <v>357</v>
      </c>
    </row>
    <row r="58" spans="1:53" ht="26" customHeight="1" x14ac:dyDescent="0.4">
      <c r="A58" s="72" t="s">
        <v>358</v>
      </c>
      <c r="B58" s="72"/>
      <c r="C58" s="72"/>
      <c r="D58" s="72"/>
      <c r="E58" s="72"/>
      <c r="F58" s="74"/>
      <c r="G58" s="18"/>
      <c r="H58" s="6" t="str">
        <f>IF(ISBLANK(G58),IncompleteText,IF(G58,OKText,ErrorText))</f>
        <v>BLANK</v>
      </c>
      <c r="J58" s="72" t="s">
        <v>359</v>
      </c>
      <c r="K58" s="72"/>
      <c r="L58" s="72"/>
      <c r="M58" s="72"/>
      <c r="N58" s="72"/>
      <c r="O58" s="74"/>
      <c r="P58" s="18"/>
      <c r="Q58" s="6" t="s">
        <v>360</v>
      </c>
      <c r="S58" s="140"/>
      <c r="T58" s="140"/>
      <c r="U58" s="140"/>
      <c r="V58" s="140"/>
      <c r="W58" s="140"/>
      <c r="X58" s="140"/>
      <c r="Y58" s="140"/>
      <c r="Z58" s="137" t="s">
        <v>361</v>
      </c>
      <c r="AB58" s="140"/>
      <c r="AC58" s="140"/>
      <c r="AD58" s="140"/>
      <c r="AE58" s="140"/>
      <c r="AF58" s="140"/>
      <c r="AG58" s="140"/>
      <c r="AH58" s="140"/>
      <c r="AI58" s="131"/>
      <c r="AK58" s="140"/>
      <c r="AL58" s="140"/>
      <c r="AM58" s="140"/>
      <c r="AN58" s="140"/>
      <c r="AO58" s="140"/>
      <c r="AP58" s="140"/>
      <c r="AQ58" s="140"/>
      <c r="AR58" s="131"/>
      <c r="AT58" s="140"/>
      <c r="AU58" s="140"/>
      <c r="AV58" s="140"/>
      <c r="AW58" s="140"/>
      <c r="AX58" s="140"/>
      <c r="AY58" s="140"/>
      <c r="AZ58" s="140"/>
      <c r="BA58" s="138"/>
    </row>
    <row r="59" spans="1:53" x14ac:dyDescent="0.4">
      <c r="A59" s="71" t="s">
        <v>267</v>
      </c>
      <c r="B59" s="71"/>
      <c r="C59" s="71"/>
      <c r="D59" s="71"/>
      <c r="E59" s="71"/>
      <c r="F59" s="71"/>
      <c r="G59" s="71"/>
      <c r="H59" s="37" t="s">
        <v>352</v>
      </c>
      <c r="J59" s="71" t="s">
        <v>267</v>
      </c>
      <c r="K59" s="71"/>
      <c r="L59" s="71"/>
      <c r="M59" s="71"/>
      <c r="N59" s="71"/>
      <c r="O59" s="71"/>
      <c r="P59" s="71"/>
      <c r="Q59" s="37" t="s">
        <v>352</v>
      </c>
      <c r="S59" s="140"/>
      <c r="T59" s="140"/>
      <c r="U59" s="140"/>
      <c r="V59" s="140"/>
      <c r="W59" s="140"/>
      <c r="X59" s="140"/>
      <c r="Y59" s="140"/>
      <c r="Z59" s="137"/>
      <c r="AB59" s="140"/>
      <c r="AC59" s="140"/>
      <c r="AD59" s="140"/>
      <c r="AE59" s="140"/>
      <c r="AF59" s="140"/>
      <c r="AG59" s="140"/>
      <c r="AH59" s="140"/>
      <c r="AI59" s="131"/>
      <c r="AK59" s="140"/>
      <c r="AL59" s="140"/>
      <c r="AM59" s="140"/>
      <c r="AN59" s="140"/>
      <c r="AO59" s="140"/>
      <c r="AP59" s="140"/>
      <c r="AQ59" s="140"/>
      <c r="AR59" s="131"/>
      <c r="AT59" s="140"/>
      <c r="AU59" s="140"/>
      <c r="AV59" s="140"/>
      <c r="AW59" s="140"/>
      <c r="AX59" s="140"/>
      <c r="AY59" s="140"/>
      <c r="AZ59" s="140"/>
      <c r="BA59" s="138"/>
    </row>
    <row r="60" spans="1:53" x14ac:dyDescent="0.4">
      <c r="A60" s="139"/>
      <c r="B60" s="139"/>
      <c r="C60" s="139"/>
      <c r="D60" s="139"/>
      <c r="E60" s="139"/>
      <c r="F60" s="139"/>
      <c r="G60" s="139"/>
      <c r="H60" s="131" t="s">
        <v>362</v>
      </c>
      <c r="J60" s="139"/>
      <c r="K60" s="139"/>
      <c r="L60" s="139"/>
      <c r="M60" s="139"/>
      <c r="N60" s="139"/>
      <c r="O60" s="139"/>
      <c r="P60" s="139"/>
      <c r="Q60" s="132" t="s">
        <v>363</v>
      </c>
      <c r="S60" s="140"/>
      <c r="T60" s="140"/>
      <c r="U60" s="140"/>
      <c r="V60" s="140"/>
      <c r="W60" s="140"/>
      <c r="X60" s="140"/>
      <c r="Y60" s="140"/>
      <c r="Z60" s="137"/>
      <c r="AB60" s="140"/>
      <c r="AC60" s="140"/>
      <c r="AD60" s="140"/>
      <c r="AE60" s="140"/>
      <c r="AF60" s="140"/>
      <c r="AG60" s="140"/>
      <c r="AH60" s="140"/>
      <c r="AI60" s="131"/>
      <c r="AK60" s="140"/>
      <c r="AL60" s="140"/>
      <c r="AM60" s="140"/>
      <c r="AN60" s="140"/>
      <c r="AO60" s="140"/>
      <c r="AP60" s="140"/>
      <c r="AQ60" s="140"/>
      <c r="AR60" s="131"/>
      <c r="AT60" s="140"/>
      <c r="AU60" s="140"/>
      <c r="AV60" s="140"/>
      <c r="AW60" s="140"/>
      <c r="AX60" s="140"/>
      <c r="AY60" s="140"/>
      <c r="AZ60" s="140"/>
      <c r="BA60" s="138"/>
    </row>
    <row r="61" spans="1:53" x14ac:dyDescent="0.4">
      <c r="A61" s="139"/>
      <c r="B61" s="139"/>
      <c r="C61" s="139"/>
      <c r="D61" s="139"/>
      <c r="E61" s="139"/>
      <c r="F61" s="139"/>
      <c r="G61" s="139"/>
      <c r="H61" s="131"/>
      <c r="J61" s="139"/>
      <c r="K61" s="139"/>
      <c r="L61" s="139"/>
      <c r="M61" s="139"/>
      <c r="N61" s="139"/>
      <c r="O61" s="139"/>
      <c r="P61" s="139"/>
      <c r="Q61" s="133"/>
      <c r="S61" s="140"/>
      <c r="T61" s="140"/>
      <c r="U61" s="140"/>
      <c r="V61" s="140"/>
      <c r="W61" s="140"/>
      <c r="X61" s="140"/>
      <c r="Y61" s="140"/>
      <c r="Z61" s="137"/>
      <c r="AB61" s="140"/>
      <c r="AC61" s="140"/>
      <c r="AD61" s="140"/>
      <c r="AE61" s="140"/>
      <c r="AF61" s="140"/>
      <c r="AG61" s="140"/>
      <c r="AH61" s="140"/>
      <c r="AI61" s="131"/>
      <c r="AK61" s="140"/>
      <c r="AL61" s="140"/>
      <c r="AM61" s="140"/>
      <c r="AN61" s="140"/>
      <c r="AO61" s="140"/>
      <c r="AP61" s="140"/>
      <c r="AQ61" s="140"/>
      <c r="AR61" s="131"/>
      <c r="AT61" s="140"/>
      <c r="AU61" s="140"/>
      <c r="AV61" s="140"/>
      <c r="AW61" s="140"/>
      <c r="AX61" s="140"/>
      <c r="AY61" s="140"/>
      <c r="AZ61" s="140"/>
      <c r="BA61" s="138"/>
    </row>
    <row r="62" spans="1:53" x14ac:dyDescent="0.4">
      <c r="A62" s="139"/>
      <c r="B62" s="139"/>
      <c r="C62" s="139"/>
      <c r="D62" s="139"/>
      <c r="E62" s="139"/>
      <c r="F62" s="139"/>
      <c r="G62" s="139"/>
      <c r="H62" s="131"/>
      <c r="J62" s="139"/>
      <c r="K62" s="139"/>
      <c r="L62" s="139"/>
      <c r="M62" s="139"/>
      <c r="N62" s="139"/>
      <c r="O62" s="139"/>
      <c r="P62" s="139"/>
      <c r="Q62" s="134"/>
    </row>
    <row r="66" spans="1:8" x14ac:dyDescent="0.4">
      <c r="A66" s="98" t="s">
        <v>364</v>
      </c>
      <c r="B66" s="98"/>
      <c r="C66" s="98"/>
      <c r="D66" s="98"/>
      <c r="E66" s="98"/>
      <c r="F66" s="98"/>
      <c r="G66" s="98"/>
      <c r="H66" s="98"/>
    </row>
    <row r="67" spans="1:8" x14ac:dyDescent="0.4">
      <c r="A67" s="98"/>
      <c r="B67" s="98"/>
      <c r="C67" s="98"/>
      <c r="D67" s="98"/>
      <c r="E67" s="98"/>
      <c r="F67" s="98"/>
      <c r="G67" s="98"/>
      <c r="H67" s="98"/>
    </row>
    <row r="68" spans="1:8" x14ac:dyDescent="0.4">
      <c r="A68" s="98"/>
      <c r="B68" s="98"/>
      <c r="C68" s="98"/>
      <c r="D68" s="98"/>
      <c r="E68" s="98"/>
      <c r="F68" s="98"/>
      <c r="G68" s="98"/>
      <c r="H68" s="98"/>
    </row>
    <row r="69" spans="1:8" x14ac:dyDescent="0.4">
      <c r="A69" s="98"/>
      <c r="B69" s="98"/>
      <c r="C69" s="98"/>
      <c r="D69" s="98"/>
      <c r="E69" s="98"/>
      <c r="F69" s="98"/>
      <c r="G69" s="98"/>
      <c r="H69" s="98"/>
    </row>
    <row r="70" spans="1:8" x14ac:dyDescent="0.4">
      <c r="A70" s="98"/>
      <c r="B70" s="98"/>
      <c r="C70" s="98"/>
      <c r="D70" s="98"/>
      <c r="E70" s="98"/>
      <c r="F70" s="98"/>
      <c r="G70" s="98"/>
      <c r="H70" s="98"/>
    </row>
    <row r="71" spans="1:8" x14ac:dyDescent="0.4">
      <c r="A71" s="98"/>
      <c r="B71" s="98"/>
      <c r="C71" s="98"/>
      <c r="D71" s="98"/>
      <c r="E71" s="98"/>
      <c r="F71" s="98"/>
      <c r="G71" s="98"/>
      <c r="H71" s="98"/>
    </row>
    <row r="72" spans="1:8" x14ac:dyDescent="0.4">
      <c r="A72" s="98"/>
      <c r="B72" s="98"/>
      <c r="C72" s="98"/>
      <c r="D72" s="98"/>
      <c r="E72" s="98"/>
      <c r="F72" s="98"/>
      <c r="G72" s="98"/>
      <c r="H72" s="98"/>
    </row>
    <row r="73" spans="1:8" x14ac:dyDescent="0.4">
      <c r="A73" s="98"/>
      <c r="B73" s="98"/>
      <c r="C73" s="98"/>
      <c r="D73" s="98"/>
      <c r="E73" s="98"/>
      <c r="F73" s="98"/>
      <c r="G73" s="98"/>
      <c r="H73" s="98"/>
    </row>
    <row r="74" spans="1:8" x14ac:dyDescent="0.4">
      <c r="A74" s="98"/>
      <c r="B74" s="98"/>
      <c r="C74" s="98"/>
      <c r="D74" s="98"/>
      <c r="E74" s="98"/>
      <c r="F74" s="98"/>
      <c r="G74" s="98"/>
      <c r="H74" s="98"/>
    </row>
    <row r="75" spans="1:8" x14ac:dyDescent="0.4">
      <c r="A75" s="98"/>
      <c r="B75" s="98"/>
      <c r="C75" s="98"/>
      <c r="D75" s="98"/>
      <c r="E75" s="98"/>
      <c r="F75" s="98"/>
      <c r="G75" s="98"/>
      <c r="H75" s="98"/>
    </row>
    <row r="76" spans="1:8" x14ac:dyDescent="0.4">
      <c r="A76" s="98"/>
      <c r="B76" s="98"/>
      <c r="C76" s="98"/>
      <c r="D76" s="98"/>
      <c r="E76" s="98"/>
      <c r="F76" s="98"/>
      <c r="G76" s="98"/>
      <c r="H76" s="98"/>
    </row>
    <row r="77" spans="1:8" x14ac:dyDescent="0.4">
      <c r="A77" s="98"/>
      <c r="B77" s="98"/>
      <c r="C77" s="98"/>
      <c r="D77" s="98"/>
      <c r="E77" s="98"/>
      <c r="F77" s="98"/>
      <c r="G77" s="98"/>
      <c r="H77" s="98"/>
    </row>
    <row r="78" spans="1:8" x14ac:dyDescent="0.4">
      <c r="A78" s="98"/>
      <c r="B78" s="98"/>
      <c r="C78" s="98"/>
      <c r="D78" s="98"/>
      <c r="E78" s="98"/>
      <c r="F78" s="98"/>
      <c r="G78" s="98"/>
      <c r="H78" s="98"/>
    </row>
    <row r="79" spans="1:8" x14ac:dyDescent="0.4">
      <c r="A79" s="98"/>
      <c r="B79" s="98"/>
      <c r="C79" s="98"/>
      <c r="D79" s="98"/>
      <c r="E79" s="98"/>
      <c r="F79" s="98"/>
      <c r="G79" s="98"/>
      <c r="H79" s="98"/>
    </row>
    <row r="80" spans="1:8" x14ac:dyDescent="0.4">
      <c r="A80" s="98"/>
      <c r="B80" s="98"/>
      <c r="C80" s="98"/>
      <c r="D80" s="98"/>
      <c r="E80" s="98"/>
      <c r="F80" s="98"/>
      <c r="G80" s="98"/>
      <c r="H80" s="98"/>
    </row>
    <row r="81" spans="1:8" x14ac:dyDescent="0.4">
      <c r="A81" s="98"/>
      <c r="B81" s="98"/>
      <c r="C81" s="98"/>
      <c r="D81" s="98"/>
      <c r="E81" s="98"/>
      <c r="F81" s="98"/>
      <c r="G81" s="98"/>
      <c r="H81" s="98"/>
    </row>
    <row r="82" spans="1:8" x14ac:dyDescent="0.4">
      <c r="A82" s="98"/>
      <c r="B82" s="98"/>
      <c r="C82" s="98"/>
      <c r="D82" s="98"/>
      <c r="E82" s="98"/>
      <c r="F82" s="98"/>
      <c r="G82" s="98"/>
      <c r="H82" s="98"/>
    </row>
    <row r="83" spans="1:8" x14ac:dyDescent="0.4">
      <c r="A83" s="98"/>
      <c r="B83" s="98"/>
      <c r="C83" s="98"/>
      <c r="D83" s="98"/>
      <c r="E83" s="98"/>
      <c r="F83" s="98"/>
      <c r="G83" s="98"/>
      <c r="H83" s="98"/>
    </row>
    <row r="84" spans="1:8" x14ac:dyDescent="0.4">
      <c r="A84" s="98"/>
      <c r="B84" s="98"/>
      <c r="C84" s="98"/>
      <c r="D84" s="98"/>
      <c r="E84" s="98"/>
      <c r="F84" s="98"/>
      <c r="G84" s="98"/>
      <c r="H84" s="98"/>
    </row>
    <row r="85" spans="1:8" x14ac:dyDescent="0.4">
      <c r="A85" s="71" t="s">
        <v>364</v>
      </c>
      <c r="B85" s="71"/>
      <c r="C85" s="71"/>
      <c r="D85" s="71"/>
      <c r="E85" s="71"/>
      <c r="F85" s="71"/>
      <c r="G85" s="71"/>
      <c r="H85" s="6" t="str">
        <f>IF(COUNTIF(H86:H94,"="&amp;IncompleteText),IncompleteText,IF(COUNTIF(H86:H94,"="&amp;ErrorText),ErrorText,OKText))</f>
        <v>BLANK</v>
      </c>
    </row>
    <row r="86" spans="1:8" x14ac:dyDescent="0.4">
      <c r="A86" s="72" t="s">
        <v>365</v>
      </c>
      <c r="B86" s="72"/>
      <c r="C86" s="72"/>
      <c r="D86" s="72"/>
      <c r="E86" s="72"/>
      <c r="F86" s="72"/>
      <c r="G86" s="18"/>
      <c r="H86" s="6" t="str">
        <f>IF(ISBLANK(G86),IncompleteText,OKText)</f>
        <v>BLANK</v>
      </c>
    </row>
    <row r="87" spans="1:8" x14ac:dyDescent="0.4">
      <c r="A87" s="72" t="s">
        <v>367</v>
      </c>
      <c r="B87" s="72"/>
      <c r="C87" s="72"/>
      <c r="D87" s="72"/>
      <c r="E87" s="72"/>
      <c r="F87" s="74"/>
      <c r="G87" s="18"/>
      <c r="H87" s="6" t="str">
        <f>IF(G$86="车队自制电路 Self-designed",OKText,IF(ISBLANK(G87),IncompleteText,IF(G87&gt;MaxTSVoltage,OKText,ErrorText)))</f>
        <v>BLANK</v>
      </c>
    </row>
    <row r="88" spans="1:8" x14ac:dyDescent="0.4">
      <c r="A88" s="72" t="s">
        <v>368</v>
      </c>
      <c r="B88" s="72"/>
      <c r="C88" s="72"/>
      <c r="D88" s="72"/>
      <c r="E88" s="72"/>
      <c r="F88" s="74"/>
      <c r="G88" s="18"/>
      <c r="H88" s="6" t="str">
        <f>IF(G$86="车队自制电路 Self-designed",OKText,IF(ISBLANK(G88),IncompleteText,OKText))</f>
        <v>BLANK</v>
      </c>
    </row>
    <row r="89" spans="1:8" x14ac:dyDescent="0.4">
      <c r="A89" s="72" t="s">
        <v>370</v>
      </c>
      <c r="B89" s="72"/>
      <c r="C89" s="72"/>
      <c r="D89" s="72"/>
      <c r="E89" s="72"/>
      <c r="F89" s="74"/>
      <c r="G89" s="18"/>
      <c r="H89" s="6" t="str">
        <f>IF(G$86="供应商采购 From suppliers",OKText,IF(ISBLANK(G89),IncompleteText,IF(G89,OKText,ErrorText)))</f>
        <v>BLANK</v>
      </c>
    </row>
    <row r="90" spans="1:8" ht="31.5" customHeight="1" x14ac:dyDescent="0.4">
      <c r="A90" s="126" t="s">
        <v>371</v>
      </c>
      <c r="B90" s="126"/>
      <c r="C90" s="126"/>
      <c r="D90" s="126"/>
      <c r="E90" s="126"/>
      <c r="F90" s="127"/>
      <c r="G90" s="18"/>
      <c r="H90" s="6" t="str">
        <f>IF(G$86="供应商采购 From suppliers",OKText,IF(ISBLANK(G90),IncompleteText,IF(ISBLANK(G90),ErrorText,OKText)))</f>
        <v>BLANK</v>
      </c>
    </row>
    <row r="91" spans="1:8" x14ac:dyDescent="0.4">
      <c r="A91" s="72" t="s">
        <v>372</v>
      </c>
      <c r="B91" s="72"/>
      <c r="C91" s="72"/>
      <c r="D91" s="72"/>
      <c r="E91" s="72"/>
      <c r="F91" s="74"/>
      <c r="G91" s="20"/>
      <c r="H91" s="6" t="str">
        <f>IF(G$86="供应商采购 From suppliers",OKText,IF(ISBLANK(G91),IncompleteText,OKText))</f>
        <v>BLANK</v>
      </c>
    </row>
    <row r="92" spans="1:8" x14ac:dyDescent="0.4">
      <c r="A92" s="72" t="s">
        <v>373</v>
      </c>
      <c r="B92" s="72"/>
      <c r="C92" s="72"/>
      <c r="D92" s="72"/>
      <c r="E92" s="72"/>
      <c r="F92" s="74"/>
      <c r="G92" s="18"/>
      <c r="H92" s="6" t="str">
        <f>IF(G$86="供应商采购 From suppliers",OKText,IF(ISBLANK(G92),IncompleteText,IF(ISBLANK(G92),ErrorText,OKText)))</f>
        <v>BLANK</v>
      </c>
    </row>
    <row r="93" spans="1:8" x14ac:dyDescent="0.4">
      <c r="A93" s="72" t="s">
        <v>374</v>
      </c>
      <c r="B93" s="72"/>
      <c r="C93" s="72"/>
      <c r="D93" s="72"/>
      <c r="E93" s="72"/>
      <c r="F93" s="74"/>
      <c r="G93" s="18"/>
      <c r="H93" s="6" t="str">
        <f>IF(ISBLANK(G93),IncompleteText,OKText)</f>
        <v>BLANK</v>
      </c>
    </row>
    <row r="94" spans="1:8" ht="29.25" customHeight="1" x14ac:dyDescent="0.4">
      <c r="A94" s="126" t="s">
        <v>375</v>
      </c>
      <c r="B94" s="126"/>
      <c r="C94" s="126"/>
      <c r="D94" s="126"/>
      <c r="E94" s="126"/>
      <c r="F94" s="127"/>
      <c r="G94" s="18"/>
      <c r="H94" s="6" t="str">
        <f>IF(ISBLANK(G94),IncompleteText,IF(G94,OKText,ErrorText))</f>
        <v>BLANK</v>
      </c>
    </row>
    <row r="96" spans="1:8" x14ac:dyDescent="0.4">
      <c r="A96" s="57" t="s">
        <v>376</v>
      </c>
      <c r="B96" s="57"/>
      <c r="C96" s="57"/>
      <c r="D96" s="57"/>
      <c r="E96" s="57"/>
      <c r="F96" s="57"/>
      <c r="G96" s="57"/>
    </row>
    <row r="97" spans="1:7" x14ac:dyDescent="0.4">
      <c r="A97" s="140"/>
      <c r="B97" s="140"/>
      <c r="C97" s="140"/>
      <c r="D97" s="140"/>
      <c r="E97" s="140"/>
      <c r="F97" s="140"/>
      <c r="G97" s="140"/>
    </row>
    <row r="98" spans="1:7" x14ac:dyDescent="0.4">
      <c r="A98" s="140"/>
      <c r="B98" s="140"/>
      <c r="C98" s="140"/>
      <c r="D98" s="140"/>
      <c r="E98" s="140"/>
      <c r="F98" s="140"/>
      <c r="G98" s="140"/>
    </row>
    <row r="99" spans="1:7" x14ac:dyDescent="0.4">
      <c r="A99" s="140"/>
      <c r="B99" s="140"/>
      <c r="C99" s="140"/>
      <c r="D99" s="140"/>
      <c r="E99" s="140"/>
      <c r="F99" s="140"/>
      <c r="G99" s="140"/>
    </row>
    <row r="100" spans="1:7" x14ac:dyDescent="0.4">
      <c r="A100" s="140"/>
      <c r="B100" s="140"/>
      <c r="C100" s="140"/>
      <c r="D100" s="140"/>
      <c r="E100" s="140"/>
      <c r="F100" s="140"/>
      <c r="G100" s="140"/>
    </row>
  </sheetData>
  <sheetProtection algorithmName="SHA-512" hashValue="NeQpfHL8pTB5SciQANH2LgnGJCHyHvk7jMhwKecusPF1lrGo70SdY4RXGaTyy/13bMTJkm//YmeIORu6vIVMqQ==" saltValue="exEBYjTuNL0PTdAFYmphhw==" spinCount="100000" sheet="1" scenarios="1" insertHyperlinks="0" selectLockedCells="1"/>
  <mergeCells count="185">
    <mergeCell ref="AT35:BA53"/>
    <mergeCell ref="A35:H53"/>
    <mergeCell ref="J35:Q53"/>
    <mergeCell ref="S35:Z53"/>
    <mergeCell ref="AB35:AI53"/>
    <mergeCell ref="AK35:AR53"/>
    <mergeCell ref="F12:G13"/>
    <mergeCell ref="H12:I13"/>
    <mergeCell ref="AM11:AS31"/>
    <mergeCell ref="AU11:BA31"/>
    <mergeCell ref="Q60:Q62"/>
    <mergeCell ref="Z58:Z61"/>
    <mergeCell ref="AI57:AI61"/>
    <mergeCell ref="AR57:AR61"/>
    <mergeCell ref="BA57:BA61"/>
    <mergeCell ref="A97:G100"/>
    <mergeCell ref="A66:H84"/>
    <mergeCell ref="AK57:AQ61"/>
    <mergeCell ref="AT57:AZ61"/>
    <mergeCell ref="S58:Y61"/>
    <mergeCell ref="AB57:AH61"/>
    <mergeCell ref="A60:G62"/>
    <mergeCell ref="J60:P62"/>
    <mergeCell ref="A90:F90"/>
    <mergeCell ref="A91:F91"/>
    <mergeCell ref="A92:F92"/>
    <mergeCell ref="A93:F93"/>
    <mergeCell ref="A94:F94"/>
    <mergeCell ref="A96:G96"/>
    <mergeCell ref="A12:A13"/>
    <mergeCell ref="B12:B13"/>
    <mergeCell ref="C12:C13"/>
    <mergeCell ref="D12:D13"/>
    <mergeCell ref="E12:E13"/>
    <mergeCell ref="A58:F58"/>
    <mergeCell ref="J58:O58"/>
    <mergeCell ref="A59:G59"/>
    <mergeCell ref="J59:P59"/>
    <mergeCell ref="A85:G85"/>
    <mergeCell ref="A86:F86"/>
    <mergeCell ref="A87:F87"/>
    <mergeCell ref="A88:F88"/>
    <mergeCell ref="A89:F89"/>
    <mergeCell ref="H60:H62"/>
    <mergeCell ref="A56:F56"/>
    <mergeCell ref="J56:O56"/>
    <mergeCell ref="S56:X56"/>
    <mergeCell ref="AB56:AH56"/>
    <mergeCell ref="AK56:AQ56"/>
    <mergeCell ref="AT56:AZ56"/>
    <mergeCell ref="A57:F57"/>
    <mergeCell ref="J57:O57"/>
    <mergeCell ref="S57:Y57"/>
    <mergeCell ref="S54:Y54"/>
    <mergeCell ref="AB54:AH54"/>
    <mergeCell ref="AK54:AQ54"/>
    <mergeCell ref="AT54:AZ54"/>
    <mergeCell ref="A55:F55"/>
    <mergeCell ref="J55:O55"/>
    <mergeCell ref="S55:X55"/>
    <mergeCell ref="AB55:AG55"/>
    <mergeCell ref="AK55:AP55"/>
    <mergeCell ref="AT55:AY55"/>
    <mergeCell ref="F30:G30"/>
    <mergeCell ref="H30:I30"/>
    <mergeCell ref="K30:N30"/>
    <mergeCell ref="F31:G31"/>
    <mergeCell ref="H31:I31"/>
    <mergeCell ref="K31:N31"/>
    <mergeCell ref="K32:N32"/>
    <mergeCell ref="A54:G54"/>
    <mergeCell ref="J54:P54"/>
    <mergeCell ref="F27:G27"/>
    <mergeCell ref="H27:I27"/>
    <mergeCell ref="K27:N27"/>
    <mergeCell ref="F28:G28"/>
    <mergeCell ref="H28:I28"/>
    <mergeCell ref="K28:N28"/>
    <mergeCell ref="O28:P28"/>
    <mergeCell ref="F29:G29"/>
    <mergeCell ref="H29:I29"/>
    <mergeCell ref="K29:N29"/>
    <mergeCell ref="O29:P29"/>
    <mergeCell ref="F24:G24"/>
    <mergeCell ref="H24:I24"/>
    <mergeCell ref="K24:P24"/>
    <mergeCell ref="F25:G25"/>
    <mergeCell ref="H25:I25"/>
    <mergeCell ref="K25:N25"/>
    <mergeCell ref="O25:P25"/>
    <mergeCell ref="F26:G26"/>
    <mergeCell ref="H26:I26"/>
    <mergeCell ref="K26:N26"/>
    <mergeCell ref="F22:G22"/>
    <mergeCell ref="H22:I22"/>
    <mergeCell ref="K22:N22"/>
    <mergeCell ref="O22:P22"/>
    <mergeCell ref="R22:T22"/>
    <mergeCell ref="F23:G23"/>
    <mergeCell ref="H23:I23"/>
    <mergeCell ref="K23:N23"/>
    <mergeCell ref="O23:P23"/>
    <mergeCell ref="R23:T23"/>
    <mergeCell ref="F20:G20"/>
    <mergeCell ref="H20:I20"/>
    <mergeCell ref="K20:N20"/>
    <mergeCell ref="O20:P20"/>
    <mergeCell ref="R20:V20"/>
    <mergeCell ref="X20:AA20"/>
    <mergeCell ref="F21:G21"/>
    <mergeCell ref="H21:I21"/>
    <mergeCell ref="K21:N21"/>
    <mergeCell ref="O21:P21"/>
    <mergeCell ref="R21:T21"/>
    <mergeCell ref="U21:V21"/>
    <mergeCell ref="AB17:AC17"/>
    <mergeCell ref="F18:G18"/>
    <mergeCell ref="H18:I18"/>
    <mergeCell ref="K18:P18"/>
    <mergeCell ref="R18:T18"/>
    <mergeCell ref="X18:AA18"/>
    <mergeCell ref="F19:G19"/>
    <mergeCell ref="H19:I19"/>
    <mergeCell ref="K19:N19"/>
    <mergeCell ref="R19:T19"/>
    <mergeCell ref="X19:AA19"/>
    <mergeCell ref="F16:G16"/>
    <mergeCell ref="H16:I16"/>
    <mergeCell ref="K16:N16"/>
    <mergeCell ref="O16:P16"/>
    <mergeCell ref="R16:T16"/>
    <mergeCell ref="U16:V16"/>
    <mergeCell ref="X16:AA16"/>
    <mergeCell ref="F17:G17"/>
    <mergeCell ref="H17:I17"/>
    <mergeCell ref="K17:N17"/>
    <mergeCell ref="O17:P17"/>
    <mergeCell ref="R17:T17"/>
    <mergeCell ref="X17:AA17"/>
    <mergeCell ref="F14:G14"/>
    <mergeCell ref="H14:I14"/>
    <mergeCell ref="K14:N14"/>
    <mergeCell ref="R14:T14"/>
    <mergeCell ref="X14:AA14"/>
    <mergeCell ref="AB14:AC14"/>
    <mergeCell ref="AE14:AH14"/>
    <mergeCell ref="AI14:AJ14"/>
    <mergeCell ref="F15:G15"/>
    <mergeCell ref="H15:I15"/>
    <mergeCell ref="K15:N15"/>
    <mergeCell ref="R15:V15"/>
    <mergeCell ref="X15:AA15"/>
    <mergeCell ref="K12:N12"/>
    <mergeCell ref="O12:P12"/>
    <mergeCell ref="R12:T12"/>
    <mergeCell ref="X12:AA12"/>
    <mergeCell ref="AE12:AH12"/>
    <mergeCell ref="L13:M13"/>
    <mergeCell ref="O13:P13"/>
    <mergeCell ref="R13:T13"/>
    <mergeCell ref="U13:V13"/>
    <mergeCell ref="X13:AA13"/>
    <mergeCell ref="AE13:AH13"/>
    <mergeCell ref="AE10:AJ10"/>
    <mergeCell ref="AM10:AS10"/>
    <mergeCell ref="AU10:BA10"/>
    <mergeCell ref="A11:C11"/>
    <mergeCell ref="D11:E11"/>
    <mergeCell ref="K11:N11"/>
    <mergeCell ref="O11:P11"/>
    <mergeCell ref="R11:T11"/>
    <mergeCell ref="U11:V11"/>
    <mergeCell ref="X11:AA11"/>
    <mergeCell ref="AB11:AC11"/>
    <mergeCell ref="AE11:AH11"/>
    <mergeCell ref="AI11:AJ11"/>
    <mergeCell ref="A3:G3"/>
    <mergeCell ref="A5:D5"/>
    <mergeCell ref="A6:D6"/>
    <mergeCell ref="A7:D7"/>
    <mergeCell ref="A8:D8"/>
    <mergeCell ref="A10:I10"/>
    <mergeCell ref="K10:P10"/>
    <mergeCell ref="R10:V10"/>
    <mergeCell ref="X10:AC10"/>
  </mergeCells>
  <phoneticPr fontId="14" type="noConversion"/>
  <conditionalFormatting sqref="A87:H88">
    <cfRule type="expression" dxfId="20" priority="2">
      <formula>$G$86="车队自制电路 Self-designed"</formula>
    </cfRule>
  </conditionalFormatting>
  <conditionalFormatting sqref="A89:H92">
    <cfRule type="expression" dxfId="19" priority="1">
      <formula>$G$86="供应商采购 From Suppliers"</formula>
    </cfRule>
  </conditionalFormatting>
  <conditionalFormatting sqref="K16:K17 O16:O17">
    <cfRule type="expression" dxfId="18" priority="5">
      <formula>$O$12="供应商提供 From Suppliers"</formula>
    </cfRule>
  </conditionalFormatting>
  <conditionalFormatting sqref="K22 O22:P22">
    <cfRule type="expression" dxfId="17" priority="4">
      <formula>$O$21&lt;&gt;"其他 Other"</formula>
    </cfRule>
  </conditionalFormatting>
  <conditionalFormatting sqref="K26 O26:Q26">
    <cfRule type="expression" dxfId="16" priority="3">
      <formula>$O$25="极耳 Cell tabs"</formula>
    </cfRule>
  </conditionalFormatting>
  <conditionalFormatting sqref="K13:L13 N13:O13">
    <cfRule type="expression" dxfId="15" priority="6">
      <formula>$O$12="车队自制 Team design"</formula>
    </cfRule>
  </conditionalFormatting>
  <dataValidations count="14">
    <dataValidation type="list" allowBlank="1" showInputMessage="1" showErrorMessage="1" sqref="E5" xr:uid="{00000000-0002-0000-0400-000000000000}">
      <formula1>"并联 Parallel,串联 Serial"</formula1>
    </dataValidation>
    <dataValidation type="list" allowBlank="1" showInputMessage="1" showErrorMessage="1" sqref="D11:E11" xr:uid="{00000000-0002-0000-0400-000001000000}">
      <formula1>"先并后串 Parallel then serial, 先串后并 Serial then parallel"</formula1>
    </dataValidation>
    <dataValidation type="list" allowBlank="1" showInputMessage="1" showErrorMessage="1" sqref="O11:P11" xr:uid="{00000000-0002-0000-0400-000002000000}">
      <formula1>"分布式 Distributed,集中式 Centralized"</formula1>
    </dataValidation>
    <dataValidation type="list" allowBlank="1" showInputMessage="1" showErrorMessage="1" sqref="U11:V11" xr:uid="{00000000-0002-0000-0400-000003000000}">
      <formula1>ConnectorNames</formula1>
    </dataValidation>
    <dataValidation type="list" allowBlank="1" showInputMessage="1" showErrorMessage="1" sqref="AB11:AC11 AB14:AC14 AB17" xr:uid="{00000000-0002-0000-0400-000004000000}">
      <formula1>InsulationNames</formula1>
    </dataValidation>
    <dataValidation type="list" allowBlank="1" showInputMessage="1" showErrorMessage="1" sqref="AI11:AJ11" xr:uid="{00000000-0002-0000-0400-000005000000}">
      <formula1>"50V-150V,150V-300V,300V-600V"</formula1>
    </dataValidation>
    <dataValidation type="list" allowBlank="1" showInputMessage="1" showErrorMessage="1" sqref="O12:P12" xr:uid="{00000000-0002-0000-0400-000006000000}">
      <formula1>"供应商提供 From Suppliers, 车队设计 Team design"</formula1>
    </dataValidation>
    <dataValidation type="list" allowBlank="1" showInputMessage="1" showErrorMessage="1" sqref="U13:V13 O20:P20 U21:V21 G93" xr:uid="{00000000-0002-0000-0400-000007000000}">
      <formula1>FuseName</formula1>
    </dataValidation>
    <dataValidation type="list" allowBlank="1" showInputMessage="1" showErrorMessage="1" sqref="AI14:AJ14" xr:uid="{00000000-0002-0000-0400-000008000000}">
      <formula1>"是,否"</formula1>
    </dataValidation>
    <dataValidation type="list" allowBlank="1" showInputMessage="1" showErrorMessage="1" sqref="U16" xr:uid="{00000000-0002-0000-0400-000009000000}">
      <formula1>ContactorNames</formula1>
    </dataValidation>
    <dataValidation type="list" allowBlank="1" showInputMessage="1" showErrorMessage="1" sqref="O21:P21" xr:uid="{00000000-0002-0000-0400-00000A000000}">
      <formula1>"BMS PCB,导线 Wiring, 其他 Other"</formula1>
    </dataValidation>
    <dataValidation type="list" allowBlank="1" showInputMessage="1" showErrorMessage="1" sqref="O25:P25" xr:uid="{00000000-0002-0000-0400-00000B000000}">
      <formula1>"极耳 Cell tabs,铜牌 Busbar"</formula1>
    </dataValidation>
    <dataValidation type="list" allowBlank="1" showInputMessage="1" showErrorMessage="1" sqref="AH55 AQ55 AZ55 G92 G94 G55:G58 G89:G90 P55:P58 Y55:Y56" xr:uid="{00000000-0002-0000-0400-00000C000000}">
      <formula1>"TRUE,FALSE"</formula1>
    </dataValidation>
    <dataValidation type="list" allowBlank="1" showInputMessage="1" showErrorMessage="1" sqref="G86" xr:uid="{00000000-0002-0000-0400-00000D000000}">
      <formula1>"车队自制电路 Self-designed,供应商采购 From suppliers"</formula1>
    </dataValidation>
  </dataValidations>
  <pageMargins left="0.7" right="0.7" top="0.75" bottom="0.75" header="0.3" footer="0.3"/>
  <pageSetup paperSize="9" orientation="portrait"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37"/>
  <sheetViews>
    <sheetView zoomScale="70" zoomScaleNormal="70" workbookViewId="0">
      <selection activeCell="D17" sqref="D17:E17"/>
    </sheetView>
  </sheetViews>
  <sheetFormatPr defaultColWidth="9" defaultRowHeight="13.9" x14ac:dyDescent="0.4"/>
  <cols>
    <col min="1" max="1" width="12" customWidth="1"/>
    <col min="3" max="3" width="16.6640625" customWidth="1"/>
    <col min="9" max="9" width="23" customWidth="1"/>
  </cols>
  <sheetData>
    <row r="1" spans="1:20" x14ac:dyDescent="0.4">
      <c r="A1" s="29" t="s">
        <v>26</v>
      </c>
      <c r="B1" s="6" t="str" cm="1">
        <f t="array" ref="B1" ca="1">IF(SUM(COUNTIF(INDIRECT({"$F$2","$L$2","$R$2"}),"="&amp;IncompleteText)),IncompleteText,IF(SUM(COUNTIF(INDIRECT({"$F$2","$L$2","$R$2"}),"="&amp;ErrorText)),ErrorText,OKText))</f>
        <v>OK</v>
      </c>
      <c r="C1" s="16"/>
      <c r="D1" s="16"/>
      <c r="E1" s="16"/>
      <c r="F1" s="16"/>
      <c r="G1" s="16"/>
      <c r="H1" s="16"/>
      <c r="I1" s="16"/>
      <c r="J1" s="16"/>
      <c r="K1" s="16"/>
      <c r="L1" s="16"/>
      <c r="M1" s="16"/>
      <c r="N1" s="16"/>
      <c r="O1" s="16"/>
      <c r="P1" s="16"/>
      <c r="Q1" s="16"/>
      <c r="R1" s="16"/>
      <c r="S1" s="16"/>
      <c r="T1" s="16"/>
    </row>
    <row r="2" spans="1:20" x14ac:dyDescent="0.4">
      <c r="A2" s="71" t="s">
        <v>89</v>
      </c>
      <c r="B2" s="71"/>
      <c r="C2" s="71"/>
      <c r="D2" s="71"/>
      <c r="E2" s="71"/>
      <c r="F2" s="6" t="str">
        <f>IF(COUNTIF(F3:F19,"="&amp;IncompleteText),IncompleteText,IF(COUNTIF(F3:F19,"="&amp;ErrorText),ErrorText,OKText))</f>
        <v>OK</v>
      </c>
      <c r="G2" s="71" t="s">
        <v>90</v>
      </c>
      <c r="H2" s="71"/>
      <c r="I2" s="71"/>
      <c r="J2" s="71"/>
      <c r="K2" s="71"/>
      <c r="L2" s="6" t="str">
        <f>IF(COUNTIF(L3:L15,"="&amp;IncompleteText),IncompleteText,IF(COUNTIF(L3:L15,"="&amp;ErrorText),ErrorText,OKText))</f>
        <v>OK</v>
      </c>
      <c r="M2" s="71" t="s">
        <v>378</v>
      </c>
      <c r="N2" s="71"/>
      <c r="O2" s="71"/>
      <c r="P2" s="71"/>
      <c r="Q2" s="71"/>
      <c r="R2" s="6" t="str">
        <f>IF(COUNTIF(R3:R8,"="&amp;IncompleteText),IncompleteText,IF(COUNTIF(R3:R8,"="&amp;ErrorText),ErrorText,OKText))</f>
        <v>OK</v>
      </c>
      <c r="S2" s="168" t="s">
        <v>379</v>
      </c>
      <c r="T2" s="169"/>
    </row>
    <row r="3" spans="1:20" x14ac:dyDescent="0.4">
      <c r="A3" s="72" t="s">
        <v>380</v>
      </c>
      <c r="B3" s="72"/>
      <c r="C3" s="74"/>
      <c r="D3" s="113" t="s">
        <v>130</v>
      </c>
      <c r="E3" s="114"/>
      <c r="F3" s="6" t="str">
        <f>IF(ISBLANK(D3),IncompleteText,OKText)</f>
        <v>OK</v>
      </c>
      <c r="G3" s="72" t="s">
        <v>380</v>
      </c>
      <c r="H3" s="72"/>
      <c r="I3" s="74"/>
      <c r="J3" s="113" t="s">
        <v>137</v>
      </c>
      <c r="K3" s="114"/>
      <c r="L3" s="6" t="str">
        <f>IF(ISBLANK(J3),IncompleteText,OKText)</f>
        <v>OK</v>
      </c>
      <c r="M3" s="72" t="s">
        <v>380</v>
      </c>
      <c r="N3" s="72"/>
      <c r="O3" s="74"/>
      <c r="P3" s="113" t="s">
        <v>141</v>
      </c>
      <c r="Q3" s="114"/>
      <c r="R3" s="6" t="str">
        <f>IF(ISBLANK(P3),IncompleteText,OKText)</f>
        <v>OK</v>
      </c>
      <c r="S3" s="82" t="s">
        <v>381</v>
      </c>
      <c r="T3" s="81"/>
    </row>
    <row r="4" spans="1:20" x14ac:dyDescent="0.4">
      <c r="A4" s="72" t="s">
        <v>382</v>
      </c>
      <c r="B4" s="72"/>
      <c r="C4" s="74"/>
      <c r="D4" s="18">
        <v>1</v>
      </c>
      <c r="E4" s="5"/>
      <c r="F4" s="6" t="str">
        <f>IF(ISBLANK(D4),IncompleteText,OKText)</f>
        <v>OK</v>
      </c>
      <c r="G4" s="72" t="s">
        <v>382</v>
      </c>
      <c r="H4" s="72"/>
      <c r="I4" s="74"/>
      <c r="J4" s="18">
        <v>1</v>
      </c>
      <c r="K4" s="5"/>
      <c r="L4" s="6" t="str">
        <f>IF(ISBLANK(J4),IncompleteText,OKText)</f>
        <v>OK</v>
      </c>
      <c r="M4" s="72" t="s">
        <v>382</v>
      </c>
      <c r="N4" s="72"/>
      <c r="O4" s="74"/>
      <c r="P4" s="56">
        <v>1</v>
      </c>
      <c r="Q4" s="56"/>
      <c r="R4" s="6" t="str">
        <f>IF(ISBLANK(P4),IncompleteText,OKText)</f>
        <v>OK</v>
      </c>
      <c r="S4" s="81"/>
      <c r="T4" s="81"/>
    </row>
    <row r="5" spans="1:20" x14ac:dyDescent="0.4">
      <c r="A5" s="72" t="s">
        <v>383</v>
      </c>
      <c r="B5" s="72"/>
      <c r="C5" s="74"/>
      <c r="D5" s="18">
        <v>1</v>
      </c>
      <c r="E5" s="5"/>
      <c r="F5" s="6" t="str">
        <f>IF(ISBLANK(D5),IncompleteText,OKText)</f>
        <v>OK</v>
      </c>
      <c r="G5" s="72" t="s">
        <v>383</v>
      </c>
      <c r="H5" s="72"/>
      <c r="I5" s="74"/>
      <c r="J5" s="18">
        <v>1</v>
      </c>
      <c r="K5" s="5"/>
      <c r="L5" s="6" t="str">
        <f>IF(ISBLANK(J5),IncompleteText,OKText)</f>
        <v>OK</v>
      </c>
      <c r="M5" s="72" t="s">
        <v>383</v>
      </c>
      <c r="N5" s="72"/>
      <c r="O5" s="74"/>
      <c r="P5" s="56">
        <v>1</v>
      </c>
      <c r="Q5" s="56"/>
      <c r="R5" s="6" t="str">
        <f>IF(ISBLANK(P5),IncompleteText,OKText)</f>
        <v>OK</v>
      </c>
      <c r="S5" s="81"/>
      <c r="T5" s="81"/>
    </row>
    <row r="6" spans="1:20" x14ac:dyDescent="0.4">
      <c r="A6" s="72" t="s">
        <v>384</v>
      </c>
      <c r="B6" s="72"/>
      <c r="C6" s="74"/>
      <c r="D6" s="19">
        <f>VLOOKUP(D3,ResistorsTable,3,)*D5/D4</f>
        <v>470</v>
      </c>
      <c r="E6" s="5" t="s">
        <v>385</v>
      </c>
      <c r="G6" s="72" t="s">
        <v>384</v>
      </c>
      <c r="H6" s="72"/>
      <c r="I6" s="74"/>
      <c r="J6" s="19">
        <f>VLOOKUP(J3,ResistorsTable,3,)*J5/J4</f>
        <v>5000</v>
      </c>
      <c r="K6" s="5" t="s">
        <v>385</v>
      </c>
      <c r="M6" s="72" t="s">
        <v>384</v>
      </c>
      <c r="N6" s="72"/>
      <c r="O6" s="74"/>
      <c r="P6" s="19">
        <f>VLOOKUP(P3,ResistorsTable,3,)*P5/P4</f>
        <v>15000</v>
      </c>
      <c r="Q6" s="5" t="s">
        <v>385</v>
      </c>
      <c r="R6" s="6" t="str">
        <f>IF(MaxTSVoltage&lt;=200,IF(P6=5000,OKText,ErrorText),IF(MaxTSVoltage&gt;400,IF(P6=15000,OKText,ErrorText),IF(P6=10000,OKText,ErrorText)))</f>
        <v>OK</v>
      </c>
      <c r="S6" s="81"/>
      <c r="T6" s="81"/>
    </row>
    <row r="7" spans="1:20" x14ac:dyDescent="0.4">
      <c r="A7" s="72" t="s">
        <v>386</v>
      </c>
      <c r="B7" s="72"/>
      <c r="C7" s="74"/>
      <c r="D7" s="19">
        <f>VLOOKUP(D3,ResistorsTable,4,FALSE)*D4*D5</f>
        <v>50</v>
      </c>
      <c r="E7" s="5" t="s">
        <v>387</v>
      </c>
      <c r="G7" s="72" t="s">
        <v>386</v>
      </c>
      <c r="H7" s="72"/>
      <c r="I7" s="74"/>
      <c r="J7" s="19">
        <f>VLOOKUP(J3,ResistorsTable,4,FALSE)*J4*J5</f>
        <v>75</v>
      </c>
      <c r="K7" s="5" t="s">
        <v>387</v>
      </c>
      <c r="L7" s="6" t="str">
        <f>IF(J7=0,IncompleteText,IF(J7&gt;=J9,OKText,ErrorText))</f>
        <v>OK</v>
      </c>
      <c r="M7" s="72" t="s">
        <v>386</v>
      </c>
      <c r="N7" s="72"/>
      <c r="O7" s="74"/>
      <c r="P7" s="19">
        <f>VLOOKUP(P3,ResistorsTable,4,FALSE)*P5*P4</f>
        <v>16</v>
      </c>
      <c r="Q7" s="5" t="s">
        <v>387</v>
      </c>
      <c r="R7" s="6" t="str">
        <f>IF(P7&lt;P9,ErrorText,OKText)</f>
        <v>OK</v>
      </c>
      <c r="S7" s="81"/>
      <c r="T7" s="81"/>
    </row>
    <row r="8" spans="1:20" x14ac:dyDescent="0.4">
      <c r="A8" s="72" t="s">
        <v>388</v>
      </c>
      <c r="B8" s="72"/>
      <c r="C8" s="74"/>
      <c r="D8" s="18">
        <v>1000</v>
      </c>
      <c r="E8" s="5" t="s">
        <v>387</v>
      </c>
      <c r="F8" s="6" t="str">
        <f>IF(ISBLANK(D8),IncompleteText,OKText)</f>
        <v>OK</v>
      </c>
      <c r="G8" s="72" t="s">
        <v>389</v>
      </c>
      <c r="H8" s="72"/>
      <c r="I8" s="74"/>
      <c r="J8" s="19">
        <f>VLOOKUP(J3,ResistorsTable,2,FALSE)*J5</f>
        <v>2000</v>
      </c>
      <c r="K8" s="5" t="s">
        <v>306</v>
      </c>
      <c r="L8" s="6" t="str">
        <f>IF(J8=0,IncompleteText,IF(J8&lt;MaxTSVoltage,ErrorText,OKText))</f>
        <v>OK</v>
      </c>
      <c r="M8" s="72" t="s">
        <v>389</v>
      </c>
      <c r="N8" s="72"/>
      <c r="O8" s="74"/>
      <c r="P8" s="19">
        <f>VLOOKUP(P3,ResistorsTable,2,FALSE)*P5</f>
        <v>700</v>
      </c>
      <c r="Q8" s="5" t="s">
        <v>21</v>
      </c>
      <c r="R8" s="6" t="str">
        <f>IF(P8&lt;MaxTSVoltage,ErrorText,OKText)</f>
        <v>OK</v>
      </c>
      <c r="S8" s="81"/>
      <c r="T8" s="81"/>
    </row>
    <row r="9" spans="1:20" x14ac:dyDescent="0.4">
      <c r="A9" s="72" t="s">
        <v>389</v>
      </c>
      <c r="B9" s="72"/>
      <c r="C9" s="74"/>
      <c r="D9" s="19">
        <f>VLOOKUP(D3,ResistorsTable,2,FALSE)*D5</f>
        <v>1250</v>
      </c>
      <c r="E9" s="5" t="s">
        <v>306</v>
      </c>
      <c r="F9" s="6" t="str">
        <f>IF(D9&lt;MaxTSVoltage,ErrorText,OKText)</f>
        <v>OK</v>
      </c>
      <c r="G9" s="72" t="s">
        <v>390</v>
      </c>
      <c r="H9" s="72"/>
      <c r="I9" s="74"/>
      <c r="J9" s="19">
        <f>MaxTSVoltage^2/DischargeRes</f>
        <v>59.623199999999997</v>
      </c>
      <c r="K9" s="5" t="s">
        <v>387</v>
      </c>
      <c r="M9" s="72" t="s">
        <v>391</v>
      </c>
      <c r="N9" s="72"/>
      <c r="O9" s="74"/>
      <c r="P9" s="19">
        <f>MaxTSVoltage^2/(2*P6)</f>
        <v>9.9372000000000007</v>
      </c>
      <c r="Q9" s="5" t="s">
        <v>387</v>
      </c>
      <c r="R9" s="6" t="str">
        <f>IF(ISNA(P9),IncompleteText,IF((P9/2)&lt;=P7,OKText,ErrorText))</f>
        <v>OK</v>
      </c>
    </row>
    <row r="10" spans="1:20" x14ac:dyDescent="0.4">
      <c r="A10" s="72" t="s">
        <v>392</v>
      </c>
      <c r="B10" s="72"/>
      <c r="C10" s="74"/>
      <c r="D10" s="25">
        <v>0.35</v>
      </c>
      <c r="E10" s="5" t="s">
        <v>393</v>
      </c>
      <c r="F10" s="6" t="str">
        <f>IF(ISBLANK(BusCap),IncompleteText,OKText)</f>
        <v>OK</v>
      </c>
      <c r="G10" s="72" t="s">
        <v>394</v>
      </c>
      <c r="H10" s="72"/>
      <c r="I10" s="74"/>
      <c r="J10" s="32">
        <f>MaxTSVoltage/DischargeRes</f>
        <v>0.10920000000000001</v>
      </c>
      <c r="K10" s="5" t="s">
        <v>23</v>
      </c>
    </row>
    <row r="11" spans="1:20" x14ac:dyDescent="0.4">
      <c r="A11" s="72" t="s">
        <v>395</v>
      </c>
      <c r="B11" s="72"/>
      <c r="C11" s="74"/>
      <c r="D11" s="18">
        <v>95</v>
      </c>
      <c r="E11" s="5" t="s">
        <v>334</v>
      </c>
      <c r="F11" s="6" t="str">
        <f>IF(ISBLANK(D11),IncompleteText,IF(D11&gt;=95,OKText,ErrorText))</f>
        <v>OK</v>
      </c>
      <c r="G11" s="72" t="s">
        <v>396</v>
      </c>
      <c r="H11" s="72"/>
      <c r="I11" s="72"/>
      <c r="J11" s="19">
        <f>-LN(60/MaxTSVoltage)*DischargeRes*(BusCap/1000)</f>
        <v>3.8644802236649101</v>
      </c>
      <c r="K11" s="5" t="s">
        <v>397</v>
      </c>
    </row>
    <row r="12" spans="1:20" x14ac:dyDescent="0.4">
      <c r="A12" s="72" t="s">
        <v>398</v>
      </c>
      <c r="B12" s="72"/>
      <c r="C12" s="74"/>
      <c r="D12" s="19">
        <f>MaxTSVoltage^2/PrechargeRes</f>
        <v>634.28936170212796</v>
      </c>
      <c r="E12" s="5" t="s">
        <v>387</v>
      </c>
      <c r="G12" s="72" t="s">
        <v>399</v>
      </c>
      <c r="H12" s="72"/>
      <c r="I12" s="74"/>
      <c r="J12" s="73" t="s">
        <v>159</v>
      </c>
      <c r="K12" s="73"/>
      <c r="L12" s="6" t="str">
        <f>IF(ISBLANK(J12),IncompleteText,OKText)</f>
        <v>OK</v>
      </c>
    </row>
    <row r="13" spans="1:20" x14ac:dyDescent="0.4">
      <c r="A13" s="72" t="s">
        <v>400</v>
      </c>
      <c r="B13" s="72"/>
      <c r="C13" s="74"/>
      <c r="D13" s="32">
        <f>MaxTSVoltage/PrechargeRes</f>
        <v>1.16170212765957</v>
      </c>
      <c r="E13" s="5" t="s">
        <v>23</v>
      </c>
      <c r="G13" s="72" t="s">
        <v>401</v>
      </c>
      <c r="H13" s="72"/>
      <c r="I13" s="74"/>
      <c r="J13" s="19">
        <f>VLOOKUP(J12,ContactorsTable,2,FALSE)</f>
        <v>7500</v>
      </c>
      <c r="K13" s="5" t="s">
        <v>21</v>
      </c>
      <c r="L13" s="6" t="str">
        <f>IF(J13&lt;MaxTSVoltage,ErrorText,OKText)</f>
        <v>OK</v>
      </c>
    </row>
    <row r="14" spans="1:20" x14ac:dyDescent="0.4">
      <c r="A14" s="72" t="s">
        <v>402</v>
      </c>
      <c r="B14" s="72"/>
      <c r="C14" s="74"/>
      <c r="D14" s="32">
        <f>-LN(0.05)*(BusCap/1000)*PrechargeRes</f>
        <v>0.49279795899963202</v>
      </c>
      <c r="E14" s="5" t="s">
        <v>403</v>
      </c>
      <c r="G14" s="72" t="s">
        <v>404</v>
      </c>
      <c r="H14" s="72"/>
      <c r="I14" s="74"/>
      <c r="J14" s="19">
        <f>VLOOKUP(J12,ContactorsTable,3,FALSE)</f>
        <v>5</v>
      </c>
      <c r="K14" s="5" t="s">
        <v>23</v>
      </c>
      <c r="L14" s="6" t="str">
        <f>IF(J14&lt;J10,ErrorText,OKText)</f>
        <v>OK</v>
      </c>
    </row>
    <row r="15" spans="1:20" x14ac:dyDescent="0.4">
      <c r="A15" s="72" t="s">
        <v>405</v>
      </c>
      <c r="B15" s="72"/>
      <c r="C15" s="74"/>
      <c r="D15" s="32">
        <f>MaxTSVoltage^2*(BusCap/1000)/2*(1-EXP(-D14*2/(PrechargeRes*(BusCap/1000))))</f>
        <v>52.039874249999997</v>
      </c>
      <c r="E15" s="5" t="s">
        <v>406</v>
      </c>
      <c r="G15" s="72" t="s">
        <v>407</v>
      </c>
      <c r="H15" s="72"/>
      <c r="I15" s="74"/>
      <c r="J15" s="19" t="str">
        <f>VLOOKUP(J12,ContactorsTable,5,FALSE)</f>
        <v>NC</v>
      </c>
      <c r="K15" s="5"/>
      <c r="L15" s="6" t="str">
        <f>IF(J15&lt;&gt;"NC",ErrorText,OKText)</f>
        <v>OK</v>
      </c>
    </row>
    <row r="16" spans="1:20" x14ac:dyDescent="0.4">
      <c r="A16" s="72" t="s">
        <v>408</v>
      </c>
      <c r="B16" s="72"/>
      <c r="C16" s="74"/>
      <c r="D16" s="33">
        <f>D15/D14</f>
        <v>105.600831536802</v>
      </c>
      <c r="E16" s="5" t="s">
        <v>387</v>
      </c>
    </row>
    <row r="17" spans="1:8" x14ac:dyDescent="0.4">
      <c r="A17" s="72" t="s">
        <v>409</v>
      </c>
      <c r="B17" s="72"/>
      <c r="C17" s="74"/>
      <c r="D17" s="73" t="s">
        <v>155</v>
      </c>
      <c r="E17" s="73"/>
      <c r="F17" s="6" t="str">
        <f>IF(ISBLANK(D17),IncompleteText,OKText)</f>
        <v>OK</v>
      </c>
      <c r="G17" s="34"/>
      <c r="H17" s="34"/>
    </row>
    <row r="18" spans="1:8" ht="23.25" customHeight="1" x14ac:dyDescent="0.4">
      <c r="A18" s="126" t="s">
        <v>410</v>
      </c>
      <c r="B18" s="126"/>
      <c r="C18" s="127"/>
      <c r="D18" s="19">
        <f>VLOOKUP(D17,ContactorsTable,2,FALSE)</f>
        <v>600</v>
      </c>
      <c r="E18" s="35" t="s">
        <v>306</v>
      </c>
      <c r="F18" s="6" t="str">
        <f>IF(D18&lt;MaxTSVoltage,ErrorText,OKText)</f>
        <v>OK</v>
      </c>
    </row>
    <row r="19" spans="1:8" ht="18.75" customHeight="1" x14ac:dyDescent="0.4">
      <c r="A19" s="126" t="s">
        <v>404</v>
      </c>
      <c r="B19" s="126"/>
      <c r="C19" s="127"/>
      <c r="D19" s="19">
        <f>VLOOKUP(D17,ContactorsTable,3,FALSE)</f>
        <v>50</v>
      </c>
      <c r="E19" s="35" t="s">
        <v>23</v>
      </c>
      <c r="F19" s="6" t="str">
        <f>IF(D19&lt;D13,ErrorText,OKText)</f>
        <v>OK</v>
      </c>
    </row>
    <row r="21" spans="1:8" x14ac:dyDescent="0.4">
      <c r="A21" s="128" t="s">
        <v>267</v>
      </c>
      <c r="B21" s="128"/>
      <c r="C21" s="128"/>
      <c r="D21" s="128"/>
      <c r="E21" s="128"/>
      <c r="F21" s="128"/>
      <c r="G21" s="128"/>
    </row>
    <row r="22" spans="1:8" x14ac:dyDescent="0.4">
      <c r="A22" s="150"/>
      <c r="B22" s="95"/>
      <c r="C22" s="95"/>
      <c r="D22" s="95"/>
      <c r="E22" s="95"/>
      <c r="F22" s="95"/>
      <c r="G22" s="151"/>
    </row>
    <row r="23" spans="1:8" x14ac:dyDescent="0.4">
      <c r="A23" s="152"/>
      <c r="B23" s="96"/>
      <c r="C23" s="96"/>
      <c r="D23" s="96"/>
      <c r="E23" s="96"/>
      <c r="F23" s="96"/>
      <c r="G23" s="153"/>
    </row>
    <row r="24" spans="1:8" x14ac:dyDescent="0.4">
      <c r="A24" s="152"/>
      <c r="B24" s="96"/>
      <c r="C24" s="96"/>
      <c r="D24" s="96"/>
      <c r="E24" s="96"/>
      <c r="F24" s="96"/>
      <c r="G24" s="153"/>
    </row>
    <row r="25" spans="1:8" x14ac:dyDescent="0.4">
      <c r="A25" s="152"/>
      <c r="B25" s="96"/>
      <c r="C25" s="96"/>
      <c r="D25" s="96"/>
      <c r="E25" s="96"/>
      <c r="F25" s="96"/>
      <c r="G25" s="153"/>
    </row>
    <row r="26" spans="1:8" x14ac:dyDescent="0.4">
      <c r="A26" s="152"/>
      <c r="B26" s="96"/>
      <c r="C26" s="96"/>
      <c r="D26" s="96"/>
      <c r="E26" s="96"/>
      <c r="F26" s="96"/>
      <c r="G26" s="153"/>
    </row>
    <row r="27" spans="1:8" x14ac:dyDescent="0.4">
      <c r="A27" s="152"/>
      <c r="B27" s="96"/>
      <c r="C27" s="96"/>
      <c r="D27" s="96"/>
      <c r="E27" s="96"/>
      <c r="F27" s="96"/>
      <c r="G27" s="153"/>
    </row>
    <row r="28" spans="1:8" x14ac:dyDescent="0.4">
      <c r="A28" s="152"/>
      <c r="B28" s="96"/>
      <c r="C28" s="96"/>
      <c r="D28" s="96"/>
      <c r="E28" s="96"/>
      <c r="F28" s="96"/>
      <c r="G28" s="153"/>
    </row>
    <row r="29" spans="1:8" x14ac:dyDescent="0.4">
      <c r="A29" s="152"/>
      <c r="B29" s="96"/>
      <c r="C29" s="96"/>
      <c r="D29" s="96"/>
      <c r="E29" s="96"/>
      <c r="F29" s="96"/>
      <c r="G29" s="153"/>
    </row>
    <row r="30" spans="1:8" x14ac:dyDescent="0.4">
      <c r="A30" s="152"/>
      <c r="B30" s="96"/>
      <c r="C30" s="96"/>
      <c r="D30" s="96"/>
      <c r="E30" s="96"/>
      <c r="F30" s="96"/>
      <c r="G30" s="153"/>
    </row>
    <row r="31" spans="1:8" x14ac:dyDescent="0.4">
      <c r="A31" s="152"/>
      <c r="B31" s="96"/>
      <c r="C31" s="96"/>
      <c r="D31" s="96"/>
      <c r="E31" s="96"/>
      <c r="F31" s="96"/>
      <c r="G31" s="153"/>
    </row>
    <row r="32" spans="1:8" x14ac:dyDescent="0.4">
      <c r="A32" s="152"/>
      <c r="B32" s="96"/>
      <c r="C32" s="96"/>
      <c r="D32" s="96"/>
      <c r="E32" s="96"/>
      <c r="F32" s="96"/>
      <c r="G32" s="153"/>
    </row>
    <row r="33" spans="1:7" x14ac:dyDescent="0.4">
      <c r="A33" s="152"/>
      <c r="B33" s="96"/>
      <c r="C33" s="96"/>
      <c r="D33" s="96"/>
      <c r="E33" s="96"/>
      <c r="F33" s="96"/>
      <c r="G33" s="153"/>
    </row>
    <row r="34" spans="1:7" x14ac:dyDescent="0.4">
      <c r="A34" s="152"/>
      <c r="B34" s="96"/>
      <c r="C34" s="96"/>
      <c r="D34" s="96"/>
      <c r="E34" s="96"/>
      <c r="F34" s="96"/>
      <c r="G34" s="153"/>
    </row>
    <row r="35" spans="1:7" x14ac:dyDescent="0.4">
      <c r="A35" s="152"/>
      <c r="B35" s="96"/>
      <c r="C35" s="96"/>
      <c r="D35" s="96"/>
      <c r="E35" s="96"/>
      <c r="F35" s="96"/>
      <c r="G35" s="153"/>
    </row>
    <row r="36" spans="1:7" x14ac:dyDescent="0.4">
      <c r="A36" s="152"/>
      <c r="B36" s="96"/>
      <c r="C36" s="96"/>
      <c r="D36" s="96"/>
      <c r="E36" s="96"/>
      <c r="F36" s="96"/>
      <c r="G36" s="153"/>
    </row>
    <row r="37" spans="1:7" x14ac:dyDescent="0.4">
      <c r="A37" s="154"/>
      <c r="B37" s="155"/>
      <c r="C37" s="155"/>
      <c r="D37" s="155"/>
      <c r="E37" s="155"/>
      <c r="F37" s="155"/>
      <c r="G37" s="156"/>
    </row>
  </sheetData>
  <sheetProtection algorithmName="SHA-512" hashValue="B1Q7aylq+ZCPMQSqoLPBND4nnEEbJpFR5+hhFizrlNIn+vzi88rjy53SpKmdD5nifhSywdHXDMLOrhKuBZBLtA==" saltValue="QzTqC9p3NApaAakiygSjFw==" spinCount="100000" sheet="1" scenarios="1" selectLockedCells="1"/>
  <mergeCells count="51">
    <mergeCell ref="A18:C18"/>
    <mergeCell ref="A19:C19"/>
    <mergeCell ref="A21:G21"/>
    <mergeCell ref="A22:G37"/>
    <mergeCell ref="S3:T8"/>
    <mergeCell ref="A15:C15"/>
    <mergeCell ref="G15:I15"/>
    <mergeCell ref="A16:C16"/>
    <mergeCell ref="A17:C17"/>
    <mergeCell ref="D17:E17"/>
    <mergeCell ref="J12:K12"/>
    <mergeCell ref="A13:C13"/>
    <mergeCell ref="G13:I13"/>
    <mergeCell ref="A14:C14"/>
    <mergeCell ref="G14:I14"/>
    <mergeCell ref="A10:C10"/>
    <mergeCell ref="G10:I10"/>
    <mergeCell ref="A11:C11"/>
    <mergeCell ref="G11:I11"/>
    <mergeCell ref="A12:C12"/>
    <mergeCell ref="G12:I12"/>
    <mergeCell ref="A8:C8"/>
    <mergeCell ref="G8:I8"/>
    <mergeCell ref="M8:O8"/>
    <mergeCell ref="A9:C9"/>
    <mergeCell ref="G9:I9"/>
    <mergeCell ref="M9:O9"/>
    <mergeCell ref="A6:C6"/>
    <mergeCell ref="G6:I6"/>
    <mergeCell ref="M6:O6"/>
    <mergeCell ref="A7:C7"/>
    <mergeCell ref="G7:I7"/>
    <mergeCell ref="M7:O7"/>
    <mergeCell ref="A4:C4"/>
    <mergeCell ref="G4:I4"/>
    <mergeCell ref="M4:O4"/>
    <mergeCell ref="P4:Q4"/>
    <mergeCell ref="A5:C5"/>
    <mergeCell ref="G5:I5"/>
    <mergeCell ref="M5:O5"/>
    <mergeCell ref="P5:Q5"/>
    <mergeCell ref="A2:E2"/>
    <mergeCell ref="G2:K2"/>
    <mergeCell ref="M2:Q2"/>
    <mergeCell ref="S2:T2"/>
    <mergeCell ref="A3:C3"/>
    <mergeCell ref="D3:E3"/>
    <mergeCell ref="G3:I3"/>
    <mergeCell ref="J3:K3"/>
    <mergeCell ref="M3:O3"/>
    <mergeCell ref="P3:Q3"/>
  </mergeCells>
  <phoneticPr fontId="14" type="noConversion"/>
  <dataValidations count="3">
    <dataValidation type="list" allowBlank="1" showInputMessage="1" showErrorMessage="1" sqref="D3:E3 J3:K3 P3:Q3" xr:uid="{00000000-0002-0000-0500-000000000000}">
      <formula1>ResistorsNames</formula1>
    </dataValidation>
    <dataValidation type="list" allowBlank="1" showInputMessage="1" showErrorMessage="1" sqref="J12:K12 D17:E17" xr:uid="{00000000-0002-0000-0500-000001000000}">
      <formula1>ContactorNames</formula1>
    </dataValidation>
    <dataValidation type="whole" allowBlank="1" showInputMessage="1" showErrorMessage="1" sqref="D4:D5 J4:J5" xr:uid="{00000000-0002-0000-0500-000002000000}">
      <formula1>1</formula1>
      <formula2>1000</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43"/>
  <sheetViews>
    <sheetView topLeftCell="B4" zoomScale="70" zoomScaleNormal="70" workbookViewId="0">
      <selection activeCell="I26" sqref="I26"/>
    </sheetView>
  </sheetViews>
  <sheetFormatPr defaultColWidth="9" defaultRowHeight="13.9" x14ac:dyDescent="0.4"/>
  <cols>
    <col min="1" max="1" width="13" customWidth="1"/>
    <col min="3" max="3" width="11.46484375" customWidth="1"/>
    <col min="6" max="6" width="12.46484375" customWidth="1"/>
    <col min="15" max="15" width="21.796875" customWidth="1"/>
    <col min="21" max="24" width="12.6640625" customWidth="1"/>
  </cols>
  <sheetData>
    <row r="1" spans="1:26" x14ac:dyDescent="0.4">
      <c r="A1" s="2" t="s">
        <v>26</v>
      </c>
      <c r="B1" s="6" t="str" cm="1">
        <f t="array" ref="B1" ca="1">IF(SUM(COUNTIF(INDIRECT({"$F$2","$H$31","$Q$31","$Z$31"}),"="&amp;IncompleteText)),IncompleteText,IF(SUM(COUNTIF(INDIRECT({"$F$2","$H$31","$Q$31","$Z$31"}),"="&amp;ErrorText)),ErrorText,OKText))</f>
        <v>OK</v>
      </c>
    </row>
    <row r="2" spans="1:26" x14ac:dyDescent="0.4">
      <c r="A2" s="71" t="s">
        <v>411</v>
      </c>
      <c r="B2" s="71"/>
      <c r="C2" s="71"/>
      <c r="D2" s="71"/>
      <c r="E2" s="71"/>
      <c r="F2" s="6" t="str">
        <f>IF(COUNTIF(F3:F10,"="&amp;IncompleteText),IncompleteText,IF(COUNTIF(F3:F10,"="&amp;ErrorText),ErrorText,OKText))</f>
        <v>OK</v>
      </c>
      <c r="H2" s="71" t="s">
        <v>412</v>
      </c>
      <c r="I2" s="71"/>
      <c r="J2" s="71"/>
      <c r="K2" s="71"/>
      <c r="L2" s="71"/>
      <c r="M2" s="71"/>
      <c r="N2" s="71"/>
    </row>
    <row r="3" spans="1:26" x14ac:dyDescent="0.4">
      <c r="A3" s="72" t="s">
        <v>28</v>
      </c>
      <c r="B3" s="72"/>
      <c r="C3" s="74"/>
      <c r="D3" s="113" t="s">
        <v>413</v>
      </c>
      <c r="E3" s="114"/>
      <c r="F3" s="6" t="str">
        <f t="shared" ref="F3:F10" si="0">IF(ISBLANK(D3),IncompleteText,OKText)</f>
        <v>OK</v>
      </c>
      <c r="H3" s="95"/>
      <c r="I3" s="95"/>
      <c r="J3" s="95"/>
      <c r="K3" s="95"/>
      <c r="L3" s="95"/>
      <c r="M3" s="95"/>
      <c r="N3" s="95"/>
    </row>
    <row r="4" spans="1:26" x14ac:dyDescent="0.4">
      <c r="A4" s="72" t="s">
        <v>291</v>
      </c>
      <c r="B4" s="72"/>
      <c r="C4" s="72"/>
      <c r="D4" s="73" t="s">
        <v>414</v>
      </c>
      <c r="E4" s="73"/>
      <c r="F4" s="6" t="str">
        <f t="shared" si="0"/>
        <v>OK</v>
      </c>
      <c r="H4" s="96"/>
      <c r="I4" s="96"/>
      <c r="J4" s="96"/>
      <c r="K4" s="96"/>
      <c r="L4" s="96"/>
      <c r="M4" s="96"/>
      <c r="N4" s="96"/>
    </row>
    <row r="5" spans="1:26" x14ac:dyDescent="0.4">
      <c r="A5" s="72" t="s">
        <v>415</v>
      </c>
      <c r="B5" s="72"/>
      <c r="C5" s="74"/>
      <c r="D5" s="170" t="s">
        <v>416</v>
      </c>
      <c r="E5" s="170"/>
      <c r="F5" s="6" t="str">
        <f t="shared" si="0"/>
        <v>OK</v>
      </c>
      <c r="H5" s="96"/>
      <c r="I5" s="96"/>
      <c r="J5" s="96"/>
      <c r="K5" s="96"/>
      <c r="L5" s="96"/>
      <c r="M5" s="96"/>
      <c r="N5" s="96"/>
    </row>
    <row r="6" spans="1:26" x14ac:dyDescent="0.4">
      <c r="A6" s="72" t="s">
        <v>417</v>
      </c>
      <c r="B6" s="72"/>
      <c r="C6" s="74"/>
      <c r="D6" s="25">
        <v>220</v>
      </c>
      <c r="E6" s="5" t="s">
        <v>418</v>
      </c>
      <c r="F6" s="6" t="str">
        <f t="shared" si="0"/>
        <v>OK</v>
      </c>
      <c r="H6" s="96"/>
      <c r="I6" s="96"/>
      <c r="J6" s="96"/>
      <c r="K6" s="96"/>
      <c r="L6" s="96"/>
      <c r="M6" s="96"/>
      <c r="N6" s="96"/>
    </row>
    <row r="7" spans="1:26" x14ac:dyDescent="0.4">
      <c r="A7" s="72" t="s">
        <v>419</v>
      </c>
      <c r="B7" s="72"/>
      <c r="C7" s="74"/>
      <c r="D7" s="25">
        <v>16</v>
      </c>
      <c r="E7" s="5" t="s">
        <v>23</v>
      </c>
      <c r="F7" s="6" t="str">
        <f t="shared" si="0"/>
        <v>OK</v>
      </c>
      <c r="H7" s="96"/>
      <c r="I7" s="96"/>
      <c r="J7" s="96"/>
      <c r="K7" s="96"/>
      <c r="L7" s="96"/>
      <c r="M7" s="96"/>
      <c r="N7" s="96"/>
    </row>
    <row r="8" spans="1:26" x14ac:dyDescent="0.4">
      <c r="A8" s="72" t="s">
        <v>420</v>
      </c>
      <c r="B8" s="72"/>
      <c r="C8" s="74"/>
      <c r="D8" s="25" t="s">
        <v>421</v>
      </c>
      <c r="E8" s="5" t="s">
        <v>21</v>
      </c>
      <c r="F8" s="6" t="str">
        <f t="shared" si="0"/>
        <v>OK</v>
      </c>
      <c r="H8" s="96"/>
      <c r="I8" s="96"/>
      <c r="J8" s="96"/>
      <c r="K8" s="96"/>
      <c r="L8" s="96"/>
      <c r="M8" s="96"/>
      <c r="N8" s="96"/>
    </row>
    <row r="9" spans="1:26" x14ac:dyDescent="0.4">
      <c r="A9" s="72" t="s">
        <v>422</v>
      </c>
      <c r="B9" s="72"/>
      <c r="C9" s="74"/>
      <c r="D9" s="25" t="s">
        <v>423</v>
      </c>
      <c r="E9" s="5" t="s">
        <v>23</v>
      </c>
      <c r="F9" s="6" t="str">
        <f t="shared" si="0"/>
        <v>OK</v>
      </c>
      <c r="H9" s="96"/>
      <c r="I9" s="96"/>
      <c r="J9" s="96"/>
      <c r="K9" s="96"/>
      <c r="L9" s="96"/>
      <c r="M9" s="96"/>
      <c r="N9" s="96"/>
    </row>
    <row r="10" spans="1:26" x14ac:dyDescent="0.4">
      <c r="A10" s="72" t="s">
        <v>424</v>
      </c>
      <c r="B10" s="72"/>
      <c r="C10" s="74"/>
      <c r="D10" s="25">
        <v>3.3</v>
      </c>
      <c r="E10" s="5" t="s">
        <v>425</v>
      </c>
      <c r="F10" s="6" t="str">
        <f t="shared" si="0"/>
        <v>OK</v>
      </c>
      <c r="H10" s="96"/>
      <c r="I10" s="96"/>
      <c r="J10" s="96"/>
      <c r="K10" s="96"/>
      <c r="L10" s="96"/>
      <c r="M10" s="96"/>
      <c r="N10" s="96"/>
    </row>
    <row r="12" spans="1:26" x14ac:dyDescent="0.4">
      <c r="A12" s="98"/>
      <c r="B12" s="98"/>
      <c r="C12" s="98"/>
      <c r="D12" s="98"/>
      <c r="E12" s="98"/>
      <c r="F12" s="98"/>
      <c r="G12" s="98"/>
      <c r="H12" s="98"/>
      <c r="J12" s="172" t="s">
        <v>426</v>
      </c>
      <c r="K12" s="172"/>
      <c r="L12" s="172"/>
      <c r="M12" s="172"/>
      <c r="N12" s="172"/>
      <c r="O12" s="172"/>
      <c r="P12" s="172"/>
      <c r="Q12" s="172"/>
      <c r="S12" s="172" t="s">
        <v>427</v>
      </c>
      <c r="T12" s="172"/>
      <c r="U12" s="172"/>
      <c r="V12" s="172"/>
      <c r="W12" s="172"/>
      <c r="X12" s="172"/>
      <c r="Y12" s="172"/>
      <c r="Z12" s="172"/>
    </row>
    <row r="13" spans="1:26" x14ac:dyDescent="0.4">
      <c r="A13" s="98"/>
      <c r="B13" s="98"/>
      <c r="C13" s="98"/>
      <c r="D13" s="98"/>
      <c r="E13" s="98"/>
      <c r="F13" s="98"/>
      <c r="G13" s="98"/>
      <c r="H13" s="98"/>
      <c r="J13" s="172"/>
      <c r="K13" s="172"/>
      <c r="L13" s="172"/>
      <c r="M13" s="172"/>
      <c r="N13" s="172"/>
      <c r="O13" s="172"/>
      <c r="P13" s="172"/>
      <c r="Q13" s="172"/>
      <c r="S13" s="172"/>
      <c r="T13" s="172"/>
      <c r="U13" s="172"/>
      <c r="V13" s="172"/>
      <c r="W13" s="172"/>
      <c r="X13" s="172"/>
      <c r="Y13" s="172"/>
      <c r="Z13" s="172"/>
    </row>
    <row r="14" spans="1:26" x14ac:dyDescent="0.4">
      <c r="A14" s="98"/>
      <c r="B14" s="98"/>
      <c r="C14" s="98"/>
      <c r="D14" s="98"/>
      <c r="E14" s="98"/>
      <c r="F14" s="98"/>
      <c r="G14" s="98"/>
      <c r="H14" s="98"/>
      <c r="J14" s="172"/>
      <c r="K14" s="172"/>
      <c r="L14" s="172"/>
      <c r="M14" s="172"/>
      <c r="N14" s="172"/>
      <c r="O14" s="172"/>
      <c r="P14" s="172"/>
      <c r="Q14" s="172"/>
      <c r="S14" s="172"/>
      <c r="T14" s="172"/>
      <c r="U14" s="172"/>
      <c r="V14" s="172"/>
      <c r="W14" s="172"/>
      <c r="X14" s="172"/>
      <c r="Y14" s="172"/>
      <c r="Z14" s="172"/>
    </row>
    <row r="15" spans="1:26" x14ac:dyDescent="0.4">
      <c r="A15" s="98"/>
      <c r="B15" s="98"/>
      <c r="C15" s="98"/>
      <c r="D15" s="98"/>
      <c r="E15" s="98"/>
      <c r="F15" s="98"/>
      <c r="G15" s="98"/>
      <c r="H15" s="98"/>
      <c r="J15" s="172"/>
      <c r="K15" s="172"/>
      <c r="L15" s="172"/>
      <c r="M15" s="172"/>
      <c r="N15" s="172"/>
      <c r="O15" s="172"/>
      <c r="P15" s="172"/>
      <c r="Q15" s="172"/>
      <c r="S15" s="172"/>
      <c r="T15" s="172"/>
      <c r="U15" s="172"/>
      <c r="V15" s="172"/>
      <c r="W15" s="172"/>
      <c r="X15" s="172"/>
      <c r="Y15" s="172"/>
      <c r="Z15" s="172"/>
    </row>
    <row r="16" spans="1:26" x14ac:dyDescent="0.4">
      <c r="A16" s="98"/>
      <c r="B16" s="98"/>
      <c r="C16" s="98"/>
      <c r="D16" s="98"/>
      <c r="E16" s="98"/>
      <c r="F16" s="98"/>
      <c r="G16" s="98"/>
      <c r="H16" s="98"/>
      <c r="J16" s="172"/>
      <c r="K16" s="172"/>
      <c r="L16" s="172"/>
      <c r="M16" s="172"/>
      <c r="N16" s="172"/>
      <c r="O16" s="172"/>
      <c r="P16" s="172"/>
      <c r="Q16" s="172"/>
      <c r="S16" s="172"/>
      <c r="T16" s="172"/>
      <c r="U16" s="172"/>
      <c r="V16" s="172"/>
      <c r="W16" s="172"/>
      <c r="X16" s="172"/>
      <c r="Y16" s="172"/>
      <c r="Z16" s="172"/>
    </row>
    <row r="17" spans="1:26" x14ac:dyDescent="0.4">
      <c r="A17" s="98"/>
      <c r="B17" s="98"/>
      <c r="C17" s="98"/>
      <c r="D17" s="98"/>
      <c r="E17" s="98"/>
      <c r="F17" s="98"/>
      <c r="G17" s="98"/>
      <c r="H17" s="98"/>
      <c r="J17" s="172"/>
      <c r="K17" s="172"/>
      <c r="L17" s="172"/>
      <c r="M17" s="172"/>
      <c r="N17" s="172"/>
      <c r="O17" s="172"/>
      <c r="P17" s="172"/>
      <c r="Q17" s="172"/>
      <c r="S17" s="172"/>
      <c r="T17" s="172"/>
      <c r="U17" s="172"/>
      <c r="V17" s="172"/>
      <c r="W17" s="172"/>
      <c r="X17" s="172"/>
      <c r="Y17" s="172"/>
      <c r="Z17" s="172"/>
    </row>
    <row r="18" spans="1:26" x14ac:dyDescent="0.4">
      <c r="A18" s="98"/>
      <c r="B18" s="98"/>
      <c r="C18" s="98"/>
      <c r="D18" s="98"/>
      <c r="E18" s="98"/>
      <c r="F18" s="98"/>
      <c r="G18" s="98"/>
      <c r="H18" s="98"/>
      <c r="J18" s="172"/>
      <c r="K18" s="172"/>
      <c r="L18" s="172"/>
      <c r="M18" s="172"/>
      <c r="N18" s="172"/>
      <c r="O18" s="172"/>
      <c r="P18" s="172"/>
      <c r="Q18" s="172"/>
      <c r="S18" s="172"/>
      <c r="T18" s="172"/>
      <c r="U18" s="172"/>
      <c r="V18" s="172"/>
      <c r="W18" s="172"/>
      <c r="X18" s="172"/>
      <c r="Y18" s="172"/>
      <c r="Z18" s="172"/>
    </row>
    <row r="19" spans="1:26" x14ac:dyDescent="0.4">
      <c r="A19" s="98"/>
      <c r="B19" s="98"/>
      <c r="C19" s="98"/>
      <c r="D19" s="98"/>
      <c r="E19" s="98"/>
      <c r="F19" s="98"/>
      <c r="G19" s="98"/>
      <c r="H19" s="98"/>
      <c r="J19" s="172"/>
      <c r="K19" s="172"/>
      <c r="L19" s="172"/>
      <c r="M19" s="172"/>
      <c r="N19" s="172"/>
      <c r="O19" s="172"/>
      <c r="P19" s="172"/>
      <c r="Q19" s="172"/>
      <c r="S19" s="172"/>
      <c r="T19" s="172"/>
      <c r="U19" s="172"/>
      <c r="V19" s="172"/>
      <c r="W19" s="172"/>
      <c r="X19" s="172"/>
      <c r="Y19" s="172"/>
      <c r="Z19" s="172"/>
    </row>
    <row r="20" spans="1:26" x14ac:dyDescent="0.4">
      <c r="A20" s="98"/>
      <c r="B20" s="98"/>
      <c r="C20" s="98"/>
      <c r="D20" s="98"/>
      <c r="E20" s="98"/>
      <c r="F20" s="98"/>
      <c r="G20" s="98"/>
      <c r="H20" s="98"/>
      <c r="J20" s="172"/>
      <c r="K20" s="172"/>
      <c r="L20" s="172"/>
      <c r="M20" s="172"/>
      <c r="N20" s="172"/>
      <c r="O20" s="172"/>
      <c r="P20" s="172"/>
      <c r="Q20" s="172"/>
      <c r="S20" s="172"/>
      <c r="T20" s="172"/>
      <c r="U20" s="172"/>
      <c r="V20" s="172"/>
      <c r="W20" s="172"/>
      <c r="X20" s="172"/>
      <c r="Y20" s="172"/>
      <c r="Z20" s="172"/>
    </row>
    <row r="21" spans="1:26" x14ac:dyDescent="0.4">
      <c r="A21" s="98"/>
      <c r="B21" s="98"/>
      <c r="C21" s="98"/>
      <c r="D21" s="98"/>
      <c r="E21" s="98"/>
      <c r="F21" s="98"/>
      <c r="G21" s="98"/>
      <c r="H21" s="98"/>
      <c r="J21" s="172"/>
      <c r="K21" s="172"/>
      <c r="L21" s="172"/>
      <c r="M21" s="172"/>
      <c r="N21" s="172"/>
      <c r="O21" s="172"/>
      <c r="P21" s="172"/>
      <c r="Q21" s="172"/>
      <c r="S21" s="172"/>
      <c r="T21" s="172"/>
      <c r="U21" s="172"/>
      <c r="V21" s="172"/>
      <c r="W21" s="172"/>
      <c r="X21" s="172"/>
      <c r="Y21" s="172"/>
      <c r="Z21" s="172"/>
    </row>
    <row r="22" spans="1:26" x14ac:dyDescent="0.4">
      <c r="A22" s="98"/>
      <c r="B22" s="98"/>
      <c r="C22" s="98"/>
      <c r="D22" s="98"/>
      <c r="E22" s="98"/>
      <c r="F22" s="98"/>
      <c r="G22" s="98"/>
      <c r="H22" s="98"/>
      <c r="J22" s="172"/>
      <c r="K22" s="172"/>
      <c r="L22" s="172"/>
      <c r="M22" s="172"/>
      <c r="N22" s="172"/>
      <c r="O22" s="172"/>
      <c r="P22" s="172"/>
      <c r="Q22" s="172"/>
      <c r="S22" s="172"/>
      <c r="T22" s="172"/>
      <c r="U22" s="172"/>
      <c r="V22" s="172"/>
      <c r="W22" s="172"/>
      <c r="X22" s="172"/>
      <c r="Y22" s="172"/>
      <c r="Z22" s="172"/>
    </row>
    <row r="23" spans="1:26" x14ac:dyDescent="0.4">
      <c r="A23" s="98"/>
      <c r="B23" s="98"/>
      <c r="C23" s="98"/>
      <c r="D23" s="98"/>
      <c r="E23" s="98"/>
      <c r="F23" s="98"/>
      <c r="G23" s="98"/>
      <c r="H23" s="98"/>
      <c r="J23" s="172"/>
      <c r="K23" s="172"/>
      <c r="L23" s="172"/>
      <c r="M23" s="172"/>
      <c r="N23" s="172"/>
      <c r="O23" s="172"/>
      <c r="P23" s="172"/>
      <c r="Q23" s="172"/>
      <c r="S23" s="172"/>
      <c r="T23" s="172"/>
      <c r="U23" s="172"/>
      <c r="V23" s="172"/>
      <c r="W23" s="172"/>
      <c r="X23" s="172"/>
      <c r="Y23" s="172"/>
      <c r="Z23" s="172"/>
    </row>
    <row r="24" spans="1:26" x14ac:dyDescent="0.4">
      <c r="A24" s="98"/>
      <c r="B24" s="98"/>
      <c r="C24" s="98"/>
      <c r="D24" s="98"/>
      <c r="E24" s="98"/>
      <c r="F24" s="98"/>
      <c r="G24" s="98"/>
      <c r="H24" s="98"/>
      <c r="J24" s="172"/>
      <c r="K24" s="172"/>
      <c r="L24" s="172"/>
      <c r="M24" s="172"/>
      <c r="N24" s="172"/>
      <c r="O24" s="172"/>
      <c r="P24" s="172"/>
      <c r="Q24" s="172"/>
      <c r="S24" s="172"/>
      <c r="T24" s="172"/>
      <c r="U24" s="172"/>
      <c r="V24" s="172"/>
      <c r="W24" s="172"/>
      <c r="X24" s="172"/>
      <c r="Y24" s="172"/>
      <c r="Z24" s="172"/>
    </row>
    <row r="25" spans="1:26" x14ac:dyDescent="0.4">
      <c r="A25" s="98"/>
      <c r="B25" s="98"/>
      <c r="C25" s="98"/>
      <c r="D25" s="98"/>
      <c r="E25" s="98"/>
      <c r="F25" s="98"/>
      <c r="G25" s="98"/>
      <c r="H25" s="98"/>
      <c r="J25" s="172"/>
      <c r="K25" s="172"/>
      <c r="L25" s="172"/>
      <c r="M25" s="172"/>
      <c r="N25" s="172"/>
      <c r="O25" s="172"/>
      <c r="P25" s="172"/>
      <c r="Q25" s="172"/>
      <c r="S25" s="172"/>
      <c r="T25" s="172"/>
      <c r="U25" s="172"/>
      <c r="V25" s="172"/>
      <c r="W25" s="172"/>
      <c r="X25" s="172"/>
      <c r="Y25" s="172"/>
      <c r="Z25" s="172"/>
    </row>
    <row r="26" spans="1:26" x14ac:dyDescent="0.4">
      <c r="A26" s="98"/>
      <c r="B26" s="98"/>
      <c r="C26" s="98"/>
      <c r="D26" s="98"/>
      <c r="E26" s="98"/>
      <c r="F26" s="98"/>
      <c r="G26" s="98"/>
      <c r="H26" s="98"/>
      <c r="J26" s="172"/>
      <c r="K26" s="172"/>
      <c r="L26" s="172"/>
      <c r="M26" s="172"/>
      <c r="N26" s="172"/>
      <c r="O26" s="172"/>
      <c r="P26" s="172"/>
      <c r="Q26" s="172"/>
      <c r="S26" s="172"/>
      <c r="T26" s="172"/>
      <c r="U26" s="172"/>
      <c r="V26" s="172"/>
      <c r="W26" s="172"/>
      <c r="X26" s="172"/>
      <c r="Y26" s="172"/>
      <c r="Z26" s="172"/>
    </row>
    <row r="27" spans="1:26" x14ac:dyDescent="0.4">
      <c r="A27" s="98"/>
      <c r="B27" s="98"/>
      <c r="C27" s="98"/>
      <c r="D27" s="98"/>
      <c r="E27" s="98"/>
      <c r="F27" s="98"/>
      <c r="G27" s="98"/>
      <c r="H27" s="98"/>
      <c r="J27" s="172"/>
      <c r="K27" s="172"/>
      <c r="L27" s="172"/>
      <c r="M27" s="172"/>
      <c r="N27" s="172"/>
      <c r="O27" s="172"/>
      <c r="P27" s="172"/>
      <c r="Q27" s="172"/>
      <c r="S27" s="172"/>
      <c r="T27" s="172"/>
      <c r="U27" s="172"/>
      <c r="V27" s="172"/>
      <c r="W27" s="172"/>
      <c r="X27" s="172"/>
      <c r="Y27" s="172"/>
      <c r="Z27" s="172"/>
    </row>
    <row r="28" spans="1:26" x14ac:dyDescent="0.4">
      <c r="A28" s="98"/>
      <c r="B28" s="98"/>
      <c r="C28" s="98"/>
      <c r="D28" s="98"/>
      <c r="E28" s="98"/>
      <c r="F28" s="98"/>
      <c r="G28" s="98"/>
      <c r="H28" s="98"/>
      <c r="J28" s="172"/>
      <c r="K28" s="172"/>
      <c r="L28" s="172"/>
      <c r="M28" s="172"/>
      <c r="N28" s="172"/>
      <c r="O28" s="172"/>
      <c r="P28" s="172"/>
      <c r="Q28" s="172"/>
      <c r="S28" s="172"/>
      <c r="T28" s="172"/>
      <c r="U28" s="172"/>
      <c r="V28" s="172"/>
      <c r="W28" s="172"/>
      <c r="X28" s="172"/>
      <c r="Y28" s="172"/>
      <c r="Z28" s="172"/>
    </row>
    <row r="29" spans="1:26" x14ac:dyDescent="0.4">
      <c r="A29" s="98"/>
      <c r="B29" s="98"/>
      <c r="C29" s="98"/>
      <c r="D29" s="98"/>
      <c r="E29" s="98"/>
      <c r="F29" s="98"/>
      <c r="G29" s="98"/>
      <c r="H29" s="98"/>
      <c r="J29" s="172"/>
      <c r="K29" s="172"/>
      <c r="L29" s="172"/>
      <c r="M29" s="172"/>
      <c r="N29" s="172"/>
      <c r="O29" s="172"/>
      <c r="P29" s="172"/>
      <c r="Q29" s="172"/>
      <c r="S29" s="172"/>
      <c r="T29" s="172"/>
      <c r="U29" s="172"/>
      <c r="V29" s="172"/>
      <c r="W29" s="172"/>
      <c r="X29" s="172"/>
      <c r="Y29" s="172"/>
      <c r="Z29" s="172"/>
    </row>
    <row r="30" spans="1:26" x14ac:dyDescent="0.4">
      <c r="A30" s="98"/>
      <c r="B30" s="98"/>
      <c r="C30" s="98"/>
      <c r="D30" s="98"/>
      <c r="E30" s="98"/>
      <c r="F30" s="98"/>
      <c r="G30" s="98"/>
      <c r="H30" s="98"/>
      <c r="J30" s="172"/>
      <c r="K30" s="172"/>
      <c r="L30" s="172"/>
      <c r="M30" s="172"/>
      <c r="N30" s="172"/>
      <c r="O30" s="172"/>
      <c r="P30" s="172"/>
      <c r="Q30" s="172"/>
      <c r="S30" s="172"/>
      <c r="T30" s="172"/>
      <c r="U30" s="172"/>
      <c r="V30" s="172"/>
      <c r="W30" s="172"/>
      <c r="X30" s="172"/>
      <c r="Y30" s="172"/>
      <c r="Z30" s="172"/>
    </row>
    <row r="31" spans="1:26" x14ac:dyDescent="0.4">
      <c r="A31" s="71" t="s">
        <v>428</v>
      </c>
      <c r="B31" s="71"/>
      <c r="C31" s="71"/>
      <c r="D31" s="71"/>
      <c r="E31" s="71"/>
      <c r="F31" s="71"/>
      <c r="G31" s="71"/>
      <c r="H31" s="93" t="str">
        <f>IF(COUNTIF(H33:H38,"="&amp;IncompleteText),IncompleteText,IF(COUNTIF(H33:H38,"="&amp;ErrorText),ErrorText,OKText))</f>
        <v>OK</v>
      </c>
      <c r="J31" s="71" t="s">
        <v>426</v>
      </c>
      <c r="K31" s="71"/>
      <c r="L31" s="71"/>
      <c r="M31" s="71"/>
      <c r="N31" s="71"/>
      <c r="O31" s="71"/>
      <c r="P31" s="71"/>
      <c r="Q31" s="93" t="str">
        <f>IF(COUNTIF(Q33:Q38,"="&amp;IncompleteText),IncompleteText,IF(COUNTIF(Q33:Q38,"="&amp;ErrorText),ErrorText,OKText))</f>
        <v>OK</v>
      </c>
      <c r="S31" s="71" t="s">
        <v>427</v>
      </c>
      <c r="T31" s="71"/>
      <c r="U31" s="71"/>
      <c r="V31" s="71"/>
      <c r="W31" s="71"/>
      <c r="X31" s="71"/>
      <c r="Y31" s="71"/>
      <c r="Z31" s="93" t="str">
        <f>IF(COUNTIF(Z33:Z34,"="&amp;IncompleteText),IncompleteText,IF(COUNTIF(Z33:Z34,"="&amp;ErrorText),ErrorText,OKText))</f>
        <v>OK</v>
      </c>
    </row>
    <row r="32" spans="1:26" x14ac:dyDescent="0.4">
      <c r="A32" s="168" t="s">
        <v>352</v>
      </c>
      <c r="B32" s="169"/>
      <c r="C32" s="21"/>
      <c r="D32" s="21"/>
      <c r="E32" s="21"/>
      <c r="F32" s="21"/>
      <c r="G32" s="21"/>
      <c r="H32" s="70"/>
      <c r="J32" s="168" t="s">
        <v>352</v>
      </c>
      <c r="K32" s="169"/>
      <c r="L32" s="21"/>
      <c r="M32" s="21"/>
      <c r="N32" s="21"/>
      <c r="O32" s="21"/>
      <c r="P32" s="21"/>
      <c r="Q32" s="70"/>
      <c r="S32" s="168" t="s">
        <v>352</v>
      </c>
      <c r="T32" s="169"/>
      <c r="U32" s="21"/>
      <c r="V32" s="21"/>
      <c r="W32" s="21"/>
      <c r="X32" s="21"/>
      <c r="Y32" s="21"/>
      <c r="Z32" s="70"/>
    </row>
    <row r="33" spans="1:29" x14ac:dyDescent="0.4">
      <c r="A33" s="106"/>
      <c r="B33" s="106"/>
      <c r="C33" s="72" t="s">
        <v>429</v>
      </c>
      <c r="D33" s="72"/>
      <c r="E33" s="72"/>
      <c r="F33" s="74"/>
      <c r="G33" s="18" t="b">
        <v>1</v>
      </c>
      <c r="H33" s="6" t="str">
        <f t="shared" ref="H33:H38" si="1">IF(ISBLANK(G33),IncompleteText,IF(G33,OKText,ErrorText))</f>
        <v>OK</v>
      </c>
      <c r="J33" s="106"/>
      <c r="K33" s="106"/>
      <c r="L33" s="72" t="s">
        <v>430</v>
      </c>
      <c r="M33" s="72"/>
      <c r="N33" s="72"/>
      <c r="O33" s="74"/>
      <c r="P33" s="18" t="b">
        <v>1</v>
      </c>
      <c r="Q33" s="6" t="str">
        <f t="shared" ref="Q33:Q38" si="2">IF(ISBLANK(P33),IncompleteText,IF(P33,OKText,ErrorText))</f>
        <v>OK</v>
      </c>
      <c r="S33" s="106" t="s">
        <v>431</v>
      </c>
      <c r="T33" s="106"/>
      <c r="U33" s="72" t="s">
        <v>432</v>
      </c>
      <c r="V33" s="72"/>
      <c r="W33" s="72"/>
      <c r="X33" s="74"/>
      <c r="Y33" s="18" t="b">
        <v>1</v>
      </c>
      <c r="Z33" s="6" t="str">
        <f t="shared" ref="Z33" si="3">IF(ISBLANK(Y33),IncompleteText,IF(Y33,OKText,ErrorText))</f>
        <v>OK</v>
      </c>
    </row>
    <row r="34" spans="1:29" x14ac:dyDescent="0.4">
      <c r="A34" s="106"/>
      <c r="B34" s="106"/>
      <c r="C34" s="72" t="s">
        <v>433</v>
      </c>
      <c r="D34" s="72"/>
      <c r="E34" s="72"/>
      <c r="F34" s="74"/>
      <c r="G34" s="18" t="b">
        <v>1</v>
      </c>
      <c r="H34" s="6" t="str">
        <f t="shared" si="1"/>
        <v>OK</v>
      </c>
      <c r="J34" s="106"/>
      <c r="K34" s="106"/>
      <c r="L34" s="72" t="s">
        <v>434</v>
      </c>
      <c r="M34" s="72"/>
      <c r="N34" s="72"/>
      <c r="O34" s="74"/>
      <c r="P34" s="18" t="b">
        <v>1</v>
      </c>
      <c r="Q34" s="6" t="str">
        <f t="shared" si="2"/>
        <v>OK</v>
      </c>
      <c r="S34" s="106" t="s">
        <v>435</v>
      </c>
      <c r="T34" s="106"/>
      <c r="U34" s="72" t="s">
        <v>436</v>
      </c>
      <c r="V34" s="72"/>
      <c r="W34" s="72"/>
      <c r="X34" s="74"/>
      <c r="Y34" s="18" t="b">
        <v>1</v>
      </c>
      <c r="Z34" s="6" t="str">
        <f t="shared" ref="Z34" si="4">IF(ISBLANK(Y34),IncompleteText,IF(Y34,OKText,ErrorText))</f>
        <v>OK</v>
      </c>
    </row>
    <row r="35" spans="1:29" x14ac:dyDescent="0.4">
      <c r="A35" s="106"/>
      <c r="B35" s="106"/>
      <c r="C35" s="72" t="s">
        <v>437</v>
      </c>
      <c r="D35" s="72"/>
      <c r="E35" s="72"/>
      <c r="F35" s="74"/>
      <c r="G35" s="18" t="b">
        <v>1</v>
      </c>
      <c r="H35" s="6" t="str">
        <f t="shared" si="1"/>
        <v>OK</v>
      </c>
      <c r="J35" s="106"/>
      <c r="K35" s="106"/>
      <c r="L35" s="72" t="s">
        <v>438</v>
      </c>
      <c r="M35" s="72"/>
      <c r="N35" s="72"/>
      <c r="O35" s="74"/>
      <c r="P35" s="18" t="b">
        <v>1</v>
      </c>
      <c r="Q35" s="6" t="str">
        <f t="shared" si="2"/>
        <v>OK</v>
      </c>
      <c r="S35" s="71" t="s">
        <v>267</v>
      </c>
      <c r="T35" s="71"/>
      <c r="U35" s="71"/>
      <c r="V35" s="71"/>
      <c r="W35" s="71"/>
      <c r="X35" s="71"/>
      <c r="Y35" s="71"/>
    </row>
    <row r="36" spans="1:29" x14ac:dyDescent="0.4">
      <c r="A36" s="106"/>
      <c r="B36" s="106"/>
      <c r="C36" s="72" t="s">
        <v>257</v>
      </c>
      <c r="D36" s="72"/>
      <c r="E36" s="72"/>
      <c r="F36" s="74"/>
      <c r="G36" s="18" t="b">
        <v>1</v>
      </c>
      <c r="H36" s="6" t="str">
        <f t="shared" si="1"/>
        <v>OK</v>
      </c>
      <c r="J36" s="106"/>
      <c r="K36" s="106"/>
      <c r="L36" s="72" t="s">
        <v>439</v>
      </c>
      <c r="M36" s="72"/>
      <c r="N36" s="72"/>
      <c r="O36" s="74"/>
      <c r="P36" s="18" t="b">
        <v>1</v>
      </c>
      <c r="Q36" s="6" t="str">
        <f t="shared" si="2"/>
        <v>OK</v>
      </c>
      <c r="S36" s="140" t="s">
        <v>440</v>
      </c>
      <c r="T36" s="140"/>
      <c r="U36" s="140"/>
      <c r="V36" s="140"/>
      <c r="W36" s="140"/>
      <c r="X36" s="140"/>
      <c r="Y36" s="140"/>
    </row>
    <row r="37" spans="1:29" x14ac:dyDescent="0.4">
      <c r="A37" s="106"/>
      <c r="B37" s="106"/>
      <c r="C37" s="72" t="s">
        <v>232</v>
      </c>
      <c r="D37" s="72"/>
      <c r="E37" s="72"/>
      <c r="F37" s="74"/>
      <c r="G37" s="18" t="b">
        <v>1</v>
      </c>
      <c r="H37" s="6" t="str">
        <f t="shared" si="1"/>
        <v>OK</v>
      </c>
      <c r="J37" s="106"/>
      <c r="K37" s="106"/>
      <c r="L37" s="72" t="s">
        <v>441</v>
      </c>
      <c r="M37" s="72"/>
      <c r="N37" s="72"/>
      <c r="O37" s="74"/>
      <c r="P37" s="18" t="b">
        <v>1</v>
      </c>
      <c r="Q37" s="6" t="str">
        <f t="shared" si="2"/>
        <v>OK</v>
      </c>
      <c r="S37" s="140"/>
      <c r="T37" s="140"/>
      <c r="U37" s="140"/>
      <c r="V37" s="140"/>
      <c r="W37" s="140"/>
      <c r="X37" s="140"/>
      <c r="Y37" s="140"/>
    </row>
    <row r="38" spans="1:29" ht="41.25" customHeight="1" x14ac:dyDescent="0.4">
      <c r="A38" s="106"/>
      <c r="B38" s="106"/>
      <c r="C38" s="72" t="s">
        <v>234</v>
      </c>
      <c r="D38" s="72"/>
      <c r="E38" s="72"/>
      <c r="F38" s="74"/>
      <c r="G38" s="18" t="b">
        <v>1</v>
      </c>
      <c r="H38" s="6" t="str">
        <f t="shared" si="1"/>
        <v>OK</v>
      </c>
      <c r="J38" s="106"/>
      <c r="K38" s="106"/>
      <c r="L38" s="126" t="s">
        <v>442</v>
      </c>
      <c r="M38" s="126"/>
      <c r="N38" s="126"/>
      <c r="O38" s="127"/>
      <c r="P38" s="18" t="b">
        <v>1</v>
      </c>
      <c r="Q38" s="6" t="str">
        <f t="shared" si="2"/>
        <v>OK</v>
      </c>
      <c r="S38" s="140"/>
      <c r="T38" s="140"/>
      <c r="U38" s="140"/>
      <c r="V38" s="140"/>
      <c r="W38" s="140"/>
      <c r="X38" s="140"/>
      <c r="Y38" s="140"/>
    </row>
    <row r="39" spans="1:29" x14ac:dyDescent="0.4">
      <c r="A39" s="71" t="s">
        <v>267</v>
      </c>
      <c r="B39" s="71"/>
      <c r="C39" s="71"/>
      <c r="D39" s="71"/>
      <c r="E39" s="71"/>
      <c r="F39" s="71"/>
      <c r="G39" s="71"/>
      <c r="J39" s="71" t="s">
        <v>267</v>
      </c>
      <c r="K39" s="71"/>
      <c r="L39" s="71"/>
      <c r="M39" s="71"/>
      <c r="N39" s="71"/>
      <c r="O39" s="71"/>
      <c r="P39" s="71"/>
      <c r="S39" s="140"/>
      <c r="T39" s="140"/>
      <c r="U39" s="140"/>
      <c r="V39" s="140"/>
      <c r="W39" s="140"/>
      <c r="X39" s="140"/>
      <c r="Y39" s="140"/>
    </row>
    <row r="40" spans="1:29" x14ac:dyDescent="0.4">
      <c r="A40" s="140"/>
      <c r="B40" s="140"/>
      <c r="C40" s="140"/>
      <c r="D40" s="140"/>
      <c r="E40" s="140"/>
      <c r="F40" s="140"/>
      <c r="G40" s="140"/>
      <c r="J40" s="140"/>
      <c r="K40" s="140"/>
      <c r="L40" s="140"/>
      <c r="M40" s="140"/>
      <c r="N40" s="140"/>
      <c r="O40" s="140"/>
      <c r="P40" s="140"/>
      <c r="W40" s="171"/>
      <c r="X40" s="171"/>
      <c r="Y40" s="171"/>
      <c r="Z40" s="171"/>
      <c r="AA40" s="171"/>
      <c r="AB40" s="171"/>
      <c r="AC40" s="171"/>
    </row>
    <row r="41" spans="1:29" x14ac:dyDescent="0.4">
      <c r="A41" s="140"/>
      <c r="B41" s="140"/>
      <c r="C41" s="140"/>
      <c r="D41" s="140"/>
      <c r="E41" s="140"/>
      <c r="F41" s="140"/>
      <c r="G41" s="140"/>
      <c r="J41" s="140"/>
      <c r="K41" s="140"/>
      <c r="L41" s="140"/>
      <c r="M41" s="140"/>
      <c r="N41" s="140"/>
      <c r="O41" s="140"/>
      <c r="P41" s="140"/>
    </row>
    <row r="42" spans="1:29" x14ac:dyDescent="0.4">
      <c r="A42" s="140"/>
      <c r="B42" s="140"/>
      <c r="C42" s="140"/>
      <c r="D42" s="140"/>
      <c r="E42" s="140"/>
      <c r="F42" s="140"/>
      <c r="G42" s="140"/>
      <c r="J42" s="140"/>
      <c r="K42" s="140"/>
      <c r="L42" s="140"/>
      <c r="M42" s="140"/>
      <c r="N42" s="140"/>
      <c r="O42" s="140"/>
      <c r="P42" s="140"/>
    </row>
    <row r="43" spans="1:29" x14ac:dyDescent="0.4">
      <c r="A43" s="140"/>
      <c r="B43" s="140"/>
      <c r="C43" s="140"/>
      <c r="D43" s="140"/>
      <c r="E43" s="140"/>
      <c r="F43" s="140"/>
      <c r="G43" s="140"/>
      <c r="J43" s="140"/>
      <c r="K43" s="140"/>
      <c r="L43" s="140"/>
      <c r="M43" s="140"/>
      <c r="N43" s="140"/>
      <c r="O43" s="140"/>
      <c r="P43" s="140"/>
    </row>
  </sheetData>
  <sheetProtection algorithmName="SHA-512" hashValue="qF96WVYCfAgyAF/QcKwcaKR3ck4Xjqo1/XnvwztM5AwF8LoCSsmi++vc7JPvvd9yiym7ylz7dO0XqLbwhuoLkA==" saltValue="epp8kfpAdjmLmZQnHAN/Og==" spinCount="100000" sheet="1" scenarios="1" insertHyperlinks="0"/>
  <mergeCells count="61">
    <mergeCell ref="A40:G43"/>
    <mergeCell ref="J40:P43"/>
    <mergeCell ref="S12:Z30"/>
    <mergeCell ref="A12:H30"/>
    <mergeCell ref="J12:Q30"/>
    <mergeCell ref="W40:AC40"/>
    <mergeCell ref="H31:H32"/>
    <mergeCell ref="Q31:Q32"/>
    <mergeCell ref="Z31:Z32"/>
    <mergeCell ref="S36:Y39"/>
    <mergeCell ref="A38:B38"/>
    <mergeCell ref="C38:F38"/>
    <mergeCell ref="J38:K38"/>
    <mergeCell ref="L38:O38"/>
    <mergeCell ref="A39:G39"/>
    <mergeCell ref="J39:P39"/>
    <mergeCell ref="A36:B36"/>
    <mergeCell ref="C36:F36"/>
    <mergeCell ref="J36:K36"/>
    <mergeCell ref="L36:O36"/>
    <mergeCell ref="A37:B37"/>
    <mergeCell ref="C37:F37"/>
    <mergeCell ref="J37:K37"/>
    <mergeCell ref="L37:O37"/>
    <mergeCell ref="A35:B35"/>
    <mergeCell ref="C35:F35"/>
    <mergeCell ref="J35:K35"/>
    <mergeCell ref="L35:O35"/>
    <mergeCell ref="S35:Y35"/>
    <mergeCell ref="U33:X33"/>
    <mergeCell ref="A34:B34"/>
    <mergeCell ref="C34:F34"/>
    <mergeCell ref="J34:K34"/>
    <mergeCell ref="L34:O34"/>
    <mergeCell ref="S34:T34"/>
    <mergeCell ref="U34:X34"/>
    <mergeCell ref="A32:B32"/>
    <mergeCell ref="J32:K32"/>
    <mergeCell ref="S32:T32"/>
    <mergeCell ref="A33:B33"/>
    <mergeCell ref="C33:F33"/>
    <mergeCell ref="J33:K33"/>
    <mergeCell ref="L33:O33"/>
    <mergeCell ref="S33:T33"/>
    <mergeCell ref="A9:C9"/>
    <mergeCell ref="A10:C10"/>
    <mergeCell ref="A31:G31"/>
    <mergeCell ref="J31:P31"/>
    <mergeCell ref="S31:Y31"/>
    <mergeCell ref="H3:N10"/>
    <mergeCell ref="A5:C5"/>
    <mergeCell ref="D5:E5"/>
    <mergeCell ref="A6:C6"/>
    <mergeCell ref="A7:C7"/>
    <mergeCell ref="A8:C8"/>
    <mergeCell ref="A2:E2"/>
    <mergeCell ref="H2:N2"/>
    <mergeCell ref="A3:C3"/>
    <mergeCell ref="D3:E3"/>
    <mergeCell ref="A4:C4"/>
    <mergeCell ref="D4:E4"/>
  </mergeCells>
  <phoneticPr fontId="14" type="noConversion"/>
  <dataValidations count="1">
    <dataValidation type="list" allowBlank="1" showInputMessage="1" showErrorMessage="1" sqref="G33:G38 P33:P38 Y33:Y34" xr:uid="{00000000-0002-0000-0600-000000000000}">
      <formula1>"TRUE,FALSE"</formula1>
    </dataValidation>
  </dataValidations>
  <hyperlinks>
    <hyperlink ref="D5:E5" r:id="rId1" display="EP-2308L-600.pdf" xr:uid="{00000000-0004-0000-0600-00000000000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G100"/>
  <sheetViews>
    <sheetView zoomScale="90" zoomScaleNormal="90" workbookViewId="0">
      <selection activeCell="L6" sqref="L6"/>
    </sheetView>
  </sheetViews>
  <sheetFormatPr defaultColWidth="9" defaultRowHeight="13.9" x14ac:dyDescent="0.4"/>
  <cols>
    <col min="1" max="1" width="12.46484375" customWidth="1"/>
    <col min="3" max="3" width="9" customWidth="1"/>
    <col min="8" max="9" width="13.46484375" customWidth="1"/>
    <col min="10" max="10" width="18.1328125" customWidth="1"/>
    <col min="25" max="33" width="12" customWidth="1"/>
    <col min="46" max="46" width="27.6640625" customWidth="1"/>
  </cols>
  <sheetData>
    <row r="1" spans="1:59" x14ac:dyDescent="0.4">
      <c r="A1" s="15" t="s">
        <v>26</v>
      </c>
      <c r="B1" s="6" t="str" cm="1">
        <f t="array" ref="B1" ca="1">IF(SUM(COUNTIF(INDIRECT({"$F$2","$M$2","$K$36","$W$36","$K$94","$Z$8","$W$96"}),"="&amp;IncompleteText)),IncompleteText,IF(SUM(COUNTIF(INDIRECT({"$F$2","$M$2","$K$36","$W$36","$K$94","$Z$8","$W$96"}),"="&amp;ErrorText)),ErrorText,OKText))</f>
        <v>OK</v>
      </c>
    </row>
    <row r="2" spans="1:59" x14ac:dyDescent="0.4">
      <c r="A2" s="71" t="s">
        <v>257</v>
      </c>
      <c r="B2" s="71"/>
      <c r="C2" s="71"/>
      <c r="D2" s="71"/>
      <c r="E2" s="71"/>
      <c r="F2" s="70" t="str">
        <f>IF(COUNTIF(F4:F8,"="&amp;IncompleteText),IncompleteText,IF(COUNTIF(F4:F8,"="&amp;ErrorText),ErrorText,OKText))</f>
        <v>OK</v>
      </c>
      <c r="H2" s="71" t="s">
        <v>443</v>
      </c>
      <c r="I2" s="71"/>
      <c r="J2" s="71"/>
      <c r="K2" s="71"/>
      <c r="L2" s="71"/>
      <c r="M2" s="70" t="str">
        <f>IF(COUNTIF(M4:M8,"="&amp;IncompleteText),IncompleteText,IF(COUNTIF(M4:M8,"="&amp;ErrorText),ErrorText,OKText))</f>
        <v>OK</v>
      </c>
    </row>
    <row r="3" spans="1:59" x14ac:dyDescent="0.4">
      <c r="A3" s="173" t="s">
        <v>352</v>
      </c>
      <c r="B3" s="174"/>
      <c r="C3" s="174"/>
      <c r="D3" s="175" t="s">
        <v>256</v>
      </c>
      <c r="E3" s="176"/>
      <c r="F3" s="70"/>
      <c r="H3" s="173" t="s">
        <v>352</v>
      </c>
      <c r="I3" s="174"/>
      <c r="J3" s="177"/>
      <c r="K3" s="175" t="s">
        <v>444</v>
      </c>
      <c r="L3" s="176"/>
      <c r="M3" s="70"/>
    </row>
    <row r="4" spans="1:59" x14ac:dyDescent="0.4">
      <c r="A4" s="72" t="s">
        <v>28</v>
      </c>
      <c r="B4" s="72"/>
      <c r="C4" s="72"/>
      <c r="D4" s="178" t="s">
        <v>445</v>
      </c>
      <c r="E4" s="178"/>
      <c r="F4" s="6" t="str">
        <f>IF(ISBLANK(D4),IncompleteText,OKText)</f>
        <v>OK</v>
      </c>
      <c r="H4" s="72" t="s">
        <v>446</v>
      </c>
      <c r="I4" s="72"/>
      <c r="J4" s="72"/>
      <c r="K4" s="179" t="s">
        <v>447</v>
      </c>
      <c r="L4" s="179"/>
      <c r="M4" s="6" t="str">
        <f>IF(ISBLANK(K4),IncompleteText,OKText)</f>
        <v>OK</v>
      </c>
    </row>
    <row r="5" spans="1:59" x14ac:dyDescent="0.4">
      <c r="A5" s="72" t="s">
        <v>448</v>
      </c>
      <c r="B5" s="72"/>
      <c r="C5" s="72"/>
      <c r="D5" s="18">
        <v>300</v>
      </c>
      <c r="E5" s="5" t="s">
        <v>449</v>
      </c>
      <c r="F5" s="6" t="str">
        <f>IF(ISBLANK(D5),IncompleteText,IF(D5&lt;(MaxTSVoltage*0.5),ErrorText,OKText))</f>
        <v>OK</v>
      </c>
      <c r="H5" s="72" t="s">
        <v>450</v>
      </c>
      <c r="I5" s="72"/>
      <c r="J5" s="72"/>
      <c r="K5" s="180" t="s">
        <v>447</v>
      </c>
      <c r="L5" s="180"/>
      <c r="M5" s="6" t="str">
        <f>IF(ISBLANK(K5),IncompleteText,OKText)</f>
        <v>OK</v>
      </c>
    </row>
    <row r="6" spans="1:59" ht="39.75" customHeight="1" x14ac:dyDescent="0.4">
      <c r="A6" s="126" t="s">
        <v>451</v>
      </c>
      <c r="B6" s="126"/>
      <c r="C6" s="126"/>
      <c r="D6" s="56" t="s">
        <v>452</v>
      </c>
      <c r="E6" s="56"/>
      <c r="F6" s="6" t="str">
        <f>IF(ISBLANK(D6),IncompleteText,OKText)</f>
        <v>OK</v>
      </c>
      <c r="H6" s="72" t="s">
        <v>453</v>
      </c>
      <c r="I6" s="72"/>
      <c r="J6" s="72"/>
      <c r="K6" s="18">
        <v>9.15</v>
      </c>
      <c r="L6" s="5" t="s">
        <v>23</v>
      </c>
      <c r="M6" s="6" t="str">
        <f>IF(ISBLANK(K6),IncompleteText,IF(K6&gt;(5000/MaxTSVoltage),ErrorText,OKText))</f>
        <v>OK</v>
      </c>
    </row>
    <row r="7" spans="1:59" ht="39.75" customHeight="1" x14ac:dyDescent="0.4">
      <c r="A7" s="126" t="s">
        <v>454</v>
      </c>
      <c r="B7" s="126"/>
      <c r="C7" s="126"/>
      <c r="D7" s="56" t="s">
        <v>455</v>
      </c>
      <c r="E7" s="56"/>
      <c r="F7" s="6" t="str">
        <f>IF(ISBLANK(D7),IncompleteText,OKText)</f>
        <v>OK</v>
      </c>
      <c r="H7" s="72" t="s">
        <v>456</v>
      </c>
      <c r="I7" s="72"/>
      <c r="J7" s="72"/>
      <c r="K7" s="18">
        <v>0.22900000000000001</v>
      </c>
      <c r="L7" s="5" t="s">
        <v>21</v>
      </c>
      <c r="M7" s="6" t="str">
        <f>IF(ISBLANK(K7),IncompleteText,OKText)</f>
        <v>OK</v>
      </c>
    </row>
    <row r="8" spans="1:59" x14ac:dyDescent="0.4">
      <c r="A8" s="72" t="s">
        <v>457</v>
      </c>
      <c r="B8" s="72"/>
      <c r="C8" s="72"/>
      <c r="D8" s="56" t="s">
        <v>458</v>
      </c>
      <c r="E8" s="56"/>
      <c r="F8" s="6" t="str">
        <f>IF(ISBLANK(D8),IncompleteText,OKText)</f>
        <v>OK</v>
      </c>
      <c r="H8" s="72" t="s">
        <v>459</v>
      </c>
      <c r="I8" s="72"/>
      <c r="J8" s="72"/>
      <c r="K8" s="18">
        <v>5.0000000000000001E-3</v>
      </c>
      <c r="L8" s="5" t="s">
        <v>23</v>
      </c>
      <c r="M8" s="6" t="str">
        <f>IF(ISBLANK(K8),IncompleteText,OKText)</f>
        <v>OK</v>
      </c>
      <c r="Y8" s="29" t="s">
        <v>460</v>
      </c>
      <c r="Z8" s="6" t="str" cm="1">
        <f t="array" ref="Z8" ca="1">IF(SUM(COUNTIF(INDIRECT({"$AI$36","$AI$50","$AI$56","$AU$36","$AU$77","$BG$77"}),"="&amp;IncompleteText)),IncompleteText,IF(SUM(COUNTIF(INDIRECT({"$AI$36","$AI$50","$AI$56","$AU$36","$AU$77","$BG$77"}),"="&amp;ErrorText)),ErrorText,OKText))</f>
        <v>OK</v>
      </c>
    </row>
    <row r="9" spans="1:59" x14ac:dyDescent="0.4">
      <c r="Y9" s="97" t="s">
        <v>461</v>
      </c>
      <c r="Z9" s="98"/>
      <c r="AA9" s="98"/>
      <c r="AB9" s="98"/>
      <c r="AC9" s="98"/>
      <c r="AD9" s="98"/>
      <c r="AE9" s="98"/>
      <c r="AF9" s="98"/>
      <c r="AG9" s="98"/>
      <c r="AH9" s="98"/>
      <c r="AI9" s="98"/>
      <c r="AK9" s="97" t="s">
        <v>462</v>
      </c>
      <c r="AL9" s="98"/>
      <c r="AM9" s="98"/>
      <c r="AN9" s="98"/>
      <c r="AO9" s="98"/>
      <c r="AP9" s="98"/>
      <c r="AQ9" s="98"/>
      <c r="AR9" s="98"/>
      <c r="AS9" s="98"/>
      <c r="AT9" s="98"/>
      <c r="AU9" s="98"/>
      <c r="AW9" s="97"/>
      <c r="AX9" s="98"/>
      <c r="AY9" s="98"/>
      <c r="AZ9" s="98"/>
      <c r="BA9" s="98"/>
      <c r="BB9" s="98"/>
      <c r="BC9" s="98"/>
      <c r="BD9" s="98"/>
      <c r="BE9" s="98"/>
      <c r="BF9" s="98"/>
      <c r="BG9" s="98"/>
    </row>
    <row r="10" spans="1:59" x14ac:dyDescent="0.4">
      <c r="A10" s="98" t="s">
        <v>463</v>
      </c>
      <c r="B10" s="98"/>
      <c r="C10" s="98"/>
      <c r="D10" s="98"/>
      <c r="E10" s="98"/>
      <c r="F10" s="98"/>
      <c r="G10" s="98"/>
      <c r="H10" s="98"/>
      <c r="I10" s="98"/>
      <c r="J10" s="98"/>
      <c r="K10" s="98"/>
      <c r="M10" s="98" t="s">
        <v>464</v>
      </c>
      <c r="N10" s="98"/>
      <c r="O10" s="98"/>
      <c r="P10" s="98"/>
      <c r="Q10" s="98"/>
      <c r="R10" s="98"/>
      <c r="S10" s="98"/>
      <c r="T10" s="98"/>
      <c r="U10" s="98"/>
      <c r="V10" s="98"/>
      <c r="W10" s="98"/>
      <c r="Y10" s="98"/>
      <c r="Z10" s="98"/>
      <c r="AA10" s="98"/>
      <c r="AB10" s="98"/>
      <c r="AC10" s="98"/>
      <c r="AD10" s="98"/>
      <c r="AE10" s="98"/>
      <c r="AF10" s="98"/>
      <c r="AG10" s="98"/>
      <c r="AH10" s="98"/>
      <c r="AI10" s="98"/>
      <c r="AK10" s="98"/>
      <c r="AL10" s="98"/>
      <c r="AM10" s="98"/>
      <c r="AN10" s="98"/>
      <c r="AO10" s="98"/>
      <c r="AP10" s="98"/>
      <c r="AQ10" s="98"/>
      <c r="AR10" s="98"/>
      <c r="AS10" s="98"/>
      <c r="AT10" s="98"/>
      <c r="AU10" s="98"/>
      <c r="AW10" s="98"/>
      <c r="AX10" s="98"/>
      <c r="AY10" s="98"/>
      <c r="AZ10" s="98"/>
      <c r="BA10" s="98"/>
      <c r="BB10" s="98"/>
      <c r="BC10" s="98"/>
      <c r="BD10" s="98"/>
      <c r="BE10" s="98"/>
      <c r="BF10" s="98"/>
      <c r="BG10" s="98"/>
    </row>
    <row r="11" spans="1:59" x14ac:dyDescent="0.4">
      <c r="A11" s="98"/>
      <c r="B11" s="98"/>
      <c r="C11" s="98"/>
      <c r="D11" s="98"/>
      <c r="E11" s="98"/>
      <c r="F11" s="98"/>
      <c r="G11" s="98"/>
      <c r="H11" s="98"/>
      <c r="I11" s="98"/>
      <c r="J11" s="98"/>
      <c r="K11" s="98"/>
      <c r="M11" s="98"/>
      <c r="N11" s="98"/>
      <c r="O11" s="98"/>
      <c r="P11" s="98"/>
      <c r="Q11" s="98"/>
      <c r="R11" s="98"/>
      <c r="S11" s="98"/>
      <c r="T11" s="98"/>
      <c r="U11" s="98"/>
      <c r="V11" s="98"/>
      <c r="W11" s="98"/>
      <c r="Y11" s="98"/>
      <c r="Z11" s="98"/>
      <c r="AA11" s="98"/>
      <c r="AB11" s="98"/>
      <c r="AC11" s="98"/>
      <c r="AD11" s="98"/>
      <c r="AE11" s="98"/>
      <c r="AF11" s="98"/>
      <c r="AG11" s="98"/>
      <c r="AH11" s="98"/>
      <c r="AI11" s="98"/>
      <c r="AK11" s="98"/>
      <c r="AL11" s="98"/>
      <c r="AM11" s="98"/>
      <c r="AN11" s="98"/>
      <c r="AO11" s="98"/>
      <c r="AP11" s="98"/>
      <c r="AQ11" s="98"/>
      <c r="AR11" s="98"/>
      <c r="AS11" s="98"/>
      <c r="AT11" s="98"/>
      <c r="AU11" s="98"/>
      <c r="AW11" s="98"/>
      <c r="AX11" s="98"/>
      <c r="AY11" s="98"/>
      <c r="AZ11" s="98"/>
      <c r="BA11" s="98"/>
      <c r="BB11" s="98"/>
      <c r="BC11" s="98"/>
      <c r="BD11" s="98"/>
      <c r="BE11" s="98"/>
      <c r="BF11" s="98"/>
      <c r="BG11" s="98"/>
    </row>
    <row r="12" spans="1:59" x14ac:dyDescent="0.4">
      <c r="A12" s="98"/>
      <c r="B12" s="98"/>
      <c r="C12" s="98"/>
      <c r="D12" s="98"/>
      <c r="E12" s="98"/>
      <c r="F12" s="98"/>
      <c r="G12" s="98"/>
      <c r="H12" s="98"/>
      <c r="I12" s="98"/>
      <c r="J12" s="98"/>
      <c r="K12" s="98"/>
      <c r="M12" s="98"/>
      <c r="N12" s="98"/>
      <c r="O12" s="98"/>
      <c r="P12" s="98"/>
      <c r="Q12" s="98"/>
      <c r="R12" s="98"/>
      <c r="S12" s="98"/>
      <c r="T12" s="98"/>
      <c r="U12" s="98"/>
      <c r="V12" s="98"/>
      <c r="W12" s="98"/>
      <c r="Y12" s="98"/>
      <c r="Z12" s="98"/>
      <c r="AA12" s="98"/>
      <c r="AB12" s="98"/>
      <c r="AC12" s="98"/>
      <c r="AD12" s="98"/>
      <c r="AE12" s="98"/>
      <c r="AF12" s="98"/>
      <c r="AG12" s="98"/>
      <c r="AH12" s="98"/>
      <c r="AI12" s="98"/>
      <c r="AK12" s="98"/>
      <c r="AL12" s="98"/>
      <c r="AM12" s="98"/>
      <c r="AN12" s="98"/>
      <c r="AO12" s="98"/>
      <c r="AP12" s="98"/>
      <c r="AQ12" s="98"/>
      <c r="AR12" s="98"/>
      <c r="AS12" s="98"/>
      <c r="AT12" s="98"/>
      <c r="AU12" s="98"/>
      <c r="AW12" s="98"/>
      <c r="AX12" s="98"/>
      <c r="AY12" s="98"/>
      <c r="AZ12" s="98"/>
      <c r="BA12" s="98"/>
      <c r="BB12" s="98"/>
      <c r="BC12" s="98"/>
      <c r="BD12" s="98"/>
      <c r="BE12" s="98"/>
      <c r="BF12" s="98"/>
      <c r="BG12" s="98"/>
    </row>
    <row r="13" spans="1:59" x14ac:dyDescent="0.4">
      <c r="A13" s="98"/>
      <c r="B13" s="98"/>
      <c r="C13" s="98"/>
      <c r="D13" s="98"/>
      <c r="E13" s="98"/>
      <c r="F13" s="98"/>
      <c r="G13" s="98"/>
      <c r="H13" s="98"/>
      <c r="I13" s="98"/>
      <c r="J13" s="98"/>
      <c r="K13" s="98"/>
      <c r="M13" s="98"/>
      <c r="N13" s="98"/>
      <c r="O13" s="98"/>
      <c r="P13" s="98"/>
      <c r="Q13" s="98"/>
      <c r="R13" s="98"/>
      <c r="S13" s="98"/>
      <c r="T13" s="98"/>
      <c r="U13" s="98"/>
      <c r="V13" s="98"/>
      <c r="W13" s="98"/>
      <c r="Y13" s="98"/>
      <c r="Z13" s="98"/>
      <c r="AA13" s="98"/>
      <c r="AB13" s="98"/>
      <c r="AC13" s="98"/>
      <c r="AD13" s="98"/>
      <c r="AE13" s="98"/>
      <c r="AF13" s="98"/>
      <c r="AG13" s="98"/>
      <c r="AH13" s="98"/>
      <c r="AI13" s="98"/>
      <c r="AK13" s="98"/>
      <c r="AL13" s="98"/>
      <c r="AM13" s="98"/>
      <c r="AN13" s="98"/>
      <c r="AO13" s="98"/>
      <c r="AP13" s="98"/>
      <c r="AQ13" s="98"/>
      <c r="AR13" s="98"/>
      <c r="AS13" s="98"/>
      <c r="AT13" s="98"/>
      <c r="AU13" s="98"/>
      <c r="AW13" s="98"/>
      <c r="AX13" s="98"/>
      <c r="AY13" s="98"/>
      <c r="AZ13" s="98"/>
      <c r="BA13" s="98"/>
      <c r="BB13" s="98"/>
      <c r="BC13" s="98"/>
      <c r="BD13" s="98"/>
      <c r="BE13" s="98"/>
      <c r="BF13" s="98"/>
      <c r="BG13" s="98"/>
    </row>
    <row r="14" spans="1:59" x14ac:dyDescent="0.4">
      <c r="A14" s="98"/>
      <c r="B14" s="98"/>
      <c r="C14" s="98"/>
      <c r="D14" s="98"/>
      <c r="E14" s="98"/>
      <c r="F14" s="98"/>
      <c r="G14" s="98"/>
      <c r="H14" s="98"/>
      <c r="I14" s="98"/>
      <c r="J14" s="98"/>
      <c r="K14" s="98"/>
      <c r="M14" s="98"/>
      <c r="N14" s="98"/>
      <c r="O14" s="98"/>
      <c r="P14" s="98"/>
      <c r="Q14" s="98"/>
      <c r="R14" s="98"/>
      <c r="S14" s="98"/>
      <c r="T14" s="98"/>
      <c r="U14" s="98"/>
      <c r="V14" s="98"/>
      <c r="W14" s="98"/>
      <c r="Y14" s="98"/>
      <c r="Z14" s="98"/>
      <c r="AA14" s="98"/>
      <c r="AB14" s="98"/>
      <c r="AC14" s="98"/>
      <c r="AD14" s="98"/>
      <c r="AE14" s="98"/>
      <c r="AF14" s="98"/>
      <c r="AG14" s="98"/>
      <c r="AH14" s="98"/>
      <c r="AI14" s="98"/>
      <c r="AK14" s="98"/>
      <c r="AL14" s="98"/>
      <c r="AM14" s="98"/>
      <c r="AN14" s="98"/>
      <c r="AO14" s="98"/>
      <c r="AP14" s="98"/>
      <c r="AQ14" s="98"/>
      <c r="AR14" s="98"/>
      <c r="AS14" s="98"/>
      <c r="AT14" s="98"/>
      <c r="AU14" s="98"/>
      <c r="AW14" s="98"/>
      <c r="AX14" s="98"/>
      <c r="AY14" s="98"/>
      <c r="AZ14" s="98"/>
      <c r="BA14" s="98"/>
      <c r="BB14" s="98"/>
      <c r="BC14" s="98"/>
      <c r="BD14" s="98"/>
      <c r="BE14" s="98"/>
      <c r="BF14" s="98"/>
      <c r="BG14" s="98"/>
    </row>
    <row r="15" spans="1:59" x14ac:dyDescent="0.4">
      <c r="A15" s="98"/>
      <c r="B15" s="98"/>
      <c r="C15" s="98"/>
      <c r="D15" s="98"/>
      <c r="E15" s="98"/>
      <c r="F15" s="98"/>
      <c r="G15" s="98"/>
      <c r="H15" s="98"/>
      <c r="I15" s="98"/>
      <c r="J15" s="98"/>
      <c r="K15" s="98"/>
      <c r="M15" s="98"/>
      <c r="N15" s="98"/>
      <c r="O15" s="98"/>
      <c r="P15" s="98"/>
      <c r="Q15" s="98"/>
      <c r="R15" s="98"/>
      <c r="S15" s="98"/>
      <c r="T15" s="98"/>
      <c r="U15" s="98"/>
      <c r="V15" s="98"/>
      <c r="W15" s="98"/>
      <c r="Y15" s="98"/>
      <c r="Z15" s="98"/>
      <c r="AA15" s="98"/>
      <c r="AB15" s="98"/>
      <c r="AC15" s="98"/>
      <c r="AD15" s="98"/>
      <c r="AE15" s="98"/>
      <c r="AF15" s="98"/>
      <c r="AG15" s="98"/>
      <c r="AH15" s="98"/>
      <c r="AI15" s="98"/>
      <c r="AK15" s="98"/>
      <c r="AL15" s="98"/>
      <c r="AM15" s="98"/>
      <c r="AN15" s="98"/>
      <c r="AO15" s="98"/>
      <c r="AP15" s="98"/>
      <c r="AQ15" s="98"/>
      <c r="AR15" s="98"/>
      <c r="AS15" s="98"/>
      <c r="AT15" s="98"/>
      <c r="AU15" s="98"/>
      <c r="AW15" s="98"/>
      <c r="AX15" s="98"/>
      <c r="AY15" s="98"/>
      <c r="AZ15" s="98"/>
      <c r="BA15" s="98"/>
      <c r="BB15" s="98"/>
      <c r="BC15" s="98"/>
      <c r="BD15" s="98"/>
      <c r="BE15" s="98"/>
      <c r="BF15" s="98"/>
      <c r="BG15" s="98"/>
    </row>
    <row r="16" spans="1:59" x14ac:dyDescent="0.4">
      <c r="A16" s="98"/>
      <c r="B16" s="98"/>
      <c r="C16" s="98"/>
      <c r="D16" s="98"/>
      <c r="E16" s="98"/>
      <c r="F16" s="98"/>
      <c r="G16" s="98"/>
      <c r="H16" s="98"/>
      <c r="I16" s="98"/>
      <c r="J16" s="98"/>
      <c r="K16" s="98"/>
      <c r="M16" s="98"/>
      <c r="N16" s="98"/>
      <c r="O16" s="98"/>
      <c r="P16" s="98"/>
      <c r="Q16" s="98"/>
      <c r="R16" s="98"/>
      <c r="S16" s="98"/>
      <c r="T16" s="98"/>
      <c r="U16" s="98"/>
      <c r="V16" s="98"/>
      <c r="W16" s="98"/>
      <c r="Y16" s="98"/>
      <c r="Z16" s="98"/>
      <c r="AA16" s="98"/>
      <c r="AB16" s="98"/>
      <c r="AC16" s="98"/>
      <c r="AD16" s="98"/>
      <c r="AE16" s="98"/>
      <c r="AF16" s="98"/>
      <c r="AG16" s="98"/>
      <c r="AH16" s="98"/>
      <c r="AI16" s="98"/>
      <c r="AK16" s="98"/>
      <c r="AL16" s="98"/>
      <c r="AM16" s="98"/>
      <c r="AN16" s="98"/>
      <c r="AO16" s="98"/>
      <c r="AP16" s="98"/>
      <c r="AQ16" s="98"/>
      <c r="AR16" s="98"/>
      <c r="AS16" s="98"/>
      <c r="AT16" s="98"/>
      <c r="AU16" s="98"/>
      <c r="AW16" s="98"/>
      <c r="AX16" s="98"/>
      <c r="AY16" s="98"/>
      <c r="AZ16" s="98"/>
      <c r="BA16" s="98"/>
      <c r="BB16" s="98"/>
      <c r="BC16" s="98"/>
      <c r="BD16" s="98"/>
      <c r="BE16" s="98"/>
      <c r="BF16" s="98"/>
      <c r="BG16" s="98"/>
    </row>
    <row r="17" spans="1:59" x14ac:dyDescent="0.4">
      <c r="A17" s="98"/>
      <c r="B17" s="98"/>
      <c r="C17" s="98"/>
      <c r="D17" s="98"/>
      <c r="E17" s="98"/>
      <c r="F17" s="98"/>
      <c r="G17" s="98"/>
      <c r="H17" s="98"/>
      <c r="I17" s="98"/>
      <c r="J17" s="98"/>
      <c r="K17" s="98"/>
      <c r="M17" s="98"/>
      <c r="N17" s="98"/>
      <c r="O17" s="98"/>
      <c r="P17" s="98"/>
      <c r="Q17" s="98"/>
      <c r="R17" s="98"/>
      <c r="S17" s="98"/>
      <c r="T17" s="98"/>
      <c r="U17" s="98"/>
      <c r="V17" s="98"/>
      <c r="W17" s="98"/>
      <c r="Y17" s="98"/>
      <c r="Z17" s="98"/>
      <c r="AA17" s="98"/>
      <c r="AB17" s="98"/>
      <c r="AC17" s="98"/>
      <c r="AD17" s="98"/>
      <c r="AE17" s="98"/>
      <c r="AF17" s="98"/>
      <c r="AG17" s="98"/>
      <c r="AH17" s="98"/>
      <c r="AI17" s="98"/>
      <c r="AK17" s="98"/>
      <c r="AL17" s="98"/>
      <c r="AM17" s="98"/>
      <c r="AN17" s="98"/>
      <c r="AO17" s="98"/>
      <c r="AP17" s="98"/>
      <c r="AQ17" s="98"/>
      <c r="AR17" s="98"/>
      <c r="AS17" s="98"/>
      <c r="AT17" s="98"/>
      <c r="AU17" s="98"/>
      <c r="AW17" s="98"/>
      <c r="AX17" s="98"/>
      <c r="AY17" s="98"/>
      <c r="AZ17" s="98"/>
      <c r="BA17" s="98"/>
      <c r="BB17" s="98"/>
      <c r="BC17" s="98"/>
      <c r="BD17" s="98"/>
      <c r="BE17" s="98"/>
      <c r="BF17" s="98"/>
      <c r="BG17" s="98"/>
    </row>
    <row r="18" spans="1:59" x14ac:dyDescent="0.4">
      <c r="A18" s="98"/>
      <c r="B18" s="98"/>
      <c r="C18" s="98"/>
      <c r="D18" s="98"/>
      <c r="E18" s="98"/>
      <c r="F18" s="98"/>
      <c r="G18" s="98"/>
      <c r="H18" s="98"/>
      <c r="I18" s="98"/>
      <c r="J18" s="98"/>
      <c r="K18" s="98"/>
      <c r="M18" s="98"/>
      <c r="N18" s="98"/>
      <c r="O18" s="98"/>
      <c r="P18" s="98"/>
      <c r="Q18" s="98"/>
      <c r="R18" s="98"/>
      <c r="S18" s="98"/>
      <c r="T18" s="98"/>
      <c r="U18" s="98"/>
      <c r="V18" s="98"/>
      <c r="W18" s="98"/>
      <c r="Y18" s="98"/>
      <c r="Z18" s="98"/>
      <c r="AA18" s="98"/>
      <c r="AB18" s="98"/>
      <c r="AC18" s="98"/>
      <c r="AD18" s="98"/>
      <c r="AE18" s="98"/>
      <c r="AF18" s="98"/>
      <c r="AG18" s="98"/>
      <c r="AH18" s="98"/>
      <c r="AI18" s="98"/>
      <c r="AK18" s="98"/>
      <c r="AL18" s="98"/>
      <c r="AM18" s="98"/>
      <c r="AN18" s="98"/>
      <c r="AO18" s="98"/>
      <c r="AP18" s="98"/>
      <c r="AQ18" s="98"/>
      <c r="AR18" s="98"/>
      <c r="AS18" s="98"/>
      <c r="AT18" s="98"/>
      <c r="AU18" s="98"/>
      <c r="AW18" s="98"/>
      <c r="AX18" s="98"/>
      <c r="AY18" s="98"/>
      <c r="AZ18" s="98"/>
      <c r="BA18" s="98"/>
      <c r="BB18" s="98"/>
      <c r="BC18" s="98"/>
      <c r="BD18" s="98"/>
      <c r="BE18" s="98"/>
      <c r="BF18" s="98"/>
      <c r="BG18" s="98"/>
    </row>
    <row r="19" spans="1:59" x14ac:dyDescent="0.4">
      <c r="A19" s="98"/>
      <c r="B19" s="98"/>
      <c r="C19" s="98"/>
      <c r="D19" s="98"/>
      <c r="E19" s="98"/>
      <c r="F19" s="98"/>
      <c r="G19" s="98"/>
      <c r="H19" s="98"/>
      <c r="I19" s="98"/>
      <c r="J19" s="98"/>
      <c r="K19" s="98"/>
      <c r="M19" s="98"/>
      <c r="N19" s="98"/>
      <c r="O19" s="98"/>
      <c r="P19" s="98"/>
      <c r="Q19" s="98"/>
      <c r="R19" s="98"/>
      <c r="S19" s="98"/>
      <c r="T19" s="98"/>
      <c r="U19" s="98"/>
      <c r="V19" s="98"/>
      <c r="W19" s="98"/>
      <c r="Y19" s="98"/>
      <c r="Z19" s="98"/>
      <c r="AA19" s="98"/>
      <c r="AB19" s="98"/>
      <c r="AC19" s="98"/>
      <c r="AD19" s="98"/>
      <c r="AE19" s="98"/>
      <c r="AF19" s="98"/>
      <c r="AG19" s="98"/>
      <c r="AH19" s="98"/>
      <c r="AI19" s="98"/>
      <c r="AK19" s="98"/>
      <c r="AL19" s="98"/>
      <c r="AM19" s="98"/>
      <c r="AN19" s="98"/>
      <c r="AO19" s="98"/>
      <c r="AP19" s="98"/>
      <c r="AQ19" s="98"/>
      <c r="AR19" s="98"/>
      <c r="AS19" s="98"/>
      <c r="AT19" s="98"/>
      <c r="AU19" s="98"/>
      <c r="AW19" s="98"/>
      <c r="AX19" s="98"/>
      <c r="AY19" s="98"/>
      <c r="AZ19" s="98"/>
      <c r="BA19" s="98"/>
      <c r="BB19" s="98"/>
      <c r="BC19" s="98"/>
      <c r="BD19" s="98"/>
      <c r="BE19" s="98"/>
      <c r="BF19" s="98"/>
      <c r="BG19" s="98"/>
    </row>
    <row r="20" spans="1:59" x14ac:dyDescent="0.4">
      <c r="A20" s="98"/>
      <c r="B20" s="98"/>
      <c r="C20" s="98"/>
      <c r="D20" s="98"/>
      <c r="E20" s="98"/>
      <c r="F20" s="98"/>
      <c r="G20" s="98"/>
      <c r="H20" s="98"/>
      <c r="I20" s="98"/>
      <c r="J20" s="98"/>
      <c r="K20" s="98"/>
      <c r="M20" s="98"/>
      <c r="N20" s="98"/>
      <c r="O20" s="98"/>
      <c r="P20" s="98"/>
      <c r="Q20" s="98"/>
      <c r="R20" s="98"/>
      <c r="S20" s="98"/>
      <c r="T20" s="98"/>
      <c r="U20" s="98"/>
      <c r="V20" s="98"/>
      <c r="W20" s="98"/>
      <c r="Y20" s="98"/>
      <c r="Z20" s="98"/>
      <c r="AA20" s="98"/>
      <c r="AB20" s="98"/>
      <c r="AC20" s="98"/>
      <c r="AD20" s="98"/>
      <c r="AE20" s="98"/>
      <c r="AF20" s="98"/>
      <c r="AG20" s="98"/>
      <c r="AH20" s="98"/>
      <c r="AI20" s="98"/>
      <c r="AK20" s="98"/>
      <c r="AL20" s="98"/>
      <c r="AM20" s="98"/>
      <c r="AN20" s="98"/>
      <c r="AO20" s="98"/>
      <c r="AP20" s="98"/>
      <c r="AQ20" s="98"/>
      <c r="AR20" s="98"/>
      <c r="AS20" s="98"/>
      <c r="AT20" s="98"/>
      <c r="AU20" s="98"/>
      <c r="AW20" s="98"/>
      <c r="AX20" s="98"/>
      <c r="AY20" s="98"/>
      <c r="AZ20" s="98"/>
      <c r="BA20" s="98"/>
      <c r="BB20" s="98"/>
      <c r="BC20" s="98"/>
      <c r="BD20" s="98"/>
      <c r="BE20" s="98"/>
      <c r="BF20" s="98"/>
      <c r="BG20" s="98"/>
    </row>
    <row r="21" spans="1:59" x14ac:dyDescent="0.4">
      <c r="A21" s="98"/>
      <c r="B21" s="98"/>
      <c r="C21" s="98"/>
      <c r="D21" s="98"/>
      <c r="E21" s="98"/>
      <c r="F21" s="98"/>
      <c r="G21" s="98"/>
      <c r="H21" s="98"/>
      <c r="I21" s="98"/>
      <c r="J21" s="98"/>
      <c r="K21" s="98"/>
      <c r="M21" s="98"/>
      <c r="N21" s="98"/>
      <c r="O21" s="98"/>
      <c r="P21" s="98"/>
      <c r="Q21" s="98"/>
      <c r="R21" s="98"/>
      <c r="S21" s="98"/>
      <c r="T21" s="98"/>
      <c r="U21" s="98"/>
      <c r="V21" s="98"/>
      <c r="W21" s="98"/>
      <c r="Y21" s="98"/>
      <c r="Z21" s="98"/>
      <c r="AA21" s="98"/>
      <c r="AB21" s="98"/>
      <c r="AC21" s="98"/>
      <c r="AD21" s="98"/>
      <c r="AE21" s="98"/>
      <c r="AF21" s="98"/>
      <c r="AG21" s="98"/>
      <c r="AH21" s="98"/>
      <c r="AI21" s="98"/>
      <c r="AK21" s="98"/>
      <c r="AL21" s="98"/>
      <c r="AM21" s="98"/>
      <c r="AN21" s="98"/>
      <c r="AO21" s="98"/>
      <c r="AP21" s="98"/>
      <c r="AQ21" s="98"/>
      <c r="AR21" s="98"/>
      <c r="AS21" s="98"/>
      <c r="AT21" s="98"/>
      <c r="AU21" s="98"/>
      <c r="AW21" s="98"/>
      <c r="AX21" s="98"/>
      <c r="AY21" s="98"/>
      <c r="AZ21" s="98"/>
      <c r="BA21" s="98"/>
      <c r="BB21" s="98"/>
      <c r="BC21" s="98"/>
      <c r="BD21" s="98"/>
      <c r="BE21" s="98"/>
      <c r="BF21" s="98"/>
      <c r="BG21" s="98"/>
    </row>
    <row r="22" spans="1:59" x14ac:dyDescent="0.4">
      <c r="A22" s="98"/>
      <c r="B22" s="98"/>
      <c r="C22" s="98"/>
      <c r="D22" s="98"/>
      <c r="E22" s="98"/>
      <c r="F22" s="98"/>
      <c r="G22" s="98"/>
      <c r="H22" s="98"/>
      <c r="I22" s="98"/>
      <c r="J22" s="98"/>
      <c r="K22" s="98"/>
      <c r="M22" s="98"/>
      <c r="N22" s="98"/>
      <c r="O22" s="98"/>
      <c r="P22" s="98"/>
      <c r="Q22" s="98"/>
      <c r="R22" s="98"/>
      <c r="S22" s="98"/>
      <c r="T22" s="98"/>
      <c r="U22" s="98"/>
      <c r="V22" s="98"/>
      <c r="W22" s="98"/>
      <c r="Y22" s="98"/>
      <c r="Z22" s="98"/>
      <c r="AA22" s="98"/>
      <c r="AB22" s="98"/>
      <c r="AC22" s="98"/>
      <c r="AD22" s="98"/>
      <c r="AE22" s="98"/>
      <c r="AF22" s="98"/>
      <c r="AG22" s="98"/>
      <c r="AH22" s="98"/>
      <c r="AI22" s="98"/>
      <c r="AK22" s="98"/>
      <c r="AL22" s="98"/>
      <c r="AM22" s="98"/>
      <c r="AN22" s="98"/>
      <c r="AO22" s="98"/>
      <c r="AP22" s="98"/>
      <c r="AQ22" s="98"/>
      <c r="AR22" s="98"/>
      <c r="AS22" s="98"/>
      <c r="AT22" s="98"/>
      <c r="AU22" s="98"/>
      <c r="AW22" s="98"/>
      <c r="AX22" s="98"/>
      <c r="AY22" s="98"/>
      <c r="AZ22" s="98"/>
      <c r="BA22" s="98"/>
      <c r="BB22" s="98"/>
      <c r="BC22" s="98"/>
      <c r="BD22" s="98"/>
      <c r="BE22" s="98"/>
      <c r="BF22" s="98"/>
      <c r="BG22" s="98"/>
    </row>
    <row r="23" spans="1:59" x14ac:dyDescent="0.4">
      <c r="A23" s="98"/>
      <c r="B23" s="98"/>
      <c r="C23" s="98"/>
      <c r="D23" s="98"/>
      <c r="E23" s="98"/>
      <c r="F23" s="98"/>
      <c r="G23" s="98"/>
      <c r="H23" s="98"/>
      <c r="I23" s="98"/>
      <c r="J23" s="98"/>
      <c r="K23" s="98"/>
      <c r="M23" s="98"/>
      <c r="N23" s="98"/>
      <c r="O23" s="98"/>
      <c r="P23" s="98"/>
      <c r="Q23" s="98"/>
      <c r="R23" s="98"/>
      <c r="S23" s="98"/>
      <c r="T23" s="98"/>
      <c r="U23" s="98"/>
      <c r="V23" s="98"/>
      <c r="W23" s="98"/>
      <c r="Y23" s="98"/>
      <c r="Z23" s="98"/>
      <c r="AA23" s="98"/>
      <c r="AB23" s="98"/>
      <c r="AC23" s="98"/>
      <c r="AD23" s="98"/>
      <c r="AE23" s="98"/>
      <c r="AF23" s="98"/>
      <c r="AG23" s="98"/>
      <c r="AH23" s="98"/>
      <c r="AI23" s="98"/>
      <c r="AK23" s="98"/>
      <c r="AL23" s="98"/>
      <c r="AM23" s="98"/>
      <c r="AN23" s="98"/>
      <c r="AO23" s="98"/>
      <c r="AP23" s="98"/>
      <c r="AQ23" s="98"/>
      <c r="AR23" s="98"/>
      <c r="AS23" s="98"/>
      <c r="AT23" s="98"/>
      <c r="AU23" s="98"/>
      <c r="AW23" s="98"/>
      <c r="AX23" s="98"/>
      <c r="AY23" s="98"/>
      <c r="AZ23" s="98"/>
      <c r="BA23" s="98"/>
      <c r="BB23" s="98"/>
      <c r="BC23" s="98"/>
      <c r="BD23" s="98"/>
      <c r="BE23" s="98"/>
      <c r="BF23" s="98"/>
      <c r="BG23" s="98"/>
    </row>
    <row r="24" spans="1:59" x14ac:dyDescent="0.4">
      <c r="A24" s="98"/>
      <c r="B24" s="98"/>
      <c r="C24" s="98"/>
      <c r="D24" s="98"/>
      <c r="E24" s="98"/>
      <c r="F24" s="98"/>
      <c r="G24" s="98"/>
      <c r="H24" s="98"/>
      <c r="I24" s="98"/>
      <c r="J24" s="98"/>
      <c r="K24" s="98"/>
      <c r="M24" s="98"/>
      <c r="N24" s="98"/>
      <c r="O24" s="98"/>
      <c r="P24" s="98"/>
      <c r="Q24" s="98"/>
      <c r="R24" s="98"/>
      <c r="S24" s="98"/>
      <c r="T24" s="98"/>
      <c r="U24" s="98"/>
      <c r="V24" s="98"/>
      <c r="W24" s="98"/>
      <c r="Y24" s="98"/>
      <c r="Z24" s="98"/>
      <c r="AA24" s="98"/>
      <c r="AB24" s="98"/>
      <c r="AC24" s="98"/>
      <c r="AD24" s="98"/>
      <c r="AE24" s="98"/>
      <c r="AF24" s="98"/>
      <c r="AG24" s="98"/>
      <c r="AH24" s="98"/>
      <c r="AI24" s="98"/>
      <c r="AK24" s="98"/>
      <c r="AL24" s="98"/>
      <c r="AM24" s="98"/>
      <c r="AN24" s="98"/>
      <c r="AO24" s="98"/>
      <c r="AP24" s="98"/>
      <c r="AQ24" s="98"/>
      <c r="AR24" s="98"/>
      <c r="AS24" s="98"/>
      <c r="AT24" s="98"/>
      <c r="AU24" s="98"/>
      <c r="AW24" s="98"/>
      <c r="AX24" s="98"/>
      <c r="AY24" s="98"/>
      <c r="AZ24" s="98"/>
      <c r="BA24" s="98"/>
      <c r="BB24" s="98"/>
      <c r="BC24" s="98"/>
      <c r="BD24" s="98"/>
      <c r="BE24" s="98"/>
      <c r="BF24" s="98"/>
      <c r="BG24" s="98"/>
    </row>
    <row r="25" spans="1:59" x14ac:dyDescent="0.4">
      <c r="A25" s="98"/>
      <c r="B25" s="98"/>
      <c r="C25" s="98"/>
      <c r="D25" s="98"/>
      <c r="E25" s="98"/>
      <c r="F25" s="98"/>
      <c r="G25" s="98"/>
      <c r="H25" s="98"/>
      <c r="I25" s="98"/>
      <c r="J25" s="98"/>
      <c r="K25" s="98"/>
      <c r="M25" s="98"/>
      <c r="N25" s="98"/>
      <c r="O25" s="98"/>
      <c r="P25" s="98"/>
      <c r="Q25" s="98"/>
      <c r="R25" s="98"/>
      <c r="S25" s="98"/>
      <c r="T25" s="98"/>
      <c r="U25" s="98"/>
      <c r="V25" s="98"/>
      <c r="W25" s="98"/>
      <c r="Y25" s="98"/>
      <c r="Z25" s="98"/>
      <c r="AA25" s="98"/>
      <c r="AB25" s="98"/>
      <c r="AC25" s="98"/>
      <c r="AD25" s="98"/>
      <c r="AE25" s="98"/>
      <c r="AF25" s="98"/>
      <c r="AG25" s="98"/>
      <c r="AH25" s="98"/>
      <c r="AI25" s="98"/>
      <c r="AK25" s="98"/>
      <c r="AL25" s="98"/>
      <c r="AM25" s="98"/>
      <c r="AN25" s="98"/>
      <c r="AO25" s="98"/>
      <c r="AP25" s="98"/>
      <c r="AQ25" s="98"/>
      <c r="AR25" s="98"/>
      <c r="AS25" s="98"/>
      <c r="AT25" s="98"/>
      <c r="AU25" s="98"/>
      <c r="AW25" s="98"/>
      <c r="AX25" s="98"/>
      <c r="AY25" s="98"/>
      <c r="AZ25" s="98"/>
      <c r="BA25" s="98"/>
      <c r="BB25" s="98"/>
      <c r="BC25" s="98"/>
      <c r="BD25" s="98"/>
      <c r="BE25" s="98"/>
      <c r="BF25" s="98"/>
      <c r="BG25" s="98"/>
    </row>
    <row r="26" spans="1:59" x14ac:dyDescent="0.4">
      <c r="A26" s="98"/>
      <c r="B26" s="98"/>
      <c r="C26" s="98"/>
      <c r="D26" s="98"/>
      <c r="E26" s="98"/>
      <c r="F26" s="98"/>
      <c r="G26" s="98"/>
      <c r="H26" s="98"/>
      <c r="I26" s="98"/>
      <c r="J26" s="98"/>
      <c r="K26" s="98"/>
      <c r="M26" s="98"/>
      <c r="N26" s="98"/>
      <c r="O26" s="98"/>
      <c r="P26" s="98"/>
      <c r="Q26" s="98"/>
      <c r="R26" s="98"/>
      <c r="S26" s="98"/>
      <c r="T26" s="98"/>
      <c r="U26" s="98"/>
      <c r="V26" s="98"/>
      <c r="W26" s="98"/>
      <c r="Y26" s="98"/>
      <c r="Z26" s="98"/>
      <c r="AA26" s="98"/>
      <c r="AB26" s="98"/>
      <c r="AC26" s="98"/>
      <c r="AD26" s="98"/>
      <c r="AE26" s="98"/>
      <c r="AF26" s="98"/>
      <c r="AG26" s="98"/>
      <c r="AH26" s="98"/>
      <c r="AI26" s="98"/>
      <c r="AK26" s="98"/>
      <c r="AL26" s="98"/>
      <c r="AM26" s="98"/>
      <c r="AN26" s="98"/>
      <c r="AO26" s="98"/>
      <c r="AP26" s="98"/>
      <c r="AQ26" s="98"/>
      <c r="AR26" s="98"/>
      <c r="AS26" s="98"/>
      <c r="AT26" s="98"/>
      <c r="AU26" s="98"/>
      <c r="AW26" s="98"/>
      <c r="AX26" s="98"/>
      <c r="AY26" s="98"/>
      <c r="AZ26" s="98"/>
      <c r="BA26" s="98"/>
      <c r="BB26" s="98"/>
      <c r="BC26" s="98"/>
      <c r="BD26" s="98"/>
      <c r="BE26" s="98"/>
      <c r="BF26" s="98"/>
      <c r="BG26" s="98"/>
    </row>
    <row r="27" spans="1:59" x14ac:dyDescent="0.4">
      <c r="A27" s="98"/>
      <c r="B27" s="98"/>
      <c r="C27" s="98"/>
      <c r="D27" s="98"/>
      <c r="E27" s="98"/>
      <c r="F27" s="98"/>
      <c r="G27" s="98"/>
      <c r="H27" s="98"/>
      <c r="I27" s="98"/>
      <c r="J27" s="98"/>
      <c r="K27" s="98"/>
      <c r="M27" s="98"/>
      <c r="N27" s="98"/>
      <c r="O27" s="98"/>
      <c r="P27" s="98"/>
      <c r="Q27" s="98"/>
      <c r="R27" s="98"/>
      <c r="S27" s="98"/>
      <c r="T27" s="98"/>
      <c r="U27" s="98"/>
      <c r="V27" s="98"/>
      <c r="W27" s="98"/>
      <c r="Y27" s="98"/>
      <c r="Z27" s="98"/>
      <c r="AA27" s="98"/>
      <c r="AB27" s="98"/>
      <c r="AC27" s="98"/>
      <c r="AD27" s="98"/>
      <c r="AE27" s="98"/>
      <c r="AF27" s="98"/>
      <c r="AG27" s="98"/>
      <c r="AH27" s="98"/>
      <c r="AI27" s="98"/>
      <c r="AK27" s="98"/>
      <c r="AL27" s="98"/>
      <c r="AM27" s="98"/>
      <c r="AN27" s="98"/>
      <c r="AO27" s="98"/>
      <c r="AP27" s="98"/>
      <c r="AQ27" s="98"/>
      <c r="AR27" s="98"/>
      <c r="AS27" s="98"/>
      <c r="AT27" s="98"/>
      <c r="AU27" s="98"/>
      <c r="AW27" s="98"/>
      <c r="AX27" s="98"/>
      <c r="AY27" s="98"/>
      <c r="AZ27" s="98"/>
      <c r="BA27" s="98"/>
      <c r="BB27" s="98"/>
      <c r="BC27" s="98"/>
      <c r="BD27" s="98"/>
      <c r="BE27" s="98"/>
      <c r="BF27" s="98"/>
      <c r="BG27" s="98"/>
    </row>
    <row r="28" spans="1:59" x14ac:dyDescent="0.4">
      <c r="A28" s="98"/>
      <c r="B28" s="98"/>
      <c r="C28" s="98"/>
      <c r="D28" s="98"/>
      <c r="E28" s="98"/>
      <c r="F28" s="98"/>
      <c r="G28" s="98"/>
      <c r="H28" s="98"/>
      <c r="I28" s="98"/>
      <c r="J28" s="98"/>
      <c r="K28" s="98"/>
      <c r="M28" s="98"/>
      <c r="N28" s="98"/>
      <c r="O28" s="98"/>
      <c r="P28" s="98"/>
      <c r="Q28" s="98"/>
      <c r="R28" s="98"/>
      <c r="S28" s="98"/>
      <c r="T28" s="98"/>
      <c r="U28" s="98"/>
      <c r="V28" s="98"/>
      <c r="W28" s="98"/>
      <c r="Y28" s="98"/>
      <c r="Z28" s="98"/>
      <c r="AA28" s="98"/>
      <c r="AB28" s="98"/>
      <c r="AC28" s="98"/>
      <c r="AD28" s="98"/>
      <c r="AE28" s="98"/>
      <c r="AF28" s="98"/>
      <c r="AG28" s="98"/>
      <c r="AH28" s="98"/>
      <c r="AI28" s="98"/>
      <c r="AK28" s="98"/>
      <c r="AL28" s="98"/>
      <c r="AM28" s="98"/>
      <c r="AN28" s="98"/>
      <c r="AO28" s="98"/>
      <c r="AP28" s="98"/>
      <c r="AQ28" s="98"/>
      <c r="AR28" s="98"/>
      <c r="AS28" s="98"/>
      <c r="AT28" s="98"/>
      <c r="AU28" s="98"/>
      <c r="AW28" s="98"/>
      <c r="AX28" s="98"/>
      <c r="AY28" s="98"/>
      <c r="AZ28" s="98"/>
      <c r="BA28" s="98"/>
      <c r="BB28" s="98"/>
      <c r="BC28" s="98"/>
      <c r="BD28" s="98"/>
      <c r="BE28" s="98"/>
      <c r="BF28" s="98"/>
      <c r="BG28" s="98"/>
    </row>
    <row r="29" spans="1:59" x14ac:dyDescent="0.4">
      <c r="A29" s="98"/>
      <c r="B29" s="98"/>
      <c r="C29" s="98"/>
      <c r="D29" s="98"/>
      <c r="E29" s="98"/>
      <c r="F29" s="98"/>
      <c r="G29" s="98"/>
      <c r="H29" s="98"/>
      <c r="I29" s="98"/>
      <c r="J29" s="98"/>
      <c r="K29" s="98"/>
      <c r="M29" s="98"/>
      <c r="N29" s="98"/>
      <c r="O29" s="98"/>
      <c r="P29" s="98"/>
      <c r="Q29" s="98"/>
      <c r="R29" s="98"/>
      <c r="S29" s="98"/>
      <c r="T29" s="98"/>
      <c r="U29" s="98"/>
      <c r="V29" s="98"/>
      <c r="W29" s="98"/>
      <c r="Y29" s="98"/>
      <c r="Z29" s="98"/>
      <c r="AA29" s="98"/>
      <c r="AB29" s="98"/>
      <c r="AC29" s="98"/>
      <c r="AD29" s="98"/>
      <c r="AE29" s="98"/>
      <c r="AF29" s="98"/>
      <c r="AG29" s="98"/>
      <c r="AH29" s="98"/>
      <c r="AI29" s="98"/>
      <c r="AK29" s="98"/>
      <c r="AL29" s="98"/>
      <c r="AM29" s="98"/>
      <c r="AN29" s="98"/>
      <c r="AO29" s="98"/>
      <c r="AP29" s="98"/>
      <c r="AQ29" s="98"/>
      <c r="AR29" s="98"/>
      <c r="AS29" s="98"/>
      <c r="AT29" s="98"/>
      <c r="AU29" s="98"/>
      <c r="AW29" s="98"/>
      <c r="AX29" s="98"/>
      <c r="AY29" s="98"/>
      <c r="AZ29" s="98"/>
      <c r="BA29" s="98"/>
      <c r="BB29" s="98"/>
      <c r="BC29" s="98"/>
      <c r="BD29" s="98"/>
      <c r="BE29" s="98"/>
      <c r="BF29" s="98"/>
      <c r="BG29" s="98"/>
    </row>
    <row r="30" spans="1:59" x14ac:dyDescent="0.4">
      <c r="A30" s="98"/>
      <c r="B30" s="98"/>
      <c r="C30" s="98"/>
      <c r="D30" s="98"/>
      <c r="E30" s="98"/>
      <c r="F30" s="98"/>
      <c r="G30" s="98"/>
      <c r="H30" s="98"/>
      <c r="I30" s="98"/>
      <c r="J30" s="98"/>
      <c r="K30" s="98"/>
      <c r="M30" s="98"/>
      <c r="N30" s="98"/>
      <c r="O30" s="98"/>
      <c r="P30" s="98"/>
      <c r="Q30" s="98"/>
      <c r="R30" s="98"/>
      <c r="S30" s="98"/>
      <c r="T30" s="98"/>
      <c r="U30" s="98"/>
      <c r="V30" s="98"/>
      <c r="W30" s="98"/>
      <c r="Y30" s="98"/>
      <c r="Z30" s="98"/>
      <c r="AA30" s="98"/>
      <c r="AB30" s="98"/>
      <c r="AC30" s="98"/>
      <c r="AD30" s="98"/>
      <c r="AE30" s="98"/>
      <c r="AF30" s="98"/>
      <c r="AG30" s="98"/>
      <c r="AH30" s="98"/>
      <c r="AI30" s="98"/>
      <c r="AK30" s="98"/>
      <c r="AL30" s="98"/>
      <c r="AM30" s="98"/>
      <c r="AN30" s="98"/>
      <c r="AO30" s="98"/>
      <c r="AP30" s="98"/>
      <c r="AQ30" s="98"/>
      <c r="AR30" s="98"/>
      <c r="AS30" s="98"/>
      <c r="AT30" s="98"/>
      <c r="AU30" s="98"/>
      <c r="AW30" s="98"/>
      <c r="AX30" s="98"/>
      <c r="AY30" s="98"/>
      <c r="AZ30" s="98"/>
      <c r="BA30" s="98"/>
      <c r="BB30" s="98"/>
      <c r="BC30" s="98"/>
      <c r="BD30" s="98"/>
      <c r="BE30" s="98"/>
      <c r="BF30" s="98"/>
      <c r="BG30" s="98"/>
    </row>
    <row r="31" spans="1:59" x14ac:dyDescent="0.4">
      <c r="A31" s="98"/>
      <c r="B31" s="98"/>
      <c r="C31" s="98"/>
      <c r="D31" s="98"/>
      <c r="E31" s="98"/>
      <c r="F31" s="98"/>
      <c r="G31" s="98"/>
      <c r="H31" s="98"/>
      <c r="I31" s="98"/>
      <c r="J31" s="98"/>
      <c r="K31" s="98"/>
      <c r="M31" s="98"/>
      <c r="N31" s="98"/>
      <c r="O31" s="98"/>
      <c r="P31" s="98"/>
      <c r="Q31" s="98"/>
      <c r="R31" s="98"/>
      <c r="S31" s="98"/>
      <c r="T31" s="98"/>
      <c r="U31" s="98"/>
      <c r="V31" s="98"/>
      <c r="W31" s="98"/>
      <c r="Y31" s="98"/>
      <c r="Z31" s="98"/>
      <c r="AA31" s="98"/>
      <c r="AB31" s="98"/>
      <c r="AC31" s="98"/>
      <c r="AD31" s="98"/>
      <c r="AE31" s="98"/>
      <c r="AF31" s="98"/>
      <c r="AG31" s="98"/>
      <c r="AH31" s="98"/>
      <c r="AI31" s="98"/>
      <c r="AK31" s="98"/>
      <c r="AL31" s="98"/>
      <c r="AM31" s="98"/>
      <c r="AN31" s="98"/>
      <c r="AO31" s="98"/>
      <c r="AP31" s="98"/>
      <c r="AQ31" s="98"/>
      <c r="AR31" s="98"/>
      <c r="AS31" s="98"/>
      <c r="AT31" s="98"/>
      <c r="AU31" s="98"/>
      <c r="AW31" s="98"/>
      <c r="AX31" s="98"/>
      <c r="AY31" s="98"/>
      <c r="AZ31" s="98"/>
      <c r="BA31" s="98"/>
      <c r="BB31" s="98"/>
      <c r="BC31" s="98"/>
      <c r="BD31" s="98"/>
      <c r="BE31" s="98"/>
      <c r="BF31" s="98"/>
      <c r="BG31" s="98"/>
    </row>
    <row r="32" spans="1:59" x14ac:dyDescent="0.4">
      <c r="A32" s="98"/>
      <c r="B32" s="98"/>
      <c r="C32" s="98"/>
      <c r="D32" s="98"/>
      <c r="E32" s="98"/>
      <c r="F32" s="98"/>
      <c r="G32" s="98"/>
      <c r="H32" s="98"/>
      <c r="I32" s="98"/>
      <c r="J32" s="98"/>
      <c r="K32" s="98"/>
      <c r="M32" s="98"/>
      <c r="N32" s="98"/>
      <c r="O32" s="98"/>
      <c r="P32" s="98"/>
      <c r="Q32" s="98"/>
      <c r="R32" s="98"/>
      <c r="S32" s="98"/>
      <c r="T32" s="98"/>
      <c r="U32" s="98"/>
      <c r="V32" s="98"/>
      <c r="W32" s="98"/>
      <c r="Y32" s="98"/>
      <c r="Z32" s="98"/>
      <c r="AA32" s="98"/>
      <c r="AB32" s="98"/>
      <c r="AC32" s="98"/>
      <c r="AD32" s="98"/>
      <c r="AE32" s="98"/>
      <c r="AF32" s="98"/>
      <c r="AG32" s="98"/>
      <c r="AH32" s="98"/>
      <c r="AI32" s="98"/>
      <c r="AK32" s="98"/>
      <c r="AL32" s="98"/>
      <c r="AM32" s="98"/>
      <c r="AN32" s="98"/>
      <c r="AO32" s="98"/>
      <c r="AP32" s="98"/>
      <c r="AQ32" s="98"/>
      <c r="AR32" s="98"/>
      <c r="AS32" s="98"/>
      <c r="AT32" s="98"/>
      <c r="AU32" s="98"/>
      <c r="AW32" s="98"/>
      <c r="AX32" s="98"/>
      <c r="AY32" s="98"/>
      <c r="AZ32" s="98"/>
      <c r="BA32" s="98"/>
      <c r="BB32" s="98"/>
      <c r="BC32" s="98"/>
      <c r="BD32" s="98"/>
      <c r="BE32" s="98"/>
      <c r="BF32" s="98"/>
      <c r="BG32" s="98"/>
    </row>
    <row r="33" spans="1:59" x14ac:dyDescent="0.4">
      <c r="A33" s="98"/>
      <c r="B33" s="98"/>
      <c r="C33" s="98"/>
      <c r="D33" s="98"/>
      <c r="E33" s="98"/>
      <c r="F33" s="98"/>
      <c r="G33" s="98"/>
      <c r="H33" s="98"/>
      <c r="I33" s="98"/>
      <c r="J33" s="98"/>
      <c r="K33" s="98"/>
      <c r="M33" s="98"/>
      <c r="N33" s="98"/>
      <c r="O33" s="98"/>
      <c r="P33" s="98"/>
      <c r="Q33" s="98"/>
      <c r="R33" s="98"/>
      <c r="S33" s="98"/>
      <c r="T33" s="98"/>
      <c r="U33" s="98"/>
      <c r="V33" s="98"/>
      <c r="W33" s="98"/>
      <c r="Y33" s="98"/>
      <c r="Z33" s="98"/>
      <c r="AA33" s="98"/>
      <c r="AB33" s="98"/>
      <c r="AC33" s="98"/>
      <c r="AD33" s="98"/>
      <c r="AE33" s="98"/>
      <c r="AF33" s="98"/>
      <c r="AG33" s="98"/>
      <c r="AH33" s="98"/>
      <c r="AI33" s="98"/>
      <c r="AK33" s="98"/>
      <c r="AL33" s="98"/>
      <c r="AM33" s="98"/>
      <c r="AN33" s="98"/>
      <c r="AO33" s="98"/>
      <c r="AP33" s="98"/>
      <c r="AQ33" s="98"/>
      <c r="AR33" s="98"/>
      <c r="AS33" s="98"/>
      <c r="AT33" s="98"/>
      <c r="AU33" s="98"/>
      <c r="AW33" s="98"/>
      <c r="AX33" s="98"/>
      <c r="AY33" s="98"/>
      <c r="AZ33" s="98"/>
      <c r="BA33" s="98"/>
      <c r="BB33" s="98"/>
      <c r="BC33" s="98"/>
      <c r="BD33" s="98"/>
      <c r="BE33" s="98"/>
      <c r="BF33" s="98"/>
      <c r="BG33" s="98"/>
    </row>
    <row r="34" spans="1:59" x14ac:dyDescent="0.4">
      <c r="A34" s="98"/>
      <c r="B34" s="98"/>
      <c r="C34" s="98"/>
      <c r="D34" s="98"/>
      <c r="E34" s="98"/>
      <c r="F34" s="98"/>
      <c r="G34" s="98"/>
      <c r="H34" s="98"/>
      <c r="I34" s="98"/>
      <c r="J34" s="98"/>
      <c r="K34" s="98"/>
      <c r="M34" s="98"/>
      <c r="N34" s="98"/>
      <c r="O34" s="98"/>
      <c r="P34" s="98"/>
      <c r="Q34" s="98"/>
      <c r="R34" s="98"/>
      <c r="S34" s="98"/>
      <c r="T34" s="98"/>
      <c r="U34" s="98"/>
      <c r="V34" s="98"/>
      <c r="W34" s="98"/>
      <c r="Y34" s="98"/>
      <c r="Z34" s="98"/>
      <c r="AA34" s="98"/>
      <c r="AB34" s="98"/>
      <c r="AC34" s="98"/>
      <c r="AD34" s="98"/>
      <c r="AE34" s="98"/>
      <c r="AF34" s="98"/>
      <c r="AG34" s="98"/>
      <c r="AH34" s="98"/>
      <c r="AI34" s="98"/>
      <c r="AK34" s="98"/>
      <c r="AL34" s="98"/>
      <c r="AM34" s="98"/>
      <c r="AN34" s="98"/>
      <c r="AO34" s="98"/>
      <c r="AP34" s="98"/>
      <c r="AQ34" s="98"/>
      <c r="AR34" s="98"/>
      <c r="AS34" s="98"/>
      <c r="AT34" s="98"/>
      <c r="AU34" s="98"/>
      <c r="AW34" s="98"/>
      <c r="AX34" s="98"/>
      <c r="AY34" s="98"/>
      <c r="AZ34" s="98"/>
      <c r="BA34" s="98"/>
      <c r="BB34" s="98"/>
      <c r="BC34" s="98"/>
      <c r="BD34" s="98"/>
      <c r="BE34" s="98"/>
      <c r="BF34" s="98"/>
      <c r="BG34" s="98"/>
    </row>
    <row r="35" spans="1:59" x14ac:dyDescent="0.4">
      <c r="A35" s="98"/>
      <c r="B35" s="98"/>
      <c r="C35" s="98"/>
      <c r="D35" s="98"/>
      <c r="E35" s="98"/>
      <c r="F35" s="98"/>
      <c r="G35" s="98"/>
      <c r="H35" s="98"/>
      <c r="I35" s="98"/>
      <c r="J35" s="98"/>
      <c r="K35" s="98"/>
      <c r="M35" s="98"/>
      <c r="N35" s="98"/>
      <c r="O35" s="98"/>
      <c r="P35" s="98"/>
      <c r="Q35" s="98"/>
      <c r="R35" s="98"/>
      <c r="S35" s="98"/>
      <c r="T35" s="98"/>
      <c r="U35" s="98"/>
      <c r="V35" s="98"/>
      <c r="W35" s="98"/>
      <c r="Y35" s="71" t="s">
        <v>465</v>
      </c>
      <c r="Z35" s="71"/>
      <c r="AA35" s="71"/>
      <c r="AB35" s="71"/>
      <c r="AC35" s="71"/>
      <c r="AD35" s="71"/>
      <c r="AE35" s="71"/>
      <c r="AF35" s="71"/>
      <c r="AG35" s="71"/>
      <c r="AH35" s="71"/>
      <c r="AI35" s="93" t="str">
        <f>IF(COUNTIF(AI37:AI41,"="&amp;IncompleteText),IncompleteText,IF(COUNTIF(AI37:AI41,"="&amp;ErrorText),ErrorText,OKText))</f>
        <v>OK</v>
      </c>
      <c r="AK35" s="71" t="s">
        <v>466</v>
      </c>
      <c r="AL35" s="71"/>
      <c r="AM35" s="71"/>
      <c r="AN35" s="71"/>
      <c r="AO35" s="71"/>
      <c r="AP35" s="71"/>
      <c r="AQ35" s="71"/>
      <c r="AR35" s="71"/>
      <c r="AS35" s="71"/>
      <c r="AT35" s="71"/>
      <c r="AU35" s="93" t="str">
        <f>IF(COUNTIF(AU37:AU48,"="&amp;IncompleteText),IncompleteText,IF(COUNTIF(AU37:AU48,"="&amp;ErrorText),ErrorText,OKText))</f>
        <v>OK</v>
      </c>
    </row>
    <row r="36" spans="1:59" x14ac:dyDescent="0.4">
      <c r="A36" s="71" t="s">
        <v>463</v>
      </c>
      <c r="B36" s="71"/>
      <c r="C36" s="71"/>
      <c r="D36" s="71"/>
      <c r="E36" s="71"/>
      <c r="F36" s="71"/>
      <c r="G36" s="71"/>
      <c r="H36" s="71"/>
      <c r="I36" s="71"/>
      <c r="J36" s="71"/>
      <c r="K36" s="93" t="str">
        <f>IF(COUNTIF(K38:K62,"="&amp;IncompleteText),IncompleteText,IF(COUNTIF(K38:K62,"="&amp;ErrorText),ErrorText,OKText))</f>
        <v>OK</v>
      </c>
      <c r="M36" s="71" t="s">
        <v>464</v>
      </c>
      <c r="N36" s="71"/>
      <c r="O36" s="71"/>
      <c r="P36" s="71"/>
      <c r="Q36" s="71"/>
      <c r="R36" s="71"/>
      <c r="S36" s="71"/>
      <c r="T36" s="71"/>
      <c r="U36" s="71"/>
      <c r="V36" s="71"/>
      <c r="W36" s="93" t="str">
        <f>IF(COUNTIF(W38:W41,"="&amp;IncompleteText),IncompleteText,IF(COUNTIF(W38:W41,"="&amp;ErrorText),ErrorText,OKText))</f>
        <v>OK</v>
      </c>
      <c r="Y36" s="21"/>
      <c r="Z36" s="21"/>
      <c r="AA36" s="21"/>
      <c r="AB36" s="21"/>
      <c r="AC36" s="21"/>
      <c r="AD36" s="21"/>
      <c r="AE36" s="21"/>
      <c r="AF36" s="21"/>
      <c r="AG36" s="21"/>
      <c r="AH36" s="21"/>
      <c r="AI36" s="70"/>
      <c r="AK36" s="21"/>
      <c r="AL36" s="21"/>
      <c r="AM36" s="21"/>
      <c r="AN36" s="21"/>
      <c r="AO36" s="21"/>
      <c r="AP36" s="21"/>
      <c r="AQ36" s="21"/>
      <c r="AR36" s="21"/>
      <c r="AS36" s="21"/>
      <c r="AT36" s="21"/>
      <c r="AU36" s="70"/>
      <c r="AW36" s="58" t="s">
        <v>467</v>
      </c>
      <c r="AX36" s="58"/>
      <c r="AY36" s="58"/>
      <c r="AZ36" s="58"/>
      <c r="BA36" s="58"/>
      <c r="BB36" s="58"/>
      <c r="BC36" s="58"/>
      <c r="BD36" s="58"/>
      <c r="BE36" s="58"/>
      <c r="BF36" s="58"/>
      <c r="BG36" s="58"/>
    </row>
    <row r="37" spans="1:59" ht="34.5" customHeight="1" x14ac:dyDescent="0.4">
      <c r="A37" s="168" t="s">
        <v>468</v>
      </c>
      <c r="B37" s="169"/>
      <c r="C37" s="21"/>
      <c r="D37" s="21"/>
      <c r="E37" s="21"/>
      <c r="F37" s="21"/>
      <c r="G37" s="21"/>
      <c r="H37" s="21"/>
      <c r="I37" s="21"/>
      <c r="J37" s="21"/>
      <c r="K37" s="70"/>
      <c r="M37" s="21"/>
      <c r="N37" s="21"/>
      <c r="O37" s="21"/>
      <c r="P37" s="21"/>
      <c r="Q37" s="21"/>
      <c r="R37" s="21"/>
      <c r="S37" s="21"/>
      <c r="T37" s="21"/>
      <c r="U37" s="21"/>
      <c r="V37" s="21"/>
      <c r="W37" s="70"/>
      <c r="Y37" s="124" t="s">
        <v>469</v>
      </c>
      <c r="Z37" s="124"/>
      <c r="AA37" s="124"/>
      <c r="AB37" s="124"/>
      <c r="AC37" s="124"/>
      <c r="AD37" s="124"/>
      <c r="AE37" s="124"/>
      <c r="AF37" s="124"/>
      <c r="AG37" s="125"/>
      <c r="AH37" s="18" t="b">
        <v>1</v>
      </c>
      <c r="AI37" s="6" t="str">
        <f>IF(ISBLANK(AH37),IncompleteText,IF(AH37,OKText,ErrorText))</f>
        <v>OK</v>
      </c>
      <c r="AK37" s="122" t="s">
        <v>470</v>
      </c>
      <c r="AL37" s="122"/>
      <c r="AM37" s="122"/>
      <c r="AN37" s="122"/>
      <c r="AO37" s="122"/>
      <c r="AP37" s="122"/>
      <c r="AQ37" s="122"/>
      <c r="AR37" s="122"/>
      <c r="AS37" s="123"/>
      <c r="AT37" s="30" t="s">
        <v>471</v>
      </c>
      <c r="AU37" s="6" t="str">
        <f>IF(ISBLANK(AT37),IncompleteText,OKText)</f>
        <v>OK</v>
      </c>
      <c r="AW37" s="141" t="s">
        <v>472</v>
      </c>
      <c r="AX37" s="142"/>
      <c r="AY37" s="142"/>
      <c r="AZ37" s="142"/>
      <c r="BA37" s="142"/>
      <c r="BB37" s="142"/>
      <c r="BC37" s="142"/>
      <c r="BD37" s="142"/>
      <c r="BE37" s="142"/>
      <c r="BF37" s="142"/>
      <c r="BG37" s="143"/>
    </row>
    <row r="38" spans="1:59" x14ac:dyDescent="0.4">
      <c r="A38" s="72" t="s">
        <v>473</v>
      </c>
      <c r="B38" s="72"/>
      <c r="C38" s="72" t="s">
        <v>474</v>
      </c>
      <c r="D38" s="72"/>
      <c r="E38" s="72"/>
      <c r="F38" s="72"/>
      <c r="G38" s="72"/>
      <c r="H38" s="72"/>
      <c r="I38" s="74"/>
      <c r="J38" s="18" t="b">
        <v>1</v>
      </c>
      <c r="K38" s="6" t="str">
        <f t="shared" ref="K38:K62" si="0">IF(ISBLANK(J38),IncompleteText,IF(J38,OKText,ErrorText))</f>
        <v>OK</v>
      </c>
      <c r="M38" s="72" t="s">
        <v>475</v>
      </c>
      <c r="N38" s="72"/>
      <c r="O38" s="72"/>
      <c r="P38" s="72"/>
      <c r="Q38" s="72"/>
      <c r="R38" s="72"/>
      <c r="S38" s="72"/>
      <c r="T38" s="72"/>
      <c r="U38" s="74"/>
      <c r="V38" s="18" t="b">
        <v>1</v>
      </c>
      <c r="W38" s="6" t="str">
        <f>IF(ISBLANK(V38),IncompleteText,IF(V38,OKText,ErrorText))</f>
        <v>OK</v>
      </c>
      <c r="Y38" s="122" t="s">
        <v>476</v>
      </c>
      <c r="Z38" s="122"/>
      <c r="AA38" s="122"/>
      <c r="AB38" s="122"/>
      <c r="AC38" s="122"/>
      <c r="AD38" s="122"/>
      <c r="AE38" s="122"/>
      <c r="AF38" s="122"/>
      <c r="AG38" s="123"/>
      <c r="AH38" s="18" t="b">
        <v>1</v>
      </c>
      <c r="AI38" s="6" t="str">
        <f>IF(ISBLANK(AH38),IncompleteText,IF(AH38,OKText,ErrorText))</f>
        <v>OK</v>
      </c>
      <c r="AK38" s="122" t="s">
        <v>477</v>
      </c>
      <c r="AL38" s="122"/>
      <c r="AM38" s="122"/>
      <c r="AN38" s="122"/>
      <c r="AO38" s="122"/>
      <c r="AP38" s="122"/>
      <c r="AQ38" s="122"/>
      <c r="AR38" s="122"/>
      <c r="AS38" s="123"/>
      <c r="AT38" s="18">
        <v>3000</v>
      </c>
      <c r="AU38" s="6" t="str">
        <f>IF(AT$37="车队自制原理",OKText,IF(ISBLANK(AT38),IncompleteText,IF(AT38,OKText,ErrorText)))</f>
        <v>OK</v>
      </c>
      <c r="AW38" s="144"/>
      <c r="AX38" s="145"/>
      <c r="AY38" s="145"/>
      <c r="AZ38" s="145"/>
      <c r="BA38" s="145"/>
      <c r="BB38" s="145"/>
      <c r="BC38" s="145"/>
      <c r="BD38" s="145"/>
      <c r="BE38" s="145"/>
      <c r="BF38" s="145"/>
      <c r="BG38" s="146"/>
    </row>
    <row r="39" spans="1:59" x14ac:dyDescent="0.4">
      <c r="A39" s="72" t="s">
        <v>478</v>
      </c>
      <c r="B39" s="72"/>
      <c r="C39" s="72" t="s">
        <v>479</v>
      </c>
      <c r="D39" s="72"/>
      <c r="E39" s="72"/>
      <c r="F39" s="72"/>
      <c r="G39" s="72"/>
      <c r="H39" s="72"/>
      <c r="I39" s="74"/>
      <c r="J39" s="18" t="b">
        <v>1</v>
      </c>
      <c r="K39" s="6" t="str">
        <f t="shared" si="0"/>
        <v>OK</v>
      </c>
      <c r="M39" s="72" t="s">
        <v>480</v>
      </c>
      <c r="N39" s="72"/>
      <c r="O39" s="72"/>
      <c r="P39" s="72"/>
      <c r="Q39" s="72"/>
      <c r="R39" s="72"/>
      <c r="S39" s="72"/>
      <c r="T39" s="72"/>
      <c r="U39" s="74"/>
      <c r="V39" s="18" t="b">
        <v>1</v>
      </c>
      <c r="W39" s="6" t="str">
        <f>IF(ISBLANK(V39),IncompleteText,IF(V39,OKText,ErrorText))</f>
        <v>OK</v>
      </c>
      <c r="Y39" s="122" t="s">
        <v>481</v>
      </c>
      <c r="Z39" s="122"/>
      <c r="AA39" s="122"/>
      <c r="AB39" s="122"/>
      <c r="AC39" s="122"/>
      <c r="AD39" s="122"/>
      <c r="AE39" s="122"/>
      <c r="AF39" s="122"/>
      <c r="AG39" s="123"/>
      <c r="AH39" s="18" t="b">
        <v>1</v>
      </c>
      <c r="AI39" s="6" t="str">
        <f>IF(ISBLANK(AH39),IncompleteText,IF(AH39,OKText,ErrorText))</f>
        <v>OK</v>
      </c>
      <c r="AK39" s="122" t="s">
        <v>482</v>
      </c>
      <c r="AL39" s="122"/>
      <c r="AM39" s="122"/>
      <c r="AN39" s="122"/>
      <c r="AO39" s="122"/>
      <c r="AP39" s="122"/>
      <c r="AQ39" s="122"/>
      <c r="AR39" s="122"/>
      <c r="AS39" s="123"/>
      <c r="AT39" s="20" t="s">
        <v>483</v>
      </c>
      <c r="AU39" s="6" t="e">
        <f>IF(AT$37="车队自制原理",OKText,IF(ISBLANK(AT39),IncompleteText,IF(AT39,OKText,ErrorText)))</f>
        <v>#VALUE!</v>
      </c>
      <c r="AW39" s="144"/>
      <c r="AX39" s="145"/>
      <c r="AY39" s="145"/>
      <c r="AZ39" s="145"/>
      <c r="BA39" s="145"/>
      <c r="BB39" s="145"/>
      <c r="BC39" s="145"/>
      <c r="BD39" s="145"/>
      <c r="BE39" s="145"/>
      <c r="BF39" s="145"/>
      <c r="BG39" s="146"/>
    </row>
    <row r="40" spans="1:59" x14ac:dyDescent="0.4">
      <c r="A40" s="72" t="s">
        <v>484</v>
      </c>
      <c r="B40" s="72"/>
      <c r="C40" s="72" t="s">
        <v>485</v>
      </c>
      <c r="D40" s="72"/>
      <c r="E40" s="72"/>
      <c r="F40" s="72"/>
      <c r="G40" s="72"/>
      <c r="H40" s="72"/>
      <c r="I40" s="74"/>
      <c r="J40" s="18" t="b">
        <v>1</v>
      </c>
      <c r="K40" s="6" t="str">
        <f t="shared" si="0"/>
        <v>OK</v>
      </c>
      <c r="M40" s="72" t="s">
        <v>486</v>
      </c>
      <c r="N40" s="72"/>
      <c r="O40" s="72"/>
      <c r="P40" s="72"/>
      <c r="Q40" s="72"/>
      <c r="R40" s="72"/>
      <c r="S40" s="72"/>
      <c r="T40" s="72"/>
      <c r="U40" s="74"/>
      <c r="V40" s="18" t="b">
        <v>1</v>
      </c>
      <c r="W40" s="6" t="str">
        <f>IF(ISBLANK(V40),IncompleteText,IF(V40,OKText,ErrorText))</f>
        <v>OK</v>
      </c>
      <c r="Y40" s="122" t="s">
        <v>487</v>
      </c>
      <c r="Z40" s="122"/>
      <c r="AA40" s="122"/>
      <c r="AB40" s="122"/>
      <c r="AC40" s="122"/>
      <c r="AD40" s="122"/>
      <c r="AE40" s="122"/>
      <c r="AF40" s="122"/>
      <c r="AG40" s="123"/>
      <c r="AH40" s="18" t="b">
        <v>1</v>
      </c>
      <c r="AI40" s="6" t="str">
        <f>IF(ISBLANK(AH40),IncompleteText,IF(AH40,OKText,ErrorText))</f>
        <v>OK</v>
      </c>
      <c r="AK40" s="122" t="s">
        <v>488</v>
      </c>
      <c r="AL40" s="122"/>
      <c r="AM40" s="122"/>
      <c r="AN40" s="122"/>
      <c r="AO40" s="122"/>
      <c r="AP40" s="122"/>
      <c r="AQ40" s="122"/>
      <c r="AR40" s="122"/>
      <c r="AS40" s="123"/>
      <c r="AT40" s="18" t="b">
        <v>1</v>
      </c>
      <c r="AU40" s="6" t="str">
        <f>IF(AT$37="购买传感器",OKText,IF(ISBLANK(AT40),IncompleteText,IF(AT40,OKText,ErrorText)))</f>
        <v>OK</v>
      </c>
      <c r="AW40" s="144"/>
      <c r="AX40" s="145"/>
      <c r="AY40" s="145"/>
      <c r="AZ40" s="145"/>
      <c r="BA40" s="145"/>
      <c r="BB40" s="145"/>
      <c r="BC40" s="145"/>
      <c r="BD40" s="145"/>
      <c r="BE40" s="145"/>
      <c r="BF40" s="145"/>
      <c r="BG40" s="146"/>
    </row>
    <row r="41" spans="1:59" ht="44.25" customHeight="1" x14ac:dyDescent="0.4">
      <c r="A41" s="72" t="s">
        <v>489</v>
      </c>
      <c r="B41" s="72"/>
      <c r="C41" s="72" t="s">
        <v>490</v>
      </c>
      <c r="D41" s="72"/>
      <c r="E41" s="72"/>
      <c r="F41" s="72"/>
      <c r="G41" s="72"/>
      <c r="H41" s="72"/>
      <c r="I41" s="74"/>
      <c r="J41" s="18" t="b">
        <v>1</v>
      </c>
      <c r="K41" s="6" t="str">
        <f t="shared" si="0"/>
        <v>OK</v>
      </c>
      <c r="M41" s="72" t="s">
        <v>491</v>
      </c>
      <c r="N41" s="72"/>
      <c r="O41" s="72"/>
      <c r="P41" s="72"/>
      <c r="Q41" s="72"/>
      <c r="R41" s="72"/>
      <c r="S41" s="72"/>
      <c r="T41" s="72"/>
      <c r="U41" s="74"/>
      <c r="V41" s="18" t="b">
        <v>1</v>
      </c>
      <c r="W41" s="6" t="str">
        <f>IF(ISBLANK(V41),IncompleteText,IF(V41,OKText,ErrorText))</f>
        <v>OK</v>
      </c>
      <c r="Y41" s="124" t="s">
        <v>492</v>
      </c>
      <c r="Z41" s="124"/>
      <c r="AA41" s="124"/>
      <c r="AB41" s="124"/>
      <c r="AC41" s="124"/>
      <c r="AD41" s="124"/>
      <c r="AE41" s="124"/>
      <c r="AF41" s="124"/>
      <c r="AG41" s="125"/>
      <c r="AH41" s="18" t="b">
        <v>1</v>
      </c>
      <c r="AI41" s="8" t="str">
        <f>IF(ISBLANK(AH41),IncompleteText,IF(AH41,OKText,ErrorText))</f>
        <v>OK</v>
      </c>
      <c r="AK41" s="124" t="s">
        <v>493</v>
      </c>
      <c r="AL41" s="124"/>
      <c r="AM41" s="124"/>
      <c r="AN41" s="124"/>
      <c r="AO41" s="124"/>
      <c r="AP41" s="124"/>
      <c r="AQ41" s="124"/>
      <c r="AR41" s="124"/>
      <c r="AS41" s="125"/>
      <c r="AT41" s="18" t="b">
        <v>1</v>
      </c>
      <c r="AU41" s="6" t="str">
        <f>IF(AT$37="购买传感器",OKText,IF(ISBLANK(AT41),IncompleteText,IF(AT41,OKText,ErrorText)))</f>
        <v>OK</v>
      </c>
      <c r="AW41" s="144"/>
      <c r="AX41" s="145"/>
      <c r="AY41" s="145"/>
      <c r="AZ41" s="145"/>
      <c r="BA41" s="145"/>
      <c r="BB41" s="145"/>
      <c r="BC41" s="145"/>
      <c r="BD41" s="145"/>
      <c r="BE41" s="145"/>
      <c r="BF41" s="145"/>
      <c r="BG41" s="146"/>
    </row>
    <row r="42" spans="1:59" x14ac:dyDescent="0.4">
      <c r="A42" s="72" t="s">
        <v>494</v>
      </c>
      <c r="B42" s="72"/>
      <c r="C42" s="72" t="s">
        <v>495</v>
      </c>
      <c r="D42" s="72"/>
      <c r="E42" s="72"/>
      <c r="F42" s="72"/>
      <c r="G42" s="72"/>
      <c r="H42" s="72"/>
      <c r="I42" s="74"/>
      <c r="J42" s="18" t="b">
        <v>1</v>
      </c>
      <c r="K42" s="6" t="str">
        <f t="shared" si="0"/>
        <v>OK</v>
      </c>
      <c r="M42" s="71" t="s">
        <v>267</v>
      </c>
      <c r="N42" s="71"/>
      <c r="O42" s="71"/>
      <c r="P42" s="71"/>
      <c r="Q42" s="71"/>
      <c r="R42" s="71"/>
      <c r="S42" s="71"/>
      <c r="T42" s="71"/>
      <c r="U42" s="71"/>
      <c r="V42" s="181" t="s">
        <v>352</v>
      </c>
      <c r="W42" s="182"/>
      <c r="Y42" s="71" t="s">
        <v>267</v>
      </c>
      <c r="Z42" s="71"/>
      <c r="AA42" s="71"/>
      <c r="AB42" s="71"/>
      <c r="AC42" s="71"/>
      <c r="AD42" s="71"/>
      <c r="AE42" s="71"/>
      <c r="AF42" s="71"/>
      <c r="AG42" s="71"/>
      <c r="AH42" s="181" t="s">
        <v>379</v>
      </c>
      <c r="AI42" s="182"/>
      <c r="AK42" s="122" t="s">
        <v>496</v>
      </c>
      <c r="AL42" s="122"/>
      <c r="AM42" s="122"/>
      <c r="AN42" s="122"/>
      <c r="AO42" s="122"/>
      <c r="AP42" s="122"/>
      <c r="AQ42" s="122"/>
      <c r="AR42" s="122"/>
      <c r="AS42" s="123"/>
      <c r="AT42" s="18" t="s">
        <v>497</v>
      </c>
      <c r="AU42" s="6" t="str">
        <f>IF(AT36="购买传感器",OKText,IF(ISBLANK(AT42),IncompleteText,IF(ISBLANK(AT42),ErrorText,OKText)))</f>
        <v>OK</v>
      </c>
      <c r="AW42" s="144"/>
      <c r="AX42" s="145"/>
      <c r="AY42" s="145"/>
      <c r="AZ42" s="145"/>
      <c r="BA42" s="145"/>
      <c r="BB42" s="145"/>
      <c r="BC42" s="145"/>
      <c r="BD42" s="145"/>
      <c r="BE42" s="145"/>
      <c r="BF42" s="145"/>
      <c r="BG42" s="146"/>
    </row>
    <row r="43" spans="1:59" x14ac:dyDescent="0.4">
      <c r="A43" s="72" t="s">
        <v>498</v>
      </c>
      <c r="B43" s="72"/>
      <c r="C43" s="72" t="s">
        <v>499</v>
      </c>
      <c r="D43" s="72"/>
      <c r="E43" s="72"/>
      <c r="F43" s="72"/>
      <c r="G43" s="72"/>
      <c r="H43" s="72"/>
      <c r="I43" s="74"/>
      <c r="J43" s="18" t="b">
        <v>1</v>
      </c>
      <c r="K43" s="6" t="str">
        <f t="shared" si="0"/>
        <v>OK</v>
      </c>
      <c r="M43" s="186" t="s">
        <v>500</v>
      </c>
      <c r="N43" s="187"/>
      <c r="O43" s="187"/>
      <c r="P43" s="187"/>
      <c r="Q43" s="187"/>
      <c r="R43" s="187"/>
      <c r="S43" s="187"/>
      <c r="T43" s="187"/>
      <c r="U43" s="187"/>
      <c r="V43" s="82" t="s">
        <v>444</v>
      </c>
      <c r="W43" s="81"/>
      <c r="Y43" s="152"/>
      <c r="Z43" s="96"/>
      <c r="AA43" s="96"/>
      <c r="AB43" s="96"/>
      <c r="AC43" s="96"/>
      <c r="AD43" s="96"/>
      <c r="AE43" s="96"/>
      <c r="AF43" s="96"/>
      <c r="AG43" s="96"/>
      <c r="AH43" s="82" t="s">
        <v>501</v>
      </c>
      <c r="AI43" s="81"/>
      <c r="AK43" s="122" t="s">
        <v>502</v>
      </c>
      <c r="AL43" s="122"/>
      <c r="AM43" s="122"/>
      <c r="AN43" s="122"/>
      <c r="AO43" s="122"/>
      <c r="AP43" s="122"/>
      <c r="AQ43" s="122"/>
      <c r="AR43" s="122"/>
      <c r="AS43" s="123"/>
      <c r="AT43" s="18" t="b">
        <v>1</v>
      </c>
      <c r="AU43" s="6" t="str">
        <f>IF(AT$37="购买传感器",OKText,IF(ISBLANK(AT43),IncompleteText,IF(AT43,OKText,ErrorText)))</f>
        <v>OK</v>
      </c>
      <c r="AW43" s="144"/>
      <c r="AX43" s="145"/>
      <c r="AY43" s="145"/>
      <c r="AZ43" s="145"/>
      <c r="BA43" s="145"/>
      <c r="BB43" s="145"/>
      <c r="BC43" s="145"/>
      <c r="BD43" s="145"/>
      <c r="BE43" s="145"/>
      <c r="BF43" s="145"/>
      <c r="BG43" s="146"/>
    </row>
    <row r="44" spans="1:59" x14ac:dyDescent="0.4">
      <c r="A44" s="72" t="s">
        <v>503</v>
      </c>
      <c r="B44" s="72"/>
      <c r="C44" s="72" t="s">
        <v>504</v>
      </c>
      <c r="D44" s="72"/>
      <c r="E44" s="72"/>
      <c r="F44" s="72"/>
      <c r="G44" s="72"/>
      <c r="H44" s="72"/>
      <c r="I44" s="74"/>
      <c r="J44" s="18" t="b">
        <v>1</v>
      </c>
      <c r="K44" s="6" t="str">
        <f t="shared" si="0"/>
        <v>OK</v>
      </c>
      <c r="M44" s="186"/>
      <c r="N44" s="187"/>
      <c r="O44" s="187"/>
      <c r="P44" s="187"/>
      <c r="Q44" s="187"/>
      <c r="R44" s="187"/>
      <c r="S44" s="187"/>
      <c r="T44" s="187"/>
      <c r="U44" s="187"/>
      <c r="V44" s="81"/>
      <c r="W44" s="81"/>
      <c r="Y44" s="152"/>
      <c r="Z44" s="96"/>
      <c r="AA44" s="96"/>
      <c r="AB44" s="96"/>
      <c r="AC44" s="96"/>
      <c r="AD44" s="96"/>
      <c r="AE44" s="96"/>
      <c r="AF44" s="96"/>
      <c r="AG44" s="96"/>
      <c r="AH44" s="81"/>
      <c r="AI44" s="81"/>
      <c r="AK44" s="122" t="s">
        <v>505</v>
      </c>
      <c r="AL44" s="122"/>
      <c r="AM44" s="122"/>
      <c r="AN44" s="122"/>
      <c r="AO44" s="122"/>
      <c r="AP44" s="122"/>
      <c r="AQ44" s="122"/>
      <c r="AR44" s="122"/>
      <c r="AS44" s="123"/>
      <c r="AT44" s="18" t="s">
        <v>109</v>
      </c>
      <c r="AU44" s="6" t="str">
        <f>IF(ISBLANK(AT44),IncompleteText,IF(ISBLANK(AT44),ErrorText,OKText))</f>
        <v>OK</v>
      </c>
      <c r="AW44" s="144"/>
      <c r="AX44" s="145"/>
      <c r="AY44" s="145"/>
      <c r="AZ44" s="145"/>
      <c r="BA44" s="145"/>
      <c r="BB44" s="145"/>
      <c r="BC44" s="145"/>
      <c r="BD44" s="145"/>
      <c r="BE44" s="145"/>
      <c r="BF44" s="145"/>
      <c r="BG44" s="146"/>
    </row>
    <row r="45" spans="1:59" x14ac:dyDescent="0.4">
      <c r="A45" s="72" t="s">
        <v>503</v>
      </c>
      <c r="B45" s="72"/>
      <c r="C45" s="72" t="s">
        <v>506</v>
      </c>
      <c r="D45" s="72"/>
      <c r="E45" s="72"/>
      <c r="F45" s="72"/>
      <c r="G45" s="72"/>
      <c r="H45" s="72"/>
      <c r="I45" s="74"/>
      <c r="J45" s="18" t="b">
        <v>1</v>
      </c>
      <c r="K45" s="6" t="str">
        <f t="shared" si="0"/>
        <v>OK</v>
      </c>
      <c r="M45" s="186"/>
      <c r="N45" s="187"/>
      <c r="O45" s="187"/>
      <c r="P45" s="187"/>
      <c r="Q45" s="187"/>
      <c r="R45" s="187"/>
      <c r="S45" s="187"/>
      <c r="T45" s="187"/>
      <c r="U45" s="187"/>
      <c r="V45" s="81"/>
      <c r="W45" s="81"/>
      <c r="Y45" s="152"/>
      <c r="Z45" s="96"/>
      <c r="AA45" s="96"/>
      <c r="AB45" s="96"/>
      <c r="AC45" s="96"/>
      <c r="AD45" s="96"/>
      <c r="AE45" s="96"/>
      <c r="AF45" s="96"/>
      <c r="AG45" s="96"/>
      <c r="AH45" s="81"/>
      <c r="AI45" s="81"/>
      <c r="AK45" s="122" t="s">
        <v>507</v>
      </c>
      <c r="AL45" s="122"/>
      <c r="AM45" s="122"/>
      <c r="AN45" s="122"/>
      <c r="AO45" s="122"/>
      <c r="AP45" s="122"/>
      <c r="AQ45" s="122"/>
      <c r="AR45" s="122"/>
      <c r="AS45" s="123"/>
      <c r="AT45" s="31">
        <f>VLOOKUP(AT44,FuseTable,2,FALSE)</f>
        <v>700</v>
      </c>
      <c r="AU45" s="6" t="str">
        <f>IF(ISNA(AT45),IncompleteText,OKText)</f>
        <v>OK</v>
      </c>
      <c r="AW45" s="144"/>
      <c r="AX45" s="145"/>
      <c r="AY45" s="145"/>
      <c r="AZ45" s="145"/>
      <c r="BA45" s="145"/>
      <c r="BB45" s="145"/>
      <c r="BC45" s="145"/>
      <c r="BD45" s="145"/>
      <c r="BE45" s="145"/>
      <c r="BF45" s="145"/>
      <c r="BG45" s="146"/>
    </row>
    <row r="46" spans="1:59" ht="39" customHeight="1" x14ac:dyDescent="0.4">
      <c r="A46" s="72" t="s">
        <v>444</v>
      </c>
      <c r="B46" s="72"/>
      <c r="C46" s="72" t="s">
        <v>443</v>
      </c>
      <c r="D46" s="72"/>
      <c r="E46" s="72"/>
      <c r="F46" s="72"/>
      <c r="G46" s="72"/>
      <c r="H46" s="72"/>
      <c r="I46" s="74"/>
      <c r="J46" s="18" t="b">
        <v>1</v>
      </c>
      <c r="K46" s="6" t="str">
        <f t="shared" si="0"/>
        <v>OK</v>
      </c>
      <c r="M46" s="186"/>
      <c r="N46" s="187"/>
      <c r="O46" s="187"/>
      <c r="P46" s="187"/>
      <c r="Q46" s="187"/>
      <c r="R46" s="187"/>
      <c r="S46" s="187"/>
      <c r="T46" s="187"/>
      <c r="U46" s="187"/>
      <c r="V46" s="81"/>
      <c r="W46" s="81"/>
      <c r="Y46" s="152"/>
      <c r="Z46" s="96"/>
      <c r="AA46" s="96"/>
      <c r="AB46" s="96"/>
      <c r="AC46" s="96"/>
      <c r="AD46" s="96"/>
      <c r="AE46" s="96"/>
      <c r="AF46" s="96"/>
      <c r="AG46" s="96"/>
      <c r="AH46" s="81"/>
      <c r="AI46" s="81"/>
      <c r="AK46" s="124" t="s">
        <v>508</v>
      </c>
      <c r="AL46" s="124"/>
      <c r="AM46" s="124"/>
      <c r="AN46" s="124"/>
      <c r="AO46" s="124"/>
      <c r="AP46" s="124"/>
      <c r="AQ46" s="124"/>
      <c r="AR46" s="124"/>
      <c r="AS46" s="125"/>
      <c r="AT46" s="18" t="b">
        <v>1</v>
      </c>
      <c r="AU46" s="6" t="str">
        <f>IF(ISBLANK(AT46),IncompleteText,IF(AT46,OKText,ErrorText))</f>
        <v>OK</v>
      </c>
      <c r="AW46" s="147"/>
      <c r="AX46" s="148"/>
      <c r="AY46" s="148"/>
      <c r="AZ46" s="148"/>
      <c r="BA46" s="148"/>
      <c r="BB46" s="148"/>
      <c r="BC46" s="148"/>
      <c r="BD46" s="148"/>
      <c r="BE46" s="148"/>
      <c r="BF46" s="148"/>
      <c r="BG46" s="149"/>
    </row>
    <row r="47" spans="1:59" x14ac:dyDescent="0.4">
      <c r="A47" s="72" t="s">
        <v>509</v>
      </c>
      <c r="B47" s="72"/>
      <c r="C47" s="72" t="s">
        <v>510</v>
      </c>
      <c r="D47" s="72"/>
      <c r="E47" s="72"/>
      <c r="F47" s="72"/>
      <c r="G47" s="72"/>
      <c r="H47" s="72"/>
      <c r="I47" s="74"/>
      <c r="J47" s="18" t="b">
        <v>1</v>
      </c>
      <c r="K47" s="6" t="str">
        <f t="shared" si="0"/>
        <v>OK</v>
      </c>
      <c r="AK47" s="122" t="s">
        <v>511</v>
      </c>
      <c r="AL47" s="122"/>
      <c r="AM47" s="122"/>
      <c r="AN47" s="122"/>
      <c r="AO47" s="122"/>
      <c r="AP47" s="122"/>
      <c r="AQ47" s="122"/>
      <c r="AR47" s="122"/>
      <c r="AS47" s="123"/>
      <c r="AT47" s="18" t="b">
        <v>1</v>
      </c>
      <c r="AU47" s="6" t="str">
        <f>IF(ISBLANK(AT47),IncompleteText,IF(AT47,OKText,ErrorText))</f>
        <v>OK</v>
      </c>
    </row>
    <row r="48" spans="1:59" ht="33" customHeight="1" x14ac:dyDescent="0.4">
      <c r="A48" s="122" t="s">
        <v>512</v>
      </c>
      <c r="B48" s="122"/>
      <c r="C48" s="124" t="s">
        <v>513</v>
      </c>
      <c r="D48" s="124"/>
      <c r="E48" s="124"/>
      <c r="F48" s="124"/>
      <c r="G48" s="124"/>
      <c r="H48" s="124"/>
      <c r="I48" s="125"/>
      <c r="J48" s="28" t="b">
        <v>1</v>
      </c>
      <c r="K48" s="8" t="str">
        <f t="shared" si="0"/>
        <v>OK</v>
      </c>
      <c r="AK48" s="122" t="s">
        <v>514</v>
      </c>
      <c r="AL48" s="122"/>
      <c r="AM48" s="122"/>
      <c r="AN48" s="122"/>
      <c r="AO48" s="122"/>
      <c r="AP48" s="122"/>
      <c r="AQ48" s="122"/>
      <c r="AR48" s="122"/>
      <c r="AS48" s="122"/>
      <c r="AT48" s="18" t="b">
        <v>1</v>
      </c>
      <c r="AU48" s="6" t="str">
        <f>IF(ISBLANK(AT48),IncompleteText,IF(AT48,OKText,ErrorText))</f>
        <v>OK</v>
      </c>
    </row>
    <row r="49" spans="1:59" x14ac:dyDescent="0.4">
      <c r="A49" s="72" t="s">
        <v>515</v>
      </c>
      <c r="B49" s="72"/>
      <c r="C49" s="72" t="s">
        <v>516</v>
      </c>
      <c r="D49" s="72"/>
      <c r="E49" s="72"/>
      <c r="F49" s="72"/>
      <c r="G49" s="72"/>
      <c r="H49" s="72"/>
      <c r="I49" s="74"/>
      <c r="J49" s="18" t="b">
        <v>1</v>
      </c>
      <c r="K49" s="6" t="str">
        <f t="shared" si="0"/>
        <v>OK</v>
      </c>
      <c r="Y49" s="71" t="s">
        <v>517</v>
      </c>
      <c r="Z49" s="71"/>
      <c r="AA49" s="71"/>
      <c r="AB49" s="71"/>
      <c r="AC49" s="71"/>
      <c r="AD49" s="71"/>
      <c r="AE49" s="71"/>
      <c r="AF49" s="71"/>
      <c r="AG49" s="71"/>
      <c r="AH49" s="71"/>
      <c r="AI49" s="93" t="str">
        <f>IF(COUNTIF(AI51:AI52,"="&amp;IncompleteText),IncompleteText,IF(COUNTIF(AI51:AI52,"="&amp;ErrorText),ErrorText,OKText))</f>
        <v>OK</v>
      </c>
    </row>
    <row r="50" spans="1:59" x14ac:dyDescent="0.4">
      <c r="A50" s="72" t="s">
        <v>518</v>
      </c>
      <c r="B50" s="72"/>
      <c r="C50" s="72" t="s">
        <v>519</v>
      </c>
      <c r="D50" s="72"/>
      <c r="E50" s="72"/>
      <c r="F50" s="72"/>
      <c r="G50" s="72"/>
      <c r="H50" s="72"/>
      <c r="I50" s="74"/>
      <c r="J50" s="18" t="b">
        <v>1</v>
      </c>
      <c r="K50" s="6" t="str">
        <f t="shared" si="0"/>
        <v>OK</v>
      </c>
      <c r="Y50" s="57" t="s">
        <v>520</v>
      </c>
      <c r="Z50" s="57"/>
      <c r="AA50" s="57"/>
      <c r="AB50" s="57"/>
      <c r="AC50" s="57"/>
      <c r="AD50" s="57"/>
      <c r="AE50" s="57"/>
      <c r="AF50" s="57"/>
      <c r="AG50" s="57"/>
      <c r="AH50" s="57"/>
      <c r="AI50" s="70"/>
      <c r="AK50" s="97" t="s">
        <v>521</v>
      </c>
      <c r="AL50" s="98"/>
      <c r="AM50" s="98"/>
      <c r="AN50" s="98"/>
      <c r="AO50" s="98"/>
      <c r="AP50" s="98"/>
      <c r="AQ50" s="98"/>
      <c r="AR50" s="98"/>
      <c r="AS50" s="98"/>
      <c r="AT50" s="98"/>
      <c r="AU50" s="98"/>
      <c r="AW50" s="97" t="s">
        <v>522</v>
      </c>
      <c r="AX50" s="98"/>
      <c r="AY50" s="98"/>
      <c r="AZ50" s="98"/>
      <c r="BA50" s="98"/>
      <c r="BB50" s="98"/>
      <c r="BC50" s="98"/>
      <c r="BD50" s="98"/>
      <c r="BE50" s="98"/>
      <c r="BF50" s="98"/>
      <c r="BG50" s="98"/>
    </row>
    <row r="51" spans="1:59" x14ac:dyDescent="0.4">
      <c r="A51" s="72"/>
      <c r="B51" s="72"/>
      <c r="C51" s="72" t="s">
        <v>523</v>
      </c>
      <c r="D51" s="72"/>
      <c r="E51" s="72"/>
      <c r="F51" s="72"/>
      <c r="G51" s="72"/>
      <c r="H51" s="72"/>
      <c r="I51" s="74"/>
      <c r="J51" s="18" t="b">
        <v>1</v>
      </c>
      <c r="K51" s="6" t="str">
        <f t="shared" si="0"/>
        <v>OK</v>
      </c>
      <c r="Y51" s="72" t="s">
        <v>524</v>
      </c>
      <c r="Z51" s="72"/>
      <c r="AA51" s="72"/>
      <c r="AB51" s="72"/>
      <c r="AC51" s="72"/>
      <c r="AD51" s="72"/>
      <c r="AE51" s="72"/>
      <c r="AF51" s="72"/>
      <c r="AG51" s="74"/>
      <c r="AH51" s="18" t="b">
        <v>1</v>
      </c>
      <c r="AI51" s="6" t="str">
        <f>IF(ISBLANK(AH51),IncompleteText,IF(AH51,OKText,ErrorText))</f>
        <v>OK</v>
      </c>
      <c r="AK51" s="98"/>
      <c r="AL51" s="98"/>
      <c r="AM51" s="98"/>
      <c r="AN51" s="98"/>
      <c r="AO51" s="98"/>
      <c r="AP51" s="98"/>
      <c r="AQ51" s="98"/>
      <c r="AR51" s="98"/>
      <c r="AS51" s="98"/>
      <c r="AT51" s="98"/>
      <c r="AU51" s="98"/>
      <c r="AW51" s="98"/>
      <c r="AX51" s="98"/>
      <c r="AY51" s="98"/>
      <c r="AZ51" s="98"/>
      <c r="BA51" s="98"/>
      <c r="BB51" s="98"/>
      <c r="BC51" s="98"/>
      <c r="BD51" s="98"/>
      <c r="BE51" s="98"/>
      <c r="BF51" s="98"/>
      <c r="BG51" s="98"/>
    </row>
    <row r="52" spans="1:59" x14ac:dyDescent="0.4">
      <c r="A52" s="72"/>
      <c r="B52" s="72"/>
      <c r="C52" s="72" t="s">
        <v>525</v>
      </c>
      <c r="D52" s="72"/>
      <c r="E52" s="72"/>
      <c r="F52" s="72"/>
      <c r="G52" s="72"/>
      <c r="H52" s="72"/>
      <c r="I52" s="74"/>
      <c r="J52" s="18" t="b">
        <v>1</v>
      </c>
      <c r="K52" s="6" t="str">
        <f t="shared" si="0"/>
        <v>OK</v>
      </c>
      <c r="Y52" s="72" t="s">
        <v>526</v>
      </c>
      <c r="Z52" s="72"/>
      <c r="AA52" s="72"/>
      <c r="AB52" s="72"/>
      <c r="AC52" s="72"/>
      <c r="AD52" s="72"/>
      <c r="AE52" s="72"/>
      <c r="AF52" s="72"/>
      <c r="AG52" s="74"/>
      <c r="AH52" s="18" t="b">
        <v>1</v>
      </c>
      <c r="AI52" s="6" t="str">
        <f>IF(ISBLANK(AH52),IncompleteText,IF(AH52,OKText,ErrorText))</f>
        <v>OK</v>
      </c>
      <c r="AK52" s="98"/>
      <c r="AL52" s="98"/>
      <c r="AM52" s="98"/>
      <c r="AN52" s="98"/>
      <c r="AO52" s="98"/>
      <c r="AP52" s="98"/>
      <c r="AQ52" s="98"/>
      <c r="AR52" s="98"/>
      <c r="AS52" s="98"/>
      <c r="AT52" s="98"/>
      <c r="AU52" s="98"/>
      <c r="AW52" s="98"/>
      <c r="AX52" s="98"/>
      <c r="AY52" s="98"/>
      <c r="AZ52" s="98"/>
      <c r="BA52" s="98"/>
      <c r="BB52" s="98"/>
      <c r="BC52" s="98"/>
      <c r="BD52" s="98"/>
      <c r="BE52" s="98"/>
      <c r="BF52" s="98"/>
      <c r="BG52" s="98"/>
    </row>
    <row r="53" spans="1:59" x14ac:dyDescent="0.4">
      <c r="A53" s="72" t="s">
        <v>527</v>
      </c>
      <c r="B53" s="72"/>
      <c r="C53" s="72" t="s">
        <v>528</v>
      </c>
      <c r="D53" s="72"/>
      <c r="E53" s="72"/>
      <c r="F53" s="72"/>
      <c r="G53" s="72"/>
      <c r="H53" s="72"/>
      <c r="I53" s="74"/>
      <c r="J53" s="18" t="b">
        <v>1</v>
      </c>
      <c r="K53" s="6" t="str">
        <f t="shared" si="0"/>
        <v>OK</v>
      </c>
      <c r="AK53" s="98"/>
      <c r="AL53" s="98"/>
      <c r="AM53" s="98"/>
      <c r="AN53" s="98"/>
      <c r="AO53" s="98"/>
      <c r="AP53" s="98"/>
      <c r="AQ53" s="98"/>
      <c r="AR53" s="98"/>
      <c r="AS53" s="98"/>
      <c r="AT53" s="98"/>
      <c r="AU53" s="98"/>
      <c r="AW53" s="98"/>
      <c r="AX53" s="98"/>
      <c r="AY53" s="98"/>
      <c r="AZ53" s="98"/>
      <c r="BA53" s="98"/>
      <c r="BB53" s="98"/>
      <c r="BC53" s="98"/>
      <c r="BD53" s="98"/>
      <c r="BE53" s="98"/>
      <c r="BF53" s="98"/>
      <c r="BG53" s="98"/>
    </row>
    <row r="54" spans="1:59" x14ac:dyDescent="0.4">
      <c r="A54" s="122" t="s">
        <v>529</v>
      </c>
      <c r="B54" s="122"/>
      <c r="C54" s="72" t="s">
        <v>530</v>
      </c>
      <c r="D54" s="72"/>
      <c r="E54" s="72"/>
      <c r="F54" s="72"/>
      <c r="G54" s="72"/>
      <c r="H54" s="72"/>
      <c r="I54" s="74"/>
      <c r="J54" s="18" t="b">
        <v>1</v>
      </c>
      <c r="K54" s="6" t="str">
        <f t="shared" si="0"/>
        <v>OK</v>
      </c>
      <c r="AK54" s="98"/>
      <c r="AL54" s="98"/>
      <c r="AM54" s="98"/>
      <c r="AN54" s="98"/>
      <c r="AO54" s="98"/>
      <c r="AP54" s="98"/>
      <c r="AQ54" s="98"/>
      <c r="AR54" s="98"/>
      <c r="AS54" s="98"/>
      <c r="AT54" s="98"/>
      <c r="AU54" s="98"/>
      <c r="AW54" s="98"/>
      <c r="AX54" s="98"/>
      <c r="AY54" s="98"/>
      <c r="AZ54" s="98"/>
      <c r="BA54" s="98"/>
      <c r="BB54" s="98"/>
      <c r="BC54" s="98"/>
      <c r="BD54" s="98"/>
      <c r="BE54" s="98"/>
      <c r="BF54" s="98"/>
      <c r="BG54" s="98"/>
    </row>
    <row r="55" spans="1:59" x14ac:dyDescent="0.4">
      <c r="A55" s="122"/>
      <c r="B55" s="122"/>
      <c r="C55" s="72" t="s">
        <v>531</v>
      </c>
      <c r="D55" s="72"/>
      <c r="E55" s="72"/>
      <c r="F55" s="72"/>
      <c r="G55" s="72"/>
      <c r="H55" s="72"/>
      <c r="I55" s="74"/>
      <c r="J55" s="18" t="b">
        <v>1</v>
      </c>
      <c r="K55" s="6" t="str">
        <f t="shared" si="0"/>
        <v>OK</v>
      </c>
      <c r="Y55" s="71" t="s">
        <v>532</v>
      </c>
      <c r="Z55" s="71"/>
      <c r="AA55" s="71"/>
      <c r="AB55" s="71"/>
      <c r="AC55" s="71"/>
      <c r="AD55" s="71"/>
      <c r="AE55" s="71"/>
      <c r="AF55" s="71"/>
      <c r="AG55" s="71"/>
      <c r="AH55" s="71"/>
      <c r="AI55" s="93" t="str">
        <f>IF(COUNTIF(AI57:AI58,"="&amp;IncompleteText),IncompleteText,IF(COUNTIF(AI57:AI58,"="&amp;ErrorText),ErrorText,OKText))</f>
        <v>OK</v>
      </c>
      <c r="AK55" s="98"/>
      <c r="AL55" s="98"/>
      <c r="AM55" s="98"/>
      <c r="AN55" s="98"/>
      <c r="AO55" s="98"/>
      <c r="AP55" s="98"/>
      <c r="AQ55" s="98"/>
      <c r="AR55" s="98"/>
      <c r="AS55" s="98"/>
      <c r="AT55" s="98"/>
      <c r="AU55" s="98"/>
      <c r="AW55" s="98"/>
      <c r="AX55" s="98"/>
      <c r="AY55" s="98"/>
      <c r="AZ55" s="98"/>
      <c r="BA55" s="98"/>
      <c r="BB55" s="98"/>
      <c r="BC55" s="98"/>
      <c r="BD55" s="98"/>
      <c r="BE55" s="98"/>
      <c r="BF55" s="98"/>
      <c r="BG55" s="98"/>
    </row>
    <row r="56" spans="1:59" x14ac:dyDescent="0.4">
      <c r="A56" s="122"/>
      <c r="B56" s="122"/>
      <c r="C56" s="72" t="s">
        <v>533</v>
      </c>
      <c r="D56" s="72"/>
      <c r="E56" s="72"/>
      <c r="F56" s="72"/>
      <c r="G56" s="72"/>
      <c r="H56" s="72"/>
      <c r="I56" s="74"/>
      <c r="J56" s="18" t="b">
        <v>1</v>
      </c>
      <c r="K56" s="6" t="str">
        <f t="shared" si="0"/>
        <v>OK</v>
      </c>
      <c r="Y56" s="57" t="s">
        <v>534</v>
      </c>
      <c r="Z56" s="57"/>
      <c r="AA56" s="57"/>
      <c r="AB56" s="57"/>
      <c r="AC56" s="57"/>
      <c r="AD56" s="57"/>
      <c r="AE56" s="57"/>
      <c r="AF56" s="57"/>
      <c r="AG56" s="57"/>
      <c r="AH56" s="57"/>
      <c r="AI56" s="70"/>
      <c r="AK56" s="98"/>
      <c r="AL56" s="98"/>
      <c r="AM56" s="98"/>
      <c r="AN56" s="98"/>
      <c r="AO56" s="98"/>
      <c r="AP56" s="98"/>
      <c r="AQ56" s="98"/>
      <c r="AR56" s="98"/>
      <c r="AS56" s="98"/>
      <c r="AT56" s="98"/>
      <c r="AU56" s="98"/>
      <c r="AW56" s="98"/>
      <c r="AX56" s="98"/>
      <c r="AY56" s="98"/>
      <c r="AZ56" s="98"/>
      <c r="BA56" s="98"/>
      <c r="BB56" s="98"/>
      <c r="BC56" s="98"/>
      <c r="BD56" s="98"/>
      <c r="BE56" s="98"/>
      <c r="BF56" s="98"/>
      <c r="BG56" s="98"/>
    </row>
    <row r="57" spans="1:59" x14ac:dyDescent="0.4">
      <c r="A57" s="72" t="s">
        <v>535</v>
      </c>
      <c r="B57" s="72"/>
      <c r="C57" s="72" t="s">
        <v>536</v>
      </c>
      <c r="D57" s="72"/>
      <c r="E57" s="72"/>
      <c r="F57" s="72"/>
      <c r="G57" s="72"/>
      <c r="H57" s="72"/>
      <c r="I57" s="74"/>
      <c r="J57" s="18" t="b">
        <v>1</v>
      </c>
      <c r="K57" s="6" t="str">
        <f t="shared" si="0"/>
        <v>OK</v>
      </c>
      <c r="Y57" s="183" t="s">
        <v>537</v>
      </c>
      <c r="Z57" s="183"/>
      <c r="AA57" s="183"/>
      <c r="AB57" s="183"/>
      <c r="AC57" s="183"/>
      <c r="AD57" s="183"/>
      <c r="AE57" s="183"/>
      <c r="AF57" s="183"/>
      <c r="AG57" s="23" t="s">
        <v>538</v>
      </c>
      <c r="AH57" s="23" t="s">
        <v>539</v>
      </c>
      <c r="AI57" s="70"/>
      <c r="AK57" s="98"/>
      <c r="AL57" s="98"/>
      <c r="AM57" s="98"/>
      <c r="AN57" s="98"/>
      <c r="AO57" s="98"/>
      <c r="AP57" s="98"/>
      <c r="AQ57" s="98"/>
      <c r="AR57" s="98"/>
      <c r="AS57" s="98"/>
      <c r="AT57" s="98"/>
      <c r="AU57" s="98"/>
      <c r="AW57" s="98"/>
      <c r="AX57" s="98"/>
      <c r="AY57" s="98"/>
      <c r="AZ57" s="98"/>
      <c r="BA57" s="98"/>
      <c r="BB57" s="98"/>
      <c r="BC57" s="98"/>
      <c r="BD57" s="98"/>
      <c r="BE57" s="98"/>
      <c r="BF57" s="98"/>
      <c r="BG57" s="98"/>
    </row>
    <row r="58" spans="1:59" x14ac:dyDescent="0.4">
      <c r="A58" s="72"/>
      <c r="B58" s="72"/>
      <c r="C58" s="72" t="s">
        <v>540</v>
      </c>
      <c r="D58" s="72"/>
      <c r="E58" s="72"/>
      <c r="F58" s="72"/>
      <c r="G58" s="72"/>
      <c r="H58" s="72"/>
      <c r="I58" s="74"/>
      <c r="J58" s="18" t="b">
        <v>1</v>
      </c>
      <c r="K58" s="6" t="str">
        <f t="shared" si="0"/>
        <v>OK</v>
      </c>
      <c r="Y58" s="72" t="s">
        <v>541</v>
      </c>
      <c r="Z58" s="72"/>
      <c r="AA58" s="72"/>
      <c r="AB58" s="72"/>
      <c r="AC58" s="72"/>
      <c r="AD58" s="72"/>
      <c r="AE58" s="72"/>
      <c r="AF58" s="74"/>
      <c r="AG58" s="18" t="s">
        <v>542</v>
      </c>
      <c r="AH58" s="18" t="s">
        <v>542</v>
      </c>
      <c r="AI58" s="6" t="str">
        <f>IF(OR(ISBLANK(AG58),ISBLANK(AH58)),IncompleteText,IF(AND(AH58="熄灭 OFF",AG58="熄灭 OFF"),OKText,ErrorText))</f>
        <v>OK</v>
      </c>
      <c r="AK58" s="98"/>
      <c r="AL58" s="98"/>
      <c r="AM58" s="98"/>
      <c r="AN58" s="98"/>
      <c r="AO58" s="98"/>
      <c r="AP58" s="98"/>
      <c r="AQ58" s="98"/>
      <c r="AR58" s="98"/>
      <c r="AS58" s="98"/>
      <c r="AT58" s="98"/>
      <c r="AU58" s="98"/>
      <c r="AW58" s="98"/>
      <c r="AX58" s="98"/>
      <c r="AY58" s="98"/>
      <c r="AZ58" s="98"/>
      <c r="BA58" s="98"/>
      <c r="BB58" s="98"/>
      <c r="BC58" s="98"/>
      <c r="BD58" s="98"/>
      <c r="BE58" s="98"/>
      <c r="BF58" s="98"/>
      <c r="BG58" s="98"/>
    </row>
    <row r="59" spans="1:59" x14ac:dyDescent="0.4">
      <c r="A59" s="72"/>
      <c r="B59" s="72"/>
      <c r="C59" s="72" t="s">
        <v>543</v>
      </c>
      <c r="D59" s="72"/>
      <c r="E59" s="72"/>
      <c r="F59" s="72"/>
      <c r="G59" s="72"/>
      <c r="H59" s="72"/>
      <c r="I59" s="74"/>
      <c r="J59" s="18" t="b">
        <v>1</v>
      </c>
      <c r="K59" s="6" t="str">
        <f t="shared" si="0"/>
        <v>OK</v>
      </c>
      <c r="Y59" s="72" t="s">
        <v>544</v>
      </c>
      <c r="Z59" s="72"/>
      <c r="AA59" s="72"/>
      <c r="AB59" s="72"/>
      <c r="AC59" s="72"/>
      <c r="AD59" s="72"/>
      <c r="AE59" s="72"/>
      <c r="AF59" s="74"/>
      <c r="AG59" s="18" t="s">
        <v>545</v>
      </c>
      <c r="AH59" s="18" t="s">
        <v>542</v>
      </c>
      <c r="AI59" s="6" t="str">
        <f>IF(OR(ISBLANK(AG59),ISBLANK(AH59)),IncompleteText,IF(AND(AG59="常亮 ON",AH59="熄灭 OFF"),OKText,ErrorText))</f>
        <v>OK</v>
      </c>
      <c r="AK59" s="98"/>
      <c r="AL59" s="98"/>
      <c r="AM59" s="98"/>
      <c r="AN59" s="98"/>
      <c r="AO59" s="98"/>
      <c r="AP59" s="98"/>
      <c r="AQ59" s="98"/>
      <c r="AR59" s="98"/>
      <c r="AS59" s="98"/>
      <c r="AT59" s="98"/>
      <c r="AU59" s="98"/>
      <c r="AW59" s="98"/>
      <c r="AX59" s="98"/>
      <c r="AY59" s="98"/>
      <c r="AZ59" s="98"/>
      <c r="BA59" s="98"/>
      <c r="BB59" s="98"/>
      <c r="BC59" s="98"/>
      <c r="BD59" s="98"/>
      <c r="BE59" s="98"/>
      <c r="BF59" s="98"/>
      <c r="BG59" s="98"/>
    </row>
    <row r="60" spans="1:59" s="27" customFormat="1" ht="42" customHeight="1" x14ac:dyDescent="0.4">
      <c r="A60" s="122"/>
      <c r="B60" s="122"/>
      <c r="C60" s="122" t="s">
        <v>546</v>
      </c>
      <c r="D60" s="122"/>
      <c r="E60" s="122"/>
      <c r="F60" s="122"/>
      <c r="G60" s="122"/>
      <c r="H60" s="122"/>
      <c r="I60" s="123"/>
      <c r="J60" s="28" t="b">
        <v>1</v>
      </c>
      <c r="K60" s="8" t="str">
        <f t="shared" si="0"/>
        <v>OK</v>
      </c>
      <c r="Y60" s="124" t="s">
        <v>547</v>
      </c>
      <c r="Z60" s="124"/>
      <c r="AA60" s="124"/>
      <c r="AB60" s="124"/>
      <c r="AC60" s="124"/>
      <c r="AD60" s="124"/>
      <c r="AE60" s="124"/>
      <c r="AF60" s="125"/>
      <c r="AG60" s="28" t="s">
        <v>545</v>
      </c>
      <c r="AH60" s="28" t="s">
        <v>542</v>
      </c>
      <c r="AI60" s="8" t="str">
        <f>IF(OR(ISBLANK(AG60),ISBLANK(AH60)),IncompleteText,IF(AND(AG60="常亮 ON",AH60="熄灭 OFF"),OKText,ErrorText))</f>
        <v>OK</v>
      </c>
      <c r="AK60" s="98"/>
      <c r="AL60" s="98"/>
      <c r="AM60" s="98"/>
      <c r="AN60" s="98"/>
      <c r="AO60" s="98"/>
      <c r="AP60" s="98"/>
      <c r="AQ60" s="98"/>
      <c r="AR60" s="98"/>
      <c r="AS60" s="98"/>
      <c r="AT60" s="98"/>
      <c r="AU60" s="98"/>
      <c r="AW60" s="98"/>
      <c r="AX60" s="98"/>
      <c r="AY60" s="98"/>
      <c r="AZ60" s="98"/>
      <c r="BA60" s="98"/>
      <c r="BB60" s="98"/>
      <c r="BC60" s="98"/>
      <c r="BD60" s="98"/>
      <c r="BE60" s="98"/>
      <c r="BF60" s="98"/>
      <c r="BG60" s="98"/>
    </row>
    <row r="61" spans="1:59" s="27" customFormat="1" ht="33" customHeight="1" x14ac:dyDescent="0.4">
      <c r="A61" s="122" t="s">
        <v>548</v>
      </c>
      <c r="B61" s="122"/>
      <c r="C61" s="122" t="s">
        <v>549</v>
      </c>
      <c r="D61" s="122"/>
      <c r="E61" s="122"/>
      <c r="F61" s="122"/>
      <c r="G61" s="122"/>
      <c r="H61" s="122"/>
      <c r="I61" s="123"/>
      <c r="J61" s="28" t="b">
        <v>1</v>
      </c>
      <c r="K61" s="8" t="str">
        <f t="shared" si="0"/>
        <v>OK</v>
      </c>
      <c r="Y61" s="124" t="s">
        <v>550</v>
      </c>
      <c r="Z61" s="124"/>
      <c r="AA61" s="124"/>
      <c r="AB61" s="124"/>
      <c r="AC61" s="124"/>
      <c r="AD61" s="124"/>
      <c r="AE61" s="124"/>
      <c r="AF61" s="125"/>
      <c r="AG61" s="28" t="s">
        <v>545</v>
      </c>
      <c r="AH61" s="28" t="s">
        <v>551</v>
      </c>
      <c r="AI61" s="8" t="str">
        <f>IF(OR(ISBLANK(AG61),ISBLANK(AH61)),IncompleteText,IF(AND(AG61="常亮 ON",AH61="闪烁 Flashing"),OKText,ErrorText))</f>
        <v>OK</v>
      </c>
      <c r="AK61" s="98"/>
      <c r="AL61" s="98"/>
      <c r="AM61" s="98"/>
      <c r="AN61" s="98"/>
      <c r="AO61" s="98"/>
      <c r="AP61" s="98"/>
      <c r="AQ61" s="98"/>
      <c r="AR61" s="98"/>
      <c r="AS61" s="98"/>
      <c r="AT61" s="98"/>
      <c r="AU61" s="98"/>
      <c r="AW61" s="98"/>
      <c r="AX61" s="98"/>
      <c r="AY61" s="98"/>
      <c r="AZ61" s="98"/>
      <c r="BA61" s="98"/>
      <c r="BB61" s="98"/>
      <c r="BC61" s="98"/>
      <c r="BD61" s="98"/>
      <c r="BE61" s="98"/>
      <c r="BF61" s="98"/>
      <c r="BG61" s="98"/>
    </row>
    <row r="62" spans="1:59" x14ac:dyDescent="0.4">
      <c r="A62" s="72" t="s">
        <v>509</v>
      </c>
      <c r="B62" s="72"/>
      <c r="C62" s="72" t="s">
        <v>552</v>
      </c>
      <c r="D62" s="72"/>
      <c r="E62" s="72"/>
      <c r="F62" s="72"/>
      <c r="G62" s="72"/>
      <c r="H62" s="72"/>
      <c r="I62" s="74"/>
      <c r="J62" s="18" t="b">
        <v>1</v>
      </c>
      <c r="K62" s="6" t="str">
        <f t="shared" si="0"/>
        <v>OK</v>
      </c>
      <c r="Y62" s="72" t="s">
        <v>553</v>
      </c>
      <c r="Z62" s="72"/>
      <c r="AA62" s="72"/>
      <c r="AB62" s="72"/>
      <c r="AC62" s="72"/>
      <c r="AD62" s="72"/>
      <c r="AE62" s="72"/>
      <c r="AF62" s="74"/>
      <c r="AG62" s="18" t="s">
        <v>542</v>
      </c>
      <c r="AH62" s="18" t="s">
        <v>542</v>
      </c>
      <c r="AI62" s="6" t="str">
        <f>IF(OR(ISBLANK(AG62),ISBLANK(AH62)),IncompleteText,IF(AND(AH62="熄灭 OFF",AG62="熄灭 OFF"),OKText,ErrorText))</f>
        <v>OK</v>
      </c>
      <c r="AK62" s="98"/>
      <c r="AL62" s="98"/>
      <c r="AM62" s="98"/>
      <c r="AN62" s="98"/>
      <c r="AO62" s="98"/>
      <c r="AP62" s="98"/>
      <c r="AQ62" s="98"/>
      <c r="AR62" s="98"/>
      <c r="AS62" s="98"/>
      <c r="AT62" s="98"/>
      <c r="AU62" s="98"/>
      <c r="AW62" s="98"/>
      <c r="AX62" s="98"/>
      <c r="AY62" s="98"/>
      <c r="AZ62" s="98"/>
      <c r="BA62" s="98"/>
      <c r="BB62" s="98"/>
      <c r="BC62" s="98"/>
      <c r="BD62" s="98"/>
      <c r="BE62" s="98"/>
      <c r="BF62" s="98"/>
      <c r="BG62" s="98"/>
    </row>
    <row r="63" spans="1:59" ht="35.25" customHeight="1" x14ac:dyDescent="0.4">
      <c r="A63" s="71" t="s">
        <v>267</v>
      </c>
      <c r="B63" s="71"/>
      <c r="C63" s="71"/>
      <c r="D63" s="71"/>
      <c r="E63" s="71"/>
      <c r="F63" s="71"/>
      <c r="G63" s="71"/>
      <c r="H63" s="71"/>
      <c r="I63" s="71"/>
      <c r="J63" s="181" t="s">
        <v>352</v>
      </c>
      <c r="K63" s="182"/>
      <c r="Y63" s="126" t="s">
        <v>554</v>
      </c>
      <c r="Z63" s="126"/>
      <c r="AA63" s="126"/>
      <c r="AB63" s="126"/>
      <c r="AC63" s="126"/>
      <c r="AD63" s="126"/>
      <c r="AE63" s="126"/>
      <c r="AF63" s="127"/>
      <c r="AG63" s="18" t="s">
        <v>542</v>
      </c>
      <c r="AH63" s="18" t="s">
        <v>542</v>
      </c>
      <c r="AI63" s="6" t="str">
        <f>IF(OR(ISBLANK(AG63),ISBLANK(AH63)),IncompleteText,IF(AND(AH63="熄灭 OFF",AG63="熄灭 OFF"),OKText,ErrorText))</f>
        <v>OK</v>
      </c>
      <c r="AK63" s="98"/>
      <c r="AL63" s="98"/>
      <c r="AM63" s="98"/>
      <c r="AN63" s="98"/>
      <c r="AO63" s="98"/>
      <c r="AP63" s="98"/>
      <c r="AQ63" s="98"/>
      <c r="AR63" s="98"/>
      <c r="AS63" s="98"/>
      <c r="AT63" s="98"/>
      <c r="AU63" s="98"/>
      <c r="AW63" s="98"/>
      <c r="AX63" s="98"/>
      <c r="AY63" s="98"/>
      <c r="AZ63" s="98"/>
      <c r="BA63" s="98"/>
      <c r="BB63" s="98"/>
      <c r="BC63" s="98"/>
      <c r="BD63" s="98"/>
      <c r="BE63" s="98"/>
      <c r="BF63" s="98"/>
      <c r="BG63" s="98"/>
    </row>
    <row r="64" spans="1:59" x14ac:dyDescent="0.4">
      <c r="A64" s="152"/>
      <c r="B64" s="96"/>
      <c r="C64" s="96"/>
      <c r="D64" s="96"/>
      <c r="E64" s="96"/>
      <c r="F64" s="96"/>
      <c r="G64" s="96"/>
      <c r="H64" s="96"/>
      <c r="I64" s="96"/>
      <c r="J64" s="82" t="s">
        <v>555</v>
      </c>
      <c r="K64" s="81"/>
      <c r="AK64" s="98"/>
      <c r="AL64" s="98"/>
      <c r="AM64" s="98"/>
      <c r="AN64" s="98"/>
      <c r="AO64" s="98"/>
      <c r="AP64" s="98"/>
      <c r="AQ64" s="98"/>
      <c r="AR64" s="98"/>
      <c r="AS64" s="98"/>
      <c r="AT64" s="98"/>
      <c r="AU64" s="98"/>
      <c r="AW64" s="98"/>
      <c r="AX64" s="98"/>
      <c r="AY64" s="98"/>
      <c r="AZ64" s="98"/>
      <c r="BA64" s="98"/>
      <c r="BB64" s="98"/>
      <c r="BC64" s="98"/>
      <c r="BD64" s="98"/>
      <c r="BE64" s="98"/>
      <c r="BF64" s="98"/>
      <c r="BG64" s="98"/>
    </row>
    <row r="65" spans="1:59" x14ac:dyDescent="0.4">
      <c r="A65" s="152"/>
      <c r="B65" s="96"/>
      <c r="C65" s="96"/>
      <c r="D65" s="96"/>
      <c r="E65" s="96"/>
      <c r="F65" s="96"/>
      <c r="G65" s="96"/>
      <c r="H65" s="96"/>
      <c r="I65" s="96"/>
      <c r="J65" s="81"/>
      <c r="K65" s="81"/>
      <c r="AK65" s="98"/>
      <c r="AL65" s="98"/>
      <c r="AM65" s="98"/>
      <c r="AN65" s="98"/>
      <c r="AO65" s="98"/>
      <c r="AP65" s="98"/>
      <c r="AQ65" s="98"/>
      <c r="AR65" s="98"/>
      <c r="AS65" s="98"/>
      <c r="AT65" s="98"/>
      <c r="AU65" s="98"/>
      <c r="AW65" s="98"/>
      <c r="AX65" s="98"/>
      <c r="AY65" s="98"/>
      <c r="AZ65" s="98"/>
      <c r="BA65" s="98"/>
      <c r="BB65" s="98"/>
      <c r="BC65" s="98"/>
      <c r="BD65" s="98"/>
      <c r="BE65" s="98"/>
      <c r="BF65" s="98"/>
      <c r="BG65" s="98"/>
    </row>
    <row r="66" spans="1:59" x14ac:dyDescent="0.4">
      <c r="A66" s="152"/>
      <c r="B66" s="96"/>
      <c r="C66" s="96"/>
      <c r="D66" s="96"/>
      <c r="E66" s="96"/>
      <c r="F66" s="96"/>
      <c r="G66" s="96"/>
      <c r="H66" s="96"/>
      <c r="I66" s="96"/>
      <c r="J66" s="81"/>
      <c r="K66" s="81"/>
      <c r="AK66" s="98"/>
      <c r="AL66" s="98"/>
      <c r="AM66" s="98"/>
      <c r="AN66" s="98"/>
      <c r="AO66" s="98"/>
      <c r="AP66" s="98"/>
      <c r="AQ66" s="98"/>
      <c r="AR66" s="98"/>
      <c r="AS66" s="98"/>
      <c r="AT66" s="98"/>
      <c r="AU66" s="98"/>
      <c r="AW66" s="98"/>
      <c r="AX66" s="98"/>
      <c r="AY66" s="98"/>
      <c r="AZ66" s="98"/>
      <c r="BA66" s="98"/>
      <c r="BB66" s="98"/>
      <c r="BC66" s="98"/>
      <c r="BD66" s="98"/>
      <c r="BE66" s="98"/>
      <c r="BF66" s="98"/>
      <c r="BG66" s="98"/>
    </row>
    <row r="67" spans="1:59" x14ac:dyDescent="0.4">
      <c r="A67" s="152"/>
      <c r="B67" s="96"/>
      <c r="C67" s="96"/>
      <c r="D67" s="96"/>
      <c r="E67" s="96"/>
      <c r="F67" s="96"/>
      <c r="G67" s="96"/>
      <c r="H67" s="96"/>
      <c r="I67" s="96"/>
      <c r="J67" s="81"/>
      <c r="K67" s="81"/>
      <c r="AK67" s="98"/>
      <c r="AL67" s="98"/>
      <c r="AM67" s="98"/>
      <c r="AN67" s="98"/>
      <c r="AO67" s="98"/>
      <c r="AP67" s="98"/>
      <c r="AQ67" s="98"/>
      <c r="AR67" s="98"/>
      <c r="AS67" s="98"/>
      <c r="AT67" s="98"/>
      <c r="AU67" s="98"/>
      <c r="AW67" s="98"/>
      <c r="AX67" s="98"/>
      <c r="AY67" s="98"/>
      <c r="AZ67" s="98"/>
      <c r="BA67" s="98"/>
      <c r="BB67" s="98"/>
      <c r="BC67" s="98"/>
      <c r="BD67" s="98"/>
      <c r="BE67" s="98"/>
      <c r="BF67" s="98"/>
      <c r="BG67" s="98"/>
    </row>
    <row r="68" spans="1:59" x14ac:dyDescent="0.4">
      <c r="AK68" s="98"/>
      <c r="AL68" s="98"/>
      <c r="AM68" s="98"/>
      <c r="AN68" s="98"/>
      <c r="AO68" s="98"/>
      <c r="AP68" s="98"/>
      <c r="AQ68" s="98"/>
      <c r="AR68" s="98"/>
      <c r="AS68" s="98"/>
      <c r="AT68" s="98"/>
      <c r="AU68" s="98"/>
      <c r="AW68" s="98"/>
      <c r="AX68" s="98"/>
      <c r="AY68" s="98"/>
      <c r="AZ68" s="98"/>
      <c r="BA68" s="98"/>
      <c r="BB68" s="98"/>
      <c r="BC68" s="98"/>
      <c r="BD68" s="98"/>
      <c r="BE68" s="98"/>
      <c r="BF68" s="98"/>
      <c r="BG68" s="98"/>
    </row>
    <row r="69" spans="1:59" x14ac:dyDescent="0.4">
      <c r="A69" s="98" t="s">
        <v>556</v>
      </c>
      <c r="B69" s="98"/>
      <c r="C69" s="98"/>
      <c r="D69" s="98"/>
      <c r="E69" s="98"/>
      <c r="F69" s="98"/>
      <c r="G69" s="98"/>
      <c r="H69" s="98"/>
      <c r="I69" s="98"/>
      <c r="J69" s="98"/>
      <c r="K69" s="98"/>
      <c r="AK69" s="98"/>
      <c r="AL69" s="98"/>
      <c r="AM69" s="98"/>
      <c r="AN69" s="98"/>
      <c r="AO69" s="98"/>
      <c r="AP69" s="98"/>
      <c r="AQ69" s="98"/>
      <c r="AR69" s="98"/>
      <c r="AS69" s="98"/>
      <c r="AT69" s="98"/>
      <c r="AU69" s="98"/>
      <c r="AW69" s="98"/>
      <c r="AX69" s="98"/>
      <c r="AY69" s="98"/>
      <c r="AZ69" s="98"/>
      <c r="BA69" s="98"/>
      <c r="BB69" s="98"/>
      <c r="BC69" s="98"/>
      <c r="BD69" s="98"/>
      <c r="BE69" s="98"/>
      <c r="BF69" s="98"/>
      <c r="BG69" s="98"/>
    </row>
    <row r="70" spans="1:59" x14ac:dyDescent="0.4">
      <c r="A70" s="98"/>
      <c r="B70" s="98"/>
      <c r="C70" s="98"/>
      <c r="D70" s="98"/>
      <c r="E70" s="98"/>
      <c r="F70" s="98"/>
      <c r="G70" s="98"/>
      <c r="H70" s="98"/>
      <c r="I70" s="98"/>
      <c r="J70" s="98"/>
      <c r="K70" s="98"/>
      <c r="M70" s="98" t="s">
        <v>557</v>
      </c>
      <c r="N70" s="98"/>
      <c r="O70" s="98"/>
      <c r="P70" s="98"/>
      <c r="Q70" s="98"/>
      <c r="R70" s="98"/>
      <c r="S70" s="98"/>
      <c r="T70" s="98"/>
      <c r="U70" s="98"/>
      <c r="V70" s="98"/>
      <c r="W70" s="98"/>
      <c r="AK70" s="98"/>
      <c r="AL70" s="98"/>
      <c r="AM70" s="98"/>
      <c r="AN70" s="98"/>
      <c r="AO70" s="98"/>
      <c r="AP70" s="98"/>
      <c r="AQ70" s="98"/>
      <c r="AR70" s="98"/>
      <c r="AS70" s="98"/>
      <c r="AT70" s="98"/>
      <c r="AU70" s="98"/>
      <c r="AW70" s="98"/>
      <c r="AX70" s="98"/>
      <c r="AY70" s="98"/>
      <c r="AZ70" s="98"/>
      <c r="BA70" s="98"/>
      <c r="BB70" s="98"/>
      <c r="BC70" s="98"/>
      <c r="BD70" s="98"/>
      <c r="BE70" s="98"/>
      <c r="BF70" s="98"/>
      <c r="BG70" s="98"/>
    </row>
    <row r="71" spans="1:59" x14ac:dyDescent="0.4">
      <c r="A71" s="98"/>
      <c r="B71" s="98"/>
      <c r="C71" s="98"/>
      <c r="D71" s="98"/>
      <c r="E71" s="98"/>
      <c r="F71" s="98"/>
      <c r="G71" s="98"/>
      <c r="H71" s="98"/>
      <c r="I71" s="98"/>
      <c r="J71" s="98"/>
      <c r="K71" s="98"/>
      <c r="M71" s="98"/>
      <c r="N71" s="98"/>
      <c r="O71" s="98"/>
      <c r="P71" s="98"/>
      <c r="Q71" s="98"/>
      <c r="R71" s="98"/>
      <c r="S71" s="98"/>
      <c r="T71" s="98"/>
      <c r="U71" s="98"/>
      <c r="V71" s="98"/>
      <c r="W71" s="98"/>
      <c r="AK71" s="98"/>
      <c r="AL71" s="98"/>
      <c r="AM71" s="98"/>
      <c r="AN71" s="98"/>
      <c r="AO71" s="98"/>
      <c r="AP71" s="98"/>
      <c r="AQ71" s="98"/>
      <c r="AR71" s="98"/>
      <c r="AS71" s="98"/>
      <c r="AT71" s="98"/>
      <c r="AU71" s="98"/>
      <c r="AW71" s="98"/>
      <c r="AX71" s="98"/>
      <c r="AY71" s="98"/>
      <c r="AZ71" s="98"/>
      <c r="BA71" s="98"/>
      <c r="BB71" s="98"/>
      <c r="BC71" s="98"/>
      <c r="BD71" s="98"/>
      <c r="BE71" s="98"/>
      <c r="BF71" s="98"/>
      <c r="BG71" s="98"/>
    </row>
    <row r="72" spans="1:59" x14ac:dyDescent="0.4">
      <c r="A72" s="98"/>
      <c r="B72" s="98"/>
      <c r="C72" s="98"/>
      <c r="D72" s="98"/>
      <c r="E72" s="98"/>
      <c r="F72" s="98"/>
      <c r="G72" s="98"/>
      <c r="H72" s="98"/>
      <c r="I72" s="98"/>
      <c r="J72" s="98"/>
      <c r="K72" s="98"/>
      <c r="M72" s="98"/>
      <c r="N72" s="98"/>
      <c r="O72" s="98"/>
      <c r="P72" s="98"/>
      <c r="Q72" s="98"/>
      <c r="R72" s="98"/>
      <c r="S72" s="98"/>
      <c r="T72" s="98"/>
      <c r="U72" s="98"/>
      <c r="V72" s="98"/>
      <c r="W72" s="98"/>
      <c r="AK72" s="98"/>
      <c r="AL72" s="98"/>
      <c r="AM72" s="98"/>
      <c r="AN72" s="98"/>
      <c r="AO72" s="98"/>
      <c r="AP72" s="98"/>
      <c r="AQ72" s="98"/>
      <c r="AR72" s="98"/>
      <c r="AS72" s="98"/>
      <c r="AT72" s="98"/>
      <c r="AU72" s="98"/>
      <c r="AW72" s="98"/>
      <c r="AX72" s="98"/>
      <c r="AY72" s="98"/>
      <c r="AZ72" s="98"/>
      <c r="BA72" s="98"/>
      <c r="BB72" s="98"/>
      <c r="BC72" s="98"/>
      <c r="BD72" s="98"/>
      <c r="BE72" s="98"/>
      <c r="BF72" s="98"/>
      <c r="BG72" s="98"/>
    </row>
    <row r="73" spans="1:59" x14ac:dyDescent="0.4">
      <c r="A73" s="98"/>
      <c r="B73" s="98"/>
      <c r="C73" s="98"/>
      <c r="D73" s="98"/>
      <c r="E73" s="98"/>
      <c r="F73" s="98"/>
      <c r="G73" s="98"/>
      <c r="H73" s="98"/>
      <c r="I73" s="98"/>
      <c r="J73" s="98"/>
      <c r="K73" s="98"/>
      <c r="M73" s="98"/>
      <c r="N73" s="98"/>
      <c r="O73" s="98"/>
      <c r="P73" s="98"/>
      <c r="Q73" s="98"/>
      <c r="R73" s="98"/>
      <c r="S73" s="98"/>
      <c r="T73" s="98"/>
      <c r="U73" s="98"/>
      <c r="V73" s="98"/>
      <c r="W73" s="98"/>
      <c r="AK73" s="98"/>
      <c r="AL73" s="98"/>
      <c r="AM73" s="98"/>
      <c r="AN73" s="98"/>
      <c r="AO73" s="98"/>
      <c r="AP73" s="98"/>
      <c r="AQ73" s="98"/>
      <c r="AR73" s="98"/>
      <c r="AS73" s="98"/>
      <c r="AT73" s="98"/>
      <c r="AU73" s="98"/>
      <c r="AW73" s="98"/>
      <c r="AX73" s="98"/>
      <c r="AY73" s="98"/>
      <c r="AZ73" s="98"/>
      <c r="BA73" s="98"/>
      <c r="BB73" s="98"/>
      <c r="BC73" s="98"/>
      <c r="BD73" s="98"/>
      <c r="BE73" s="98"/>
      <c r="BF73" s="98"/>
      <c r="BG73" s="98"/>
    </row>
    <row r="74" spans="1:59" x14ac:dyDescent="0.4">
      <c r="A74" s="98"/>
      <c r="B74" s="98"/>
      <c r="C74" s="98"/>
      <c r="D74" s="98"/>
      <c r="E74" s="98"/>
      <c r="F74" s="98"/>
      <c r="G74" s="98"/>
      <c r="H74" s="98"/>
      <c r="I74" s="98"/>
      <c r="J74" s="98"/>
      <c r="K74" s="98"/>
      <c r="M74" s="98"/>
      <c r="N74" s="98"/>
      <c r="O74" s="98"/>
      <c r="P74" s="98"/>
      <c r="Q74" s="98"/>
      <c r="R74" s="98"/>
      <c r="S74" s="98"/>
      <c r="T74" s="98"/>
      <c r="U74" s="98"/>
      <c r="V74" s="98"/>
      <c r="W74" s="98"/>
      <c r="AK74" s="98"/>
      <c r="AL74" s="98"/>
      <c r="AM74" s="98"/>
      <c r="AN74" s="98"/>
      <c r="AO74" s="98"/>
      <c r="AP74" s="98"/>
      <c r="AQ74" s="98"/>
      <c r="AR74" s="98"/>
      <c r="AS74" s="98"/>
      <c r="AT74" s="98"/>
      <c r="AU74" s="98"/>
      <c r="AW74" s="98"/>
      <c r="AX74" s="98"/>
      <c r="AY74" s="98"/>
      <c r="AZ74" s="98"/>
      <c r="BA74" s="98"/>
      <c r="BB74" s="98"/>
      <c r="BC74" s="98"/>
      <c r="BD74" s="98"/>
      <c r="BE74" s="98"/>
      <c r="BF74" s="98"/>
      <c r="BG74" s="98"/>
    </row>
    <row r="75" spans="1:59" x14ac:dyDescent="0.4">
      <c r="A75" s="98"/>
      <c r="B75" s="98"/>
      <c r="C75" s="98"/>
      <c r="D75" s="98"/>
      <c r="E75" s="98"/>
      <c r="F75" s="98"/>
      <c r="G75" s="98"/>
      <c r="H75" s="98"/>
      <c r="I75" s="98"/>
      <c r="J75" s="98"/>
      <c r="K75" s="98"/>
      <c r="M75" s="98"/>
      <c r="N75" s="98"/>
      <c r="O75" s="98"/>
      <c r="P75" s="98"/>
      <c r="Q75" s="98"/>
      <c r="R75" s="98"/>
      <c r="S75" s="98"/>
      <c r="T75" s="98"/>
      <c r="U75" s="98"/>
      <c r="V75" s="98"/>
      <c r="W75" s="98"/>
      <c r="AK75" s="98"/>
      <c r="AL75" s="98"/>
      <c r="AM75" s="98"/>
      <c r="AN75" s="98"/>
      <c r="AO75" s="98"/>
      <c r="AP75" s="98"/>
      <c r="AQ75" s="98"/>
      <c r="AR75" s="98"/>
      <c r="AS75" s="98"/>
      <c r="AT75" s="98"/>
      <c r="AU75" s="98"/>
      <c r="AW75" s="98"/>
      <c r="AX75" s="98"/>
      <c r="AY75" s="98"/>
      <c r="AZ75" s="98"/>
      <c r="BA75" s="98"/>
      <c r="BB75" s="98"/>
      <c r="BC75" s="98"/>
      <c r="BD75" s="98"/>
      <c r="BE75" s="98"/>
      <c r="BF75" s="98"/>
      <c r="BG75" s="98"/>
    </row>
    <row r="76" spans="1:59" x14ac:dyDescent="0.4">
      <c r="A76" s="98"/>
      <c r="B76" s="98"/>
      <c r="C76" s="98"/>
      <c r="D76" s="98"/>
      <c r="E76" s="98"/>
      <c r="F76" s="98"/>
      <c r="G76" s="98"/>
      <c r="H76" s="98"/>
      <c r="I76" s="98"/>
      <c r="J76" s="98"/>
      <c r="K76" s="98"/>
      <c r="M76" s="98"/>
      <c r="N76" s="98"/>
      <c r="O76" s="98"/>
      <c r="P76" s="98"/>
      <c r="Q76" s="98"/>
      <c r="R76" s="98"/>
      <c r="S76" s="98"/>
      <c r="T76" s="98"/>
      <c r="U76" s="98"/>
      <c r="V76" s="98"/>
      <c r="W76" s="98"/>
      <c r="AK76" s="71" t="s">
        <v>558</v>
      </c>
      <c r="AL76" s="71"/>
      <c r="AM76" s="71"/>
      <c r="AN76" s="71"/>
      <c r="AO76" s="71"/>
      <c r="AP76" s="71"/>
      <c r="AQ76" s="71"/>
      <c r="AR76" s="71"/>
      <c r="AS76" s="71"/>
      <c r="AT76" s="71"/>
      <c r="AU76" s="93" t="str">
        <f>IF(COUNTIF(AU78:AU88,"="&amp;IncompleteText),IncompleteText,IF(COUNTIF(AU78:AU88,"="&amp;ErrorText),ErrorText,OKText))</f>
        <v>BLANK</v>
      </c>
      <c r="AW76" s="71" t="s">
        <v>559</v>
      </c>
      <c r="AX76" s="71"/>
      <c r="AY76" s="71"/>
      <c r="AZ76" s="71"/>
      <c r="BA76" s="71"/>
      <c r="BB76" s="71"/>
      <c r="BC76" s="71"/>
      <c r="BD76" s="71"/>
      <c r="BE76" s="71"/>
      <c r="BF76" s="71"/>
      <c r="BG76" s="93" t="str">
        <f>IF(COUNTIF(BG78:BG80,"="&amp;IncompleteText),IncompleteText,IF(COUNTIF(BG78:BG80,"="&amp;ErrorText),ErrorText,OKText))</f>
        <v>OK</v>
      </c>
    </row>
    <row r="77" spans="1:59" x14ac:dyDescent="0.4">
      <c r="A77" s="98"/>
      <c r="B77" s="98"/>
      <c r="C77" s="98"/>
      <c r="D77" s="98"/>
      <c r="E77" s="98"/>
      <c r="F77" s="98"/>
      <c r="G77" s="98"/>
      <c r="H77" s="98"/>
      <c r="I77" s="98"/>
      <c r="J77" s="98"/>
      <c r="K77" s="98"/>
      <c r="M77" s="98"/>
      <c r="N77" s="98"/>
      <c r="O77" s="98"/>
      <c r="P77" s="98"/>
      <c r="Q77" s="98"/>
      <c r="R77" s="98"/>
      <c r="S77" s="98"/>
      <c r="T77" s="98"/>
      <c r="U77" s="98"/>
      <c r="V77" s="98"/>
      <c r="W77" s="98"/>
      <c r="AK77" s="21"/>
      <c r="AL77" s="21"/>
      <c r="AM77" s="21"/>
      <c r="AN77" s="21"/>
      <c r="AO77" s="21"/>
      <c r="AP77" s="21"/>
      <c r="AQ77" s="21"/>
      <c r="AR77" s="21"/>
      <c r="AS77" s="21"/>
      <c r="AT77" s="21"/>
      <c r="AU77" s="70"/>
      <c r="AW77" s="21"/>
      <c r="AX77" s="21"/>
      <c r="AY77" s="21"/>
      <c r="AZ77" s="21"/>
      <c r="BA77" s="21"/>
      <c r="BB77" s="21"/>
      <c r="BC77" s="21"/>
      <c r="BD77" s="21"/>
      <c r="BE77" s="21"/>
      <c r="BF77" s="21"/>
      <c r="BG77" s="70"/>
    </row>
    <row r="78" spans="1:59" x14ac:dyDescent="0.4">
      <c r="A78" s="98"/>
      <c r="B78" s="98"/>
      <c r="C78" s="98"/>
      <c r="D78" s="98"/>
      <c r="E78" s="98"/>
      <c r="F78" s="98"/>
      <c r="G78" s="98"/>
      <c r="H78" s="98"/>
      <c r="I78" s="98"/>
      <c r="J78" s="98"/>
      <c r="K78" s="98"/>
      <c r="M78" s="98"/>
      <c r="N78" s="98"/>
      <c r="O78" s="98"/>
      <c r="P78" s="98"/>
      <c r="Q78" s="98"/>
      <c r="R78" s="98"/>
      <c r="S78" s="98"/>
      <c r="T78" s="98"/>
      <c r="U78" s="98"/>
      <c r="V78" s="98"/>
      <c r="W78" s="98"/>
      <c r="AK78" s="72" t="s">
        <v>560</v>
      </c>
      <c r="AL78" s="72"/>
      <c r="AM78" s="72"/>
      <c r="AN78" s="72"/>
      <c r="AO78" s="72"/>
      <c r="AP78" s="72"/>
      <c r="AQ78" s="72"/>
      <c r="AR78" s="72"/>
      <c r="AS78" s="74"/>
      <c r="AT78" s="18" t="s">
        <v>561</v>
      </c>
      <c r="AU78" s="6" t="str">
        <f>IF(ISBLANK(AT78),IncompleteText,OKText)</f>
        <v>OK</v>
      </c>
      <c r="AW78" s="72" t="s">
        <v>562</v>
      </c>
      <c r="AX78" s="72"/>
      <c r="AY78" s="72"/>
      <c r="AZ78" s="72"/>
      <c r="BA78" s="72"/>
      <c r="BB78" s="72"/>
      <c r="BC78" s="72"/>
      <c r="BD78" s="72"/>
      <c r="BE78" s="74"/>
      <c r="BF78" s="18" t="b">
        <v>1</v>
      </c>
      <c r="BG78" s="6" t="str">
        <f>IF(ISBLANK(BF78),IncompleteText,IF(BF78,OKText,ErrorText))</f>
        <v>OK</v>
      </c>
    </row>
    <row r="79" spans="1:59" x14ac:dyDescent="0.4">
      <c r="A79" s="98"/>
      <c r="B79" s="98"/>
      <c r="C79" s="98"/>
      <c r="D79" s="98"/>
      <c r="E79" s="98"/>
      <c r="F79" s="98"/>
      <c r="G79" s="98"/>
      <c r="H79" s="98"/>
      <c r="I79" s="98"/>
      <c r="J79" s="98"/>
      <c r="K79" s="98"/>
      <c r="M79" s="98"/>
      <c r="N79" s="98"/>
      <c r="O79" s="98"/>
      <c r="P79" s="98"/>
      <c r="Q79" s="98"/>
      <c r="R79" s="98"/>
      <c r="S79" s="98"/>
      <c r="T79" s="98"/>
      <c r="U79" s="98"/>
      <c r="V79" s="98"/>
      <c r="W79" s="98"/>
      <c r="AK79" s="72" t="s">
        <v>563</v>
      </c>
      <c r="AL79" s="72"/>
      <c r="AM79" s="72"/>
      <c r="AN79" s="72"/>
      <c r="AO79" s="72"/>
      <c r="AP79" s="72"/>
      <c r="AQ79" s="72"/>
      <c r="AR79" s="72"/>
      <c r="AS79" s="74"/>
      <c r="AT79" s="18" t="s">
        <v>150</v>
      </c>
      <c r="AU79" s="6" t="str">
        <f>IF(ISBLANK(AT79),IncompleteText,OKText)</f>
        <v>OK</v>
      </c>
      <c r="AW79" s="72" t="s">
        <v>564</v>
      </c>
      <c r="AX79" s="72"/>
      <c r="AY79" s="72"/>
      <c r="AZ79" s="72"/>
      <c r="BA79" s="72"/>
      <c r="BB79" s="72"/>
      <c r="BC79" s="72"/>
      <c r="BD79" s="72"/>
      <c r="BE79" s="74"/>
      <c r="BF79" s="18" t="b">
        <v>1</v>
      </c>
      <c r="BG79" s="6" t="str">
        <f>IF(ISBLANK(BF79),IncompleteText,IF(BF79,OKText,ErrorText))</f>
        <v>OK</v>
      </c>
    </row>
    <row r="80" spans="1:59" x14ac:dyDescent="0.4">
      <c r="A80" s="98"/>
      <c r="B80" s="98"/>
      <c r="C80" s="98"/>
      <c r="D80" s="98"/>
      <c r="E80" s="98"/>
      <c r="F80" s="98"/>
      <c r="G80" s="98"/>
      <c r="H80" s="98"/>
      <c r="I80" s="98"/>
      <c r="J80" s="98"/>
      <c r="K80" s="98"/>
      <c r="M80" s="98"/>
      <c r="N80" s="98"/>
      <c r="O80" s="98"/>
      <c r="P80" s="98"/>
      <c r="Q80" s="98"/>
      <c r="R80" s="98"/>
      <c r="S80" s="98"/>
      <c r="T80" s="98"/>
      <c r="U80" s="98"/>
      <c r="V80" s="98"/>
      <c r="W80" s="98"/>
      <c r="AK80" s="72" t="s">
        <v>565</v>
      </c>
      <c r="AL80" s="72"/>
      <c r="AM80" s="72"/>
      <c r="AN80" s="72"/>
      <c r="AO80" s="72"/>
      <c r="AP80" s="72"/>
      <c r="AQ80" s="72"/>
      <c r="AR80" s="72"/>
      <c r="AS80" s="74"/>
      <c r="AT80" s="31" t="str">
        <f>VLOOKUP(AT79,ContactorsTable,6,FALSE)</f>
        <v>EV200 Main Air</v>
      </c>
      <c r="AU80" s="6" t="str">
        <f>IF(ISNA(AT80),IncompleteText,OKText)</f>
        <v>OK</v>
      </c>
      <c r="AW80" s="72" t="s">
        <v>566</v>
      </c>
      <c r="AX80" s="72"/>
      <c r="AY80" s="72"/>
      <c r="AZ80" s="72"/>
      <c r="BA80" s="72"/>
      <c r="BB80" s="72"/>
      <c r="BC80" s="72"/>
      <c r="BD80" s="72"/>
      <c r="BE80" s="74"/>
      <c r="BF80" s="18" t="b">
        <v>1</v>
      </c>
      <c r="BG80" s="6" t="str">
        <f>IF(ISBLANK(BF80),IncompleteText,IF(BF80,OKText,ErrorText))</f>
        <v>OK</v>
      </c>
    </row>
    <row r="81" spans="1:47" x14ac:dyDescent="0.4">
      <c r="A81" s="98"/>
      <c r="B81" s="98"/>
      <c r="C81" s="98"/>
      <c r="D81" s="98"/>
      <c r="E81" s="98"/>
      <c r="F81" s="98"/>
      <c r="G81" s="98"/>
      <c r="H81" s="98"/>
      <c r="I81" s="98"/>
      <c r="J81" s="98"/>
      <c r="K81" s="98"/>
      <c r="M81" s="98"/>
      <c r="N81" s="98"/>
      <c r="O81" s="98"/>
      <c r="P81" s="98"/>
      <c r="Q81" s="98"/>
      <c r="R81" s="98"/>
      <c r="S81" s="98"/>
      <c r="T81" s="98"/>
      <c r="U81" s="98"/>
      <c r="V81" s="98"/>
      <c r="W81" s="98"/>
      <c r="AK81" s="72" t="s">
        <v>567</v>
      </c>
      <c r="AL81" s="72"/>
      <c r="AM81" s="72"/>
      <c r="AN81" s="72"/>
      <c r="AO81" s="72"/>
      <c r="AP81" s="72"/>
      <c r="AQ81" s="72"/>
      <c r="AR81" s="72"/>
      <c r="AS81" s="184"/>
      <c r="AT81" s="18" t="b">
        <v>1</v>
      </c>
      <c r="AU81" s="6" t="str">
        <f>IF(ISBLANK(AT81),IncompleteText,IF(AT81,OKText,ErrorText))</f>
        <v>OK</v>
      </c>
    </row>
    <row r="82" spans="1:47" x14ac:dyDescent="0.4">
      <c r="A82" s="98"/>
      <c r="B82" s="98"/>
      <c r="C82" s="98"/>
      <c r="D82" s="98"/>
      <c r="E82" s="98"/>
      <c r="F82" s="98"/>
      <c r="G82" s="98"/>
      <c r="H82" s="98"/>
      <c r="I82" s="98"/>
      <c r="J82" s="98"/>
      <c r="K82" s="98"/>
      <c r="M82" s="98"/>
      <c r="N82" s="98"/>
      <c r="O82" s="98"/>
      <c r="P82" s="98"/>
      <c r="Q82" s="98"/>
      <c r="R82" s="98"/>
      <c r="S82" s="98"/>
      <c r="T82" s="98"/>
      <c r="U82" s="98"/>
      <c r="V82" s="98"/>
      <c r="W82" s="98"/>
      <c r="AK82" s="72" t="s">
        <v>568</v>
      </c>
      <c r="AL82" s="72"/>
      <c r="AM82" s="72"/>
      <c r="AN82" s="72"/>
      <c r="AO82" s="72"/>
      <c r="AP82" s="72"/>
      <c r="AQ82" s="72"/>
      <c r="AR82" s="72"/>
      <c r="AS82" s="74"/>
      <c r="AT82" s="18" t="s">
        <v>561</v>
      </c>
      <c r="AU82" s="6" t="str">
        <f>IF(ISBLANK(AT82),IncompleteText,OKText)</f>
        <v>OK</v>
      </c>
    </row>
    <row r="83" spans="1:47" x14ac:dyDescent="0.4">
      <c r="A83" s="98"/>
      <c r="B83" s="98"/>
      <c r="C83" s="98"/>
      <c r="D83" s="98"/>
      <c r="E83" s="98"/>
      <c r="F83" s="98"/>
      <c r="G83" s="98"/>
      <c r="H83" s="98"/>
      <c r="I83" s="98"/>
      <c r="J83" s="98"/>
      <c r="K83" s="98"/>
      <c r="M83" s="98"/>
      <c r="N83" s="98"/>
      <c r="O83" s="98"/>
      <c r="P83" s="98"/>
      <c r="Q83" s="98"/>
      <c r="R83" s="98"/>
      <c r="S83" s="98"/>
      <c r="T83" s="98"/>
      <c r="U83" s="98"/>
      <c r="V83" s="98"/>
      <c r="W83" s="98"/>
      <c r="AK83" s="72" t="s">
        <v>569</v>
      </c>
      <c r="AL83" s="72"/>
      <c r="AM83" s="72"/>
      <c r="AN83" s="72"/>
      <c r="AO83" s="72"/>
      <c r="AP83" s="72"/>
      <c r="AQ83" s="72"/>
      <c r="AR83" s="72"/>
      <c r="AS83" s="74"/>
      <c r="AT83" s="18" t="s">
        <v>155</v>
      </c>
      <c r="AU83" s="6" t="str">
        <f>IF(ISBLANK(AT83),IncompleteText,OKText)</f>
        <v>OK</v>
      </c>
    </row>
    <row r="84" spans="1:47" x14ac:dyDescent="0.4">
      <c r="A84" s="98"/>
      <c r="B84" s="98"/>
      <c r="C84" s="98"/>
      <c r="D84" s="98"/>
      <c r="E84" s="98"/>
      <c r="F84" s="98"/>
      <c r="G84" s="98"/>
      <c r="H84" s="98"/>
      <c r="I84" s="98"/>
      <c r="J84" s="98"/>
      <c r="K84" s="98"/>
      <c r="M84" s="98"/>
      <c r="N84" s="98"/>
      <c r="O84" s="98"/>
      <c r="P84" s="98"/>
      <c r="Q84" s="98"/>
      <c r="R84" s="98"/>
      <c r="S84" s="98"/>
      <c r="T84" s="98"/>
      <c r="U84" s="98"/>
      <c r="V84" s="98"/>
      <c r="W84" s="98"/>
      <c r="AK84" s="72" t="s">
        <v>570</v>
      </c>
      <c r="AL84" s="72"/>
      <c r="AM84" s="72"/>
      <c r="AN84" s="72"/>
      <c r="AO84" s="72"/>
      <c r="AP84" s="72"/>
      <c r="AQ84" s="72"/>
      <c r="AR84" s="72"/>
      <c r="AS84" s="74"/>
      <c r="AT84" s="31" t="str">
        <f>VLOOKUP(AT83,ContactorsTable,6,FALSE)</f>
        <v>Pre-charging 9.HFZ16V-50P</v>
      </c>
      <c r="AU84" s="6" t="str">
        <f>IF(ISNA(AT84),IncompleteText,OKText)</f>
        <v>OK</v>
      </c>
    </row>
    <row r="85" spans="1:47" x14ac:dyDescent="0.4">
      <c r="A85" s="98"/>
      <c r="B85" s="98"/>
      <c r="C85" s="98"/>
      <c r="D85" s="98"/>
      <c r="E85" s="98"/>
      <c r="F85" s="98"/>
      <c r="G85" s="98"/>
      <c r="H85" s="98"/>
      <c r="I85" s="98"/>
      <c r="J85" s="98"/>
      <c r="K85" s="98"/>
      <c r="M85" s="98"/>
      <c r="N85" s="98"/>
      <c r="O85" s="98"/>
      <c r="P85" s="98"/>
      <c r="Q85" s="98"/>
      <c r="R85" s="98"/>
      <c r="S85" s="98"/>
      <c r="T85" s="98"/>
      <c r="U85" s="98"/>
      <c r="V85" s="98"/>
      <c r="W85" s="98"/>
      <c r="AK85" s="72" t="s">
        <v>567</v>
      </c>
      <c r="AL85" s="72"/>
      <c r="AM85" s="72"/>
      <c r="AN85" s="72"/>
      <c r="AO85" s="72"/>
      <c r="AP85" s="72"/>
      <c r="AQ85" s="72"/>
      <c r="AR85" s="72"/>
      <c r="AS85" s="184"/>
      <c r="AT85" s="18" t="b">
        <v>1</v>
      </c>
      <c r="AU85" s="6" t="str">
        <f>IF(ISBLANK(AT85),IncompleteText,IF(AT85,OKText,ErrorText))</f>
        <v>OK</v>
      </c>
    </row>
    <row r="86" spans="1:47" x14ac:dyDescent="0.4">
      <c r="A86" s="98"/>
      <c r="B86" s="98"/>
      <c r="C86" s="98"/>
      <c r="D86" s="98"/>
      <c r="E86" s="98"/>
      <c r="F86" s="98"/>
      <c r="G86" s="98"/>
      <c r="H86" s="98"/>
      <c r="I86" s="98"/>
      <c r="J86" s="98"/>
      <c r="K86" s="98"/>
      <c r="M86" s="98"/>
      <c r="N86" s="98"/>
      <c r="O86" s="98"/>
      <c r="P86" s="98"/>
      <c r="Q86" s="98"/>
      <c r="R86" s="98"/>
      <c r="S86" s="98"/>
      <c r="T86" s="98"/>
      <c r="U86" s="98"/>
      <c r="V86" s="98"/>
      <c r="W86" s="98"/>
      <c r="AK86" s="72" t="s">
        <v>571</v>
      </c>
      <c r="AL86" s="72"/>
      <c r="AM86" s="72"/>
      <c r="AN86" s="72"/>
      <c r="AO86" s="72"/>
      <c r="AP86" s="72"/>
      <c r="AQ86" s="72"/>
      <c r="AR86" s="72"/>
      <c r="AS86" s="74"/>
      <c r="AT86" s="18"/>
      <c r="AU86" s="6" t="str">
        <f>IF(ISBLANK(AT86),IncompleteText,IF(AT86,OKText,ErrorText))</f>
        <v>BLANK</v>
      </c>
    </row>
    <row r="87" spans="1:47" ht="42" customHeight="1" x14ac:dyDescent="0.4">
      <c r="A87" s="98"/>
      <c r="B87" s="98"/>
      <c r="C87" s="98"/>
      <c r="D87" s="98"/>
      <c r="E87" s="98"/>
      <c r="F87" s="98"/>
      <c r="G87" s="98"/>
      <c r="H87" s="98"/>
      <c r="I87" s="98"/>
      <c r="J87" s="98"/>
      <c r="K87" s="98"/>
      <c r="M87" s="98"/>
      <c r="N87" s="98"/>
      <c r="O87" s="98"/>
      <c r="P87" s="98"/>
      <c r="Q87" s="98"/>
      <c r="R87" s="98"/>
      <c r="S87" s="98"/>
      <c r="T87" s="98"/>
      <c r="U87" s="98"/>
      <c r="V87" s="98"/>
      <c r="W87" s="98"/>
      <c r="AK87" s="124" t="s">
        <v>572</v>
      </c>
      <c r="AL87" s="122"/>
      <c r="AM87" s="122"/>
      <c r="AN87" s="122"/>
      <c r="AO87" s="122"/>
      <c r="AP87" s="122"/>
      <c r="AQ87" s="122"/>
      <c r="AR87" s="122"/>
      <c r="AS87" s="123"/>
      <c r="AT87" s="18"/>
      <c r="AU87" s="6" t="str">
        <f>IF(ISBLANK(AT87),IncompleteText,IF(AT87,OKText,ErrorText))</f>
        <v>BLANK</v>
      </c>
    </row>
    <row r="88" spans="1:47" x14ac:dyDescent="0.4">
      <c r="A88" s="98"/>
      <c r="B88" s="98"/>
      <c r="C88" s="98"/>
      <c r="D88" s="98"/>
      <c r="E88" s="98"/>
      <c r="F88" s="98"/>
      <c r="G88" s="98"/>
      <c r="H88" s="98"/>
      <c r="I88" s="98"/>
      <c r="J88" s="98"/>
      <c r="K88" s="98"/>
      <c r="M88" s="98"/>
      <c r="N88" s="98"/>
      <c r="O88" s="98"/>
      <c r="P88" s="98"/>
      <c r="Q88" s="98"/>
      <c r="R88" s="98"/>
      <c r="S88" s="98"/>
      <c r="T88" s="98"/>
      <c r="U88" s="98"/>
      <c r="V88" s="98"/>
      <c r="W88" s="98"/>
      <c r="AK88" s="72" t="s">
        <v>573</v>
      </c>
      <c r="AL88" s="72"/>
      <c r="AM88" s="72"/>
      <c r="AN88" s="72"/>
      <c r="AO88" s="72"/>
      <c r="AP88" s="72"/>
      <c r="AQ88" s="72"/>
      <c r="AR88" s="72"/>
      <c r="AS88" s="72"/>
      <c r="AT88" s="18" t="b">
        <v>1</v>
      </c>
      <c r="AU88" s="6" t="str">
        <f>IF(ISBLANK(AT88),IncompleteText,IF(AT88,OKText,ErrorText))</f>
        <v>OK</v>
      </c>
    </row>
    <row r="89" spans="1:47" ht="30" customHeight="1" x14ac:dyDescent="0.4">
      <c r="A89" s="98"/>
      <c r="B89" s="98"/>
      <c r="C89" s="98"/>
      <c r="D89" s="98"/>
      <c r="E89" s="98"/>
      <c r="F89" s="98"/>
      <c r="G89" s="98"/>
      <c r="H89" s="98"/>
      <c r="I89" s="98"/>
      <c r="J89" s="98"/>
      <c r="K89" s="98"/>
      <c r="M89" s="98"/>
      <c r="N89" s="98"/>
      <c r="O89" s="98"/>
      <c r="P89" s="98"/>
      <c r="Q89" s="98"/>
      <c r="R89" s="98"/>
      <c r="S89" s="98"/>
      <c r="T89" s="98"/>
      <c r="U89" s="98"/>
      <c r="V89" s="98"/>
      <c r="W89" s="98"/>
      <c r="AK89" s="126" t="s">
        <v>574</v>
      </c>
      <c r="AL89" s="126"/>
      <c r="AM89" s="126"/>
      <c r="AN89" s="126"/>
      <c r="AO89" s="126"/>
      <c r="AP89" s="126"/>
      <c r="AQ89" s="126"/>
      <c r="AR89" s="126"/>
      <c r="AS89" s="126"/>
      <c r="AT89" s="18" t="b">
        <v>1</v>
      </c>
      <c r="AU89" s="6" t="str">
        <f>IF(ISBLANK(AT89),IncompleteText,IF(AT89,OKText,ErrorText))</f>
        <v>OK</v>
      </c>
    </row>
    <row r="90" spans="1:47" x14ac:dyDescent="0.4">
      <c r="A90" s="98"/>
      <c r="B90" s="98"/>
      <c r="C90" s="98"/>
      <c r="D90" s="98"/>
      <c r="E90" s="98"/>
      <c r="F90" s="98"/>
      <c r="G90" s="98"/>
      <c r="H90" s="98"/>
      <c r="I90" s="98"/>
      <c r="J90" s="98"/>
      <c r="K90" s="98"/>
      <c r="M90" s="98"/>
      <c r="N90" s="98"/>
      <c r="O90" s="98"/>
      <c r="P90" s="98"/>
      <c r="Q90" s="98"/>
      <c r="R90" s="98"/>
      <c r="S90" s="98"/>
      <c r="T90" s="98"/>
      <c r="U90" s="98"/>
      <c r="V90" s="98"/>
      <c r="W90" s="98"/>
      <c r="AK90" s="72" t="s">
        <v>470</v>
      </c>
      <c r="AL90" s="72"/>
      <c r="AM90" s="72"/>
      <c r="AN90" s="72"/>
      <c r="AO90" s="72"/>
      <c r="AP90" s="72"/>
      <c r="AQ90" s="72"/>
      <c r="AR90" s="72"/>
      <c r="AS90" s="74"/>
      <c r="AT90" s="18" t="s">
        <v>575</v>
      </c>
      <c r="AU90" s="6" t="str">
        <f>IF(ISBLANK(AT90),IncompleteText,OKText)</f>
        <v>OK</v>
      </c>
    </row>
    <row r="91" spans="1:47" x14ac:dyDescent="0.4">
      <c r="A91" s="98"/>
      <c r="B91" s="98"/>
      <c r="C91" s="98"/>
      <c r="D91" s="98"/>
      <c r="E91" s="98"/>
      <c r="F91" s="98"/>
      <c r="G91" s="98"/>
      <c r="H91" s="98"/>
      <c r="I91" s="98"/>
      <c r="J91" s="98"/>
      <c r="K91" s="98"/>
      <c r="M91" s="98"/>
      <c r="N91" s="98"/>
      <c r="O91" s="98"/>
      <c r="P91" s="98"/>
      <c r="Q91" s="98"/>
      <c r="R91" s="98"/>
      <c r="S91" s="98"/>
      <c r="T91" s="98"/>
      <c r="U91" s="98"/>
      <c r="V91" s="98"/>
      <c r="W91" s="98"/>
      <c r="AK91" s="72" t="s">
        <v>576</v>
      </c>
      <c r="AL91" s="72"/>
      <c r="AM91" s="72"/>
      <c r="AN91" s="72"/>
      <c r="AO91" s="72"/>
      <c r="AP91" s="72"/>
      <c r="AQ91" s="72"/>
      <c r="AR91" s="72"/>
      <c r="AS91" s="74"/>
      <c r="AT91" s="18"/>
      <c r="AU91" s="6" t="str">
        <f>IF(AT$90="车队自制原理 Team design",OKText,IF(ISBLANK(AT91),IncompleteText,OKText))</f>
        <v>OK</v>
      </c>
    </row>
    <row r="92" spans="1:47" x14ac:dyDescent="0.4">
      <c r="A92" s="98"/>
      <c r="B92" s="98"/>
      <c r="C92" s="98"/>
      <c r="D92" s="98"/>
      <c r="E92" s="98"/>
      <c r="F92" s="98"/>
      <c r="G92" s="98"/>
      <c r="H92" s="98"/>
      <c r="I92" s="98"/>
      <c r="J92" s="98"/>
      <c r="K92" s="98"/>
      <c r="M92" s="98"/>
      <c r="N92" s="98"/>
      <c r="O92" s="98"/>
      <c r="P92" s="98"/>
      <c r="Q92" s="98"/>
      <c r="R92" s="98"/>
      <c r="S92" s="98"/>
      <c r="T92" s="98"/>
      <c r="U92" s="98"/>
      <c r="V92" s="98"/>
      <c r="W92" s="98"/>
      <c r="AK92" s="72" t="s">
        <v>482</v>
      </c>
      <c r="AL92" s="72"/>
      <c r="AM92" s="72"/>
      <c r="AN92" s="72"/>
      <c r="AO92" s="72"/>
      <c r="AP92" s="72"/>
      <c r="AQ92" s="72"/>
      <c r="AR92" s="72"/>
      <c r="AS92" s="74"/>
      <c r="AT92" s="18"/>
      <c r="AU92" s="6" t="str">
        <f>IF(AT$90="车队自制原理 Team design",OKText,IF(ISBLANK(AT92),IncompleteText,OKText))</f>
        <v>OK</v>
      </c>
    </row>
    <row r="93" spans="1:47" x14ac:dyDescent="0.4">
      <c r="A93" s="98"/>
      <c r="B93" s="98"/>
      <c r="C93" s="98"/>
      <c r="D93" s="98"/>
      <c r="E93" s="98"/>
      <c r="F93" s="98"/>
      <c r="G93" s="98"/>
      <c r="H93" s="98"/>
      <c r="I93" s="98"/>
      <c r="J93" s="98"/>
      <c r="K93" s="98"/>
      <c r="M93" s="98"/>
      <c r="N93" s="98"/>
      <c r="O93" s="98"/>
      <c r="P93" s="98"/>
      <c r="Q93" s="98"/>
      <c r="R93" s="98"/>
      <c r="S93" s="98"/>
      <c r="T93" s="98"/>
      <c r="U93" s="98"/>
      <c r="V93" s="98"/>
      <c r="W93" s="98"/>
      <c r="AK93" s="72" t="s">
        <v>488</v>
      </c>
      <c r="AL93" s="72"/>
      <c r="AM93" s="72"/>
      <c r="AN93" s="72"/>
      <c r="AO93" s="72"/>
      <c r="AP93" s="72"/>
      <c r="AQ93" s="72"/>
      <c r="AR93" s="72"/>
      <c r="AS93" s="74"/>
      <c r="AT93" s="18" t="b">
        <v>1</v>
      </c>
      <c r="AU93" s="6" t="str">
        <f>IF(AT$90="购买传感器 Purchased",OKText,IF(ISBLANK(AT93),IncompleteText,IF(AT93,OKText,ErrorText)))</f>
        <v>OK</v>
      </c>
    </row>
    <row r="94" spans="1:47" ht="37.5" customHeight="1" x14ac:dyDescent="0.4">
      <c r="A94" s="98"/>
      <c r="B94" s="98"/>
      <c r="C94" s="98"/>
      <c r="D94" s="98"/>
      <c r="E94" s="98"/>
      <c r="F94" s="98"/>
      <c r="G94" s="98"/>
      <c r="H94" s="98"/>
      <c r="I94" s="98"/>
      <c r="J94" s="98"/>
      <c r="K94" s="98"/>
      <c r="M94" s="98"/>
      <c r="N94" s="98"/>
      <c r="O94" s="98"/>
      <c r="P94" s="98"/>
      <c r="Q94" s="98"/>
      <c r="R94" s="98"/>
      <c r="S94" s="98"/>
      <c r="T94" s="98"/>
      <c r="U94" s="98"/>
      <c r="V94" s="98"/>
      <c r="W94" s="98"/>
      <c r="AK94" s="126" t="s">
        <v>493</v>
      </c>
      <c r="AL94" s="126"/>
      <c r="AM94" s="126"/>
      <c r="AN94" s="126"/>
      <c r="AO94" s="126"/>
      <c r="AP94" s="126"/>
      <c r="AQ94" s="126"/>
      <c r="AR94" s="126"/>
      <c r="AS94" s="127"/>
      <c r="AT94" s="18" t="b">
        <v>1</v>
      </c>
      <c r="AU94" s="6" t="str">
        <f>IF(AT$90="购买传感器 Purchased",OKText,IF(ISBLANK(AT94),IncompleteText,IF(AT94,OKText,ErrorText)))</f>
        <v>OK</v>
      </c>
    </row>
    <row r="95" spans="1:47" x14ac:dyDescent="0.4">
      <c r="A95" s="71" t="s">
        <v>556</v>
      </c>
      <c r="B95" s="71"/>
      <c r="C95" s="71"/>
      <c r="D95" s="71"/>
      <c r="E95" s="71"/>
      <c r="F95" s="71"/>
      <c r="G95" s="71"/>
      <c r="H95" s="71"/>
      <c r="I95" s="71"/>
      <c r="J95" s="71"/>
      <c r="K95" s="93" t="str">
        <f>IF(AND(J97=FALSE,NOT(ISBLANK(J97))),OKText,IF(COUNTIF(K97:K99,"="&amp;IncompleteText),IncompleteText,IF(COUNTIF(K97:K99,"="&amp;ErrorText),ErrorText,OKText)))</f>
        <v>OK</v>
      </c>
      <c r="M95" s="98"/>
      <c r="N95" s="98"/>
      <c r="O95" s="98"/>
      <c r="P95" s="98"/>
      <c r="Q95" s="98"/>
      <c r="R95" s="98"/>
      <c r="S95" s="98"/>
      <c r="T95" s="98"/>
      <c r="U95" s="98"/>
      <c r="V95" s="98"/>
      <c r="W95" s="98"/>
      <c r="AK95" s="72" t="s">
        <v>496</v>
      </c>
      <c r="AL95" s="72"/>
      <c r="AM95" s="72"/>
      <c r="AN95" s="72"/>
      <c r="AO95" s="72"/>
      <c r="AP95" s="72"/>
      <c r="AQ95" s="72"/>
      <c r="AR95" s="72"/>
      <c r="AS95" s="74"/>
      <c r="AT95" s="18" t="s">
        <v>577</v>
      </c>
      <c r="AU95" s="6" t="str">
        <f>IF(AT90="购买传感器 Purchased",OKText,IF(ISBLANK(AT95),IncompleteText,IF(ISBLANK(AT95),ErrorText,OKText)))</f>
        <v>OK</v>
      </c>
    </row>
    <row r="96" spans="1:47" x14ac:dyDescent="0.4">
      <c r="A96" s="168" t="s">
        <v>379</v>
      </c>
      <c r="B96" s="169"/>
      <c r="C96" s="21"/>
      <c r="D96" s="21"/>
      <c r="E96" s="21"/>
      <c r="F96" s="21"/>
      <c r="G96" s="21"/>
      <c r="H96" s="21"/>
      <c r="I96" s="21"/>
      <c r="J96" s="21"/>
      <c r="K96" s="70"/>
      <c r="M96" s="71" t="s">
        <v>557</v>
      </c>
      <c r="N96" s="71"/>
      <c r="O96" s="71"/>
      <c r="P96" s="71"/>
      <c r="Q96" s="71"/>
      <c r="R96" s="71"/>
      <c r="S96" s="71"/>
      <c r="T96" s="71"/>
      <c r="U96" s="71"/>
      <c r="V96" s="71"/>
      <c r="W96" s="93" t="str">
        <f>IF(AND(V98=FALSE,NOT(ISBLANK(V98))),OKText,IF(COUNTIF(W98:W100,"="&amp;IncompleteText),IncompleteText,IF(COUNTIF(W98:W100,"="&amp;ErrorText),ErrorText,OKText)))</f>
        <v>OK</v>
      </c>
      <c r="AK96" s="72" t="s">
        <v>578</v>
      </c>
      <c r="AL96" s="72"/>
      <c r="AM96" s="72"/>
      <c r="AN96" s="72"/>
      <c r="AO96" s="72"/>
      <c r="AP96" s="72"/>
      <c r="AQ96" s="72"/>
      <c r="AR96" s="72"/>
      <c r="AS96" s="74"/>
      <c r="AT96" s="18" t="b">
        <v>1</v>
      </c>
      <c r="AU96" s="6" t="str">
        <f>IF(AT$90="购买传感器 Purchased",OKText,IF(ISBLANK(AT96),IncompleteText,IF(AT96,OKText,ErrorText)))</f>
        <v>OK</v>
      </c>
    </row>
    <row r="97" spans="1:47" x14ac:dyDescent="0.4">
      <c r="A97" s="185" t="s">
        <v>515</v>
      </c>
      <c r="B97" s="185"/>
      <c r="C97" s="106" t="s">
        <v>579</v>
      </c>
      <c r="D97" s="106"/>
      <c r="E97" s="106"/>
      <c r="F97" s="106"/>
      <c r="G97" s="106"/>
      <c r="H97" s="106"/>
      <c r="I97" s="107"/>
      <c r="J97" s="18" t="b">
        <v>1</v>
      </c>
      <c r="K97" s="6" t="str">
        <f>IF(ISBLANK(J97),IncompleteText,OKText)</f>
        <v>OK</v>
      </c>
      <c r="M97" s="168" t="s">
        <v>379</v>
      </c>
      <c r="N97" s="169"/>
      <c r="O97" s="21"/>
      <c r="P97" s="21"/>
      <c r="Q97" s="21"/>
      <c r="R97" s="21"/>
      <c r="S97" s="21"/>
      <c r="T97" s="21"/>
      <c r="U97" s="21"/>
      <c r="V97" s="21"/>
      <c r="W97" s="70"/>
      <c r="AK97" s="72" t="s">
        <v>505</v>
      </c>
      <c r="AL97" s="72"/>
      <c r="AM97" s="72"/>
      <c r="AN97" s="72"/>
      <c r="AO97" s="72"/>
      <c r="AP97" s="72"/>
      <c r="AQ97" s="72"/>
      <c r="AR97" s="72"/>
      <c r="AS97" s="74"/>
      <c r="AT97" s="18" t="s">
        <v>109</v>
      </c>
      <c r="AU97" s="6" t="str">
        <f>IF(ISBLANK(AT97),IncompleteText,IF(ISBLANK(AT97),ErrorText,OKText))</f>
        <v>OK</v>
      </c>
    </row>
    <row r="98" spans="1:47" ht="38.25" customHeight="1" x14ac:dyDescent="0.4">
      <c r="A98" s="185"/>
      <c r="B98" s="185"/>
      <c r="C98" s="111" t="s">
        <v>580</v>
      </c>
      <c r="D98" s="111"/>
      <c r="E98" s="111"/>
      <c r="F98" s="111"/>
      <c r="G98" s="111"/>
      <c r="H98" s="111"/>
      <c r="I98" s="112"/>
      <c r="J98" s="18" t="b">
        <v>1</v>
      </c>
      <c r="K98" s="6" t="str">
        <f t="shared" ref="K98:K99" si="1">IF(ISBLANK(J98),IncompleteText,IF(J98,OKText,ErrorText))</f>
        <v>OK</v>
      </c>
      <c r="M98" s="131" t="s">
        <v>581</v>
      </c>
      <c r="N98" s="131"/>
      <c r="O98" s="106" t="s">
        <v>582</v>
      </c>
      <c r="P98" s="106"/>
      <c r="Q98" s="106"/>
      <c r="R98" s="106"/>
      <c r="S98" s="106"/>
      <c r="T98" s="106"/>
      <c r="U98" s="107"/>
      <c r="V98" s="18" t="b">
        <v>1</v>
      </c>
      <c r="W98" s="6" t="str">
        <f>IF(ISBLANK(V98),IncompleteText,OKText)</f>
        <v>OK</v>
      </c>
      <c r="AK98" s="72" t="s">
        <v>507</v>
      </c>
      <c r="AL98" s="72"/>
      <c r="AM98" s="72"/>
      <c r="AN98" s="72"/>
      <c r="AO98" s="72"/>
      <c r="AP98" s="72"/>
      <c r="AQ98" s="72"/>
      <c r="AR98" s="72"/>
      <c r="AS98" s="74"/>
      <c r="AT98" s="31">
        <f>VLOOKUP(AT97,FuseTable,2,FALSE)</f>
        <v>700</v>
      </c>
      <c r="AU98" s="6" t="str">
        <f>IF(ISNA(AT98),IncompleteText,OKText)</f>
        <v>OK</v>
      </c>
    </row>
    <row r="99" spans="1:47" ht="43.5" customHeight="1" x14ac:dyDescent="0.4">
      <c r="A99" s="185"/>
      <c r="B99" s="185"/>
      <c r="C99" s="106" t="s">
        <v>583</v>
      </c>
      <c r="D99" s="106"/>
      <c r="E99" s="106"/>
      <c r="F99" s="106"/>
      <c r="G99" s="106"/>
      <c r="H99" s="106"/>
      <c r="I99" s="107"/>
      <c r="J99" s="18" t="b">
        <v>1</v>
      </c>
      <c r="K99" s="6" t="str">
        <f t="shared" si="1"/>
        <v>OK</v>
      </c>
      <c r="M99" s="131"/>
      <c r="N99" s="131"/>
      <c r="O99" s="106" t="s">
        <v>584</v>
      </c>
      <c r="P99" s="106"/>
      <c r="Q99" s="106"/>
      <c r="R99" s="106"/>
      <c r="S99" s="106"/>
      <c r="T99" s="106"/>
      <c r="U99" s="107"/>
      <c r="V99" s="18" t="b">
        <v>1</v>
      </c>
      <c r="W99" s="6" t="str">
        <f t="shared" ref="W99:W100" si="2">IF(ISBLANK(V99),IncompleteText,IF(V99,OKText,ErrorText))</f>
        <v>OK</v>
      </c>
      <c r="AK99" s="126" t="s">
        <v>585</v>
      </c>
      <c r="AL99" s="126"/>
      <c r="AM99" s="126"/>
      <c r="AN99" s="126"/>
      <c r="AO99" s="126"/>
      <c r="AP99" s="126"/>
      <c r="AQ99" s="126"/>
      <c r="AR99" s="126"/>
      <c r="AS99" s="127"/>
      <c r="AT99" s="18" t="b">
        <v>1</v>
      </c>
      <c r="AU99" s="6" t="str">
        <f>IF(ISBLANK(AT99),IncompleteText,IF(AT99,OKText,ErrorText))</f>
        <v>OK</v>
      </c>
    </row>
    <row r="100" spans="1:47" ht="60" customHeight="1" x14ac:dyDescent="0.4">
      <c r="M100" s="131"/>
      <c r="N100" s="131"/>
      <c r="O100" s="106" t="s">
        <v>586</v>
      </c>
      <c r="P100" s="106"/>
      <c r="Q100" s="106"/>
      <c r="R100" s="106"/>
      <c r="S100" s="106"/>
      <c r="T100" s="106"/>
      <c r="U100" s="107"/>
      <c r="V100" s="18" t="b">
        <v>1</v>
      </c>
      <c r="W100" s="6" t="str">
        <f t="shared" si="2"/>
        <v>OK</v>
      </c>
      <c r="AK100" s="126" t="s">
        <v>587</v>
      </c>
      <c r="AL100" s="126"/>
      <c r="AM100" s="126"/>
      <c r="AN100" s="126"/>
      <c r="AO100" s="126"/>
      <c r="AP100" s="126"/>
      <c r="AQ100" s="126"/>
      <c r="AR100" s="126"/>
      <c r="AS100" s="126"/>
      <c r="AT100" s="18" t="b">
        <v>1</v>
      </c>
      <c r="AU100" s="6" t="str">
        <f>IF(ISBLANK(AT100),IncompleteText,IF(AT100,OKText,ErrorText))</f>
        <v>OK</v>
      </c>
    </row>
  </sheetData>
  <sheetProtection algorithmName="SHA-512" hashValue="sCjyguyDwiu7yA6PYAXB/1q3K7RIe+VPT3iEpPoHx2EKG8q0fou+IDCi/xWWKA0xxeUhGOBq0W7f20p6Qw/hig==" saltValue="fiNzWEqshKEPejOVWDkDzA==" spinCount="100000" sheet="1" scenarios="1" insertHyperlinks="0"/>
  <mergeCells count="184">
    <mergeCell ref="BG76:BG77"/>
    <mergeCell ref="Y43:AG46"/>
    <mergeCell ref="V43:W46"/>
    <mergeCell ref="AH43:AI46"/>
    <mergeCell ref="M10:W35"/>
    <mergeCell ref="AK50:AU75"/>
    <mergeCell ref="M70:W95"/>
    <mergeCell ref="A54:B56"/>
    <mergeCell ref="A97:B99"/>
    <mergeCell ref="A64:I67"/>
    <mergeCell ref="J64:K67"/>
    <mergeCell ref="A69:K94"/>
    <mergeCell ref="A10:K35"/>
    <mergeCell ref="AK9:AU34"/>
    <mergeCell ref="AW9:BG34"/>
    <mergeCell ref="Y9:AI34"/>
    <mergeCell ref="AW37:BG46"/>
    <mergeCell ref="AW50:BG75"/>
    <mergeCell ref="M98:N100"/>
    <mergeCell ref="M43:U46"/>
    <mergeCell ref="O100:U100"/>
    <mergeCell ref="AK100:AS100"/>
    <mergeCell ref="F2:F3"/>
    <mergeCell ref="K36:K37"/>
    <mergeCell ref="K95:K96"/>
    <mergeCell ref="M2:M3"/>
    <mergeCell ref="W36:W37"/>
    <mergeCell ref="W96:W97"/>
    <mergeCell ref="AI35:AI36"/>
    <mergeCell ref="AI49:AI50"/>
    <mergeCell ref="AI55:AI57"/>
    <mergeCell ref="C97:I97"/>
    <mergeCell ref="M97:N97"/>
    <mergeCell ref="AK97:AS97"/>
    <mergeCell ref="C98:I98"/>
    <mergeCell ref="O98:U98"/>
    <mergeCell ref="AK98:AS98"/>
    <mergeCell ref="C99:I99"/>
    <mergeCell ref="O99:U99"/>
    <mergeCell ref="AK99:AS99"/>
    <mergeCell ref="AK91:AS91"/>
    <mergeCell ref="AK92:AS92"/>
    <mergeCell ref="AK93:AS93"/>
    <mergeCell ref="AK94:AS94"/>
    <mergeCell ref="A95:J95"/>
    <mergeCell ref="AK95:AS95"/>
    <mergeCell ref="A96:B96"/>
    <mergeCell ref="M96:V96"/>
    <mergeCell ref="AK96:AS96"/>
    <mergeCell ref="AK82:AS82"/>
    <mergeCell ref="AK83:AS83"/>
    <mergeCell ref="AK84:AS84"/>
    <mergeCell ref="AK85:AS85"/>
    <mergeCell ref="AK86:AS86"/>
    <mergeCell ref="AK87:AS87"/>
    <mergeCell ref="AK88:AS88"/>
    <mergeCell ref="AK89:AS89"/>
    <mergeCell ref="AK90:AS90"/>
    <mergeCell ref="AK76:AT76"/>
    <mergeCell ref="AW76:BF76"/>
    <mergeCell ref="AK78:AS78"/>
    <mergeCell ref="AW78:BE78"/>
    <mergeCell ref="AK79:AS79"/>
    <mergeCell ref="AW79:BE79"/>
    <mergeCell ref="AK80:AS80"/>
    <mergeCell ref="AW80:BE80"/>
    <mergeCell ref="AK81:AS81"/>
    <mergeCell ref="AU76:AU77"/>
    <mergeCell ref="A61:B61"/>
    <mergeCell ref="C61:I61"/>
    <mergeCell ref="Y61:AF61"/>
    <mergeCell ref="A62:B62"/>
    <mergeCell ref="C62:I62"/>
    <mergeCell ref="Y62:AF62"/>
    <mergeCell ref="A63:I63"/>
    <mergeCell ref="J63:K63"/>
    <mergeCell ref="Y63:AF63"/>
    <mergeCell ref="A58:B58"/>
    <mergeCell ref="C58:I58"/>
    <mergeCell ref="Y58:AF58"/>
    <mergeCell ref="A59:B59"/>
    <mergeCell ref="C59:I59"/>
    <mergeCell ref="Y59:AF59"/>
    <mergeCell ref="A60:B60"/>
    <mergeCell ref="C60:I60"/>
    <mergeCell ref="Y60:AF60"/>
    <mergeCell ref="A53:B53"/>
    <mergeCell ref="C53:I53"/>
    <mergeCell ref="C54:I54"/>
    <mergeCell ref="C55:I55"/>
    <mergeCell ref="Y55:AH55"/>
    <mergeCell ref="C56:I56"/>
    <mergeCell ref="Y56:AH56"/>
    <mergeCell ref="A57:B57"/>
    <mergeCell ref="C57:I57"/>
    <mergeCell ref="Y57:AF57"/>
    <mergeCell ref="A50:B50"/>
    <mergeCell ref="C50:I50"/>
    <mergeCell ref="Y50:AH50"/>
    <mergeCell ref="A51:B51"/>
    <mergeCell ref="C51:I51"/>
    <mergeCell ref="Y51:AG51"/>
    <mergeCell ref="A52:B52"/>
    <mergeCell ref="C52:I52"/>
    <mergeCell ref="Y52:AG52"/>
    <mergeCell ref="A47:B47"/>
    <mergeCell ref="C47:I47"/>
    <mergeCell ref="AK47:AS47"/>
    <mergeCell ref="A48:B48"/>
    <mergeCell ref="C48:I48"/>
    <mergeCell ref="AK48:AS48"/>
    <mergeCell ref="A49:B49"/>
    <mergeCell ref="C49:I49"/>
    <mergeCell ref="Y49:AH49"/>
    <mergeCell ref="A44:B44"/>
    <mergeCell ref="C44:I44"/>
    <mergeCell ref="AK44:AS44"/>
    <mergeCell ref="A45:B45"/>
    <mergeCell ref="C45:I45"/>
    <mergeCell ref="AK45:AS45"/>
    <mergeCell ref="A46:B46"/>
    <mergeCell ref="C46:I46"/>
    <mergeCell ref="AK46:AS46"/>
    <mergeCell ref="A42:B42"/>
    <mergeCell ref="C42:I42"/>
    <mergeCell ref="M42:U42"/>
    <mergeCell ref="V42:W42"/>
    <mergeCell ref="Y42:AG42"/>
    <mergeCell ref="AH42:AI42"/>
    <mergeCell ref="AK42:AS42"/>
    <mergeCell ref="A43:B43"/>
    <mergeCell ref="C43:I43"/>
    <mergeCell ref="AK43:AS43"/>
    <mergeCell ref="A40:B40"/>
    <mergeCell ref="C40:I40"/>
    <mergeCell ref="M40:U40"/>
    <mergeCell ref="Y40:AG40"/>
    <mergeCell ref="AK40:AS40"/>
    <mergeCell ref="A41:B41"/>
    <mergeCell ref="C41:I41"/>
    <mergeCell ref="M41:U41"/>
    <mergeCell ref="Y41:AG41"/>
    <mergeCell ref="AK41:AS41"/>
    <mergeCell ref="A38:B38"/>
    <mergeCell ref="C38:I38"/>
    <mergeCell ref="M38:U38"/>
    <mergeCell ref="Y38:AG38"/>
    <mergeCell ref="AK38:AS38"/>
    <mergeCell ref="A39:B39"/>
    <mergeCell ref="C39:I39"/>
    <mergeCell ref="M39:U39"/>
    <mergeCell ref="Y39:AG39"/>
    <mergeCell ref="AK39:AS39"/>
    <mergeCell ref="A8:C8"/>
    <mergeCell ref="D8:E8"/>
    <mergeCell ref="H8:J8"/>
    <mergeCell ref="Y35:AH35"/>
    <mergeCell ref="AK35:AT35"/>
    <mergeCell ref="A36:J36"/>
    <mergeCell ref="M36:V36"/>
    <mergeCell ref="AW36:BG36"/>
    <mergeCell ref="A37:B37"/>
    <mergeCell ref="Y37:AG37"/>
    <mergeCell ref="AK37:AS37"/>
    <mergeCell ref="AU35:AU36"/>
    <mergeCell ref="A5:C5"/>
    <mergeCell ref="H5:J5"/>
    <mergeCell ref="K5:L5"/>
    <mergeCell ref="A6:C6"/>
    <mergeCell ref="D6:E6"/>
    <mergeCell ref="H6:J6"/>
    <mergeCell ref="A7:C7"/>
    <mergeCell ref="D7:E7"/>
    <mergeCell ref="H7:J7"/>
    <mergeCell ref="A2:E2"/>
    <mergeCell ref="H2:L2"/>
    <mergeCell ref="A3:C3"/>
    <mergeCell ref="D3:E3"/>
    <mergeCell ref="H3:J3"/>
    <mergeCell ref="K3:L3"/>
    <mergeCell ref="A4:C4"/>
    <mergeCell ref="D4:E4"/>
    <mergeCell ref="H4:J4"/>
    <mergeCell ref="K4:L4"/>
  </mergeCells>
  <phoneticPr fontId="14" type="noConversion"/>
  <conditionalFormatting sqref="W36:W41 K95:K99">
    <cfRule type="cellIs" dxfId="14" priority="12" operator="equal">
      <formula>ErrorText</formula>
    </cfRule>
  </conditionalFormatting>
  <conditionalFormatting sqref="W96:W100">
    <cfRule type="cellIs" dxfId="13" priority="1" operator="equal">
      <formula>ErrorText</formula>
    </cfRule>
  </conditionalFormatting>
  <conditionalFormatting sqref="AK9:AU34">
    <cfRule type="expression" dxfId="12" priority="47">
      <formula>$AT$37="供应商 Purchased"</formula>
    </cfRule>
  </conditionalFormatting>
  <conditionalFormatting sqref="AK38:AU39">
    <cfRule type="expression" dxfId="11" priority="46">
      <formula>$AT$37="车队自制原理 team"</formula>
    </cfRule>
  </conditionalFormatting>
  <conditionalFormatting sqref="AK40:AU43">
    <cfRule type="expression" dxfId="10" priority="43">
      <formula>$AT$37="供应商 Purchased"</formula>
    </cfRule>
  </conditionalFormatting>
  <conditionalFormatting sqref="AK81:AU81">
    <cfRule type="expression" dxfId="9" priority="35">
      <formula>$AT$78="其他测量方式 Others"</formula>
    </cfRule>
  </conditionalFormatting>
  <conditionalFormatting sqref="AK85:AU85">
    <cfRule type="expression" dxfId="8" priority="33">
      <formula>$AT$82="其他测量方式 Others"</formula>
    </cfRule>
  </conditionalFormatting>
  <conditionalFormatting sqref="AK86:AU87">
    <cfRule type="expression" dxfId="7" priority="30">
      <formula>$AT$78="辅助触点 Auxiliary Contacts"</formula>
    </cfRule>
  </conditionalFormatting>
  <conditionalFormatting sqref="AK91:AU92">
    <cfRule type="expression" dxfId="6" priority="3">
      <formula>$AT$90="车队自制原理 Team design"</formula>
    </cfRule>
  </conditionalFormatting>
  <conditionalFormatting sqref="AK93:AU96">
    <cfRule type="expression" dxfId="5" priority="7">
      <formula>$AT$90="购买传感器 Purchased"</formula>
    </cfRule>
  </conditionalFormatting>
  <conditionalFormatting sqref="AU76:AU96 F2:F8 M2:M8 Z8 AI35:AI41 AU35:AU43 K36:K62 AU48 AI49:AI52 AI55:AI64 BG76:BG80 AU100">
    <cfRule type="cellIs" dxfId="4" priority="10" operator="equal">
      <formula>ErrorText</formula>
    </cfRule>
  </conditionalFormatting>
  <dataValidations count="10">
    <dataValidation type="list" allowBlank="1" showInputMessage="1" showErrorMessage="1" sqref="D4:E4" xr:uid="{00000000-0002-0000-0700-000000000000}">
      <formula1>"Bender IR155-3203,Bender IR155-3204,Bender iso165c-1,Kclear BMU05"</formula1>
    </dataValidation>
    <dataValidation type="list" allowBlank="1" showInputMessage="1" showErrorMessage="1" sqref="AT37" xr:uid="{00000000-0002-0000-0700-000001000000}">
      <formula1>"车队自制原理 team, 供应商 purchased"</formula1>
    </dataValidation>
    <dataValidation type="list" allowBlank="1" showInputMessage="1" showErrorMessage="1" sqref="AT43 AT81 AT96 J38:J62 J97:J99 V38:V41 V98:V100 AH37:AH41 AH51:AH52 AT40:AT41 AT46:AT48 AT85:AT89 AT93:AT94 AT99:AT100 BF78:BF80" xr:uid="{00000000-0002-0000-0700-000002000000}">
      <formula1>"TRUE,FALSE"</formula1>
    </dataValidation>
    <dataValidation type="list" allowBlank="1" showInputMessage="1" showErrorMessage="1" sqref="AT44 AT97" xr:uid="{00000000-0002-0000-0700-000003000000}">
      <formula1>FuseName</formula1>
    </dataValidation>
    <dataValidation type="list" allowBlank="1" showInputMessage="1" showErrorMessage="1" sqref="AT78" xr:uid="{00000000-0002-0000-0700-000004000000}">
      <formula1>"辅助触点 Auxiliary Contacts, 其他测量方式 Others"</formula1>
    </dataValidation>
    <dataValidation type="list" allowBlank="1" showInputMessage="1" showErrorMessage="1" sqref="AT79 AT83" xr:uid="{00000000-0002-0000-0700-000005000000}">
      <formula1>ContactorNames</formula1>
    </dataValidation>
    <dataValidation type="list" allowBlank="1" showInputMessage="1" showErrorMessage="1" sqref="AT82" xr:uid="{00000000-0002-0000-0700-000006000000}">
      <formula1>"辅助触点 Auxiliary Contacts, 其他测量 Others"</formula1>
    </dataValidation>
    <dataValidation type="list" allowBlank="1" showInputMessage="1" showErrorMessage="1" sqref="AT90" xr:uid="{00000000-0002-0000-0700-000007000000}">
      <formula1>"车队自制原理 Team design,购买传感器 Purchased"</formula1>
    </dataValidation>
    <dataValidation type="list" allowBlank="1" showInputMessage="1" showErrorMessage="1" sqref="AG58:AG63" xr:uid="{00000000-0002-0000-0700-000008000000}">
      <formula1>"熄灭 OFF,常亮 ON"</formula1>
    </dataValidation>
    <dataValidation type="list" allowBlank="1" showInputMessage="1" showErrorMessage="1" sqref="AH58:AH63" xr:uid="{00000000-0002-0000-0700-000009000000}">
      <formula1>"熄灭 OFF, 闪烁 Flashing"</formula1>
    </dataValidation>
  </dataValidations>
  <hyperlinks>
    <hyperlink ref="AT95" r:id="rId1" xr:uid="{00000000-0004-0000-0700-000000000000}"/>
    <hyperlink ref="AT42" r:id="rId2" xr:uid="{00000000-0004-0000-0700-000001000000}"/>
    <hyperlink ref="AT39" r:id="rId3" xr:uid="{00000000-0004-0000-0700-000002000000}"/>
    <hyperlink ref="K5:L5" r:id="rId4" display="BSQ06CT" xr:uid="{00000000-0004-0000-0700-000003000000}"/>
  </hyperlinks>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3"/>
  <sheetViews>
    <sheetView topLeftCell="N1" zoomScale="90" zoomScaleNormal="85" workbookViewId="0">
      <selection activeCell="T7" sqref="T7:X7"/>
    </sheetView>
  </sheetViews>
  <sheetFormatPr defaultColWidth="9" defaultRowHeight="13.9" x14ac:dyDescent="0.4"/>
  <cols>
    <col min="1" max="1" width="12.46484375" customWidth="1"/>
    <col min="3" max="3" width="18.796875" customWidth="1"/>
    <col min="4" max="4" width="15.33203125" customWidth="1"/>
    <col min="5" max="5" width="12.1328125" customWidth="1"/>
    <col min="12" max="12" width="20.1328125" customWidth="1"/>
    <col min="13" max="13" width="20" customWidth="1"/>
    <col min="14" max="14" width="18.1328125" customWidth="1"/>
    <col min="15" max="15" width="21" customWidth="1"/>
    <col min="16" max="16" width="19.6640625" customWidth="1"/>
    <col min="17" max="17" width="15.1328125" customWidth="1"/>
  </cols>
  <sheetData>
    <row r="1" spans="1:24" x14ac:dyDescent="0.4">
      <c r="A1" s="5" t="s">
        <v>588</v>
      </c>
      <c r="B1" s="6" t="str" cm="1">
        <f t="array" ref="B1" ca="1">IF(SUM(COUNTIF(INDIRECT({"$F$2","$F$3","$F$4","$S$6"}),"="&amp;IncompleteText)),IncompleteText,IF(SUM(COUNTIF(INDIRECT({"$F$2","$F$3","$F$4","$S$6"}),"="&amp;ErrorText)),ErrorText,OKText))</f>
        <v>OK</v>
      </c>
    </row>
    <row r="2" spans="1:24" x14ac:dyDescent="0.4">
      <c r="A2" s="72" t="s">
        <v>589</v>
      </c>
      <c r="B2" s="72"/>
      <c r="C2" s="72"/>
      <c r="D2" s="72"/>
      <c r="E2" s="18" t="s">
        <v>590</v>
      </c>
      <c r="F2" s="6" t="str">
        <f>IF(ISBLANK(E2),IncompleteText,OKText)</f>
        <v>OK</v>
      </c>
      <c r="H2" s="71" t="s">
        <v>591</v>
      </c>
      <c r="I2" s="71"/>
      <c r="J2" s="71"/>
      <c r="K2" s="71"/>
      <c r="L2" s="71"/>
      <c r="M2" s="71"/>
      <c r="N2" s="71"/>
      <c r="O2" s="71"/>
      <c r="P2" s="71"/>
      <c r="Q2" s="71"/>
      <c r="R2" s="71"/>
      <c r="S2" s="70" t="str">
        <f>IF(COUNTIF(S6:S11,"="&amp;IncompleteText),IncompleteText,IF(COUNTIF(S6:S11,"="&amp;ErrorText),ErrorText,OKText))</f>
        <v>OK</v>
      </c>
    </row>
    <row r="3" spans="1:24" x14ac:dyDescent="0.4">
      <c r="A3" s="72" t="s">
        <v>592</v>
      </c>
      <c r="B3" s="72"/>
      <c r="C3" s="72"/>
      <c r="D3" s="74"/>
      <c r="E3" s="20" t="s">
        <v>593</v>
      </c>
      <c r="F3" s="6" t="str">
        <f>IF(ISBLANK(E3),IncompleteText,OKText)</f>
        <v>OK</v>
      </c>
      <c r="H3" s="21"/>
      <c r="I3" s="21"/>
      <c r="J3" s="21"/>
      <c r="K3" s="21"/>
      <c r="L3" s="21"/>
      <c r="M3" s="21"/>
      <c r="N3" s="21"/>
      <c r="O3" s="21"/>
      <c r="P3" s="21"/>
      <c r="Q3" s="21"/>
      <c r="R3" s="21"/>
      <c r="S3" s="70"/>
    </row>
    <row r="4" spans="1:24" x14ac:dyDescent="0.4">
      <c r="A4" s="71" t="s">
        <v>594</v>
      </c>
      <c r="B4" s="71"/>
      <c r="C4" s="71"/>
      <c r="D4" s="71"/>
      <c r="E4" s="71"/>
      <c r="F4" s="70" t="str">
        <f>IF(E2="数字 digital",OKText,IF(COUNTIF(F7:F13,"="&amp;IncompleteText),IncompleteText,IF(COUNTIF(F7:F13,"="&amp;ErrorText),ErrorText,OKText)))</f>
        <v>OK</v>
      </c>
      <c r="H4" s="130" t="s">
        <v>595</v>
      </c>
      <c r="I4" s="130"/>
      <c r="J4" s="130" t="s">
        <v>596</v>
      </c>
      <c r="K4" s="130"/>
      <c r="L4" s="130" t="s">
        <v>597</v>
      </c>
      <c r="M4" s="130" t="s">
        <v>598</v>
      </c>
      <c r="N4" s="130" t="s">
        <v>599</v>
      </c>
      <c r="O4" s="130" t="s">
        <v>600</v>
      </c>
      <c r="P4" s="130" t="s">
        <v>601</v>
      </c>
      <c r="Q4" s="130" t="s">
        <v>602</v>
      </c>
      <c r="R4" s="130" t="s">
        <v>603</v>
      </c>
      <c r="S4" s="2"/>
      <c r="T4" s="190" t="s">
        <v>604</v>
      </c>
      <c r="U4" s="190"/>
      <c r="V4" s="190"/>
      <c r="W4" s="190"/>
      <c r="X4" s="190"/>
    </row>
    <row r="5" spans="1:24" x14ac:dyDescent="0.4">
      <c r="A5" s="168" t="s">
        <v>352</v>
      </c>
      <c r="B5" s="188"/>
      <c r="C5" s="175" t="s">
        <v>605</v>
      </c>
      <c r="D5" s="189"/>
      <c r="E5" s="176"/>
      <c r="F5" s="70"/>
      <c r="H5" s="130"/>
      <c r="I5" s="130"/>
      <c r="J5" s="192"/>
      <c r="K5" s="192"/>
      <c r="L5" s="191"/>
      <c r="M5" s="191"/>
      <c r="N5" s="76"/>
      <c r="O5" s="76"/>
      <c r="P5" s="76"/>
      <c r="Q5" s="76"/>
      <c r="R5" s="76"/>
      <c r="S5" s="2"/>
      <c r="T5" s="76"/>
      <c r="U5" s="76"/>
      <c r="V5" s="76"/>
      <c r="W5" s="76"/>
      <c r="X5" s="76"/>
    </row>
    <row r="6" spans="1:24" ht="27.75" customHeight="1" x14ac:dyDescent="0.4">
      <c r="A6" s="22" t="s">
        <v>606</v>
      </c>
      <c r="B6" s="115" t="s">
        <v>607</v>
      </c>
      <c r="C6" s="115"/>
      <c r="D6" s="115" t="s">
        <v>608</v>
      </c>
      <c r="E6" s="115"/>
      <c r="F6" s="6"/>
      <c r="H6" s="190" t="s">
        <v>609</v>
      </c>
      <c r="I6" s="190"/>
      <c r="J6" s="73" t="s">
        <v>610</v>
      </c>
      <c r="K6" s="73"/>
      <c r="L6" s="18" t="s">
        <v>611</v>
      </c>
      <c r="M6" s="18" t="s">
        <v>612</v>
      </c>
      <c r="N6" s="18" t="s">
        <v>612</v>
      </c>
      <c r="O6" s="18" t="s">
        <v>612</v>
      </c>
      <c r="P6" s="18" t="b">
        <v>0</v>
      </c>
      <c r="Q6" s="18" t="b">
        <v>0</v>
      </c>
      <c r="R6" s="25" t="b">
        <v>0</v>
      </c>
      <c r="S6" s="6" t="str">
        <f>IF(COUNTBLANK(J6:L6)&gt;1,IncompleteText,OKText)</f>
        <v>OK</v>
      </c>
      <c r="T6" s="198" t="s">
        <v>702</v>
      </c>
      <c r="U6" s="73"/>
      <c r="V6" s="73"/>
      <c r="W6" s="73"/>
      <c r="X6" s="73"/>
    </row>
    <row r="7" spans="1:24" x14ac:dyDescent="0.4">
      <c r="A7" s="24">
        <v>0</v>
      </c>
      <c r="B7" s="56">
        <v>1</v>
      </c>
      <c r="C7" s="56"/>
      <c r="D7" s="56">
        <v>2</v>
      </c>
      <c r="E7" s="56"/>
      <c r="F7" s="6" t="str">
        <f>IF(OR(ISBLANK(B7),ISBLANK(D7)),IncompleteText,OKText)</f>
        <v>OK</v>
      </c>
      <c r="H7" s="73" t="str">
        <f>IF(ISBLANK(J6),"",J6)</f>
        <v>整车控制器节点(VCU)</v>
      </c>
      <c r="I7" s="73"/>
      <c r="J7" s="73" t="s">
        <v>613</v>
      </c>
      <c r="K7" s="73"/>
      <c r="L7" s="18" t="s">
        <v>614</v>
      </c>
      <c r="M7" s="18" t="s">
        <v>612</v>
      </c>
      <c r="N7" s="18" t="b">
        <v>0</v>
      </c>
      <c r="O7" s="18" t="b">
        <v>0</v>
      </c>
      <c r="P7" s="18" t="s">
        <v>612</v>
      </c>
      <c r="Q7" s="18" t="s">
        <v>612</v>
      </c>
      <c r="R7" s="25" t="s">
        <v>612</v>
      </c>
      <c r="S7" s="6" t="str">
        <f>IF(ISBLANK(J7),"",IF(ISBLANK(L7),IncompleteText,OKText))</f>
        <v>OK</v>
      </c>
      <c r="T7" s="198" t="s">
        <v>703</v>
      </c>
      <c r="U7" s="73"/>
      <c r="V7" s="73"/>
      <c r="W7" s="73"/>
      <c r="X7" s="73"/>
    </row>
    <row r="8" spans="1:24" x14ac:dyDescent="0.4">
      <c r="A8" s="24">
        <v>0.2</v>
      </c>
      <c r="B8" s="56">
        <v>1.1499999999999999</v>
      </c>
      <c r="C8" s="56"/>
      <c r="D8" s="56">
        <v>2.15</v>
      </c>
      <c r="E8" s="56"/>
      <c r="F8" s="6" t="str">
        <f>IF(OR(ISBLANK(B8),ISBLANK(D8)),IncompleteText,IF(OR(AND(_xlfn.XOR(B8&lt;D8,B7&lt;D7),B7&lt;&gt;D7),B8=D8),ErrorText,OKText))</f>
        <v>OK</v>
      </c>
      <c r="H8" s="73"/>
      <c r="I8" s="73"/>
      <c r="J8" s="73"/>
      <c r="K8" s="73"/>
      <c r="L8" s="18"/>
      <c r="M8" s="18"/>
      <c r="N8" s="18"/>
      <c r="O8" s="18"/>
      <c r="P8" s="18"/>
      <c r="Q8" s="18"/>
      <c r="R8" s="25"/>
      <c r="S8" s="6" t="str">
        <f>IF(ISBLANK(J8),"",IF(ISBLANK(L8),IncompleteText,OKText))</f>
        <v/>
      </c>
      <c r="T8" s="198"/>
      <c r="U8" s="73"/>
      <c r="V8" s="73"/>
      <c r="W8" s="73"/>
      <c r="X8" s="73"/>
    </row>
    <row r="9" spans="1:24" x14ac:dyDescent="0.4">
      <c r="A9" s="24">
        <v>0.4</v>
      </c>
      <c r="B9" s="56">
        <v>1.3</v>
      </c>
      <c r="C9" s="56"/>
      <c r="D9" s="56">
        <v>2.2999999999999998</v>
      </c>
      <c r="E9" s="56"/>
      <c r="F9" s="6" t="str">
        <f>IF(OR(ISBLANK(B9),ISBLANK(D9)),IncompleteText,IF(OR(_xlfn.XOR(B9&lt;D9,B8&lt;D8),B9=D9),ErrorText,OKText))</f>
        <v>OK</v>
      </c>
      <c r="H9" s="73" t="str">
        <f>IF(ISBLANK(J8),"",J8)</f>
        <v/>
      </c>
      <c r="I9" s="73"/>
      <c r="J9" s="73"/>
      <c r="K9" s="73"/>
      <c r="L9" s="18"/>
      <c r="M9" s="18"/>
      <c r="N9" s="18"/>
      <c r="O9" s="18"/>
      <c r="P9" s="18"/>
      <c r="Q9" s="18"/>
      <c r="R9" s="25"/>
      <c r="S9" s="6" t="str">
        <f>IF(ISBLANK(J9),"",IF(ISBLANK(L9),IncompleteText,OKText))</f>
        <v/>
      </c>
      <c r="T9" s="73"/>
      <c r="U9" s="73"/>
      <c r="V9" s="73"/>
      <c r="W9" s="73"/>
      <c r="X9" s="73"/>
    </row>
    <row r="10" spans="1:24" x14ac:dyDescent="0.4">
      <c r="A10" s="24">
        <v>0.6</v>
      </c>
      <c r="B10" s="56">
        <v>1.45</v>
      </c>
      <c r="C10" s="56"/>
      <c r="D10" s="56">
        <v>2.4500000000000002</v>
      </c>
      <c r="E10" s="56"/>
      <c r="F10" s="6" t="str">
        <f>IF(OR(ISBLANK(B10),ISBLANK(D10)),IncompleteText,IF(OR(_xlfn.XOR(B10&lt;D10,B9&lt;D9),B10=D10),ErrorText,OKText))</f>
        <v>OK</v>
      </c>
      <c r="H10" s="73" t="str">
        <f>IF(ISBLANK(J9),"",J9)</f>
        <v/>
      </c>
      <c r="I10" s="73"/>
      <c r="J10" s="73"/>
      <c r="K10" s="73"/>
      <c r="L10" s="18"/>
      <c r="M10" s="18"/>
      <c r="N10" s="18"/>
      <c r="O10" s="18"/>
      <c r="P10" s="18"/>
      <c r="Q10" s="18"/>
      <c r="R10" s="25"/>
      <c r="S10" s="6" t="str">
        <f>IF(ISBLANK(J10),"",IF(ISBLANK(L10),IncompleteText,OKText))</f>
        <v/>
      </c>
      <c r="T10" s="73"/>
      <c r="U10" s="73"/>
      <c r="V10" s="73"/>
      <c r="W10" s="73"/>
      <c r="X10" s="73"/>
    </row>
    <row r="11" spans="1:24" x14ac:dyDescent="0.4">
      <c r="A11" s="24">
        <v>0.8</v>
      </c>
      <c r="B11" s="56">
        <v>1.6</v>
      </c>
      <c r="C11" s="56"/>
      <c r="D11" s="56">
        <v>2.6</v>
      </c>
      <c r="E11" s="56"/>
      <c r="F11" s="6" t="str">
        <f>IF(OR(ISBLANK(B11),ISBLANK(D11)),IncompleteText,IF(OR(_xlfn.XOR(B11&lt;D11,B10&lt;D10),B11=D11),ErrorText,OKText))</f>
        <v>OK</v>
      </c>
      <c r="H11" s="73" t="str">
        <f>IF(ISBLANK(J10),"",J10)</f>
        <v/>
      </c>
      <c r="I11" s="73"/>
      <c r="J11" s="73"/>
      <c r="K11" s="73"/>
      <c r="L11" s="18"/>
      <c r="M11" s="18"/>
      <c r="N11" s="18"/>
      <c r="O11" s="18"/>
      <c r="P11" s="18"/>
      <c r="Q11" s="18"/>
      <c r="R11" s="25"/>
      <c r="S11" s="6" t="str">
        <f>IF(ISBLANK(J11),"",IF(ISBLANK(L11),IncompleteText,OKText))</f>
        <v/>
      </c>
      <c r="T11" s="73"/>
      <c r="U11" s="73"/>
      <c r="V11" s="73"/>
      <c r="W11" s="73"/>
      <c r="X11" s="73"/>
    </row>
    <row r="12" spans="1:24" x14ac:dyDescent="0.4">
      <c r="A12" s="24">
        <v>1</v>
      </c>
      <c r="B12" s="56">
        <v>1.75</v>
      </c>
      <c r="C12" s="56"/>
      <c r="D12" s="56">
        <v>2.75</v>
      </c>
      <c r="E12" s="56"/>
      <c r="F12" s="6" t="str">
        <f>IF(OR(ISBLANK(B12),ISBLANK(D12)),IncompleteText,IF(OR(_xlfn.XOR(B12&lt;D12,B11&lt;D11),B12=D12),ErrorText,OKText))</f>
        <v>OK</v>
      </c>
    </row>
    <row r="13" spans="1:24" x14ac:dyDescent="0.4">
      <c r="A13" s="106" t="s">
        <v>615</v>
      </c>
      <c r="B13" s="106"/>
      <c r="C13" s="106"/>
      <c r="D13" s="106"/>
      <c r="E13" s="18" t="b">
        <v>1</v>
      </c>
      <c r="F13" s="6" t="str">
        <f>IF(ISBLANK(E13),IncompleteText,IF(E13,OKText,FALSE))</f>
        <v>OK</v>
      </c>
    </row>
  </sheetData>
  <sheetProtection algorithmName="SHA-512" hashValue="Hn2ERdclpNt9IZLyWMtWJl1Wyd17hkuZPxpj6OpcSJvVRe776dvwiNzEEB51iFVIGL6OY0ZPqsLuHsNkehKQsg==" saltValue="3fLSEfCxes6UrkJBgDhkPg==" spinCount="100000" sheet="1" scenarios="1" insertHyperlinks="0" selectLockedCells="1"/>
  <mergeCells count="51">
    <mergeCell ref="S2:S3"/>
    <mergeCell ref="T4:X5"/>
    <mergeCell ref="H4:I5"/>
    <mergeCell ref="J4:K5"/>
    <mergeCell ref="B12:C12"/>
    <mergeCell ref="D12:E12"/>
    <mergeCell ref="A13:D13"/>
    <mergeCell ref="F4:F5"/>
    <mergeCell ref="L4:L5"/>
    <mergeCell ref="B11:C11"/>
    <mergeCell ref="D11:E11"/>
    <mergeCell ref="H11:I11"/>
    <mergeCell ref="J11:K11"/>
    <mergeCell ref="T11:X11"/>
    <mergeCell ref="B10:C10"/>
    <mergeCell ref="D10:E10"/>
    <mergeCell ref="H10:I10"/>
    <mergeCell ref="J10:K10"/>
    <mergeCell ref="T10:X10"/>
    <mergeCell ref="B9:C9"/>
    <mergeCell ref="D9:E9"/>
    <mergeCell ref="H9:I9"/>
    <mergeCell ref="J9:K9"/>
    <mergeCell ref="T9:X9"/>
    <mergeCell ref="B8:C8"/>
    <mergeCell ref="D8:E8"/>
    <mergeCell ref="H8:I8"/>
    <mergeCell ref="J8:K8"/>
    <mergeCell ref="T8:X8"/>
    <mergeCell ref="B7:C7"/>
    <mergeCell ref="D7:E7"/>
    <mergeCell ref="H7:I7"/>
    <mergeCell ref="J7:K7"/>
    <mergeCell ref="T7:X7"/>
    <mergeCell ref="B6:C6"/>
    <mergeCell ref="D6:E6"/>
    <mergeCell ref="H6:I6"/>
    <mergeCell ref="J6:K6"/>
    <mergeCell ref="T6:X6"/>
    <mergeCell ref="A2:D2"/>
    <mergeCell ref="H2:R2"/>
    <mergeCell ref="A3:D3"/>
    <mergeCell ref="A4:E4"/>
    <mergeCell ref="A5:B5"/>
    <mergeCell ref="C5:E5"/>
    <mergeCell ref="M4:M5"/>
    <mergeCell ref="N4:N5"/>
    <mergeCell ref="O4:O5"/>
    <mergeCell ref="P4:P5"/>
    <mergeCell ref="Q4:Q5"/>
    <mergeCell ref="R4:R5"/>
  </mergeCells>
  <phoneticPr fontId="14" type="noConversion"/>
  <conditionalFormatting sqref="A4:F13">
    <cfRule type="expression" dxfId="3" priority="1">
      <formula>$E$2="数字 digital"</formula>
    </cfRule>
  </conditionalFormatting>
  <dataValidations count="5">
    <dataValidation type="list" allowBlank="1" showInputMessage="1" showErrorMessage="1" sqref="E2" xr:uid="{00000000-0002-0000-0800-000000000000}">
      <formula1>"模拟 analog,数字 digital"</formula1>
    </dataValidation>
    <dataValidation type="list" allowBlank="1" showInputMessage="1" showErrorMessage="1" sqref="E13" xr:uid="{00000000-0002-0000-0800-000001000000}">
      <formula1>"TRUE,FALSE"</formula1>
    </dataValidation>
    <dataValidation type="list" allowBlank="1" showInputMessage="1" showErrorMessage="1" sqref="L6:L11" xr:uid="{00000000-0002-0000-0800-000002000000}">
      <formula1>"模拟,数字"</formula1>
    </dataValidation>
    <dataValidation type="list" allowBlank="1" showInputMessage="1" showErrorMessage="1" sqref="H7:I11 J6:K11" xr:uid="{00000000-0002-0000-0800-000003000000}">
      <formula1>"整车控制器节点(VCU),电机控制器(MCU)"</formula1>
    </dataValidation>
    <dataValidation type="list" allowBlank="1" showInputMessage="1" showErrorMessage="1" sqref="M6:R11" xr:uid="{00000000-0002-0000-0800-000004000000}">
      <formula1>"TRUR,FALSE"</formula1>
    </dataValidation>
  </dataValidations>
  <hyperlinks>
    <hyperlink ref="E3" r:id="rId1" xr:uid="{00000000-0004-0000-0800-00000000000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39"/>
  <sheetViews>
    <sheetView topLeftCell="A7" zoomScale="70" zoomScaleNormal="70" workbookViewId="0">
      <selection activeCell="Y34" sqref="Y34:Y38"/>
    </sheetView>
  </sheetViews>
  <sheetFormatPr defaultColWidth="9" defaultRowHeight="13.9" x14ac:dyDescent="0.4"/>
  <cols>
    <col min="1" max="1" width="12" customWidth="1"/>
    <col min="25" max="25" width="29.33203125" customWidth="1"/>
    <col min="34" max="34" width="19.6640625" customWidth="1"/>
  </cols>
  <sheetData>
    <row r="1" spans="1:44" x14ac:dyDescent="0.4">
      <c r="A1" s="15" t="s">
        <v>26</v>
      </c>
      <c r="B1" s="6" t="str" cm="1">
        <f t="array" ref="B1" ca="1">IF(SUM(COUNTIF(INDIRECT({"$F$2","$L$2","$H$28","$Q$28","$Z$8"}),"="&amp;IncompleteText)),IncompleteText,IF(SUM(COUNTIF(INDIRECT({"$F$2","$L$2","$H$28","$Q$28","$Z$8"}),"="&amp;ErrorText)),ErrorText,OKText))</f>
        <v>OK</v>
      </c>
      <c r="C1" s="16"/>
      <c r="D1" s="16"/>
      <c r="E1" s="16"/>
      <c r="F1" s="16"/>
      <c r="G1" s="16"/>
      <c r="H1" s="16"/>
      <c r="I1" s="16"/>
      <c r="J1" s="16"/>
      <c r="K1" s="16"/>
      <c r="L1" s="16"/>
    </row>
    <row r="2" spans="1:44" x14ac:dyDescent="0.4">
      <c r="A2" s="71" t="s">
        <v>616</v>
      </c>
      <c r="B2" s="71"/>
      <c r="C2" s="71"/>
      <c r="D2" s="71"/>
      <c r="E2" s="71"/>
      <c r="F2" s="6" t="str">
        <f>IF(COUNTIF(F3:F7,"="&amp;IncompleteText),IncompleteText,IF(COUNTIF(F3:F7,"="&amp;ErrorText),ErrorText,OKText))</f>
        <v>OK</v>
      </c>
      <c r="G2" s="71" t="s">
        <v>239</v>
      </c>
      <c r="H2" s="71"/>
      <c r="I2" s="71"/>
      <c r="J2" s="71"/>
      <c r="K2" s="71"/>
      <c r="L2" s="6" t="str">
        <f>IF(COUNTIF(L3:L5,"="&amp;IncompleteText),IncompleteText,IF(COUNTIF(L3:L5,"="&amp;ErrorText),ErrorText,OKText))</f>
        <v>OK</v>
      </c>
    </row>
    <row r="3" spans="1:44" x14ac:dyDescent="0.4">
      <c r="A3" s="72" t="s">
        <v>28</v>
      </c>
      <c r="B3" s="72"/>
      <c r="C3" s="74"/>
      <c r="D3" s="113" t="s">
        <v>617</v>
      </c>
      <c r="E3" s="114"/>
      <c r="F3" s="6" t="str">
        <f>IF(ISBLANK(D3),IncompleteText,OKText)</f>
        <v>OK</v>
      </c>
      <c r="G3" s="106" t="s">
        <v>28</v>
      </c>
      <c r="H3" s="106"/>
      <c r="I3" s="107"/>
      <c r="J3" s="113" t="s">
        <v>617</v>
      </c>
      <c r="K3" s="114"/>
      <c r="L3" s="6" t="str">
        <f>IF(ISBLANK(J3),IncompleteText,OKText)</f>
        <v>OK</v>
      </c>
    </row>
    <row r="4" spans="1:44" x14ac:dyDescent="0.4">
      <c r="A4" s="72" t="s">
        <v>291</v>
      </c>
      <c r="B4" s="72"/>
      <c r="C4" s="72"/>
      <c r="D4" s="73" t="s">
        <v>618</v>
      </c>
      <c r="E4" s="73"/>
      <c r="F4" s="6" t="str">
        <f>IF(ISBLANK(D4),IncompleteText,OKText)</f>
        <v>OK</v>
      </c>
      <c r="G4" s="106" t="s">
        <v>291</v>
      </c>
      <c r="H4" s="106"/>
      <c r="I4" s="106"/>
      <c r="J4" s="73" t="s">
        <v>619</v>
      </c>
      <c r="K4" s="73"/>
      <c r="L4" s="6" t="str">
        <f>IF(ISBLANK(J4),IncompleteText,OKText)</f>
        <v>OK</v>
      </c>
    </row>
    <row r="5" spans="1:44" x14ac:dyDescent="0.4">
      <c r="A5" s="72" t="s">
        <v>620</v>
      </c>
      <c r="B5" s="72"/>
      <c r="C5" s="74"/>
      <c r="D5" s="73" t="s">
        <v>621</v>
      </c>
      <c r="E5" s="73"/>
      <c r="F5" s="6" t="str">
        <f>IF(ISBLANK(D5),IncompleteText,OKText)</f>
        <v>OK</v>
      </c>
      <c r="G5" s="111" t="s">
        <v>622</v>
      </c>
      <c r="H5" s="111"/>
      <c r="I5" s="112"/>
      <c r="J5" s="73" t="s">
        <v>623</v>
      </c>
      <c r="K5" s="73"/>
      <c r="L5" s="6" t="str">
        <f>IF(ISBLANK(J5),IncompleteText,OKText)</f>
        <v>OK</v>
      </c>
    </row>
    <row r="6" spans="1:44" x14ac:dyDescent="0.4">
      <c r="A6" s="124" t="s">
        <v>624</v>
      </c>
      <c r="B6" s="124"/>
      <c r="C6" s="124"/>
      <c r="D6" s="193">
        <v>2200</v>
      </c>
      <c r="E6" s="194" t="s">
        <v>21</v>
      </c>
      <c r="F6" s="196" t="str">
        <f>IF(ISBLANK(D6),IncompleteText,IF(D6&lt;MaxTSVoltage,ErrorText,OKText))</f>
        <v>OK</v>
      </c>
      <c r="G6" t="s">
        <v>625</v>
      </c>
    </row>
    <row r="7" spans="1:44" x14ac:dyDescent="0.4">
      <c r="A7" s="124"/>
      <c r="B7" s="124"/>
      <c r="C7" s="124"/>
      <c r="D7" s="178"/>
      <c r="E7" s="195"/>
      <c r="F7" s="196"/>
    </row>
    <row r="8" spans="1:44" x14ac:dyDescent="0.4">
      <c r="S8" s="71" t="s">
        <v>626</v>
      </c>
      <c r="T8" s="71"/>
      <c r="U8" s="71"/>
      <c r="V8" s="71"/>
      <c r="W8" s="71"/>
      <c r="X8" s="71"/>
      <c r="Y8" s="71"/>
      <c r="Z8" s="6" t="e" cm="1">
        <f t="array" ref="Z8" ca="1">IF(SUM(COUNTIF(INDIRECT({"其他!$Z$28","其他!$Z$30","其他!$AI$28"}),"="&amp;IncompleteText)),IncompleteText,IF(SUM(COUNTIF(INDIRECT({"其他!$Z$28","其他!$Z$30","其他!$AI$28"}),"="&amp;ErrorText)),ErrorText,OKText))</f>
        <v>#REF!</v>
      </c>
      <c r="AK8" s="71" t="s">
        <v>376</v>
      </c>
      <c r="AL8" s="71"/>
      <c r="AM8" s="71"/>
      <c r="AN8" s="71"/>
      <c r="AO8" s="71"/>
      <c r="AP8" s="71"/>
      <c r="AQ8" s="71"/>
    </row>
    <row r="9" spans="1:44" x14ac:dyDescent="0.4">
      <c r="A9" s="97" t="s">
        <v>627</v>
      </c>
      <c r="B9" s="97"/>
      <c r="C9" s="97"/>
      <c r="D9" s="97"/>
      <c r="E9" s="97"/>
      <c r="F9" s="97"/>
      <c r="G9" s="97"/>
      <c r="H9" s="97"/>
      <c r="J9" s="97" t="s">
        <v>628</v>
      </c>
      <c r="K9" s="97"/>
      <c r="L9" s="97"/>
      <c r="M9" s="97"/>
      <c r="N9" s="97"/>
      <c r="O9" s="97"/>
      <c r="P9" s="97"/>
      <c r="Q9" s="97"/>
      <c r="S9" s="97" t="s">
        <v>629</v>
      </c>
      <c r="T9" s="97"/>
      <c r="U9" s="97"/>
      <c r="V9" s="97"/>
      <c r="W9" s="97"/>
      <c r="X9" s="97"/>
      <c r="Y9" s="97"/>
      <c r="Z9" s="97"/>
      <c r="AB9" s="197" t="s">
        <v>630</v>
      </c>
      <c r="AC9" s="197"/>
      <c r="AD9" s="197"/>
      <c r="AE9" s="197"/>
      <c r="AF9" s="197"/>
      <c r="AG9" s="197"/>
      <c r="AH9" s="197"/>
      <c r="AI9" s="197"/>
      <c r="AK9" s="97"/>
      <c r="AL9" s="97"/>
      <c r="AM9" s="97"/>
      <c r="AN9" s="97"/>
      <c r="AO9" s="97"/>
      <c r="AP9" s="97"/>
      <c r="AQ9" s="97"/>
      <c r="AR9" s="97"/>
    </row>
    <row r="10" spans="1:44" x14ac:dyDescent="0.4">
      <c r="A10" s="97"/>
      <c r="B10" s="97"/>
      <c r="C10" s="97"/>
      <c r="D10" s="97"/>
      <c r="E10" s="97"/>
      <c r="F10" s="97"/>
      <c r="G10" s="97"/>
      <c r="H10" s="97"/>
      <c r="J10" s="97"/>
      <c r="K10" s="97"/>
      <c r="L10" s="97"/>
      <c r="M10" s="97"/>
      <c r="N10" s="97"/>
      <c r="O10" s="97"/>
      <c r="P10" s="97"/>
      <c r="Q10" s="97"/>
      <c r="S10" s="97"/>
      <c r="T10" s="97"/>
      <c r="U10" s="97"/>
      <c r="V10" s="97"/>
      <c r="W10" s="97"/>
      <c r="X10" s="97"/>
      <c r="Y10" s="97"/>
      <c r="Z10" s="97"/>
      <c r="AB10" s="197"/>
      <c r="AC10" s="197"/>
      <c r="AD10" s="197"/>
      <c r="AE10" s="197"/>
      <c r="AF10" s="197"/>
      <c r="AG10" s="197"/>
      <c r="AH10" s="197"/>
      <c r="AI10" s="197"/>
      <c r="AK10" s="97"/>
      <c r="AL10" s="97"/>
      <c r="AM10" s="97"/>
      <c r="AN10" s="97"/>
      <c r="AO10" s="97"/>
      <c r="AP10" s="97"/>
      <c r="AQ10" s="97"/>
      <c r="AR10" s="97"/>
    </row>
    <row r="11" spans="1:44" x14ac:dyDescent="0.4">
      <c r="A11" s="97"/>
      <c r="B11" s="97"/>
      <c r="C11" s="97"/>
      <c r="D11" s="97"/>
      <c r="E11" s="97"/>
      <c r="F11" s="97"/>
      <c r="G11" s="97"/>
      <c r="H11" s="97"/>
      <c r="J11" s="97"/>
      <c r="K11" s="97"/>
      <c r="L11" s="97"/>
      <c r="M11" s="97"/>
      <c r="N11" s="97"/>
      <c r="O11" s="97"/>
      <c r="P11" s="97"/>
      <c r="Q11" s="97"/>
      <c r="S11" s="97"/>
      <c r="T11" s="97"/>
      <c r="U11" s="97"/>
      <c r="V11" s="97"/>
      <c r="W11" s="97"/>
      <c r="X11" s="97"/>
      <c r="Y11" s="97"/>
      <c r="Z11" s="97"/>
      <c r="AB11" s="197"/>
      <c r="AC11" s="197"/>
      <c r="AD11" s="197"/>
      <c r="AE11" s="197"/>
      <c r="AF11" s="197"/>
      <c r="AG11" s="197"/>
      <c r="AH11" s="197"/>
      <c r="AI11" s="197"/>
      <c r="AK11" s="97"/>
      <c r="AL11" s="97"/>
      <c r="AM11" s="97"/>
      <c r="AN11" s="97"/>
      <c r="AO11" s="97"/>
      <c r="AP11" s="97"/>
      <c r="AQ11" s="97"/>
      <c r="AR11" s="97"/>
    </row>
    <row r="12" spans="1:44" x14ac:dyDescent="0.4">
      <c r="A12" s="97"/>
      <c r="B12" s="97"/>
      <c r="C12" s="97"/>
      <c r="D12" s="97"/>
      <c r="E12" s="97"/>
      <c r="F12" s="97"/>
      <c r="G12" s="97"/>
      <c r="H12" s="97"/>
      <c r="J12" s="97"/>
      <c r="K12" s="97"/>
      <c r="L12" s="97"/>
      <c r="M12" s="97"/>
      <c r="N12" s="97"/>
      <c r="O12" s="97"/>
      <c r="P12" s="97"/>
      <c r="Q12" s="97"/>
      <c r="S12" s="97"/>
      <c r="T12" s="97"/>
      <c r="U12" s="97"/>
      <c r="V12" s="97"/>
      <c r="W12" s="97"/>
      <c r="X12" s="97"/>
      <c r="Y12" s="97"/>
      <c r="Z12" s="97"/>
      <c r="AB12" s="197"/>
      <c r="AC12" s="197"/>
      <c r="AD12" s="197"/>
      <c r="AE12" s="197"/>
      <c r="AF12" s="197"/>
      <c r="AG12" s="197"/>
      <c r="AH12" s="197"/>
      <c r="AI12" s="197"/>
      <c r="AK12" s="97"/>
      <c r="AL12" s="97"/>
      <c r="AM12" s="97"/>
      <c r="AN12" s="97"/>
      <c r="AO12" s="97"/>
      <c r="AP12" s="97"/>
      <c r="AQ12" s="97"/>
      <c r="AR12" s="97"/>
    </row>
    <row r="13" spans="1:44" x14ac:dyDescent="0.4">
      <c r="A13" s="97"/>
      <c r="B13" s="97"/>
      <c r="C13" s="97"/>
      <c r="D13" s="97"/>
      <c r="E13" s="97"/>
      <c r="F13" s="97"/>
      <c r="G13" s="97"/>
      <c r="H13" s="97"/>
      <c r="J13" s="97"/>
      <c r="K13" s="97"/>
      <c r="L13" s="97"/>
      <c r="M13" s="97"/>
      <c r="N13" s="97"/>
      <c r="O13" s="97"/>
      <c r="P13" s="97"/>
      <c r="Q13" s="97"/>
      <c r="S13" s="97"/>
      <c r="T13" s="97"/>
      <c r="U13" s="97"/>
      <c r="V13" s="97"/>
      <c r="W13" s="97"/>
      <c r="X13" s="97"/>
      <c r="Y13" s="97"/>
      <c r="Z13" s="97"/>
      <c r="AB13" s="197"/>
      <c r="AC13" s="197"/>
      <c r="AD13" s="197"/>
      <c r="AE13" s="197"/>
      <c r="AF13" s="197"/>
      <c r="AG13" s="197"/>
      <c r="AH13" s="197"/>
      <c r="AI13" s="197"/>
      <c r="AK13" s="97"/>
      <c r="AL13" s="97"/>
      <c r="AM13" s="97"/>
      <c r="AN13" s="97"/>
      <c r="AO13" s="97"/>
      <c r="AP13" s="97"/>
      <c r="AQ13" s="97"/>
      <c r="AR13" s="97"/>
    </row>
    <row r="14" spans="1:44" x14ac:dyDescent="0.4">
      <c r="A14" s="97"/>
      <c r="B14" s="97"/>
      <c r="C14" s="97"/>
      <c r="D14" s="97"/>
      <c r="E14" s="97"/>
      <c r="F14" s="97"/>
      <c r="G14" s="97"/>
      <c r="H14" s="97"/>
      <c r="J14" s="97"/>
      <c r="K14" s="97"/>
      <c r="L14" s="97"/>
      <c r="M14" s="97"/>
      <c r="N14" s="97"/>
      <c r="O14" s="97"/>
      <c r="P14" s="97"/>
      <c r="Q14" s="97"/>
      <c r="S14" s="97"/>
      <c r="T14" s="97"/>
      <c r="U14" s="97"/>
      <c r="V14" s="97"/>
      <c r="W14" s="97"/>
      <c r="X14" s="97"/>
      <c r="Y14" s="97"/>
      <c r="Z14" s="97"/>
      <c r="AB14" s="197"/>
      <c r="AC14" s="197"/>
      <c r="AD14" s="197"/>
      <c r="AE14" s="197"/>
      <c r="AF14" s="197"/>
      <c r="AG14" s="197"/>
      <c r="AH14" s="197"/>
      <c r="AI14" s="197"/>
      <c r="AK14" s="97"/>
      <c r="AL14" s="97"/>
      <c r="AM14" s="97"/>
      <c r="AN14" s="97"/>
      <c r="AO14" s="97"/>
      <c r="AP14" s="97"/>
      <c r="AQ14" s="97"/>
      <c r="AR14" s="97"/>
    </row>
    <row r="15" spans="1:44" x14ac:dyDescent="0.4">
      <c r="A15" s="97"/>
      <c r="B15" s="97"/>
      <c r="C15" s="97"/>
      <c r="D15" s="97"/>
      <c r="E15" s="97"/>
      <c r="F15" s="97"/>
      <c r="G15" s="97"/>
      <c r="H15" s="97"/>
      <c r="J15" s="97"/>
      <c r="K15" s="97"/>
      <c r="L15" s="97"/>
      <c r="M15" s="97"/>
      <c r="N15" s="97"/>
      <c r="O15" s="97"/>
      <c r="P15" s="97"/>
      <c r="Q15" s="97"/>
      <c r="S15" s="97"/>
      <c r="T15" s="97"/>
      <c r="U15" s="97"/>
      <c r="V15" s="97"/>
      <c r="W15" s="97"/>
      <c r="X15" s="97"/>
      <c r="Y15" s="97"/>
      <c r="Z15" s="97"/>
      <c r="AB15" s="197"/>
      <c r="AC15" s="197"/>
      <c r="AD15" s="197"/>
      <c r="AE15" s="197"/>
      <c r="AF15" s="197"/>
      <c r="AG15" s="197"/>
      <c r="AH15" s="197"/>
      <c r="AI15" s="197"/>
      <c r="AK15" s="97"/>
      <c r="AL15" s="97"/>
      <c r="AM15" s="97"/>
      <c r="AN15" s="97"/>
      <c r="AO15" s="97"/>
      <c r="AP15" s="97"/>
      <c r="AQ15" s="97"/>
      <c r="AR15" s="97"/>
    </row>
    <row r="16" spans="1:44" x14ac:dyDescent="0.4">
      <c r="A16" s="97"/>
      <c r="B16" s="97"/>
      <c r="C16" s="97"/>
      <c r="D16" s="97"/>
      <c r="E16" s="97"/>
      <c r="F16" s="97"/>
      <c r="G16" s="97"/>
      <c r="H16" s="97"/>
      <c r="J16" s="97"/>
      <c r="K16" s="97"/>
      <c r="L16" s="97"/>
      <c r="M16" s="97"/>
      <c r="N16" s="97"/>
      <c r="O16" s="97"/>
      <c r="P16" s="97"/>
      <c r="Q16" s="97"/>
      <c r="S16" s="97"/>
      <c r="T16" s="97"/>
      <c r="U16" s="97"/>
      <c r="V16" s="97"/>
      <c r="W16" s="97"/>
      <c r="X16" s="97"/>
      <c r="Y16" s="97"/>
      <c r="Z16" s="97"/>
      <c r="AB16" s="197"/>
      <c r="AC16" s="197"/>
      <c r="AD16" s="197"/>
      <c r="AE16" s="197"/>
      <c r="AF16" s="197"/>
      <c r="AG16" s="197"/>
      <c r="AH16" s="197"/>
      <c r="AI16" s="197"/>
      <c r="AK16" s="97"/>
      <c r="AL16" s="97"/>
      <c r="AM16" s="97"/>
      <c r="AN16" s="97"/>
      <c r="AO16" s="97"/>
      <c r="AP16" s="97"/>
      <c r="AQ16" s="97"/>
      <c r="AR16" s="97"/>
    </row>
    <row r="17" spans="1:44" x14ac:dyDescent="0.4">
      <c r="A17" s="97"/>
      <c r="B17" s="97"/>
      <c r="C17" s="97"/>
      <c r="D17" s="97"/>
      <c r="E17" s="97"/>
      <c r="F17" s="97"/>
      <c r="G17" s="97"/>
      <c r="H17" s="97"/>
      <c r="J17" s="97"/>
      <c r="K17" s="97"/>
      <c r="L17" s="97"/>
      <c r="M17" s="97"/>
      <c r="N17" s="97"/>
      <c r="O17" s="97"/>
      <c r="P17" s="97"/>
      <c r="Q17" s="97"/>
      <c r="S17" s="97"/>
      <c r="T17" s="97"/>
      <c r="U17" s="97"/>
      <c r="V17" s="97"/>
      <c r="W17" s="97"/>
      <c r="X17" s="97"/>
      <c r="Y17" s="97"/>
      <c r="Z17" s="97"/>
      <c r="AB17" s="197"/>
      <c r="AC17" s="197"/>
      <c r="AD17" s="197"/>
      <c r="AE17" s="197"/>
      <c r="AF17" s="197"/>
      <c r="AG17" s="197"/>
      <c r="AH17" s="197"/>
      <c r="AI17" s="197"/>
      <c r="AK17" s="97"/>
      <c r="AL17" s="97"/>
      <c r="AM17" s="97"/>
      <c r="AN17" s="97"/>
      <c r="AO17" s="97"/>
      <c r="AP17" s="97"/>
      <c r="AQ17" s="97"/>
      <c r="AR17" s="97"/>
    </row>
    <row r="18" spans="1:44" x14ac:dyDescent="0.4">
      <c r="A18" s="97"/>
      <c r="B18" s="97"/>
      <c r="C18" s="97"/>
      <c r="D18" s="97"/>
      <c r="E18" s="97"/>
      <c r="F18" s="97"/>
      <c r="G18" s="97"/>
      <c r="H18" s="97"/>
      <c r="J18" s="97"/>
      <c r="K18" s="97"/>
      <c r="L18" s="97"/>
      <c r="M18" s="97"/>
      <c r="N18" s="97"/>
      <c r="O18" s="97"/>
      <c r="P18" s="97"/>
      <c r="Q18" s="97"/>
      <c r="S18" s="97"/>
      <c r="T18" s="97"/>
      <c r="U18" s="97"/>
      <c r="V18" s="97"/>
      <c r="W18" s="97"/>
      <c r="X18" s="97"/>
      <c r="Y18" s="97"/>
      <c r="Z18" s="97"/>
      <c r="AB18" s="197"/>
      <c r="AC18" s="197"/>
      <c r="AD18" s="197"/>
      <c r="AE18" s="197"/>
      <c r="AF18" s="197"/>
      <c r="AG18" s="197"/>
      <c r="AH18" s="197"/>
      <c r="AI18" s="197"/>
      <c r="AK18" s="97"/>
      <c r="AL18" s="97"/>
      <c r="AM18" s="97"/>
      <c r="AN18" s="97"/>
      <c r="AO18" s="97"/>
      <c r="AP18" s="97"/>
      <c r="AQ18" s="97"/>
      <c r="AR18" s="97"/>
    </row>
    <row r="19" spans="1:44" x14ac:dyDescent="0.4">
      <c r="A19" s="97"/>
      <c r="B19" s="97"/>
      <c r="C19" s="97"/>
      <c r="D19" s="97"/>
      <c r="E19" s="97"/>
      <c r="F19" s="97"/>
      <c r="G19" s="97"/>
      <c r="H19" s="97"/>
      <c r="J19" s="97"/>
      <c r="K19" s="97"/>
      <c r="L19" s="97"/>
      <c r="M19" s="97"/>
      <c r="N19" s="97"/>
      <c r="O19" s="97"/>
      <c r="P19" s="97"/>
      <c r="Q19" s="97"/>
      <c r="S19" s="97"/>
      <c r="T19" s="97"/>
      <c r="U19" s="97"/>
      <c r="V19" s="97"/>
      <c r="W19" s="97"/>
      <c r="X19" s="97"/>
      <c r="Y19" s="97"/>
      <c r="Z19" s="97"/>
      <c r="AB19" s="197"/>
      <c r="AC19" s="197"/>
      <c r="AD19" s="197"/>
      <c r="AE19" s="197"/>
      <c r="AF19" s="197"/>
      <c r="AG19" s="197"/>
      <c r="AH19" s="197"/>
      <c r="AI19" s="197"/>
      <c r="AK19" s="97"/>
      <c r="AL19" s="97"/>
      <c r="AM19" s="97"/>
      <c r="AN19" s="97"/>
      <c r="AO19" s="97"/>
      <c r="AP19" s="97"/>
      <c r="AQ19" s="97"/>
      <c r="AR19" s="97"/>
    </row>
    <row r="20" spans="1:44" x14ac:dyDescent="0.4">
      <c r="A20" s="97"/>
      <c r="B20" s="97"/>
      <c r="C20" s="97"/>
      <c r="D20" s="97"/>
      <c r="E20" s="97"/>
      <c r="F20" s="97"/>
      <c r="G20" s="97"/>
      <c r="H20" s="97"/>
      <c r="J20" s="97"/>
      <c r="K20" s="97"/>
      <c r="L20" s="97"/>
      <c r="M20" s="97"/>
      <c r="N20" s="97"/>
      <c r="O20" s="97"/>
      <c r="P20" s="97"/>
      <c r="Q20" s="97"/>
      <c r="S20" s="97"/>
      <c r="T20" s="97"/>
      <c r="U20" s="97"/>
      <c r="V20" s="97"/>
      <c r="W20" s="97"/>
      <c r="X20" s="97"/>
      <c r="Y20" s="97"/>
      <c r="Z20" s="97"/>
      <c r="AB20" s="197"/>
      <c r="AC20" s="197"/>
      <c r="AD20" s="197"/>
      <c r="AE20" s="197"/>
      <c r="AF20" s="197"/>
      <c r="AG20" s="197"/>
      <c r="AH20" s="197"/>
      <c r="AI20" s="197"/>
      <c r="AK20" s="97"/>
      <c r="AL20" s="97"/>
      <c r="AM20" s="97"/>
      <c r="AN20" s="97"/>
      <c r="AO20" s="97"/>
      <c r="AP20" s="97"/>
      <c r="AQ20" s="97"/>
      <c r="AR20" s="97"/>
    </row>
    <row r="21" spans="1:44" x14ac:dyDescent="0.4">
      <c r="A21" s="97"/>
      <c r="B21" s="97"/>
      <c r="C21" s="97"/>
      <c r="D21" s="97"/>
      <c r="E21" s="97"/>
      <c r="F21" s="97"/>
      <c r="G21" s="97"/>
      <c r="H21" s="97"/>
      <c r="J21" s="97"/>
      <c r="K21" s="97"/>
      <c r="L21" s="97"/>
      <c r="M21" s="97"/>
      <c r="N21" s="97"/>
      <c r="O21" s="97"/>
      <c r="P21" s="97"/>
      <c r="Q21" s="97"/>
      <c r="S21" s="97"/>
      <c r="T21" s="97"/>
      <c r="U21" s="97"/>
      <c r="V21" s="97"/>
      <c r="W21" s="97"/>
      <c r="X21" s="97"/>
      <c r="Y21" s="97"/>
      <c r="Z21" s="97"/>
      <c r="AB21" s="197"/>
      <c r="AC21" s="197"/>
      <c r="AD21" s="197"/>
      <c r="AE21" s="197"/>
      <c r="AF21" s="197"/>
      <c r="AG21" s="197"/>
      <c r="AH21" s="197"/>
      <c r="AI21" s="197"/>
      <c r="AK21" s="97"/>
      <c r="AL21" s="97"/>
      <c r="AM21" s="97"/>
      <c r="AN21" s="97"/>
      <c r="AO21" s="97"/>
      <c r="AP21" s="97"/>
      <c r="AQ21" s="97"/>
      <c r="AR21" s="97"/>
    </row>
    <row r="22" spans="1:44" x14ac:dyDescent="0.4">
      <c r="A22" s="97"/>
      <c r="B22" s="97"/>
      <c r="C22" s="97"/>
      <c r="D22" s="97"/>
      <c r="E22" s="97"/>
      <c r="F22" s="97"/>
      <c r="G22" s="97"/>
      <c r="H22" s="97"/>
      <c r="J22" s="97"/>
      <c r="K22" s="97"/>
      <c r="L22" s="97"/>
      <c r="M22" s="97"/>
      <c r="N22" s="97"/>
      <c r="O22" s="97"/>
      <c r="P22" s="97"/>
      <c r="Q22" s="97"/>
      <c r="S22" s="97"/>
      <c r="T22" s="97"/>
      <c r="U22" s="97"/>
      <c r="V22" s="97"/>
      <c r="W22" s="97"/>
      <c r="X22" s="97"/>
      <c r="Y22" s="97"/>
      <c r="Z22" s="97"/>
      <c r="AB22" s="197"/>
      <c r="AC22" s="197"/>
      <c r="AD22" s="197"/>
      <c r="AE22" s="197"/>
      <c r="AF22" s="197"/>
      <c r="AG22" s="197"/>
      <c r="AH22" s="197"/>
      <c r="AI22" s="197"/>
      <c r="AK22" s="97"/>
      <c r="AL22" s="97"/>
      <c r="AM22" s="97"/>
      <c r="AN22" s="97"/>
      <c r="AO22" s="97"/>
      <c r="AP22" s="97"/>
      <c r="AQ22" s="97"/>
      <c r="AR22" s="97"/>
    </row>
    <row r="23" spans="1:44" x14ac:dyDescent="0.4">
      <c r="A23" s="97"/>
      <c r="B23" s="97"/>
      <c r="C23" s="97"/>
      <c r="D23" s="97"/>
      <c r="E23" s="97"/>
      <c r="F23" s="97"/>
      <c r="G23" s="97"/>
      <c r="H23" s="97"/>
      <c r="J23" s="97"/>
      <c r="K23" s="97"/>
      <c r="L23" s="97"/>
      <c r="M23" s="97"/>
      <c r="N23" s="97"/>
      <c r="O23" s="97"/>
      <c r="P23" s="97"/>
      <c r="Q23" s="97"/>
      <c r="S23" s="97"/>
      <c r="T23" s="97"/>
      <c r="U23" s="97"/>
      <c r="V23" s="97"/>
      <c r="W23" s="97"/>
      <c r="X23" s="97"/>
      <c r="Y23" s="97"/>
      <c r="Z23" s="97"/>
      <c r="AB23" s="197"/>
      <c r="AC23" s="197"/>
      <c r="AD23" s="197"/>
      <c r="AE23" s="197"/>
      <c r="AF23" s="197"/>
      <c r="AG23" s="197"/>
      <c r="AH23" s="197"/>
      <c r="AI23" s="197"/>
      <c r="AK23" s="97"/>
      <c r="AL23" s="97"/>
      <c r="AM23" s="97"/>
      <c r="AN23" s="97"/>
      <c r="AO23" s="97"/>
      <c r="AP23" s="97"/>
      <c r="AQ23" s="97"/>
      <c r="AR23" s="97"/>
    </row>
    <row r="24" spans="1:44" x14ac:dyDescent="0.4">
      <c r="A24" s="97"/>
      <c r="B24" s="97"/>
      <c r="C24" s="97"/>
      <c r="D24" s="97"/>
      <c r="E24" s="97"/>
      <c r="F24" s="97"/>
      <c r="G24" s="97"/>
      <c r="H24" s="97"/>
      <c r="J24" s="97"/>
      <c r="K24" s="97"/>
      <c r="L24" s="97"/>
      <c r="M24" s="97"/>
      <c r="N24" s="97"/>
      <c r="O24" s="97"/>
      <c r="P24" s="97"/>
      <c r="Q24" s="97"/>
      <c r="S24" s="97"/>
      <c r="T24" s="97"/>
      <c r="U24" s="97"/>
      <c r="V24" s="97"/>
      <c r="W24" s="97"/>
      <c r="X24" s="97"/>
      <c r="Y24" s="97"/>
      <c r="Z24" s="97"/>
      <c r="AB24" s="197"/>
      <c r="AC24" s="197"/>
      <c r="AD24" s="197"/>
      <c r="AE24" s="197"/>
      <c r="AF24" s="197"/>
      <c r="AG24" s="197"/>
      <c r="AH24" s="197"/>
      <c r="AI24" s="197"/>
      <c r="AK24" s="97"/>
      <c r="AL24" s="97"/>
      <c r="AM24" s="97"/>
      <c r="AN24" s="97"/>
      <c r="AO24" s="97"/>
      <c r="AP24" s="97"/>
      <c r="AQ24" s="97"/>
      <c r="AR24" s="97"/>
    </row>
    <row r="25" spans="1:44" x14ac:dyDescent="0.4">
      <c r="A25" s="97"/>
      <c r="B25" s="97"/>
      <c r="C25" s="97"/>
      <c r="D25" s="97"/>
      <c r="E25" s="97"/>
      <c r="F25" s="97"/>
      <c r="G25" s="97"/>
      <c r="H25" s="97"/>
      <c r="J25" s="97"/>
      <c r="K25" s="97"/>
      <c r="L25" s="97"/>
      <c r="M25" s="97"/>
      <c r="N25" s="97"/>
      <c r="O25" s="97"/>
      <c r="P25" s="97"/>
      <c r="Q25" s="97"/>
      <c r="S25" s="97"/>
      <c r="T25" s="97"/>
      <c r="U25" s="97"/>
      <c r="V25" s="97"/>
      <c r="W25" s="97"/>
      <c r="X25" s="97"/>
      <c r="Y25" s="97"/>
      <c r="Z25" s="97"/>
      <c r="AB25" s="197"/>
      <c r="AC25" s="197"/>
      <c r="AD25" s="197"/>
      <c r="AE25" s="197"/>
      <c r="AF25" s="197"/>
      <c r="AG25" s="197"/>
      <c r="AH25" s="197"/>
      <c r="AI25" s="197"/>
      <c r="AK25" s="97"/>
      <c r="AL25" s="97"/>
      <c r="AM25" s="97"/>
      <c r="AN25" s="97"/>
      <c r="AO25" s="97"/>
      <c r="AP25" s="97"/>
      <c r="AQ25" s="97"/>
      <c r="AR25" s="97"/>
    </row>
    <row r="26" spans="1:44" x14ac:dyDescent="0.4">
      <c r="A26" s="97"/>
      <c r="B26" s="97"/>
      <c r="C26" s="97"/>
      <c r="D26" s="97"/>
      <c r="E26" s="97"/>
      <c r="F26" s="97"/>
      <c r="G26" s="97"/>
      <c r="H26" s="97"/>
      <c r="J26" s="97"/>
      <c r="K26" s="97"/>
      <c r="L26" s="97"/>
      <c r="M26" s="97"/>
      <c r="N26" s="97"/>
      <c r="O26" s="97"/>
      <c r="P26" s="97"/>
      <c r="Q26" s="97"/>
      <c r="S26" s="97"/>
      <c r="T26" s="97"/>
      <c r="U26" s="97"/>
      <c r="V26" s="97"/>
      <c r="W26" s="97"/>
      <c r="X26" s="97"/>
      <c r="Y26" s="97"/>
      <c r="Z26" s="97"/>
      <c r="AB26" s="197"/>
      <c r="AC26" s="197"/>
      <c r="AD26" s="197"/>
      <c r="AE26" s="197"/>
      <c r="AF26" s="197"/>
      <c r="AG26" s="197"/>
      <c r="AH26" s="197"/>
      <c r="AI26" s="197"/>
      <c r="AK26" s="97"/>
      <c r="AL26" s="97"/>
      <c r="AM26" s="97"/>
      <c r="AN26" s="97"/>
      <c r="AO26" s="97"/>
      <c r="AP26" s="97"/>
      <c r="AQ26" s="97"/>
      <c r="AR26" s="97"/>
    </row>
    <row r="27" spans="1:44" x14ac:dyDescent="0.4">
      <c r="A27" s="97"/>
      <c r="B27" s="97"/>
      <c r="C27" s="97"/>
      <c r="D27" s="97"/>
      <c r="E27" s="97"/>
      <c r="F27" s="97"/>
      <c r="G27" s="97"/>
      <c r="H27" s="97"/>
      <c r="J27" s="97"/>
      <c r="K27" s="97"/>
      <c r="L27" s="97"/>
      <c r="M27" s="97"/>
      <c r="N27" s="97"/>
      <c r="O27" s="97"/>
      <c r="P27" s="97"/>
      <c r="Q27" s="97"/>
      <c r="S27" s="97"/>
      <c r="T27" s="97"/>
      <c r="U27" s="97"/>
      <c r="V27" s="97"/>
      <c r="W27" s="97"/>
      <c r="X27" s="97"/>
      <c r="Y27" s="97"/>
      <c r="Z27" s="97"/>
      <c r="AB27" s="197"/>
      <c r="AC27" s="197"/>
      <c r="AD27" s="197"/>
      <c r="AE27" s="197"/>
      <c r="AF27" s="197"/>
      <c r="AG27" s="197"/>
      <c r="AH27" s="197"/>
      <c r="AI27" s="197"/>
      <c r="AK27" s="97"/>
      <c r="AL27" s="97"/>
      <c r="AM27" s="97"/>
      <c r="AN27" s="97"/>
      <c r="AO27" s="97"/>
      <c r="AP27" s="97"/>
      <c r="AQ27" s="97"/>
      <c r="AR27" s="97"/>
    </row>
    <row r="28" spans="1:44" x14ac:dyDescent="0.4">
      <c r="A28" s="71" t="s">
        <v>627</v>
      </c>
      <c r="B28" s="71"/>
      <c r="C28" s="71"/>
      <c r="D28" s="71"/>
      <c r="E28" s="71"/>
      <c r="F28" s="71"/>
      <c r="G28" s="71"/>
      <c r="H28" s="6" t="str">
        <f>IF(COUNTIF(H29,"="&amp;IncompleteText),IncompleteText,IF(COUNTIF(H29,"="&amp;ErrorText),ErrorText,OKText))</f>
        <v>OK</v>
      </c>
      <c r="J28" s="71" t="s">
        <v>631</v>
      </c>
      <c r="K28" s="71"/>
      <c r="L28" s="71"/>
      <c r="M28" s="71"/>
      <c r="N28" s="71"/>
      <c r="O28" s="71"/>
      <c r="P28" s="71"/>
      <c r="Q28" s="6" t="str">
        <f>IF(COUNTIF(Q29,"="&amp;IncompleteText),IncompleteText,IF(COUNTIF(Q29,"="&amp;ErrorText),ErrorText,OKText))</f>
        <v>OK</v>
      </c>
      <c r="S28" s="71" t="s">
        <v>629</v>
      </c>
      <c r="T28" s="71"/>
      <c r="U28" s="71"/>
      <c r="V28" s="71"/>
      <c r="W28" s="71"/>
      <c r="X28" s="71"/>
      <c r="Y28" s="71"/>
      <c r="Z28" s="6" t="str">
        <f>IF(COUNTIF(Z29,"="&amp;IncompleteText),IncompleteText,IF(COUNTIF(Z29,"="&amp;ErrorText),ErrorText,OKText))</f>
        <v>OK</v>
      </c>
      <c r="AB28" s="71" t="s">
        <v>632</v>
      </c>
      <c r="AC28" s="71"/>
      <c r="AD28" s="71"/>
      <c r="AE28" s="71"/>
      <c r="AF28" s="71"/>
      <c r="AG28" s="71"/>
      <c r="AH28" s="71"/>
      <c r="AI28" s="6" t="str">
        <f>IF(Y32="其他锂电池 Other Li-ion",IF(COUNTIF(AI29:AI36,"="&amp;IncompleteText),IncompleteText,IF(COUNTIF(AI29:AI36,"="&amp;ErrorText),ErrorText,OKText)),OKText)</f>
        <v>OK</v>
      </c>
    </row>
    <row r="29" spans="1:44" x14ac:dyDescent="0.4">
      <c r="A29" s="106" t="s">
        <v>633</v>
      </c>
      <c r="B29" s="106"/>
      <c r="C29" s="106"/>
      <c r="D29" s="106"/>
      <c r="E29" s="106"/>
      <c r="F29" s="107"/>
      <c r="G29" s="18" t="b">
        <v>1</v>
      </c>
      <c r="H29" s="6" t="str">
        <f>IF(ISBLANK(G29),IncompleteText,IF(G29,OKText,ErrorText))</f>
        <v>OK</v>
      </c>
      <c r="J29" s="106" t="s">
        <v>634</v>
      </c>
      <c r="K29" s="106"/>
      <c r="L29" s="106"/>
      <c r="M29" s="106"/>
      <c r="N29" s="106"/>
      <c r="O29" s="107"/>
      <c r="P29" s="18" t="b">
        <v>1</v>
      </c>
      <c r="Q29" s="6" t="str">
        <f>IF(ISBLANK(P29),IncompleteText,IF(P29,OKText,ErrorText))</f>
        <v>OK</v>
      </c>
      <c r="S29" s="106" t="s">
        <v>635</v>
      </c>
      <c r="T29" s="106"/>
      <c r="U29" s="106"/>
      <c r="V29" s="106"/>
      <c r="W29" s="106"/>
      <c r="X29" s="107"/>
      <c r="Y29" s="18" t="b">
        <v>1</v>
      </c>
      <c r="Z29" s="6" t="str">
        <f>IF(ISBLANK(Y29),IncompleteText,IF(Y29,OKText,ErrorText))</f>
        <v>OK</v>
      </c>
      <c r="AB29" s="72" t="s">
        <v>636</v>
      </c>
      <c r="AC29" s="72"/>
      <c r="AD29" s="72"/>
      <c r="AE29" s="72"/>
      <c r="AF29" s="72"/>
      <c r="AG29" s="72"/>
      <c r="AH29" s="18"/>
      <c r="AI29" s="6" t="str">
        <f>IF(ISBLANK(AH29),IncompleteText,OKText)</f>
        <v>BLANK</v>
      </c>
    </row>
    <row r="30" spans="1:44" x14ac:dyDescent="0.4">
      <c r="A30" s="71" t="s">
        <v>637</v>
      </c>
      <c r="B30" s="71"/>
      <c r="C30" s="71"/>
      <c r="D30" s="71"/>
      <c r="E30" s="71"/>
      <c r="F30" s="71"/>
      <c r="G30" s="71"/>
      <c r="J30" s="111" t="s">
        <v>638</v>
      </c>
      <c r="K30" s="111"/>
      <c r="L30" s="111"/>
      <c r="M30" s="111"/>
      <c r="N30" s="111"/>
      <c r="O30" s="112"/>
      <c r="P30" s="18" t="b">
        <v>1</v>
      </c>
      <c r="Q30" s="6" t="str">
        <f>IF(ISBLANK(P30),IncompleteText,IF(P30,OKText,ErrorText))</f>
        <v>OK</v>
      </c>
      <c r="S30" s="71" t="s">
        <v>639</v>
      </c>
      <c r="T30" s="71"/>
      <c r="U30" s="71"/>
      <c r="V30" s="71"/>
      <c r="W30" s="71"/>
      <c r="X30" s="71"/>
      <c r="Y30" s="71"/>
      <c r="Z30" s="6" t="str">
        <f>IF(COUNTIF(Z31:Z39,"="&amp;IncompleteText),IncompleteText,IF(COUNTIF(Z31:Z39,"="&amp;ErrorText),ErrorText,OKText))</f>
        <v>OK</v>
      </c>
      <c r="AB30" s="72" t="s">
        <v>640</v>
      </c>
      <c r="AC30" s="72"/>
      <c r="AD30" s="72"/>
      <c r="AE30" s="72"/>
      <c r="AF30" s="72"/>
      <c r="AG30" s="72"/>
      <c r="AH30" s="18"/>
      <c r="AI30" s="6" t="str">
        <f>IF(AH$29="车队自制",OKText,IF(ISBLANK(AH30),IncompleteText,OKText))</f>
        <v>BLANK</v>
      </c>
    </row>
    <row r="31" spans="1:44" ht="14" customHeight="1" x14ac:dyDescent="0.4">
      <c r="A31" s="152"/>
      <c r="B31" s="96"/>
      <c r="C31" s="96"/>
      <c r="D31" s="96"/>
      <c r="E31" s="96"/>
      <c r="F31" s="96"/>
      <c r="G31" s="96"/>
      <c r="J31" s="71" t="s">
        <v>637</v>
      </c>
      <c r="K31" s="71"/>
      <c r="L31" s="71"/>
      <c r="M31" s="71"/>
      <c r="N31" s="71"/>
      <c r="O31" s="71"/>
      <c r="P31" s="71"/>
      <c r="S31" s="72" t="s">
        <v>641</v>
      </c>
      <c r="T31" s="72"/>
      <c r="U31" s="72"/>
      <c r="V31" s="72"/>
      <c r="W31" s="72"/>
      <c r="X31" s="72"/>
      <c r="Y31" s="18" t="s">
        <v>642</v>
      </c>
      <c r="Z31" s="6" t="str">
        <f>IF(ISBLANK(Y31),IncompleteText,OKText)</f>
        <v>OK</v>
      </c>
      <c r="AB31" s="72" t="s">
        <v>643</v>
      </c>
      <c r="AC31" s="72"/>
      <c r="AD31" s="72"/>
      <c r="AE31" s="72"/>
      <c r="AF31" s="72"/>
      <c r="AG31" s="72"/>
      <c r="AH31" s="18"/>
      <c r="AI31" s="6" t="str">
        <f>IF(AH$29="车队自制",OKText,IF(ISBLANK(AH31),IncompleteText,OKText))</f>
        <v>BLANK</v>
      </c>
    </row>
    <row r="32" spans="1:44" ht="30.75" customHeight="1" x14ac:dyDescent="0.4">
      <c r="A32" s="152"/>
      <c r="B32" s="96"/>
      <c r="C32" s="96"/>
      <c r="D32" s="96"/>
      <c r="E32" s="96"/>
      <c r="F32" s="96"/>
      <c r="G32" s="96"/>
      <c r="J32" s="144"/>
      <c r="K32" s="145"/>
      <c r="L32" s="145"/>
      <c r="M32" s="145"/>
      <c r="N32" s="145"/>
      <c r="O32" s="145"/>
      <c r="P32" s="145"/>
      <c r="S32" s="72" t="s">
        <v>644</v>
      </c>
      <c r="T32" s="72"/>
      <c r="U32" s="72"/>
      <c r="V32" s="72"/>
      <c r="W32" s="72"/>
      <c r="X32" s="72"/>
      <c r="Y32" s="18" t="s">
        <v>645</v>
      </c>
      <c r="Z32" s="6" t="str">
        <f>IF(ISBLANK(Y32),IncompleteText,IF(Y32="非锂电池",IF(#REF!=OKText,OKText,IncompleteText),OKText))</f>
        <v>OK</v>
      </c>
      <c r="AB32" s="126" t="s">
        <v>646</v>
      </c>
      <c r="AC32" s="126"/>
      <c r="AD32" s="126"/>
      <c r="AE32" s="126"/>
      <c r="AF32" s="126"/>
      <c r="AG32" s="126"/>
      <c r="AH32" s="18"/>
      <c r="AI32" s="6" t="str">
        <f>IF(AH$29="供应商提供",OKText,IF(ISBLANK(AH32),IncompleteText,IF(AH32,OKText,ErrorText)))</f>
        <v>BLANK</v>
      </c>
    </row>
    <row r="33" spans="1:35" ht="36.75" customHeight="1" x14ac:dyDescent="0.4">
      <c r="A33" s="152"/>
      <c r="B33" s="96"/>
      <c r="C33" s="96"/>
      <c r="D33" s="96"/>
      <c r="E33" s="96"/>
      <c r="F33" s="96"/>
      <c r="G33" s="96"/>
      <c r="J33" s="144"/>
      <c r="K33" s="145"/>
      <c r="L33" s="145"/>
      <c r="M33" s="145"/>
      <c r="N33" s="145"/>
      <c r="O33" s="145"/>
      <c r="P33" s="145"/>
      <c r="S33" s="72" t="s">
        <v>647</v>
      </c>
      <c r="T33" s="72"/>
      <c r="U33" s="72"/>
      <c r="V33" s="72"/>
      <c r="W33" s="72"/>
      <c r="X33" s="72"/>
      <c r="Y33" s="18" t="s">
        <v>648</v>
      </c>
      <c r="Z33" s="6" t="str">
        <f t="shared" ref="Z33:Z38" si="0">IF(ISBLANK(Y33),IncompleteText,OKText)</f>
        <v>OK</v>
      </c>
      <c r="AB33" s="126" t="s">
        <v>649</v>
      </c>
      <c r="AC33" s="126"/>
      <c r="AD33" s="126"/>
      <c r="AE33" s="126"/>
      <c r="AF33" s="126"/>
      <c r="AG33" s="127"/>
      <c r="AH33" s="18"/>
      <c r="AI33" s="6" t="str">
        <f>IF(ISBLANK(AH33),IncompleteText,IF(AH33,OKText,ErrorText))</f>
        <v>BLANK</v>
      </c>
    </row>
    <row r="34" spans="1:35" x14ac:dyDescent="0.4">
      <c r="A34" s="152"/>
      <c r="B34" s="96"/>
      <c r="C34" s="96"/>
      <c r="D34" s="96"/>
      <c r="E34" s="96"/>
      <c r="F34" s="96"/>
      <c r="G34" s="96"/>
      <c r="J34" s="144"/>
      <c r="K34" s="145"/>
      <c r="L34" s="145"/>
      <c r="M34" s="145"/>
      <c r="N34" s="145"/>
      <c r="O34" s="145"/>
      <c r="P34" s="145"/>
      <c r="S34" s="72" t="s">
        <v>650</v>
      </c>
      <c r="T34" s="72"/>
      <c r="U34" s="72"/>
      <c r="V34" s="72"/>
      <c r="W34" s="72"/>
      <c r="X34" s="72"/>
      <c r="Y34" s="18">
        <v>8</v>
      </c>
      <c r="Z34" s="6" t="str">
        <f t="shared" si="0"/>
        <v>OK</v>
      </c>
      <c r="AB34" s="72" t="s">
        <v>651</v>
      </c>
      <c r="AC34" s="72"/>
      <c r="AD34" s="72"/>
      <c r="AE34" s="72"/>
      <c r="AF34" s="72"/>
      <c r="AG34" s="72"/>
      <c r="AH34" s="18"/>
      <c r="AI34" s="6" t="str">
        <f>IF(ISBLANK(AH34),IncompleteText,IF(AH34&gt;=30,OKText,ErrorText))</f>
        <v>BLANK</v>
      </c>
    </row>
    <row r="35" spans="1:35" x14ac:dyDescent="0.4">
      <c r="J35" s="144"/>
      <c r="K35" s="145"/>
      <c r="L35" s="145"/>
      <c r="M35" s="145"/>
      <c r="N35" s="145"/>
      <c r="O35" s="145"/>
      <c r="P35" s="145"/>
      <c r="S35" s="72" t="s">
        <v>652</v>
      </c>
      <c r="T35" s="72"/>
      <c r="U35" s="72"/>
      <c r="V35" s="72"/>
      <c r="W35" s="72"/>
      <c r="X35" s="72"/>
      <c r="Y35" s="18">
        <v>3</v>
      </c>
      <c r="Z35" s="6" t="str">
        <f t="shared" si="0"/>
        <v>OK</v>
      </c>
      <c r="AB35" s="72" t="s">
        <v>653</v>
      </c>
      <c r="AC35" s="72"/>
      <c r="AD35" s="72"/>
      <c r="AE35" s="72"/>
      <c r="AF35" s="72"/>
      <c r="AG35" s="72"/>
      <c r="AH35" s="18"/>
      <c r="AI35" s="6" t="str">
        <f>IF(ISBLANK(AH35),IncompleteText,IF(AH35&gt;=100,OKText,ErrorText))</f>
        <v>BLANK</v>
      </c>
    </row>
    <row r="36" spans="1:35" ht="14.25" customHeight="1" x14ac:dyDescent="0.4">
      <c r="S36" s="72" t="s">
        <v>654</v>
      </c>
      <c r="T36" s="72"/>
      <c r="U36" s="72"/>
      <c r="V36" s="72"/>
      <c r="W36" s="72"/>
      <c r="X36" s="72"/>
      <c r="Y36" s="18">
        <v>3.65</v>
      </c>
      <c r="Z36" s="6" t="str">
        <f t="shared" si="0"/>
        <v>OK</v>
      </c>
      <c r="AB36" s="72" t="s">
        <v>655</v>
      </c>
      <c r="AC36" s="72"/>
      <c r="AD36" s="72"/>
      <c r="AE36" s="72"/>
      <c r="AF36" s="72"/>
      <c r="AG36" s="72"/>
      <c r="AH36" s="18"/>
      <c r="AI36" s="6" t="str">
        <f>IF(ISBLANK(AH36),IncompleteText,IF(AH36,OKText,ErrorText))</f>
        <v>BLANK</v>
      </c>
    </row>
    <row r="37" spans="1:35" x14ac:dyDescent="0.4">
      <c r="S37" s="72" t="s">
        <v>656</v>
      </c>
      <c r="T37" s="72"/>
      <c r="U37" s="72"/>
      <c r="V37" s="72"/>
      <c r="W37" s="72"/>
      <c r="X37" s="72"/>
      <c r="Y37" s="18">
        <v>3.2</v>
      </c>
      <c r="Z37" s="6" t="str">
        <f t="shared" si="0"/>
        <v>OK</v>
      </c>
    </row>
    <row r="38" spans="1:35" x14ac:dyDescent="0.4">
      <c r="S38" s="72" t="s">
        <v>657</v>
      </c>
      <c r="T38" s="72"/>
      <c r="U38" s="72"/>
      <c r="V38" s="72"/>
      <c r="W38" s="72"/>
      <c r="X38" s="72"/>
      <c r="Y38" s="18">
        <v>60</v>
      </c>
      <c r="Z38" s="6" t="str">
        <f t="shared" si="0"/>
        <v>OK</v>
      </c>
    </row>
    <row r="39" spans="1:35" x14ac:dyDescent="0.4">
      <c r="S39" s="72" t="s">
        <v>658</v>
      </c>
      <c r="T39" s="72"/>
      <c r="U39" s="72"/>
      <c r="V39" s="72"/>
      <c r="W39" s="72"/>
      <c r="X39" s="72"/>
      <c r="Y39" s="19">
        <f>Y34*Y36</f>
        <v>29.2</v>
      </c>
      <c r="Z39" s="6" t="str">
        <f>IF(OR(ISBLANK(Y34),ISBLANK(Y36)),IncompleteText,IF(Y39&lt;=60,OKText,ErrorText))</f>
        <v>OK</v>
      </c>
    </row>
  </sheetData>
  <sheetProtection algorithmName="SHA-512" hashValue="VjycRIVLNJPNwVs7D0eZDLlL0l+tlqkeyMQAkjxWcwZJnEMaWLedhASSNC03w6AKWrpRjO/HrL0n1q5tRHa6PQ==" saltValue="3hHc7MscRtVw4NUdnSZL0w==" spinCount="100000" sheet="1" scenarios="1" insertHyperlinks="0" selectLockedCells="1"/>
  <mergeCells count="55">
    <mergeCell ref="D6:D7"/>
    <mergeCell ref="E6:E7"/>
    <mergeCell ref="F6:F7"/>
    <mergeCell ref="J32:P35"/>
    <mergeCell ref="A31:G34"/>
    <mergeCell ref="J9:Q27"/>
    <mergeCell ref="A6:C7"/>
    <mergeCell ref="A9:H27"/>
    <mergeCell ref="S36:X36"/>
    <mergeCell ref="AB36:AG36"/>
    <mergeCell ref="S37:X37"/>
    <mergeCell ref="S38:X38"/>
    <mergeCell ref="S39:X39"/>
    <mergeCell ref="S33:X33"/>
    <mergeCell ref="AB33:AG33"/>
    <mergeCell ref="S34:X34"/>
    <mergeCell ref="AB34:AG34"/>
    <mergeCell ref="S35:X35"/>
    <mergeCell ref="AB35:AG35"/>
    <mergeCell ref="J31:P31"/>
    <mergeCell ref="S31:X31"/>
    <mergeCell ref="AB31:AG31"/>
    <mergeCell ref="S32:X32"/>
    <mergeCell ref="AB32:AG32"/>
    <mergeCell ref="A29:F29"/>
    <mergeCell ref="J29:O29"/>
    <mergeCell ref="S29:X29"/>
    <mergeCell ref="AB29:AG29"/>
    <mergeCell ref="A30:G30"/>
    <mergeCell ref="J30:O30"/>
    <mergeCell ref="S30:Y30"/>
    <mergeCell ref="AB30:AG30"/>
    <mergeCell ref="S8:Y8"/>
    <mergeCell ref="AK8:AQ8"/>
    <mergeCell ref="A28:G28"/>
    <mergeCell ref="J28:P28"/>
    <mergeCell ref="S28:Y28"/>
    <mergeCell ref="AB28:AH28"/>
    <mergeCell ref="S9:Z27"/>
    <mergeCell ref="AK9:AR27"/>
    <mergeCell ref="AB9:AI27"/>
    <mergeCell ref="A4:C4"/>
    <mergeCell ref="D4:E4"/>
    <mergeCell ref="G4:I4"/>
    <mergeCell ref="J4:K4"/>
    <mergeCell ref="A5:C5"/>
    <mergeCell ref="D5:E5"/>
    <mergeCell ref="G5:I5"/>
    <mergeCell ref="J5:K5"/>
    <mergeCell ref="A2:E2"/>
    <mergeCell ref="G2:K2"/>
    <mergeCell ref="A3:C3"/>
    <mergeCell ref="D3:E3"/>
    <mergeCell ref="G3:I3"/>
    <mergeCell ref="J3:K3"/>
  </mergeCells>
  <phoneticPr fontId="14" type="noConversion"/>
  <conditionalFormatting sqref="AB9:AI36">
    <cfRule type="expression" dxfId="2" priority="1">
      <formula>$Y$32&lt;&gt;"其他锂电池 Other Li-ion"</formula>
    </cfRule>
  </conditionalFormatting>
  <conditionalFormatting sqref="AB30:AI31">
    <cfRule type="expression" dxfId="1" priority="4">
      <formula>$AH$29="车队自制 Team made"</formula>
    </cfRule>
  </conditionalFormatting>
  <conditionalFormatting sqref="AB32:AI32">
    <cfRule type="expression" dxfId="0" priority="3">
      <formula>$AH$29="供应商提供 Suppliers"</formula>
    </cfRule>
  </conditionalFormatting>
  <dataValidations count="4">
    <dataValidation type="list" allowBlank="1" showInputMessage="1" showErrorMessage="1" sqref="G29 Y29 AH36 P29:P30 AH32:AH33" xr:uid="{00000000-0002-0000-0900-000000000000}">
      <formula1>"TRUE,FALSE"</formula1>
    </dataValidation>
    <dataValidation type="list" allowBlank="1" showInputMessage="1" showErrorMessage="1" sqref="AH29" xr:uid="{00000000-0002-0000-0900-000001000000}">
      <formula1>"车队自制 Team made,供应商提供 Suppliers"</formula1>
    </dataValidation>
    <dataValidation type="list" allowBlank="1" showInputMessage="1" showErrorMessage="1" sqref="Y31" xr:uid="{00000000-0002-0000-0900-000002000000}">
      <formula1>"车队自制电池组 Team made,供应商提供 Supplier"</formula1>
    </dataValidation>
    <dataValidation type="list" allowBlank="1" showInputMessage="1" showErrorMessage="1" sqref="Y32" xr:uid="{00000000-0002-0000-0900-000003000000}">
      <formula1>"磷酸铁锂 LiFePO4,其他锂电池 Other Li-ion,非锂电池 Not Li-ion"</formula1>
    </dataValidation>
  </dataValidations>
  <hyperlinks>
    <hyperlink ref="D5:E5" r:id="rId1" display="amk" xr:uid="{00000000-0004-0000-0900-000000000000}"/>
    <hyperlink ref="J5:K5" r:id="rId2" display="motor_data_sheet_a2370dd_dd5.pdf" xr:uid="{00000000-0004-0000-0900-000001000000}"/>
    <hyperlink ref="Y33" r:id="rId3" xr:uid="{00000000-0004-0000-0900-000002000000}"/>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23"/>
  <sheetViews>
    <sheetView topLeftCell="A25" zoomScale="85" zoomScaleNormal="85" workbookViewId="0">
      <selection activeCell="M5" sqref="M5"/>
    </sheetView>
  </sheetViews>
  <sheetFormatPr defaultColWidth="9" defaultRowHeight="13.9" x14ac:dyDescent="0.4"/>
  <cols>
    <col min="1" max="1" width="15.796875" customWidth="1"/>
    <col min="2" max="2" width="26.796875" customWidth="1"/>
    <col min="3" max="3" width="69" customWidth="1"/>
    <col min="4" max="4" width="26.46484375" customWidth="1"/>
    <col min="5" max="5" width="11.46484375" style="4" customWidth="1"/>
    <col min="6" max="6" width="12.33203125" customWidth="1"/>
    <col min="7" max="7" width="24.1328125" customWidth="1"/>
    <col min="8" max="8" width="92.46484375" customWidth="1"/>
    <col min="9" max="9" width="18.796875" customWidth="1"/>
    <col min="11" max="12" width="20" customWidth="1"/>
    <col min="13" max="13" width="56" customWidth="1"/>
    <col min="14" max="14" width="21.1328125" customWidth="1"/>
    <col min="15" max="15" width="29.46484375" customWidth="1"/>
  </cols>
  <sheetData>
    <row r="1" spans="1:15" x14ac:dyDescent="0.4">
      <c r="A1" s="5" t="s">
        <v>26</v>
      </c>
      <c r="B1" s="6" t="str" cm="1">
        <f t="array" ref="B1" ca="1">IF(SUM(COUNTIF(INDIRECT({"$E$2","$I$2","$O$2"}),"="&amp;IncompleteText)),IncompleteText,IF(SUM(COUNTIF(INDIRECT({"$E$2","$I$2","$O$2"}),"="&amp;ErrorText)),ErrorText,OKText))</f>
        <v>OK</v>
      </c>
    </row>
    <row r="2" spans="1:15" x14ac:dyDescent="0.4">
      <c r="A2" s="71" t="s">
        <v>659</v>
      </c>
      <c r="B2" s="71"/>
      <c r="C2" s="71"/>
      <c r="D2" s="71"/>
      <c r="E2" s="8" t="str">
        <f>IF(COUNTIF(E3:E12,"="&amp;IncompleteText),IncompleteText,IF(COUNTIF(E3:E12,"="&amp;ErrorText),ErrorText,OKText))</f>
        <v>OK</v>
      </c>
      <c r="G2" s="71" t="s">
        <v>660</v>
      </c>
      <c r="H2" s="71"/>
      <c r="I2" s="8" t="str">
        <f>IF(COUNTIF(I3:I14,"="&amp;IncompleteText),IncompleteText,IF(COUNTIF(I3:I14,"="&amp;ErrorText),ErrorText,OKText))</f>
        <v>OK</v>
      </c>
      <c r="K2" s="71" t="s">
        <v>661</v>
      </c>
      <c r="L2" s="71"/>
      <c r="M2" s="71"/>
      <c r="N2" s="7"/>
      <c r="O2" s="8" t="str">
        <f>IF(COUNTIF(O3:O14,"="&amp;IncompleteText),IncompleteText,IF(COUNTIF(O3:O14,"="&amp;ErrorText),ErrorText,OKText))</f>
        <v>OK</v>
      </c>
    </row>
    <row r="3" spans="1:15" x14ac:dyDescent="0.4">
      <c r="A3" s="9" t="s">
        <v>662</v>
      </c>
      <c r="B3" s="9" t="s">
        <v>663</v>
      </c>
      <c r="C3" s="9" t="s">
        <v>664</v>
      </c>
      <c r="D3" s="9" t="s">
        <v>665</v>
      </c>
      <c r="G3" s="9" t="s">
        <v>662</v>
      </c>
      <c r="H3" s="9" t="s">
        <v>664</v>
      </c>
      <c r="I3" s="9"/>
      <c r="K3" s="9" t="s">
        <v>666</v>
      </c>
      <c r="L3" s="9" t="s">
        <v>667</v>
      </c>
      <c r="M3" s="9" t="s">
        <v>668</v>
      </c>
      <c r="N3" s="9"/>
      <c r="O3" s="9"/>
    </row>
    <row r="4" spans="1:15" ht="212.25" customHeight="1" x14ac:dyDescent="0.4">
      <c r="A4" s="10" t="s">
        <v>669</v>
      </c>
      <c r="B4" s="10" t="s">
        <v>670</v>
      </c>
      <c r="C4" s="11" t="b">
        <v>1</v>
      </c>
      <c r="D4" s="12">
        <v>15</v>
      </c>
      <c r="E4" s="8" t="str" cm="1">
        <f t="array" ref="E4">IF(ISBLANK(D4),IncompleteText,IF(AND(C4,D4&gt;=0.1*FuseNoiCur),OKText,ErrorText))</f>
        <v>OK</v>
      </c>
      <c r="G4" s="11" t="s">
        <v>671</v>
      </c>
      <c r="H4" s="11" t="b">
        <v>1</v>
      </c>
      <c r="I4" s="8" t="str">
        <f>IF(ISERROR(IF(ISBLANK(G4),IncompleteText,IF(H4,OKText,IncompleteText))),IncompleteText,IF(ISBLANK(G4),IncompleteText,IF(H4,OKText,IncompleteText)))</f>
        <v>OK</v>
      </c>
      <c r="K4" s="12" t="s">
        <v>672</v>
      </c>
      <c r="L4" s="12" t="s">
        <v>670</v>
      </c>
      <c r="M4" s="11" t="b">
        <v>1</v>
      </c>
      <c r="N4" s="14">
        <v>15</v>
      </c>
      <c r="O4" s="8" t="str">
        <f>IF(ISERROR(IF(L4="导电",IF(ISBLANK(N4),IncompleteText,IF(AND(M4,N4&gt;=0.1*FuseNoiCur),OKText,ErrorText)),IF(M4,OKText,ErrorText))),IncompleteText,IF(L4="导电",IF(ISBLANK(N4),IncompleteText,IF(AND(M4,N4&gt;=0.1*FuseNoiCur),OKText,ErrorText)),IF(M4,OKText,ErrorText)))</f>
        <v>OK</v>
      </c>
    </row>
    <row r="5" spans="1:15" ht="200.25" customHeight="1" x14ac:dyDescent="0.4">
      <c r="A5" s="13" t="s">
        <v>673</v>
      </c>
      <c r="B5" s="12" t="s">
        <v>674</v>
      </c>
      <c r="C5" s="11" t="b">
        <v>1</v>
      </c>
      <c r="D5" s="14">
        <v>15</v>
      </c>
      <c r="E5" s="8" t="str">
        <f>IF(ISERROR(IF(B5="导电",IF(ISBLANK(D5),IncompleteText,IF(AND(C5,D5&gt;=0.1*FuseNoiCur),OKText,ErrorText)),IF(C5,OKText,ErrorText))),IncompleteText,IF(B5="导电",IF(ISBLANK(D5),IncompleteText,IF(AND(C5,D5&gt;=0.1*FuseNoiCur),OKText,ErrorText)),IF(C5,OKText,ErrorText)))</f>
        <v>OK</v>
      </c>
      <c r="G5" s="12"/>
      <c r="H5" s="11" t="s">
        <v>675</v>
      </c>
      <c r="I5" s="8" t="str">
        <f t="shared" ref="I5:I14" si="0">IF(ISBLANK(G5),"",IF(H5,OKText,IncompleteText))</f>
        <v/>
      </c>
      <c r="K5" s="12" t="s">
        <v>676</v>
      </c>
      <c r="L5" s="12" t="s">
        <v>677</v>
      </c>
      <c r="M5" s="11" t="b">
        <v>1</v>
      </c>
      <c r="N5" s="14" t="s">
        <v>678</v>
      </c>
      <c r="O5" s="8" t="str">
        <f t="shared" ref="O5:O14" si="1">IF(ISERROR(IF(L5="导电",IF(ISBLANK(N5),IncompleteText,IF(AND(M5,N5&gt;=0.1*FuseNoiCur),OKText,ErrorText)),IF(M5,OKText,ErrorText))),"",IF(L5="导电",IF(ISBLANK(N5),IncompleteText,IF(AND(M5,N5&gt;=0.1*FuseNoiCur),OKText,ErrorText)),IF(M5,OKText,ErrorText)))</f>
        <v>OK</v>
      </c>
    </row>
    <row r="6" spans="1:15" ht="200.25" customHeight="1" x14ac:dyDescent="0.4">
      <c r="A6" s="13" t="s">
        <v>679</v>
      </c>
      <c r="B6" s="10" t="s">
        <v>670</v>
      </c>
      <c r="C6" s="11" t="b">
        <v>1</v>
      </c>
      <c r="D6" s="12">
        <v>15</v>
      </c>
      <c r="E6" s="8" t="str" cm="1">
        <f t="array" ref="E6">IF(ISBLANK(D6),IncompleteText,IF(AND(C6,D6&gt;=0.1*FuseNoiCur),OKText,ErrorText))</f>
        <v>OK</v>
      </c>
      <c r="G6" s="12"/>
      <c r="H6" s="11" t="s">
        <v>675</v>
      </c>
      <c r="I6" s="8" t="str">
        <f t="shared" si="0"/>
        <v/>
      </c>
      <c r="K6" s="12"/>
      <c r="L6" s="12"/>
      <c r="M6" s="11" t="s">
        <v>675</v>
      </c>
      <c r="N6" s="14" t="s">
        <v>680</v>
      </c>
      <c r="O6" s="8" t="str">
        <f t="shared" si="1"/>
        <v/>
      </c>
    </row>
    <row r="7" spans="1:15" ht="200.25" customHeight="1" x14ac:dyDescent="0.4">
      <c r="A7" s="13" t="s">
        <v>681</v>
      </c>
      <c r="B7" s="10" t="s">
        <v>670</v>
      </c>
      <c r="C7" s="11" t="b">
        <v>1</v>
      </c>
      <c r="D7" s="12">
        <v>15</v>
      </c>
      <c r="E7" s="8" t="str" cm="1">
        <f t="array" ref="E7">IF(ISBLANK(D7),IncompleteText,IF(AND(C7,D7&gt;=0.1*FuseNoiCur),OKText,ErrorText))</f>
        <v>OK</v>
      </c>
      <c r="G7" s="12"/>
      <c r="H7" s="11" t="s">
        <v>675</v>
      </c>
      <c r="I7" s="8" t="str">
        <f t="shared" si="0"/>
        <v/>
      </c>
      <c r="K7" s="12"/>
      <c r="L7" s="12"/>
      <c r="M7" s="11" t="s">
        <v>675</v>
      </c>
      <c r="N7" s="14" t="s">
        <v>680</v>
      </c>
      <c r="O7" s="8" t="str">
        <f t="shared" si="1"/>
        <v/>
      </c>
    </row>
    <row r="8" spans="1:15" ht="200.25" customHeight="1" x14ac:dyDescent="0.4">
      <c r="A8" s="10" t="s">
        <v>682</v>
      </c>
      <c r="B8" s="10" t="s">
        <v>670</v>
      </c>
      <c r="C8" s="11" t="b">
        <v>1</v>
      </c>
      <c r="D8" s="12">
        <v>15</v>
      </c>
      <c r="E8" s="8" t="str" cm="1">
        <f t="array" ref="E8">IF(ISBLANK(D8),IncompleteText,IF(AND(C8,D8&gt;=0.1*FuseNoiCur),OKText,ErrorText))</f>
        <v>OK</v>
      </c>
      <c r="G8" s="12"/>
      <c r="H8" s="11" t="s">
        <v>675</v>
      </c>
      <c r="I8" s="8" t="str">
        <f t="shared" si="0"/>
        <v/>
      </c>
      <c r="K8" s="12"/>
      <c r="L8" s="12"/>
      <c r="M8" s="11" t="s">
        <v>675</v>
      </c>
      <c r="N8" s="14" t="s">
        <v>680</v>
      </c>
      <c r="O8" s="8" t="str">
        <f t="shared" si="1"/>
        <v/>
      </c>
    </row>
    <row r="9" spans="1:15" ht="200.25" customHeight="1" x14ac:dyDescent="0.4">
      <c r="A9" s="13" t="s">
        <v>683</v>
      </c>
      <c r="B9" s="12" t="s">
        <v>670</v>
      </c>
      <c r="C9" s="11" t="b">
        <v>1</v>
      </c>
      <c r="D9" s="12">
        <v>15</v>
      </c>
      <c r="E9" s="8" t="str">
        <f>IF(ISERROR(IF(B9="导电",IF(ISBLANK(D9),IncompleteText,IF(AND(C9,D9&gt;=0.1*FuseNoiCur),OKText,ErrorText)),IF(C9,OKText,ErrorText))),IncompleteText,IF(B9="导电",IF(ISBLANK(D9),IncompleteText,IF(AND(C9,D9&gt;=0.1*FuseNoiCur),OKText,ErrorText)),IF(C9,OKText,ErrorText)))</f>
        <v>OK</v>
      </c>
      <c r="G9" s="12"/>
      <c r="H9" s="11" t="s">
        <v>675</v>
      </c>
      <c r="I9" s="8" t="str">
        <f t="shared" si="0"/>
        <v/>
      </c>
      <c r="K9" s="12"/>
      <c r="L9" s="12"/>
      <c r="M9" s="11" t="s">
        <v>675</v>
      </c>
      <c r="N9" s="14" t="s">
        <v>680</v>
      </c>
      <c r="O9" s="8" t="str">
        <f t="shared" si="1"/>
        <v/>
      </c>
    </row>
    <row r="10" spans="1:15" ht="200.25" customHeight="1" x14ac:dyDescent="0.4">
      <c r="A10" s="13" t="s">
        <v>684</v>
      </c>
      <c r="B10" s="12" t="s">
        <v>670</v>
      </c>
      <c r="C10" s="11" t="b">
        <v>1</v>
      </c>
      <c r="D10" s="12">
        <v>15</v>
      </c>
      <c r="E10" s="8" t="str">
        <f>IF(ISERROR(IF(B10="导电",IF(ISBLANK(D10),IncompleteText,IF(AND(C10,D10&gt;=0.1*FuseNoiCur),OKText,ErrorText)),IF(C10,OKText,ErrorText))),IncompleteText,IF(B10="导电",IF(ISBLANK(D10),IncompleteText,IF(AND(C10,D10&gt;=0.1*FuseNoiCur),OKText,ErrorText)),IF(C10,OKText,ErrorText)))</f>
        <v>OK</v>
      </c>
      <c r="G10" s="12"/>
      <c r="H10" s="11" t="s">
        <v>675</v>
      </c>
      <c r="I10" s="8" t="str">
        <f t="shared" si="0"/>
        <v/>
      </c>
      <c r="K10" s="12"/>
      <c r="L10" s="12"/>
      <c r="M10" s="11" t="s">
        <v>675</v>
      </c>
      <c r="N10" s="14" t="s">
        <v>680</v>
      </c>
      <c r="O10" s="8" t="str">
        <f t="shared" si="1"/>
        <v/>
      </c>
    </row>
    <row r="11" spans="1:15" ht="200.25" customHeight="1" x14ac:dyDescent="0.4">
      <c r="A11" s="13" t="s">
        <v>6</v>
      </c>
      <c r="B11" s="12" t="s">
        <v>677</v>
      </c>
      <c r="C11" s="11" t="b">
        <v>1</v>
      </c>
      <c r="D11" s="12">
        <v>15</v>
      </c>
      <c r="E11" s="8" t="str">
        <f>IF(ISERROR(IF(B11="导电",IF(ISBLANK(D11),IncompleteText,IF(AND(C11,D11&gt;=0.1*FuseNoiCur),OKText,ErrorText)),IF(C11,OKText,ErrorText))),IncompleteText,IF(B11="导电",IF(ISBLANK(D11),IncompleteText,IF(AND(C11,D11&gt;=0.1*FuseNoiCur),OKText,ErrorText)),IF(C11,OKText,ErrorText)))</f>
        <v>OK</v>
      </c>
      <c r="G11" s="12"/>
      <c r="H11" s="11" t="s">
        <v>675</v>
      </c>
      <c r="I11" s="8" t="str">
        <f t="shared" si="0"/>
        <v/>
      </c>
      <c r="K11" s="12"/>
      <c r="L11" s="12"/>
      <c r="M11" s="11" t="s">
        <v>675</v>
      </c>
      <c r="N11" s="14" t="s">
        <v>680</v>
      </c>
      <c r="O11" s="8" t="str">
        <f t="shared" si="1"/>
        <v/>
      </c>
    </row>
    <row r="12" spans="1:15" ht="200.25" customHeight="1" x14ac:dyDescent="0.4">
      <c r="A12" s="13" t="s">
        <v>685</v>
      </c>
      <c r="B12" s="12" t="s">
        <v>670</v>
      </c>
      <c r="C12" s="11" t="b">
        <v>1</v>
      </c>
      <c r="D12" s="12">
        <v>15</v>
      </c>
      <c r="E12" s="8" t="str">
        <f>IF(ISERROR(IF(B12="导电",IF(ISBLANK(D12),IncompleteText,IF(AND(C12,D12&gt;=0.1*FuseNoiCur),OKText,ErrorText)),IF(C12,OKText,ErrorText))),IncompleteText,IF(B12="导电",IF(ISBLANK(D12),IncompleteText,IF(AND(C12,D12&gt;=0.1*FuseNoiCur),OKText,ErrorText)),IF(C12,OKText,ErrorText)))</f>
        <v>OK</v>
      </c>
      <c r="G12" s="12"/>
      <c r="H12" s="11" t="s">
        <v>675</v>
      </c>
      <c r="I12" s="8" t="str">
        <f t="shared" si="0"/>
        <v/>
      </c>
      <c r="K12" s="12"/>
      <c r="L12" s="12"/>
      <c r="M12" s="11" t="s">
        <v>675</v>
      </c>
      <c r="N12" s="14" t="s">
        <v>680</v>
      </c>
      <c r="O12" s="8" t="str">
        <f t="shared" si="1"/>
        <v/>
      </c>
    </row>
    <row r="13" spans="1:15" ht="200.25" customHeight="1" x14ac:dyDescent="0.4">
      <c r="G13" s="12"/>
      <c r="H13" s="11" t="s">
        <v>675</v>
      </c>
      <c r="I13" s="8" t="str">
        <f t="shared" si="0"/>
        <v/>
      </c>
      <c r="K13" s="12"/>
      <c r="L13" s="12"/>
      <c r="M13" s="11" t="s">
        <v>675</v>
      </c>
      <c r="N13" s="14" t="s">
        <v>680</v>
      </c>
      <c r="O13" s="8" t="str">
        <f t="shared" si="1"/>
        <v/>
      </c>
    </row>
    <row r="14" spans="1:15" ht="200.25" customHeight="1" x14ac:dyDescent="0.4">
      <c r="G14" s="12"/>
      <c r="H14" s="11" t="s">
        <v>675</v>
      </c>
      <c r="I14" s="8" t="str">
        <f t="shared" si="0"/>
        <v/>
      </c>
      <c r="K14" s="12"/>
      <c r="L14" s="12"/>
      <c r="M14" s="11" t="s">
        <v>675</v>
      </c>
      <c r="N14" s="14" t="s">
        <v>680</v>
      </c>
      <c r="O14" s="8" t="str">
        <f t="shared" si="1"/>
        <v/>
      </c>
    </row>
    <row r="15" spans="1:15" ht="200.25" customHeight="1" x14ac:dyDescent="0.4"/>
    <row r="16" spans="1:15" ht="200.25" customHeight="1" x14ac:dyDescent="0.4"/>
    <row r="17" ht="200.25" customHeight="1" x14ac:dyDescent="0.4"/>
    <row r="18" ht="200.25" customHeight="1" x14ac:dyDescent="0.4"/>
    <row r="19" ht="200.25" customHeight="1" x14ac:dyDescent="0.4"/>
    <row r="20" ht="200.25" customHeight="1" x14ac:dyDescent="0.4"/>
    <row r="21" ht="200.25" customHeight="1" x14ac:dyDescent="0.4"/>
    <row r="22" ht="200.25" customHeight="1" x14ac:dyDescent="0.4"/>
    <row r="23" ht="200.25" customHeight="1" x14ac:dyDescent="0.4"/>
  </sheetData>
  <sheetProtection algorithmName="SHA-512" hashValue="lK+SaloLLwll23pbr0WR3JopTkwsWd5WLElW1fPW5wHeeFbZdhS3y0eIIbhpX6ApEvIg1BPEKGSHucgzqtyyiA==" saltValue="bC7Oor4wZDUgy5QU58euaQ==" spinCount="100000" sheet="1" scenarios="1" insertHyperlinks="0" selectLockedCells="1"/>
  <mergeCells count="3">
    <mergeCell ref="A2:D2"/>
    <mergeCell ref="G2:H2"/>
    <mergeCell ref="K2:M2"/>
  </mergeCells>
  <phoneticPr fontId="14" type="noConversion"/>
  <dataValidations count="1">
    <dataValidation type="list" allowBlank="1" showInputMessage="1" showErrorMessage="1" sqref="B5 B9:B12 L4:L14" xr:uid="{00000000-0002-0000-0A00-000000000000}">
      <formula1>"导电 Conductive,可能导电 Maybe conductive,绝缘 Isolated"</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5"/>
  <sheetViews>
    <sheetView workbookViewId="0">
      <selection activeCell="B6" sqref="B6"/>
    </sheetView>
  </sheetViews>
  <sheetFormatPr defaultColWidth="9" defaultRowHeight="13.9" x14ac:dyDescent="0.4"/>
  <cols>
    <col min="1" max="1" width="47.796875" customWidth="1"/>
    <col min="2" max="2" width="16.1328125" customWidth="1"/>
    <col min="3" max="3" width="16" customWidth="1"/>
    <col min="4" max="4" width="10" customWidth="1"/>
  </cols>
  <sheetData>
    <row r="1" spans="1:4" x14ac:dyDescent="0.4">
      <c r="A1" s="1" t="s">
        <v>686</v>
      </c>
      <c r="B1" s="1" t="s">
        <v>687</v>
      </c>
      <c r="C1" s="1" t="s">
        <v>688</v>
      </c>
      <c r="D1" s="1" t="s">
        <v>689</v>
      </c>
    </row>
    <row r="2" spans="1:4" x14ac:dyDescent="0.4">
      <c r="A2" s="2" t="s">
        <v>690</v>
      </c>
      <c r="B2" s="2" t="s">
        <v>691</v>
      </c>
      <c r="C2" s="2" t="s">
        <v>692</v>
      </c>
      <c r="D2" s="3">
        <v>45047</v>
      </c>
    </row>
    <row r="3" spans="1:4" x14ac:dyDescent="0.4">
      <c r="A3" s="2" t="s">
        <v>693</v>
      </c>
      <c r="B3" s="2" t="s">
        <v>694</v>
      </c>
      <c r="C3" s="2" t="s">
        <v>695</v>
      </c>
      <c r="D3" s="3">
        <v>45056</v>
      </c>
    </row>
    <row r="4" spans="1:4" x14ac:dyDescent="0.4">
      <c r="A4" s="2" t="s">
        <v>696</v>
      </c>
      <c r="B4" s="2" t="s">
        <v>697</v>
      </c>
      <c r="C4" s="2" t="s">
        <v>698</v>
      </c>
      <c r="D4" s="3">
        <v>45449</v>
      </c>
    </row>
    <row r="5" spans="1:4" x14ac:dyDescent="0.4">
      <c r="A5" s="2" t="s">
        <v>699</v>
      </c>
      <c r="B5" s="2" t="s">
        <v>700</v>
      </c>
      <c r="C5" s="2" t="s">
        <v>701</v>
      </c>
      <c r="D5" s="3">
        <v>45783</v>
      </c>
    </row>
  </sheetData>
  <sheetProtection algorithmName="SHA-512" hashValue="uohf/IyDCe3yK//P13qXmwpWc1MpPHaiMgSB7kFh8wK+ThqHv0BvmeEr1g/Z+MqnyHdGGt4voLt/ugZ7q/EBSQ==" saltValue="Dhyskdt/xO+SkMBUjBEWaA==" spinCount="100000" sheet="1" objects="1" scenarios="1" selectLockedCells="1" selectUnlockedCells="1"/>
  <phoneticPr fontId="14"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arrUserId title="AC1" rangeCreator="" othersAccessPermission="edit"/>
  </rangeList>
  <rangeList sheetStid="2" master="" otherUserPermission="visible">
    <arrUserId title="dat2" rangeCreator="" othersAccessPermission="edit"/>
    <arrUserId title="data1" rangeCreator="" othersAccessPermission="edit"/>
  </rangeList>
  <rangeList sheetStid="3" master="" otherUserPermission="visible"/>
  <rangeList sheetStid="4" master="" otherUserPermission="visible"/>
  <rangeList sheetStid="12" master="" otherUserPermission="visible"/>
  <rangeList sheetStid="5" master="" otherUserPermission="visible"/>
  <rangeList sheetStid="6" master="" otherUserPermission="visible"/>
  <rangeList sheetStid="7" master="" otherUserPermission="visible"/>
  <rangeList sheetStid="8" master="" otherUserPermission="visible"/>
  <rangeList sheetStid="9" master="" otherUserPermission="visible"/>
  <rangeList sheetStid="10" master="" otherUserPermission="visible"/>
  <rangeList sheetStid="1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25</vt:i4>
      </vt:variant>
    </vt:vector>
  </HeadingPairs>
  <TitlesOfParts>
    <vt:vector size="37" baseType="lpstr">
      <vt:lpstr>总览 Overview</vt:lpstr>
      <vt:lpstr>规格书 Datasheet</vt:lpstr>
      <vt:lpstr>驱动系统原理图 TS Schematics</vt:lpstr>
      <vt:lpstr>电池箱 Accumulator</vt:lpstr>
      <vt:lpstr>备用电池箱 Spare Accumulator</vt:lpstr>
      <vt:lpstr>预充电放电 PrechargeDischarge</vt:lpstr>
      <vt:lpstr>充电 Charging</vt:lpstr>
      <vt:lpstr>安全系统 Shutdown circuit</vt:lpstr>
      <vt:lpstr>扭矩指令 Torque Security</vt:lpstr>
      <vt:lpstr>其他 Others</vt:lpstr>
      <vt:lpstr>接地 Grounding</vt:lpstr>
      <vt:lpstr>修订历史 Revision</vt:lpstr>
      <vt:lpstr>BattCellCapacity</vt:lpstr>
      <vt:lpstr>BattCellMaxV</vt:lpstr>
      <vt:lpstr>BattCellNomV</vt:lpstr>
      <vt:lpstr>BusCap</vt:lpstr>
      <vt:lpstr>'备用电池箱 Spare Accumulator'!CellsPerTempSensor</vt:lpstr>
      <vt:lpstr>CellsPerTempSensor</vt:lpstr>
      <vt:lpstr>ConnectorNames</vt:lpstr>
      <vt:lpstr>ConnectorsTable</vt:lpstr>
      <vt:lpstr>ConnectorTable</vt:lpstr>
      <vt:lpstr>ContactorNames</vt:lpstr>
      <vt:lpstr>ContactorsTable</vt:lpstr>
      <vt:lpstr>DischargeRes</vt:lpstr>
      <vt:lpstr>FuseName</vt:lpstr>
      <vt:lpstr>'备用电池箱 Spare Accumulator'!FuseNoiCur</vt:lpstr>
      <vt:lpstr>FuseNoiCur</vt:lpstr>
      <vt:lpstr>FuseTable</vt:lpstr>
      <vt:lpstr>InsulationNames</vt:lpstr>
      <vt:lpstr>InsulationsTable</vt:lpstr>
      <vt:lpstr>'备用电池箱 Spare Accumulator'!MaxTSVoltage</vt:lpstr>
      <vt:lpstr>MaxTSVoltage</vt:lpstr>
      <vt:lpstr>PrechargeRes</vt:lpstr>
      <vt:lpstr>ResistorsNames</vt:lpstr>
      <vt:lpstr>ResistorsTable</vt:lpstr>
      <vt:lpstr>'备用电池箱 Spare Accumulator'!TotalCells</vt:lpstr>
      <vt:lpstr>TotalCells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YIKAI ZENG</dc:creator>
  <cp:lastModifiedBy>chi zhang</cp:lastModifiedBy>
  <dcterms:created xsi:type="dcterms:W3CDTF">2015-06-05T18:19:00Z</dcterms:created>
  <dcterms:modified xsi:type="dcterms:W3CDTF">2025-09-13T20:37:23Z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4C779C26B0124798BDE70A4DD350F15D_13</vt:lpwstr>
  </property>
  <property fmtid="{D5CDD505-2E9C-101B-9397-08002B2CF9AE}" pid="3" name="KSOProductBuildVer">
    <vt:lpwstr>2052-12.1.0.22529</vt:lpwstr>
  </property>
</Properties>
</file>