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 Ripley\Documents\(1) Research\Marion\Gas exchange\Light x temp responses\"/>
    </mc:Choice>
  </mc:AlternateContent>
  <bookViews>
    <workbookView xWindow="0" yWindow="0" windowWidth="20490" windowHeight="7755" firstSheet="4" activeTab="4"/>
  </bookViews>
  <sheets>
    <sheet name="10oC" sheetId="1" r:id="rId1"/>
    <sheet name="15oC" sheetId="4" r:id="rId2"/>
    <sheet name="20oC" sheetId="2" r:id="rId3"/>
    <sheet name="Fitting1" sheetId="10" r:id="rId4"/>
    <sheet name="Summary paramters (2)" sheetId="11" r:id="rId5"/>
    <sheet name="Fitting" sheetId="5" r:id="rId6"/>
    <sheet name="Summary paramters" sheetId="7" r:id="rId7"/>
    <sheet name="Individual fits" sheetId="8" r:id="rId8"/>
    <sheet name="Graphs" sheetId="12" r:id="rId9"/>
    <sheet name="Graphs (2)" sheetId="13" r:id="rId10"/>
    <sheet name="Rates of spread" sheetId="9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Jmax" localSheetId="3">Fitting1!#REF!</definedName>
    <definedName name="Jmax" localSheetId="9">Fitting!#REF!</definedName>
    <definedName name="Jmax" localSheetId="4">Fitting!#REF!</definedName>
    <definedName name="Jmax">Fitting!#REF!</definedName>
    <definedName name="Patm" localSheetId="3">Fitting1!#REF!</definedName>
    <definedName name="Patm" localSheetId="9">Fitting!#REF!</definedName>
    <definedName name="Patm" localSheetId="4">Fitting!#REF!</definedName>
    <definedName name="Patm">Fitting!#REF!</definedName>
    <definedName name="q" localSheetId="3">Fitting1!#REF!</definedName>
    <definedName name="q" localSheetId="9">Fitting!#REF!</definedName>
    <definedName name="q" localSheetId="4">Fitting!#REF!</definedName>
    <definedName name="q">Fitting!#REF!</definedName>
    <definedName name="Rd" localSheetId="3">Fitting1!#REF!</definedName>
    <definedName name="Rd" localSheetId="9">Fitting!#REF!</definedName>
    <definedName name="Rd" localSheetId="4">Fitting!#REF!</definedName>
    <definedName name="Rd">Fitting!#REF!</definedName>
    <definedName name="solver_adj" localSheetId="5" hidden="1">Fitting!$AA$49:$AA$51</definedName>
    <definedName name="solver_adj" localSheetId="3" hidden="1">Fitting1!$R$2:$R$3</definedName>
    <definedName name="solver_adj" localSheetId="4" hidden="1">'Summary paramters (2)'!$P$1:$P$2</definedName>
    <definedName name="solver_cvg" localSheetId="5" hidden="1">0.0001</definedName>
    <definedName name="solver_cvg" localSheetId="3" hidden="1">0.0001</definedName>
    <definedName name="solver_cvg" localSheetId="4" hidden="1">0.0001</definedName>
    <definedName name="solver_drv" localSheetId="5" hidden="1">1</definedName>
    <definedName name="solver_drv" localSheetId="3" hidden="1">1</definedName>
    <definedName name="solver_drv" localSheetId="4" hidden="1">1</definedName>
    <definedName name="solver_eng" localSheetId="5" hidden="1">1</definedName>
    <definedName name="solver_eng" localSheetId="3" hidden="1">1</definedName>
    <definedName name="solver_eng" localSheetId="4" hidden="1">1</definedName>
    <definedName name="solver_est" localSheetId="5" hidden="1">1</definedName>
    <definedName name="solver_est" localSheetId="3" hidden="1">1</definedName>
    <definedName name="solver_est" localSheetId="4" hidden="1">1</definedName>
    <definedName name="solver_itr" localSheetId="5" hidden="1">2147483647</definedName>
    <definedName name="solver_itr" localSheetId="3" hidden="1">2147483647</definedName>
    <definedName name="solver_itr" localSheetId="4" hidden="1">2147483647</definedName>
    <definedName name="solver_mip" localSheetId="5" hidden="1">2147483647</definedName>
    <definedName name="solver_mip" localSheetId="3" hidden="1">2147483647</definedName>
    <definedName name="solver_mip" localSheetId="4" hidden="1">2147483647</definedName>
    <definedName name="solver_mni" localSheetId="5" hidden="1">30</definedName>
    <definedName name="solver_mni" localSheetId="3" hidden="1">30</definedName>
    <definedName name="solver_mni" localSheetId="4" hidden="1">30</definedName>
    <definedName name="solver_mrt" localSheetId="5" hidden="1">0.075</definedName>
    <definedName name="solver_mrt" localSheetId="3" hidden="1">0.075</definedName>
    <definedName name="solver_mrt" localSheetId="4" hidden="1">0.075</definedName>
    <definedName name="solver_msl" localSheetId="5" hidden="1">2</definedName>
    <definedName name="solver_msl" localSheetId="3" hidden="1">2</definedName>
    <definedName name="solver_msl" localSheetId="4" hidden="1">2</definedName>
    <definedName name="solver_neg" localSheetId="5" hidden="1">1</definedName>
    <definedName name="solver_neg" localSheetId="3" hidden="1">1</definedName>
    <definedName name="solver_neg" localSheetId="4" hidden="1">1</definedName>
    <definedName name="solver_nod" localSheetId="5" hidden="1">2147483647</definedName>
    <definedName name="solver_nod" localSheetId="3" hidden="1">2147483647</definedName>
    <definedName name="solver_nod" localSheetId="4" hidden="1">2147483647</definedName>
    <definedName name="solver_num" localSheetId="5" hidden="1">0</definedName>
    <definedName name="solver_num" localSheetId="3" hidden="1">0</definedName>
    <definedName name="solver_num" localSheetId="4" hidden="1">0</definedName>
    <definedName name="solver_nwt" localSheetId="5" hidden="1">1</definedName>
    <definedName name="solver_nwt" localSheetId="3" hidden="1">1</definedName>
    <definedName name="solver_nwt" localSheetId="4" hidden="1">1</definedName>
    <definedName name="solver_opt" localSheetId="5" hidden="1">Fitting!$AA$52</definedName>
    <definedName name="solver_opt" localSheetId="3" hidden="1">Fitting1!$R$5</definedName>
    <definedName name="solver_opt" localSheetId="4" hidden="1">'Summary paramters (2)'!$P$3</definedName>
    <definedName name="solver_pre" localSheetId="5" hidden="1">0.000001</definedName>
    <definedName name="solver_pre" localSheetId="3" hidden="1">0.000001</definedName>
    <definedName name="solver_pre" localSheetId="4" hidden="1">0.000001</definedName>
    <definedName name="solver_rbv" localSheetId="5" hidden="1">1</definedName>
    <definedName name="solver_rbv" localSheetId="3" hidden="1">1</definedName>
    <definedName name="solver_rbv" localSheetId="4" hidden="1">1</definedName>
    <definedName name="solver_rlx" localSheetId="5" hidden="1">2</definedName>
    <definedName name="solver_rlx" localSheetId="3" hidden="1">2</definedName>
    <definedName name="solver_rlx" localSheetId="4" hidden="1">2</definedName>
    <definedName name="solver_rsd" localSheetId="5" hidden="1">0</definedName>
    <definedName name="solver_rsd" localSheetId="3" hidden="1">0</definedName>
    <definedName name="solver_rsd" localSheetId="4" hidden="1">0</definedName>
    <definedName name="solver_scl" localSheetId="5" hidden="1">1</definedName>
    <definedName name="solver_scl" localSheetId="3" hidden="1">1</definedName>
    <definedName name="solver_scl" localSheetId="4" hidden="1">1</definedName>
    <definedName name="solver_sho" localSheetId="5" hidden="1">2</definedName>
    <definedName name="solver_sho" localSheetId="3" hidden="1">2</definedName>
    <definedName name="solver_sho" localSheetId="4" hidden="1">2</definedName>
    <definedName name="solver_ssz" localSheetId="5" hidden="1">100</definedName>
    <definedName name="solver_ssz" localSheetId="3" hidden="1">100</definedName>
    <definedName name="solver_ssz" localSheetId="4" hidden="1">100</definedName>
    <definedName name="solver_tim" localSheetId="5" hidden="1">2147483647</definedName>
    <definedName name="solver_tim" localSheetId="3" hidden="1">2147483647</definedName>
    <definedName name="solver_tim" localSheetId="4" hidden="1">2147483647</definedName>
    <definedName name="solver_tol" localSheetId="5" hidden="1">0.01</definedName>
    <definedName name="solver_tol" localSheetId="3" hidden="1">0.01</definedName>
    <definedName name="solver_tol" localSheetId="4" hidden="1">0.01</definedName>
    <definedName name="solver_typ" localSheetId="5" hidden="1">2</definedName>
    <definedName name="solver_typ" localSheetId="3" hidden="1">2</definedName>
    <definedName name="solver_typ" localSheetId="4" hidden="1">2</definedName>
    <definedName name="solver_val" localSheetId="5" hidden="1">0</definedName>
    <definedName name="solver_val" localSheetId="3" hidden="1">0</definedName>
    <definedName name="solver_val" localSheetId="4" hidden="1">0</definedName>
    <definedName name="solver_ver" localSheetId="5" hidden="1">3</definedName>
    <definedName name="solver_ver" localSheetId="3" hidden="1">3</definedName>
    <definedName name="solver_ver" localSheetId="4" hidden="1">3</definedName>
    <definedName name="TAU" localSheetId="3">Fitting1!#REF!</definedName>
    <definedName name="TAU" localSheetId="9">Fitting!#REF!</definedName>
    <definedName name="TAU" localSheetId="4">Fitting!#REF!</definedName>
    <definedName name="TAU">Fitting!#REF!</definedName>
  </definedNames>
  <calcPr calcId="152511"/>
</workbook>
</file>

<file path=xl/calcChain.xml><?xml version="1.0" encoding="utf-8"?>
<calcChain xmlns="http://schemas.openxmlformats.org/spreadsheetml/2006/main">
  <c r="T17" i="11" l="1"/>
  <c r="T16" i="11"/>
  <c r="J6" i="11" l="1"/>
  <c r="J5" i="11"/>
  <c r="J4" i="11"/>
  <c r="O4" i="11"/>
  <c r="T4" i="11" s="1"/>
  <c r="AE4" i="11" l="1"/>
  <c r="AG4" i="11" l="1"/>
  <c r="G78" i="7" l="1"/>
  <c r="F78" i="7"/>
  <c r="E78" i="7"/>
  <c r="E63" i="11" l="1"/>
  <c r="G63" i="7"/>
  <c r="F63" i="7"/>
  <c r="E63" i="7"/>
  <c r="E53" i="11"/>
  <c r="AB23" i="11" s="1"/>
  <c r="E58" i="11"/>
  <c r="G53" i="7"/>
  <c r="F53" i="7"/>
  <c r="E53" i="7"/>
  <c r="J61" i="11" l="1"/>
  <c r="E33" i="11"/>
  <c r="Q62" i="10" l="1"/>
  <c r="Q58" i="10"/>
  <c r="E7" i="11"/>
  <c r="R14" i="10"/>
  <c r="R15" i="10"/>
  <c r="R16" i="10"/>
  <c r="R17" i="10"/>
  <c r="R18" i="10"/>
  <c r="R19" i="10"/>
  <c r="R20" i="10"/>
  <c r="R21" i="10"/>
  <c r="R13" i="10"/>
  <c r="P14" i="10"/>
  <c r="Q14" i="10"/>
  <c r="P15" i="10"/>
  <c r="Q15" i="10"/>
  <c r="P16" i="10"/>
  <c r="Q16" i="10"/>
  <c r="P17" i="10"/>
  <c r="Q17" i="10"/>
  <c r="P18" i="10"/>
  <c r="Q18" i="10"/>
  <c r="P19" i="10"/>
  <c r="Q19" i="10"/>
  <c r="P20" i="10"/>
  <c r="Q20" i="10"/>
  <c r="P21" i="10"/>
  <c r="Q21" i="10"/>
  <c r="Q13" i="10"/>
  <c r="P13" i="10"/>
  <c r="R9" i="10"/>
  <c r="G18" i="7"/>
  <c r="F18" i="7"/>
  <c r="E18" i="7"/>
  <c r="AA61" i="5"/>
  <c r="X62" i="5"/>
  <c r="Y62" i="5"/>
  <c r="X63" i="5"/>
  <c r="AA63" i="5" s="1"/>
  <c r="Y63" i="5"/>
  <c r="X64" i="5"/>
  <c r="Y64" i="5"/>
  <c r="X65" i="5"/>
  <c r="Y65" i="5"/>
  <c r="X66" i="5"/>
  <c r="Y66" i="5"/>
  <c r="X67" i="5"/>
  <c r="AA67" i="5" s="1"/>
  <c r="Y67" i="5"/>
  <c r="X68" i="5"/>
  <c r="Y68" i="5"/>
  <c r="X69" i="5"/>
  <c r="Y69" i="5"/>
  <c r="X70" i="5"/>
  <c r="Y70" i="5"/>
  <c r="X71" i="5"/>
  <c r="AA71" i="5" s="1"/>
  <c r="Y71" i="5"/>
  <c r="X72" i="5"/>
  <c r="Y72" i="5"/>
  <c r="Y61" i="5"/>
  <c r="X61" i="5"/>
  <c r="AA72" i="5"/>
  <c r="AA70" i="5"/>
  <c r="AA69" i="5"/>
  <c r="AA68" i="5"/>
  <c r="AA66" i="5"/>
  <c r="AA65" i="5"/>
  <c r="AA64" i="5"/>
  <c r="AA62" i="5"/>
  <c r="Z56" i="5"/>
  <c r="Z55" i="5"/>
  <c r="Z54" i="5"/>
  <c r="CI71" i="2"/>
  <c r="CH71" i="2"/>
  <c r="CG71" i="2"/>
  <c r="P71" i="2" s="1"/>
  <c r="CE71" i="2"/>
  <c r="BW71" i="2"/>
  <c r="BU71" i="2"/>
  <c r="BX71" i="2" s="1"/>
  <c r="BT71" i="2"/>
  <c r="BO71" i="2"/>
  <c r="BN71" i="2"/>
  <c r="BM71" i="2"/>
  <c r="BP71" i="2" s="1"/>
  <c r="AF71" i="2" s="1"/>
  <c r="BQ71" i="2" s="1"/>
  <c r="BL71" i="2"/>
  <c r="AD71" i="2" s="1"/>
  <c r="BK71" i="2"/>
  <c r="AH71" i="2"/>
  <c r="AJ71" i="2" s="1"/>
  <c r="CC71" i="2" s="1"/>
  <c r="Z71" i="2"/>
  <c r="Y71" i="2"/>
  <c r="X71" i="2"/>
  <c r="V71" i="2"/>
  <c r="AC71" i="2" s="1"/>
  <c r="Q71" i="2"/>
  <c r="O71" i="2"/>
  <c r="E71" i="2"/>
  <c r="CI70" i="2"/>
  <c r="CH70" i="2"/>
  <c r="CG70" i="2"/>
  <c r="CE70" i="2"/>
  <c r="O70" i="2" s="1"/>
  <c r="BW70" i="2"/>
  <c r="BT70" i="2"/>
  <c r="BU70" i="2" s="1"/>
  <c r="BO70" i="2"/>
  <c r="BN70" i="2"/>
  <c r="BM70" i="2"/>
  <c r="BK70" i="2"/>
  <c r="BL70" i="2" s="1"/>
  <c r="AJ70" i="2"/>
  <c r="AH70" i="2"/>
  <c r="AD70" i="2"/>
  <c r="Z70" i="2"/>
  <c r="Y70" i="2"/>
  <c r="X70" i="2"/>
  <c r="V70" i="2"/>
  <c r="CF70" i="2" s="1"/>
  <c r="Q70" i="2"/>
  <c r="AC70" i="2" s="1"/>
  <c r="P70" i="2"/>
  <c r="E70" i="2"/>
  <c r="CI69" i="2"/>
  <c r="CH69" i="2"/>
  <c r="CG69" i="2"/>
  <c r="P69" i="2" s="1"/>
  <c r="CF69" i="2"/>
  <c r="W69" i="2" s="1"/>
  <c r="CE69" i="2"/>
  <c r="BW69" i="2"/>
  <c r="BT69" i="2"/>
  <c r="BU69" i="2" s="1"/>
  <c r="BX69" i="2" s="1"/>
  <c r="BO69" i="2"/>
  <c r="BN69" i="2"/>
  <c r="BM69" i="2"/>
  <c r="BL69" i="2"/>
  <c r="AD69" i="2" s="1"/>
  <c r="BK69" i="2"/>
  <c r="AH69" i="2"/>
  <c r="AJ69" i="2" s="1"/>
  <c r="CC69" i="2" s="1"/>
  <c r="AC69" i="2"/>
  <c r="Z69" i="2"/>
  <c r="Y69" i="2"/>
  <c r="X69" i="2"/>
  <c r="V69" i="2"/>
  <c r="Q69" i="2"/>
  <c r="O69" i="2"/>
  <c r="E69" i="2"/>
  <c r="CI68" i="2"/>
  <c r="CH68" i="2"/>
  <c r="CG68" i="2"/>
  <c r="CE68" i="2"/>
  <c r="O68" i="2" s="1"/>
  <c r="BW68" i="2"/>
  <c r="BT68" i="2"/>
  <c r="BU68" i="2" s="1"/>
  <c r="BO68" i="2"/>
  <c r="BP68" i="2" s="1"/>
  <c r="AF68" i="2" s="1"/>
  <c r="BQ68" i="2" s="1"/>
  <c r="BR68" i="2" s="1"/>
  <c r="BS68" i="2" s="1"/>
  <c r="BV68" i="2" s="1"/>
  <c r="F68" i="2" s="1"/>
  <c r="BY68" i="2" s="1"/>
  <c r="G68" i="2" s="1"/>
  <c r="BN68" i="2"/>
  <c r="BM68" i="2"/>
  <c r="BK68" i="2"/>
  <c r="BL68" i="2" s="1"/>
  <c r="AJ68" i="2"/>
  <c r="AH68" i="2"/>
  <c r="AD68" i="2"/>
  <c r="Z68" i="2"/>
  <c r="Y68" i="2"/>
  <c r="X68" i="2"/>
  <c r="V68" i="2"/>
  <c r="CF68" i="2" s="1"/>
  <c r="Q68" i="2"/>
  <c r="AC68" i="2" s="1"/>
  <c r="P68" i="2"/>
  <c r="E68" i="2"/>
  <c r="CI67" i="2"/>
  <c r="CH67" i="2"/>
  <c r="CG67" i="2"/>
  <c r="P67" i="2" s="1"/>
  <c r="CE67" i="2"/>
  <c r="BX67" i="2"/>
  <c r="BW67" i="2"/>
  <c r="BU67" i="2"/>
  <c r="BT67" i="2"/>
  <c r="BO67" i="2"/>
  <c r="BN67" i="2"/>
  <c r="BM67" i="2"/>
  <c r="BP67" i="2" s="1"/>
  <c r="AF67" i="2" s="1"/>
  <c r="BQ67" i="2" s="1"/>
  <c r="BL67" i="2"/>
  <c r="AD67" i="2" s="1"/>
  <c r="BK67" i="2"/>
  <c r="AH67" i="2"/>
  <c r="AJ67" i="2" s="1"/>
  <c r="CC67" i="2" s="1"/>
  <c r="Z67" i="2"/>
  <c r="Y67" i="2"/>
  <c r="X67" i="2"/>
  <c r="V67" i="2"/>
  <c r="CF67" i="2" s="1"/>
  <c r="W67" i="2" s="1"/>
  <c r="Q67" i="2"/>
  <c r="O67" i="2"/>
  <c r="E67" i="2"/>
  <c r="CI66" i="2"/>
  <c r="CH66" i="2"/>
  <c r="CG66" i="2"/>
  <c r="CE66" i="2"/>
  <c r="O66" i="2" s="1"/>
  <c r="BW66" i="2"/>
  <c r="BT66" i="2"/>
  <c r="BU66" i="2" s="1"/>
  <c r="BX66" i="2" s="1"/>
  <c r="BO66" i="2"/>
  <c r="BN66" i="2"/>
  <c r="BM66" i="2"/>
  <c r="BK66" i="2"/>
  <c r="BL66" i="2" s="1"/>
  <c r="AJ66" i="2"/>
  <c r="AH66" i="2"/>
  <c r="Z66" i="2"/>
  <c r="Y66" i="2"/>
  <c r="X66" i="2"/>
  <c r="V66" i="2"/>
  <c r="CF66" i="2" s="1"/>
  <c r="Q66" i="2"/>
  <c r="AC66" i="2" s="1"/>
  <c r="P66" i="2"/>
  <c r="E66" i="2"/>
  <c r="CI65" i="2"/>
  <c r="CH65" i="2"/>
  <c r="CG65" i="2"/>
  <c r="P65" i="2" s="1"/>
  <c r="CE65" i="2"/>
  <c r="CC65" i="2"/>
  <c r="BW65" i="2"/>
  <c r="BT65" i="2"/>
  <c r="BU65" i="2" s="1"/>
  <c r="BX65" i="2" s="1"/>
  <c r="BO65" i="2"/>
  <c r="BN65" i="2"/>
  <c r="BM65" i="2"/>
  <c r="BL65" i="2"/>
  <c r="AD65" i="2" s="1"/>
  <c r="BK65" i="2"/>
  <c r="E65" i="2" s="1"/>
  <c r="AH65" i="2"/>
  <c r="AJ65" i="2" s="1"/>
  <c r="Z65" i="2"/>
  <c r="Y65" i="2"/>
  <c r="X65" i="2"/>
  <c r="V65" i="2"/>
  <c r="CF65" i="2" s="1"/>
  <c r="W65" i="2" s="1"/>
  <c r="Q65" i="2"/>
  <c r="AC65" i="2" s="1"/>
  <c r="O65" i="2"/>
  <c r="CI64" i="2"/>
  <c r="CH64" i="2"/>
  <c r="CG64" i="2"/>
  <c r="CE64" i="2"/>
  <c r="O64" i="2" s="1"/>
  <c r="BW64" i="2"/>
  <c r="BU64" i="2"/>
  <c r="BT64" i="2"/>
  <c r="BO64" i="2"/>
  <c r="BN64" i="2"/>
  <c r="BM64" i="2"/>
  <c r="BK64" i="2"/>
  <c r="BL64" i="2" s="1"/>
  <c r="AD64" i="2" s="1"/>
  <c r="AH64" i="2"/>
  <c r="AJ64" i="2" s="1"/>
  <c r="AC64" i="2"/>
  <c r="Z64" i="2"/>
  <c r="Y64" i="2"/>
  <c r="X64" i="2"/>
  <c r="V64" i="2"/>
  <c r="CF64" i="2" s="1"/>
  <c r="Q64" i="2"/>
  <c r="P64" i="2"/>
  <c r="CI63" i="2"/>
  <c r="CH63" i="2"/>
  <c r="CG63" i="2"/>
  <c r="P63" i="2" s="1"/>
  <c r="CE63" i="2"/>
  <c r="O63" i="2" s="1"/>
  <c r="BW63" i="2"/>
  <c r="BT63" i="2"/>
  <c r="BU63" i="2" s="1"/>
  <c r="BX63" i="2" s="1"/>
  <c r="BO63" i="2"/>
  <c r="BN63" i="2"/>
  <c r="BM63" i="2"/>
  <c r="BK63" i="2"/>
  <c r="E63" i="2" s="1"/>
  <c r="AH63" i="2"/>
  <c r="AJ63" i="2" s="1"/>
  <c r="Z63" i="2"/>
  <c r="Y63" i="2"/>
  <c r="X63" i="2"/>
  <c r="V63" i="2"/>
  <c r="CF63" i="2" s="1"/>
  <c r="Q63" i="2"/>
  <c r="AC63" i="2" s="1"/>
  <c r="CI62" i="2"/>
  <c r="CH62" i="2"/>
  <c r="CG62" i="2"/>
  <c r="P62" i="2" s="1"/>
  <c r="CE62" i="2"/>
  <c r="BW62" i="2"/>
  <c r="BU62" i="2"/>
  <c r="BX62" i="2" s="1"/>
  <c r="BT62" i="2"/>
  <c r="BO62" i="2"/>
  <c r="BP62" i="2" s="1"/>
  <c r="AF62" i="2" s="1"/>
  <c r="BQ62" i="2" s="1"/>
  <c r="BN62" i="2"/>
  <c r="BM62" i="2"/>
  <c r="BK62" i="2"/>
  <c r="BL62" i="2" s="1"/>
  <c r="AJ62" i="2"/>
  <c r="AH62" i="2"/>
  <c r="AD62" i="2"/>
  <c r="AC62" i="2"/>
  <c r="Z62" i="2"/>
  <c r="Y62" i="2"/>
  <c r="X62" i="2"/>
  <c r="W62" i="2"/>
  <c r="V62" i="2"/>
  <c r="CF62" i="2" s="1"/>
  <c r="Q62" i="2"/>
  <c r="O62" i="2"/>
  <c r="E62" i="2"/>
  <c r="CC62" i="2" s="1"/>
  <c r="CI61" i="2"/>
  <c r="CH61" i="2"/>
  <c r="CG61" i="2"/>
  <c r="P61" i="2" s="1"/>
  <c r="CE61" i="2"/>
  <c r="BX61" i="2"/>
  <c r="BW61" i="2"/>
  <c r="BU61" i="2"/>
  <c r="BT61" i="2"/>
  <c r="BO61" i="2"/>
  <c r="BN61" i="2"/>
  <c r="BM61" i="2"/>
  <c r="BL61" i="2"/>
  <c r="AD61" i="2" s="1"/>
  <c r="BK61" i="2"/>
  <c r="E61" i="2" s="1"/>
  <c r="AH61" i="2"/>
  <c r="AJ61" i="2" s="1"/>
  <c r="CC61" i="2" s="1"/>
  <c r="Z61" i="2"/>
  <c r="Y61" i="2"/>
  <c r="X61" i="2"/>
  <c r="V61" i="2"/>
  <c r="AC61" i="2" s="1"/>
  <c r="Q61" i="2"/>
  <c r="O61" i="2"/>
  <c r="CI60" i="2"/>
  <c r="CH60" i="2"/>
  <c r="CG60" i="2"/>
  <c r="P60" i="2" s="1"/>
  <c r="CE60" i="2"/>
  <c r="O60" i="2" s="1"/>
  <c r="BW60" i="2"/>
  <c r="BU60" i="2"/>
  <c r="BX60" i="2" s="1"/>
  <c r="BT60" i="2"/>
  <c r="BO60" i="2"/>
  <c r="BN60" i="2"/>
  <c r="BM60" i="2"/>
  <c r="BK60" i="2"/>
  <c r="BL60" i="2" s="1"/>
  <c r="AD60" i="2" s="1"/>
  <c r="AH60" i="2"/>
  <c r="AJ60" i="2" s="1"/>
  <c r="Z60" i="2"/>
  <c r="Y60" i="2"/>
  <c r="X60" i="2"/>
  <c r="V60" i="2"/>
  <c r="CF60" i="2" s="1"/>
  <c r="Q60" i="2"/>
  <c r="AC60" i="2" s="1"/>
  <c r="G13" i="7"/>
  <c r="F13" i="7"/>
  <c r="E13" i="7"/>
  <c r="AA37" i="5"/>
  <c r="X38" i="5"/>
  <c r="Y38" i="5"/>
  <c r="X39" i="5"/>
  <c r="Y39" i="5"/>
  <c r="X40" i="5"/>
  <c r="Y40" i="5"/>
  <c r="X41" i="5"/>
  <c r="Y41" i="5"/>
  <c r="X42" i="5"/>
  <c r="Y42" i="5"/>
  <c r="X43" i="5"/>
  <c r="Y43" i="5"/>
  <c r="X44" i="5"/>
  <c r="Y44" i="5"/>
  <c r="X45" i="5"/>
  <c r="Y45" i="5"/>
  <c r="X46" i="5"/>
  <c r="Y46" i="5"/>
  <c r="X47" i="5"/>
  <c r="Y47" i="5"/>
  <c r="Y37" i="5"/>
  <c r="X37" i="5"/>
  <c r="AA47" i="5"/>
  <c r="AA46" i="5"/>
  <c r="AA45" i="5"/>
  <c r="AA44" i="5"/>
  <c r="AA43" i="5"/>
  <c r="AA42" i="5"/>
  <c r="AA41" i="5"/>
  <c r="AA40" i="5"/>
  <c r="AA39" i="5"/>
  <c r="AA38" i="5"/>
  <c r="Z32" i="5"/>
  <c r="Z31" i="5"/>
  <c r="Z30" i="5"/>
  <c r="CI63" i="4"/>
  <c r="CH63" i="4"/>
  <c r="CG63" i="4"/>
  <c r="CE63" i="4"/>
  <c r="BW63" i="4"/>
  <c r="BT63" i="4"/>
  <c r="BU63" i="4" s="1"/>
  <c r="BX63" i="4" s="1"/>
  <c r="BO63" i="4"/>
  <c r="BN63" i="4"/>
  <c r="BM63" i="4"/>
  <c r="BL63" i="4"/>
  <c r="BK63" i="4"/>
  <c r="AH63" i="4"/>
  <c r="AJ63" i="4" s="1"/>
  <c r="Z63" i="4"/>
  <c r="Y63" i="4"/>
  <c r="X63" i="4"/>
  <c r="V63" i="4"/>
  <c r="CF63" i="4" s="1"/>
  <c r="Q63" i="4"/>
  <c r="AC63" i="4" s="1"/>
  <c r="P63" i="4"/>
  <c r="O63" i="4"/>
  <c r="E63" i="4"/>
  <c r="CI62" i="4"/>
  <c r="CH62" i="4"/>
  <c r="CG62" i="4"/>
  <c r="CE62" i="4"/>
  <c r="BW62" i="4"/>
  <c r="BT62" i="4"/>
  <c r="BU62" i="4" s="1"/>
  <c r="BX62" i="4" s="1"/>
  <c r="BO62" i="4"/>
  <c r="BN62" i="4"/>
  <c r="BP62" i="4" s="1"/>
  <c r="AF62" i="4" s="1"/>
  <c r="BQ62" i="4" s="1"/>
  <c r="BM62" i="4"/>
  <c r="BL62" i="4"/>
  <c r="BK62" i="4"/>
  <c r="AJ62" i="4"/>
  <c r="AH62" i="4"/>
  <c r="AD62" i="4"/>
  <c r="Z62" i="4"/>
  <c r="Y62" i="4"/>
  <c r="X62" i="4"/>
  <c r="V62" i="4"/>
  <c r="CF62" i="4" s="1"/>
  <c r="Q62" i="4"/>
  <c r="AC62" i="4" s="1"/>
  <c r="P62" i="4"/>
  <c r="O62" i="4"/>
  <c r="E62" i="4"/>
  <c r="CC62" i="4" s="1"/>
  <c r="CI61" i="4"/>
  <c r="CH61" i="4"/>
  <c r="CG61" i="4"/>
  <c r="CE61" i="4"/>
  <c r="BW61" i="4"/>
  <c r="BT61" i="4"/>
  <c r="BU61" i="4" s="1"/>
  <c r="BX61" i="4" s="1"/>
  <c r="BO61" i="4"/>
  <c r="BN61" i="4"/>
  <c r="BM61" i="4"/>
  <c r="BL61" i="4"/>
  <c r="BP61" i="4" s="1"/>
  <c r="AF61" i="4" s="1"/>
  <c r="BQ61" i="4" s="1"/>
  <c r="BK61" i="4"/>
  <c r="AJ61" i="4"/>
  <c r="AH61" i="4"/>
  <c r="Z61" i="4"/>
  <c r="Y61" i="4"/>
  <c r="X61" i="4"/>
  <c r="V61" i="4"/>
  <c r="CF61" i="4" s="1"/>
  <c r="Q61" i="4"/>
  <c r="P61" i="4"/>
  <c r="O61" i="4"/>
  <c r="E61" i="4"/>
  <c r="CI60" i="4"/>
  <c r="CH60" i="4"/>
  <c r="CG60" i="4"/>
  <c r="CE60" i="4"/>
  <c r="BW60" i="4"/>
  <c r="BT60" i="4"/>
  <c r="BU60" i="4" s="1"/>
  <c r="BX60" i="4" s="1"/>
  <c r="BO60" i="4"/>
  <c r="BN60" i="4"/>
  <c r="BP60" i="4" s="1"/>
  <c r="AF60" i="4" s="1"/>
  <c r="BQ60" i="4" s="1"/>
  <c r="BM60" i="4"/>
  <c r="BL60" i="4"/>
  <c r="BK60" i="4"/>
  <c r="AJ60" i="4"/>
  <c r="AH60" i="4"/>
  <c r="AD60" i="4"/>
  <c r="Z60" i="4"/>
  <c r="Y60" i="4"/>
  <c r="X60" i="4"/>
  <c r="V60" i="4"/>
  <c r="CF60" i="4" s="1"/>
  <c r="Q60" i="4"/>
  <c r="AC60" i="4" s="1"/>
  <c r="P60" i="4"/>
  <c r="O60" i="4"/>
  <c r="E60" i="4"/>
  <c r="CC60" i="4" s="1"/>
  <c r="CI59" i="4"/>
  <c r="CH59" i="4"/>
  <c r="CG59" i="4"/>
  <c r="CE59" i="4"/>
  <c r="BW59" i="4"/>
  <c r="BT59" i="4"/>
  <c r="BU59" i="4" s="1"/>
  <c r="BX59" i="4" s="1"/>
  <c r="BO59" i="4"/>
  <c r="BN59" i="4"/>
  <c r="BM59" i="4"/>
  <c r="BL59" i="4"/>
  <c r="AD59" i="4" s="1"/>
  <c r="BK59" i="4"/>
  <c r="AJ59" i="4"/>
  <c r="AH59" i="4"/>
  <c r="Z59" i="4"/>
  <c r="Y59" i="4"/>
  <c r="X59" i="4"/>
  <c r="V59" i="4"/>
  <c r="CF59" i="4" s="1"/>
  <c r="Q59" i="4"/>
  <c r="P59" i="4"/>
  <c r="O59" i="4"/>
  <c r="E59" i="4"/>
  <c r="CI58" i="4"/>
  <c r="CH58" i="4"/>
  <c r="CG58" i="4"/>
  <c r="CE58" i="4"/>
  <c r="O58" i="4" s="1"/>
  <c r="BW58" i="4"/>
  <c r="BT58" i="4"/>
  <c r="BU58" i="4" s="1"/>
  <c r="BX58" i="4" s="1"/>
  <c r="BO58" i="4"/>
  <c r="BN58" i="4"/>
  <c r="BP58" i="4" s="1"/>
  <c r="AF58" i="4" s="1"/>
  <c r="BQ58" i="4" s="1"/>
  <c r="BM58" i="4"/>
  <c r="BL58" i="4"/>
  <c r="BK58" i="4"/>
  <c r="AJ58" i="4"/>
  <c r="AH58" i="4"/>
  <c r="AD58" i="4"/>
  <c r="Z58" i="4"/>
  <c r="Y58" i="4"/>
  <c r="X58" i="4"/>
  <c r="V58" i="4"/>
  <c r="CF58" i="4" s="1"/>
  <c r="Q58" i="4"/>
  <c r="AC58" i="4" s="1"/>
  <c r="P58" i="4"/>
  <c r="E58" i="4"/>
  <c r="CC58" i="4" s="1"/>
  <c r="CI57" i="4"/>
  <c r="CH57" i="4"/>
  <c r="CG57" i="4"/>
  <c r="CE57" i="4"/>
  <c r="BW57" i="4"/>
  <c r="BT57" i="4"/>
  <c r="BU57" i="4" s="1"/>
  <c r="BX57" i="4" s="1"/>
  <c r="BO57" i="4"/>
  <c r="BN57" i="4"/>
  <c r="BM57" i="4"/>
  <c r="BL57" i="4"/>
  <c r="AD57" i="4" s="1"/>
  <c r="BK57" i="4"/>
  <c r="AJ57" i="4"/>
  <c r="AH57" i="4"/>
  <c r="Z57" i="4"/>
  <c r="Y57" i="4"/>
  <c r="X57" i="4"/>
  <c r="V57" i="4"/>
  <c r="CF57" i="4" s="1"/>
  <c r="Q57" i="4"/>
  <c r="P57" i="4"/>
  <c r="O57" i="4"/>
  <c r="E57" i="4"/>
  <c r="CI56" i="4"/>
  <c r="CH56" i="4"/>
  <c r="CG56" i="4"/>
  <c r="CE56" i="4"/>
  <c r="O56" i="4" s="1"/>
  <c r="BW56" i="4"/>
  <c r="BT56" i="4"/>
  <c r="BU56" i="4" s="1"/>
  <c r="BX56" i="4" s="1"/>
  <c r="BO56" i="4"/>
  <c r="BN56" i="4"/>
  <c r="BP56" i="4" s="1"/>
  <c r="AF56" i="4" s="1"/>
  <c r="BQ56" i="4" s="1"/>
  <c r="BM56" i="4"/>
  <c r="BL56" i="4"/>
  <c r="BK56" i="4"/>
  <c r="AJ56" i="4"/>
  <c r="AH56" i="4"/>
  <c r="AD56" i="4"/>
  <c r="Z56" i="4"/>
  <c r="Y56" i="4"/>
  <c r="X56" i="4"/>
  <c r="V56" i="4"/>
  <c r="CF56" i="4" s="1"/>
  <c r="Q56" i="4"/>
  <c r="AC56" i="4" s="1"/>
  <c r="P56" i="4"/>
  <c r="E56" i="4"/>
  <c r="CC56" i="4" s="1"/>
  <c r="CI55" i="4"/>
  <c r="CH55" i="4"/>
  <c r="CG55" i="4"/>
  <c r="CE55" i="4"/>
  <c r="BW55" i="4"/>
  <c r="BT55" i="4"/>
  <c r="BU55" i="4" s="1"/>
  <c r="BX55" i="4" s="1"/>
  <c r="BO55" i="4"/>
  <c r="BN55" i="4"/>
  <c r="BM55" i="4"/>
  <c r="BL55" i="4"/>
  <c r="BP55" i="4" s="1"/>
  <c r="AF55" i="4" s="1"/>
  <c r="BQ55" i="4" s="1"/>
  <c r="BK55" i="4"/>
  <c r="AJ55" i="4"/>
  <c r="AH55" i="4"/>
  <c r="Z55" i="4"/>
  <c r="Y55" i="4"/>
  <c r="X55" i="4"/>
  <c r="V55" i="4"/>
  <c r="AC55" i="4" s="1"/>
  <c r="Q55" i="4"/>
  <c r="P55" i="4"/>
  <c r="O55" i="4"/>
  <c r="E55" i="4"/>
  <c r="CI54" i="4"/>
  <c r="CH54" i="4"/>
  <c r="CG54" i="4"/>
  <c r="CE54" i="4"/>
  <c r="O54" i="4" s="1"/>
  <c r="BW54" i="4"/>
  <c r="BT54" i="4"/>
  <c r="BU54" i="4" s="1"/>
  <c r="BX54" i="4" s="1"/>
  <c r="BO54" i="4"/>
  <c r="BN54" i="4"/>
  <c r="BP54" i="4" s="1"/>
  <c r="AF54" i="4" s="1"/>
  <c r="BQ54" i="4" s="1"/>
  <c r="BM54" i="4"/>
  <c r="BL54" i="4"/>
  <c r="BK54" i="4"/>
  <c r="AJ54" i="4"/>
  <c r="AH54" i="4"/>
  <c r="AD54" i="4"/>
  <c r="Z54" i="4"/>
  <c r="Y54" i="4"/>
  <c r="X54" i="4"/>
  <c r="V54" i="4"/>
  <c r="CF54" i="4" s="1"/>
  <c r="Q54" i="4"/>
  <c r="AC54" i="4" s="1"/>
  <c r="P54" i="4"/>
  <c r="E54" i="4"/>
  <c r="CC54" i="4" s="1"/>
  <c r="CI53" i="4"/>
  <c r="CH53" i="4"/>
  <c r="CG53" i="4"/>
  <c r="CE53" i="4"/>
  <c r="BW53" i="4"/>
  <c r="BT53" i="4"/>
  <c r="BU53" i="4" s="1"/>
  <c r="BX53" i="4" s="1"/>
  <c r="BO53" i="4"/>
  <c r="BN53" i="4"/>
  <c r="BM53" i="4"/>
  <c r="BL53" i="4"/>
  <c r="BP53" i="4" s="1"/>
  <c r="AF53" i="4" s="1"/>
  <c r="BQ53" i="4" s="1"/>
  <c r="BK53" i="4"/>
  <c r="AJ53" i="4"/>
  <c r="AH53" i="4"/>
  <c r="Z53" i="4"/>
  <c r="Y53" i="4"/>
  <c r="X53" i="4"/>
  <c r="V53" i="4"/>
  <c r="CF53" i="4" s="1"/>
  <c r="Q53" i="4"/>
  <c r="P53" i="4"/>
  <c r="O53" i="4"/>
  <c r="E53" i="4"/>
  <c r="CI52" i="4"/>
  <c r="CH52" i="4"/>
  <c r="CG52" i="4"/>
  <c r="CE52" i="4"/>
  <c r="O52" i="4" s="1"/>
  <c r="BW52" i="4"/>
  <c r="BT52" i="4"/>
  <c r="BU52" i="4" s="1"/>
  <c r="BX52" i="4" s="1"/>
  <c r="BO52" i="4"/>
  <c r="BN52" i="4"/>
  <c r="BP52" i="4" s="1"/>
  <c r="AF52" i="4" s="1"/>
  <c r="BQ52" i="4" s="1"/>
  <c r="AE52" i="4" s="1"/>
  <c r="BM52" i="4"/>
  <c r="BL52" i="4"/>
  <c r="BK52" i="4"/>
  <c r="AJ52" i="4"/>
  <c r="AH52" i="4"/>
  <c r="AD52" i="4"/>
  <c r="Z52" i="4"/>
  <c r="Y52" i="4"/>
  <c r="X52" i="4"/>
  <c r="V52" i="4"/>
  <c r="CF52" i="4" s="1"/>
  <c r="Q52" i="4"/>
  <c r="AC52" i="4" s="1"/>
  <c r="P52" i="4"/>
  <c r="E52" i="4"/>
  <c r="S14" i="5"/>
  <c r="T14" i="5"/>
  <c r="S15" i="5"/>
  <c r="T15" i="5"/>
  <c r="S16" i="5"/>
  <c r="T16" i="5"/>
  <c r="S17" i="5"/>
  <c r="V17" i="5" s="1"/>
  <c r="T17" i="5"/>
  <c r="S18" i="5"/>
  <c r="T18" i="5"/>
  <c r="S19" i="5"/>
  <c r="T19" i="5"/>
  <c r="S20" i="5"/>
  <c r="T20" i="5"/>
  <c r="S21" i="5"/>
  <c r="V21" i="5" s="1"/>
  <c r="T21" i="5"/>
  <c r="T13" i="5"/>
  <c r="S13" i="5"/>
  <c r="V13" i="5" s="1"/>
  <c r="V20" i="5"/>
  <c r="V19" i="5"/>
  <c r="V18" i="5"/>
  <c r="V16" i="5"/>
  <c r="V15" i="5"/>
  <c r="V14" i="5"/>
  <c r="U9" i="5"/>
  <c r="G7" i="7" s="1"/>
  <c r="U8" i="5"/>
  <c r="F7" i="7" s="1"/>
  <c r="U7" i="5"/>
  <c r="E7" i="7" s="1"/>
  <c r="CI54" i="1"/>
  <c r="CH54" i="1"/>
  <c r="CG54" i="1"/>
  <c r="P54" i="1" s="1"/>
  <c r="CF54" i="1"/>
  <c r="W54" i="1" s="1"/>
  <c r="CE54" i="1"/>
  <c r="BX54" i="1"/>
  <c r="BW54" i="1"/>
  <c r="BT54" i="1"/>
  <c r="BU54" i="1" s="1"/>
  <c r="BO54" i="1"/>
  <c r="BN54" i="1"/>
  <c r="BM54" i="1"/>
  <c r="BL54" i="1"/>
  <c r="AD54" i="1" s="1"/>
  <c r="BK54" i="1"/>
  <c r="AH54" i="1"/>
  <c r="AJ54" i="1" s="1"/>
  <c r="CC54" i="1" s="1"/>
  <c r="Z54" i="1"/>
  <c r="Y54" i="1"/>
  <c r="X54" i="1"/>
  <c r="V54" i="1"/>
  <c r="AC54" i="1" s="1"/>
  <c r="Q54" i="1"/>
  <c r="O54" i="1"/>
  <c r="E54" i="1"/>
  <c r="CI53" i="1"/>
  <c r="CH53" i="1"/>
  <c r="CG53" i="1"/>
  <c r="CE53" i="1"/>
  <c r="O53" i="1" s="1"/>
  <c r="BW53" i="1"/>
  <c r="BT53" i="1"/>
  <c r="BU53" i="1" s="1"/>
  <c r="BX53" i="1" s="1"/>
  <c r="BO53" i="1"/>
  <c r="BP53" i="1" s="1"/>
  <c r="AF53" i="1" s="1"/>
  <c r="BQ53" i="1" s="1"/>
  <c r="AE53" i="1" s="1"/>
  <c r="BN53" i="1"/>
  <c r="BM53" i="1"/>
  <c r="BK53" i="1"/>
  <c r="BL53" i="1" s="1"/>
  <c r="AD53" i="1" s="1"/>
  <c r="AJ53" i="1"/>
  <c r="AH53" i="1"/>
  <c r="Z53" i="1"/>
  <c r="Y53" i="1"/>
  <c r="X53" i="1"/>
  <c r="V53" i="1"/>
  <c r="CF53" i="1" s="1"/>
  <c r="Q53" i="1"/>
  <c r="AC53" i="1" s="1"/>
  <c r="P53" i="1"/>
  <c r="E53" i="1"/>
  <c r="CI52" i="1"/>
  <c r="CH52" i="1"/>
  <c r="CG52" i="1"/>
  <c r="P52" i="1" s="1"/>
  <c r="CE52" i="1"/>
  <c r="BX52" i="1"/>
  <c r="BW52" i="1"/>
  <c r="BT52" i="1"/>
  <c r="BU52" i="1" s="1"/>
  <c r="BO52" i="1"/>
  <c r="BN52" i="1"/>
  <c r="BM52" i="1"/>
  <c r="BL52" i="1"/>
  <c r="AD52" i="1" s="1"/>
  <c r="BK52" i="1"/>
  <c r="AH52" i="1"/>
  <c r="AJ52" i="1" s="1"/>
  <c r="CC52" i="1" s="1"/>
  <c r="Z52" i="1"/>
  <c r="Y52" i="1"/>
  <c r="X52" i="1"/>
  <c r="V52" i="1"/>
  <c r="AC52" i="1" s="1"/>
  <c r="Q52" i="1"/>
  <c r="O52" i="1"/>
  <c r="E52" i="1"/>
  <c r="CI51" i="1"/>
  <c r="CH51" i="1"/>
  <c r="CG51" i="1"/>
  <c r="CE51" i="1"/>
  <c r="O51" i="1" s="1"/>
  <c r="BW51" i="1"/>
  <c r="BT51" i="1"/>
  <c r="BU51" i="1" s="1"/>
  <c r="BX51" i="1" s="1"/>
  <c r="BO51" i="1"/>
  <c r="BN51" i="1"/>
  <c r="BM51" i="1"/>
  <c r="BK51" i="1"/>
  <c r="BL51" i="1" s="1"/>
  <c r="AD51" i="1" s="1"/>
  <c r="AJ51" i="1"/>
  <c r="AH51" i="1"/>
  <c r="Z51" i="1"/>
  <c r="Y51" i="1"/>
  <c r="X51" i="1"/>
  <c r="V51" i="1"/>
  <c r="CF51" i="1" s="1"/>
  <c r="Q51" i="1"/>
  <c r="AC51" i="1" s="1"/>
  <c r="P51" i="1"/>
  <c r="E51" i="1"/>
  <c r="CI50" i="1"/>
  <c r="CH50" i="1"/>
  <c r="CG50" i="1"/>
  <c r="P50" i="1" s="1"/>
  <c r="CE50" i="1"/>
  <c r="BW50" i="1"/>
  <c r="BT50" i="1"/>
  <c r="BU50" i="1" s="1"/>
  <c r="BX50" i="1" s="1"/>
  <c r="BO50" i="1"/>
  <c r="BN50" i="1"/>
  <c r="BM50" i="1"/>
  <c r="BL50" i="1"/>
  <c r="AD50" i="1" s="1"/>
  <c r="BK50" i="1"/>
  <c r="AH50" i="1"/>
  <c r="AJ50" i="1" s="1"/>
  <c r="CC50" i="1" s="1"/>
  <c r="Z50" i="1"/>
  <c r="Y50" i="1"/>
  <c r="X50" i="1"/>
  <c r="V50" i="1"/>
  <c r="AC50" i="1" s="1"/>
  <c r="Q50" i="1"/>
  <c r="O50" i="1"/>
  <c r="E50" i="1"/>
  <c r="CI49" i="1"/>
  <c r="CH49" i="1"/>
  <c r="CG49" i="1"/>
  <c r="CE49" i="1"/>
  <c r="O49" i="1" s="1"/>
  <c r="BW49" i="1"/>
  <c r="BT49" i="1"/>
  <c r="BU49" i="1" s="1"/>
  <c r="BX49" i="1" s="1"/>
  <c r="BO49" i="1"/>
  <c r="BN49" i="1"/>
  <c r="BM49" i="1"/>
  <c r="BK49" i="1"/>
  <c r="BL49" i="1" s="1"/>
  <c r="AJ49" i="1"/>
  <c r="AH49" i="1"/>
  <c r="AD49" i="1"/>
  <c r="Z49" i="1"/>
  <c r="Y49" i="1"/>
  <c r="X49" i="1"/>
  <c r="V49" i="1"/>
  <c r="CF49" i="1" s="1"/>
  <c r="Q49" i="1"/>
  <c r="AC49" i="1" s="1"/>
  <c r="P49" i="1"/>
  <c r="E49" i="1"/>
  <c r="CI48" i="1"/>
  <c r="CH48" i="1"/>
  <c r="CG48" i="1"/>
  <c r="P48" i="1" s="1"/>
  <c r="CE48" i="1"/>
  <c r="BW48" i="1"/>
  <c r="BT48" i="1"/>
  <c r="BU48" i="1" s="1"/>
  <c r="BX48" i="1" s="1"/>
  <c r="BO48" i="1"/>
  <c r="BN48" i="1"/>
  <c r="BM48" i="1"/>
  <c r="BL48" i="1"/>
  <c r="AD48" i="1" s="1"/>
  <c r="BK48" i="1"/>
  <c r="AH48" i="1"/>
  <c r="AJ48" i="1" s="1"/>
  <c r="CC48" i="1" s="1"/>
  <c r="Z48" i="1"/>
  <c r="Y48" i="1"/>
  <c r="X48" i="1"/>
  <c r="V48" i="1"/>
  <c r="AC48" i="1" s="1"/>
  <c r="Q48" i="1"/>
  <c r="O48" i="1"/>
  <c r="E48" i="1"/>
  <c r="CI47" i="1"/>
  <c r="CH47" i="1"/>
  <c r="CG47" i="1"/>
  <c r="CE47" i="1"/>
  <c r="O47" i="1" s="1"/>
  <c r="BW47" i="1"/>
  <c r="BT47" i="1"/>
  <c r="BU47" i="1" s="1"/>
  <c r="BX47" i="1" s="1"/>
  <c r="BO47" i="1"/>
  <c r="BN47" i="1"/>
  <c r="BM47" i="1"/>
  <c r="BK47" i="1"/>
  <c r="BL47" i="1" s="1"/>
  <c r="AJ47" i="1"/>
  <c r="AH47" i="1"/>
  <c r="Z47" i="1"/>
  <c r="Y47" i="1"/>
  <c r="X47" i="1"/>
  <c r="V47" i="1"/>
  <c r="CF47" i="1" s="1"/>
  <c r="Q47" i="1"/>
  <c r="AC47" i="1" s="1"/>
  <c r="P47" i="1"/>
  <c r="E47" i="1"/>
  <c r="CI46" i="1"/>
  <c r="CH46" i="1"/>
  <c r="CG46" i="1"/>
  <c r="P46" i="1" s="1"/>
  <c r="CE46" i="1"/>
  <c r="BX46" i="1"/>
  <c r="BW46" i="1"/>
  <c r="BT46" i="1"/>
  <c r="BU46" i="1" s="1"/>
  <c r="BP46" i="1"/>
  <c r="AF46" i="1" s="1"/>
  <c r="BQ46" i="1" s="1"/>
  <c r="BO46" i="1"/>
  <c r="BN46" i="1"/>
  <c r="BM46" i="1"/>
  <c r="BL46" i="1"/>
  <c r="AD46" i="1" s="1"/>
  <c r="BK46" i="1"/>
  <c r="AH46" i="1"/>
  <c r="AJ46" i="1" s="1"/>
  <c r="CC46" i="1" s="1"/>
  <c r="Z46" i="1"/>
  <c r="Y46" i="1"/>
  <c r="X46" i="1"/>
  <c r="V46" i="1"/>
  <c r="AC46" i="1" s="1"/>
  <c r="Q46" i="1"/>
  <c r="O46" i="1"/>
  <c r="E46" i="1"/>
  <c r="CI45" i="1"/>
  <c r="CH45" i="1"/>
  <c r="CG45" i="1"/>
  <c r="CE45" i="1"/>
  <c r="O45" i="1" s="1"/>
  <c r="BW45" i="1"/>
  <c r="BT45" i="1"/>
  <c r="BU45" i="1" s="1"/>
  <c r="BO45" i="1"/>
  <c r="BN45" i="1"/>
  <c r="BM45" i="1"/>
  <c r="BK45" i="1"/>
  <c r="BL45" i="1" s="1"/>
  <c r="AJ45" i="1"/>
  <c r="AH45" i="1"/>
  <c r="Z45" i="1"/>
  <c r="Y45" i="1"/>
  <c r="X45" i="1"/>
  <c r="V45" i="1"/>
  <c r="CF45" i="1" s="1"/>
  <c r="Q45" i="1"/>
  <c r="AC45" i="1" s="1"/>
  <c r="P45" i="1"/>
  <c r="E45" i="1"/>
  <c r="P22" i="11"/>
  <c r="P21" i="11"/>
  <c r="E62" i="11"/>
  <c r="Z22" i="11" s="1"/>
  <c r="G58" i="7"/>
  <c r="F58" i="7"/>
  <c r="E58" i="7"/>
  <c r="E57" i="11"/>
  <c r="E52" i="11"/>
  <c r="J58" i="11" s="1"/>
  <c r="AA22" i="11" l="1"/>
  <c r="J62" i="11"/>
  <c r="J60" i="11"/>
  <c r="J59" i="11"/>
  <c r="O22" i="11" s="1"/>
  <c r="AB22" i="11"/>
  <c r="R5" i="10"/>
  <c r="Z52" i="5"/>
  <c r="AA52" i="5"/>
  <c r="AE67" i="2"/>
  <c r="BR67" i="2"/>
  <c r="BS67" i="2" s="1"/>
  <c r="BV67" i="2" s="1"/>
  <c r="F67" i="2" s="1"/>
  <c r="BY67" i="2" s="1"/>
  <c r="G67" i="2" s="1"/>
  <c r="CB67" i="2"/>
  <c r="CD67" i="2" s="1"/>
  <c r="CA68" i="2"/>
  <c r="BZ68" i="2"/>
  <c r="BR62" i="2"/>
  <c r="BS62" i="2" s="1"/>
  <c r="BV62" i="2" s="1"/>
  <c r="F62" i="2" s="1"/>
  <c r="BY62" i="2" s="1"/>
  <c r="G62" i="2" s="1"/>
  <c r="AE62" i="2"/>
  <c r="BP63" i="2"/>
  <c r="AF63" i="2" s="1"/>
  <c r="BQ63" i="2" s="1"/>
  <c r="AE71" i="2"/>
  <c r="BR71" i="2"/>
  <c r="BS71" i="2" s="1"/>
  <c r="BV71" i="2" s="1"/>
  <c r="F71" i="2" s="1"/>
  <c r="BY71" i="2" s="1"/>
  <c r="G71" i="2" s="1"/>
  <c r="BP61" i="2"/>
  <c r="AF61" i="2" s="1"/>
  <c r="BQ61" i="2" s="1"/>
  <c r="CF61" i="2"/>
  <c r="W61" i="2" s="1"/>
  <c r="BX64" i="2"/>
  <c r="CC66" i="2"/>
  <c r="W66" i="2"/>
  <c r="AE68" i="2"/>
  <c r="BP69" i="2"/>
  <c r="AF69" i="2" s="1"/>
  <c r="BQ69" i="2" s="1"/>
  <c r="BX70" i="2"/>
  <c r="E60" i="2"/>
  <c r="BP60" i="2"/>
  <c r="AF60" i="2" s="1"/>
  <c r="BQ60" i="2" s="1"/>
  <c r="BL63" i="2"/>
  <c r="E64" i="2"/>
  <c r="AC67" i="2"/>
  <c r="BX68" i="2"/>
  <c r="BP70" i="2"/>
  <c r="AF70" i="2" s="1"/>
  <c r="BQ70" i="2" s="1"/>
  <c r="CF71" i="2"/>
  <c r="W71" i="2" s="1"/>
  <c r="BP65" i="2"/>
  <c r="AF65" i="2" s="1"/>
  <c r="BQ65" i="2" s="1"/>
  <c r="CC70" i="2"/>
  <c r="W70" i="2"/>
  <c r="CC63" i="2"/>
  <c r="BP64" i="2"/>
  <c r="AF64" i="2" s="1"/>
  <c r="BQ64" i="2" s="1"/>
  <c r="BP66" i="2"/>
  <c r="AF66" i="2" s="1"/>
  <c r="BQ66" i="2" s="1"/>
  <c r="CC68" i="2"/>
  <c r="W68" i="2"/>
  <c r="CB68" i="2"/>
  <c r="CD68" i="2" s="1"/>
  <c r="W63" i="2"/>
  <c r="AD66" i="2"/>
  <c r="AA28" i="5"/>
  <c r="Z28" i="5"/>
  <c r="AE61" i="4"/>
  <c r="BR61" i="4"/>
  <c r="BS61" i="4" s="1"/>
  <c r="BV61" i="4" s="1"/>
  <c r="F61" i="4" s="1"/>
  <c r="BY61" i="4" s="1"/>
  <c r="G61" i="4" s="1"/>
  <c r="AE62" i="4"/>
  <c r="BR62" i="4"/>
  <c r="BS62" i="4" s="1"/>
  <c r="BV62" i="4" s="1"/>
  <c r="F62" i="4" s="1"/>
  <c r="BY62" i="4" s="1"/>
  <c r="G62" i="4" s="1"/>
  <c r="AE55" i="4"/>
  <c r="BR55" i="4"/>
  <c r="BS55" i="4" s="1"/>
  <c r="BV55" i="4" s="1"/>
  <c r="F55" i="4" s="1"/>
  <c r="BY55" i="4" s="1"/>
  <c r="G55" i="4" s="1"/>
  <c r="BR60" i="4"/>
  <c r="BS60" i="4" s="1"/>
  <c r="BV60" i="4" s="1"/>
  <c r="F60" i="4" s="1"/>
  <c r="BY60" i="4" s="1"/>
  <c r="G60" i="4" s="1"/>
  <c r="AE60" i="4"/>
  <c r="BR56" i="4"/>
  <c r="BS56" i="4" s="1"/>
  <c r="BV56" i="4" s="1"/>
  <c r="F56" i="4" s="1"/>
  <c r="BY56" i="4" s="1"/>
  <c r="G56" i="4" s="1"/>
  <c r="AE56" i="4"/>
  <c r="CB58" i="4"/>
  <c r="CD58" i="4" s="1"/>
  <c r="CB52" i="4"/>
  <c r="BR54" i="4"/>
  <c r="BS54" i="4" s="1"/>
  <c r="BV54" i="4" s="1"/>
  <c r="F54" i="4" s="1"/>
  <c r="BY54" i="4" s="1"/>
  <c r="G54" i="4" s="1"/>
  <c r="AE54" i="4"/>
  <c r="CB56" i="4"/>
  <c r="BR58" i="4"/>
  <c r="BS58" i="4" s="1"/>
  <c r="BV58" i="4" s="1"/>
  <c r="F58" i="4" s="1"/>
  <c r="BY58" i="4" s="1"/>
  <c r="G58" i="4" s="1"/>
  <c r="AE58" i="4"/>
  <c r="CB62" i="4"/>
  <c r="BR52" i="4"/>
  <c r="BS52" i="4" s="1"/>
  <c r="BV52" i="4" s="1"/>
  <c r="F52" i="4" s="1"/>
  <c r="BY52" i="4" s="1"/>
  <c r="G52" i="4" s="1"/>
  <c r="CC52" i="4"/>
  <c r="CD52" i="4" s="1"/>
  <c r="W52" i="4"/>
  <c r="AE53" i="4"/>
  <c r="BR53" i="4"/>
  <c r="BS53" i="4" s="1"/>
  <c r="BV53" i="4" s="1"/>
  <c r="F53" i="4" s="1"/>
  <c r="BY53" i="4" s="1"/>
  <c r="G53" i="4" s="1"/>
  <c r="CB60" i="4"/>
  <c r="CF55" i="4"/>
  <c r="CD56" i="4"/>
  <c r="BP57" i="4"/>
  <c r="AF57" i="4" s="1"/>
  <c r="BQ57" i="4" s="1"/>
  <c r="BP59" i="4"/>
  <c r="AF59" i="4" s="1"/>
  <c r="BQ59" i="4" s="1"/>
  <c r="BP63" i="4"/>
  <c r="AF63" i="4" s="1"/>
  <c r="BQ63" i="4" s="1"/>
  <c r="W53" i="4"/>
  <c r="AC53" i="4"/>
  <c r="CC53" i="4"/>
  <c r="W55" i="4"/>
  <c r="CC55" i="4"/>
  <c r="W57" i="4"/>
  <c r="AC57" i="4"/>
  <c r="CC57" i="4"/>
  <c r="W59" i="4"/>
  <c r="AC59" i="4"/>
  <c r="CC59" i="4"/>
  <c r="W61" i="4"/>
  <c r="AC61" i="4"/>
  <c r="CC61" i="4"/>
  <c r="W63" i="4"/>
  <c r="CC63" i="4"/>
  <c r="CB55" i="4"/>
  <c r="CD55" i="4" s="1"/>
  <c r="CD62" i="4"/>
  <c r="AD53" i="4"/>
  <c r="AD55" i="4"/>
  <c r="AD61" i="4"/>
  <c r="AD63" i="4"/>
  <c r="CD60" i="4"/>
  <c r="W54" i="4"/>
  <c r="W56" i="4"/>
  <c r="W58" i="4"/>
  <c r="W60" i="4"/>
  <c r="W62" i="4"/>
  <c r="V5" i="5"/>
  <c r="U5" i="5"/>
  <c r="AE46" i="1"/>
  <c r="BR46" i="1"/>
  <c r="BS46" i="1" s="1"/>
  <c r="BV46" i="1" s="1"/>
  <c r="F46" i="1" s="1"/>
  <c r="BY46" i="1" s="1"/>
  <c r="G46" i="1" s="1"/>
  <c r="CC47" i="1"/>
  <c r="W47" i="1"/>
  <c r="BP50" i="1"/>
  <c r="AF50" i="1" s="1"/>
  <c r="BQ50" i="1" s="1"/>
  <c r="CC49" i="1"/>
  <c r="W49" i="1"/>
  <c r="BP52" i="1"/>
  <c r="AF52" i="1" s="1"/>
  <c r="BQ52" i="1" s="1"/>
  <c r="CB46" i="1"/>
  <c r="BP49" i="1"/>
  <c r="AF49" i="1" s="1"/>
  <c r="BQ49" i="1" s="1"/>
  <c r="CF50" i="1"/>
  <c r="W50" i="1" s="1"/>
  <c r="CC51" i="1"/>
  <c r="W51" i="1"/>
  <c r="BP54" i="1"/>
  <c r="AF54" i="1" s="1"/>
  <c r="BQ54" i="1" s="1"/>
  <c r="CC45" i="1"/>
  <c r="W45" i="1"/>
  <c r="AD45" i="1"/>
  <c r="CD46" i="1"/>
  <c r="CF46" i="1"/>
  <c r="W46" i="1" s="1"/>
  <c r="BP47" i="1"/>
  <c r="AF47" i="1" s="1"/>
  <c r="BQ47" i="1" s="1"/>
  <c r="CF48" i="1"/>
  <c r="W48" i="1" s="1"/>
  <c r="CB53" i="1"/>
  <c r="CD53" i="1" s="1"/>
  <c r="BR53" i="1"/>
  <c r="BS53" i="1" s="1"/>
  <c r="BV53" i="1" s="1"/>
  <c r="F53" i="1" s="1"/>
  <c r="BY53" i="1" s="1"/>
  <c r="G53" i="1" s="1"/>
  <c r="BX45" i="1"/>
  <c r="BP45" i="1"/>
  <c r="AF45" i="1" s="1"/>
  <c r="BQ45" i="1" s="1"/>
  <c r="AD47" i="1"/>
  <c r="BP48" i="1"/>
  <c r="AF48" i="1" s="1"/>
  <c r="BQ48" i="1" s="1"/>
  <c r="BP51" i="1"/>
  <c r="AF51" i="1" s="1"/>
  <c r="BQ51" i="1" s="1"/>
  <c r="CF52" i="1"/>
  <c r="W52" i="1" s="1"/>
  <c r="CC53" i="1"/>
  <c r="W53" i="1"/>
  <c r="AE66" i="2" l="1"/>
  <c r="BR66" i="2"/>
  <c r="BS66" i="2" s="1"/>
  <c r="BV66" i="2" s="1"/>
  <c r="F66" i="2" s="1"/>
  <c r="BY66" i="2" s="1"/>
  <c r="G66" i="2" s="1"/>
  <c r="W64" i="2"/>
  <c r="CC64" i="2"/>
  <c r="W60" i="2"/>
  <c r="CC60" i="2"/>
  <c r="BZ62" i="2"/>
  <c r="CA62" i="2"/>
  <c r="AE69" i="2"/>
  <c r="BR69" i="2"/>
  <c r="BS69" i="2" s="1"/>
  <c r="BV69" i="2" s="1"/>
  <c r="F69" i="2" s="1"/>
  <c r="BR61" i="2"/>
  <c r="BS61" i="2" s="1"/>
  <c r="BV61" i="2" s="1"/>
  <c r="F61" i="2" s="1"/>
  <c r="AE61" i="2"/>
  <c r="BR63" i="2"/>
  <c r="BS63" i="2" s="1"/>
  <c r="BV63" i="2" s="1"/>
  <c r="F63" i="2" s="1"/>
  <c r="BY63" i="2" s="1"/>
  <c r="G63" i="2" s="1"/>
  <c r="AE63" i="2"/>
  <c r="CB62" i="2"/>
  <c r="CD62" i="2" s="1"/>
  <c r="AE70" i="2"/>
  <c r="BR70" i="2"/>
  <c r="BS70" i="2" s="1"/>
  <c r="BV70" i="2" s="1"/>
  <c r="F70" i="2" s="1"/>
  <c r="BR60" i="2"/>
  <c r="BS60" i="2" s="1"/>
  <c r="BV60" i="2" s="1"/>
  <c r="F60" i="2" s="1"/>
  <c r="AE60" i="2"/>
  <c r="CB71" i="2"/>
  <c r="CD71" i="2" s="1"/>
  <c r="CA71" i="2"/>
  <c r="BZ71" i="2"/>
  <c r="BR64" i="2"/>
  <c r="BS64" i="2" s="1"/>
  <c r="BV64" i="2" s="1"/>
  <c r="F64" i="2" s="1"/>
  <c r="BY64" i="2" s="1"/>
  <c r="G64" i="2" s="1"/>
  <c r="AE64" i="2"/>
  <c r="BR65" i="2"/>
  <c r="BS65" i="2" s="1"/>
  <c r="BV65" i="2" s="1"/>
  <c r="F65" i="2" s="1"/>
  <c r="AE65" i="2"/>
  <c r="AD63" i="2"/>
  <c r="CB63" i="2"/>
  <c r="CD63" i="2" s="1"/>
  <c r="CA67" i="2"/>
  <c r="BZ67" i="2"/>
  <c r="CA61" i="4"/>
  <c r="BZ61" i="4"/>
  <c r="AE59" i="4"/>
  <c r="BR59" i="4"/>
  <c r="BS59" i="4" s="1"/>
  <c r="BV59" i="4" s="1"/>
  <c r="F59" i="4" s="1"/>
  <c r="CA52" i="4"/>
  <c r="BZ52" i="4"/>
  <c r="CA53" i="4"/>
  <c r="BZ53" i="4"/>
  <c r="CB53" i="4"/>
  <c r="CD53" i="4" s="1"/>
  <c r="BZ58" i="4"/>
  <c r="CA58" i="4"/>
  <c r="CA54" i="4"/>
  <c r="BZ54" i="4"/>
  <c r="BZ60" i="4"/>
  <c r="CA60" i="4"/>
  <c r="BZ62" i="4"/>
  <c r="CA62" i="4"/>
  <c r="CB54" i="4"/>
  <c r="CD54" i="4" s="1"/>
  <c r="AE63" i="4"/>
  <c r="BR63" i="4"/>
  <c r="BS63" i="4" s="1"/>
  <c r="BV63" i="4" s="1"/>
  <c r="F63" i="4" s="1"/>
  <c r="BY63" i="4" s="1"/>
  <c r="G63" i="4" s="1"/>
  <c r="CB61" i="4"/>
  <c r="CD61" i="4" s="1"/>
  <c r="AE57" i="4"/>
  <c r="BR57" i="4"/>
  <c r="BS57" i="4" s="1"/>
  <c r="BV57" i="4" s="1"/>
  <c r="F57" i="4" s="1"/>
  <c r="CA56" i="4"/>
  <c r="BZ56" i="4"/>
  <c r="CA55" i="4"/>
  <c r="BZ55" i="4"/>
  <c r="AE48" i="1"/>
  <c r="BR48" i="1"/>
  <c r="BS48" i="1" s="1"/>
  <c r="BV48" i="1" s="1"/>
  <c r="F48" i="1" s="1"/>
  <c r="AE50" i="1"/>
  <c r="BR50" i="1"/>
  <c r="BS50" i="1" s="1"/>
  <c r="BV50" i="1" s="1"/>
  <c r="F50" i="1" s="1"/>
  <c r="BY50" i="1" s="1"/>
  <c r="G50" i="1" s="1"/>
  <c r="AE54" i="1"/>
  <c r="BR54" i="1"/>
  <c r="BS54" i="1" s="1"/>
  <c r="BV54" i="1" s="1"/>
  <c r="F54" i="1" s="1"/>
  <c r="AE52" i="1"/>
  <c r="BR52" i="1"/>
  <c r="BS52" i="1" s="1"/>
  <c r="BV52" i="1" s="1"/>
  <c r="F52" i="1" s="1"/>
  <c r="CA46" i="1"/>
  <c r="BZ46" i="1"/>
  <c r="AE47" i="1"/>
  <c r="BR47" i="1"/>
  <c r="BS47" i="1" s="1"/>
  <c r="BV47" i="1" s="1"/>
  <c r="F47" i="1" s="1"/>
  <c r="BY47" i="1" s="1"/>
  <c r="G47" i="1" s="1"/>
  <c r="AE45" i="1"/>
  <c r="BR45" i="1"/>
  <c r="BS45" i="1" s="1"/>
  <c r="BV45" i="1" s="1"/>
  <c r="F45" i="1" s="1"/>
  <c r="AE51" i="1"/>
  <c r="BR51" i="1"/>
  <c r="BS51" i="1" s="1"/>
  <c r="BV51" i="1" s="1"/>
  <c r="F51" i="1" s="1"/>
  <c r="CA53" i="1"/>
  <c r="BZ53" i="1"/>
  <c r="AE49" i="1"/>
  <c r="BR49" i="1"/>
  <c r="BS49" i="1" s="1"/>
  <c r="BV49" i="1" s="1"/>
  <c r="F49" i="1" s="1"/>
  <c r="E77" i="11"/>
  <c r="E76" i="11"/>
  <c r="E75" i="11"/>
  <c r="E74" i="11"/>
  <c r="E72" i="11"/>
  <c r="E71" i="11"/>
  <c r="E70" i="11"/>
  <c r="E69" i="11"/>
  <c r="E67" i="11"/>
  <c r="E66" i="11"/>
  <c r="E65" i="11"/>
  <c r="E64" i="11"/>
  <c r="BZ64" i="2" l="1"/>
  <c r="CA64" i="2"/>
  <c r="BY61" i="2"/>
  <c r="G61" i="2" s="1"/>
  <c r="CB61" i="2"/>
  <c r="CD61" i="2" s="1"/>
  <c r="BY60" i="2"/>
  <c r="G60" i="2" s="1"/>
  <c r="CB60" i="2"/>
  <c r="CD60" i="2" s="1"/>
  <c r="BY69" i="2"/>
  <c r="G69" i="2" s="1"/>
  <c r="CB69" i="2"/>
  <c r="CD69" i="2" s="1"/>
  <c r="CB66" i="2"/>
  <c r="CD66" i="2" s="1"/>
  <c r="CA66" i="2"/>
  <c r="BZ66" i="2"/>
  <c r="BY65" i="2"/>
  <c r="G65" i="2" s="1"/>
  <c r="CB65" i="2"/>
  <c r="CD65" i="2" s="1"/>
  <c r="BY70" i="2"/>
  <c r="G70" i="2" s="1"/>
  <c r="CB70" i="2"/>
  <c r="CD70" i="2" s="1"/>
  <c r="BZ63" i="2"/>
  <c r="CA63" i="2"/>
  <c r="CB64" i="2"/>
  <c r="CD64" i="2" s="1"/>
  <c r="BY57" i="4"/>
  <c r="G57" i="4" s="1"/>
  <c r="CB57" i="4"/>
  <c r="CD57" i="4" s="1"/>
  <c r="CA63" i="4"/>
  <c r="BZ63" i="4"/>
  <c r="BY59" i="4"/>
  <c r="G59" i="4" s="1"/>
  <c r="CB59" i="4"/>
  <c r="CD59" i="4" s="1"/>
  <c r="CB63" i="4"/>
  <c r="CD63" i="4" s="1"/>
  <c r="BY54" i="1"/>
  <c r="G54" i="1" s="1"/>
  <c r="CB54" i="1"/>
  <c r="CD54" i="1" s="1"/>
  <c r="BY48" i="1"/>
  <c r="G48" i="1" s="1"/>
  <c r="CB48" i="1"/>
  <c r="CD48" i="1" s="1"/>
  <c r="BY49" i="1"/>
  <c r="G49" i="1" s="1"/>
  <c r="CB49" i="1"/>
  <c r="CD49" i="1" s="1"/>
  <c r="CB50" i="1"/>
  <c r="CD50" i="1" s="1"/>
  <c r="BY45" i="1"/>
  <c r="G45" i="1" s="1"/>
  <c r="CB45" i="1"/>
  <c r="CD45" i="1" s="1"/>
  <c r="BY51" i="1"/>
  <c r="G51" i="1" s="1"/>
  <c r="CB51" i="1"/>
  <c r="CD51" i="1" s="1"/>
  <c r="CA47" i="1"/>
  <c r="BZ47" i="1"/>
  <c r="BY52" i="1"/>
  <c r="G52" i="1" s="1"/>
  <c r="CB52" i="1"/>
  <c r="CD52" i="1" s="1"/>
  <c r="CA50" i="1"/>
  <c r="BZ50" i="1"/>
  <c r="CB47" i="1"/>
  <c r="CD47" i="1" s="1"/>
  <c r="J75" i="11"/>
  <c r="J69" i="11"/>
  <c r="J73" i="11"/>
  <c r="J72" i="11"/>
  <c r="J74" i="11"/>
  <c r="J68" i="11"/>
  <c r="J67" i="11"/>
  <c r="J66" i="11"/>
  <c r="AB26" i="11"/>
  <c r="J64" i="11"/>
  <c r="AB24" i="11"/>
  <c r="E61" i="11"/>
  <c r="E60" i="11"/>
  <c r="Z20" i="11" s="1"/>
  <c r="E59" i="11"/>
  <c r="Z19" i="11" s="1"/>
  <c r="E56" i="11"/>
  <c r="J56" i="11" s="1"/>
  <c r="E55" i="11"/>
  <c r="J53" i="11" s="1"/>
  <c r="J54" i="11"/>
  <c r="E54" i="11"/>
  <c r="J50" i="11" s="1"/>
  <c r="E51" i="11"/>
  <c r="J55" i="11" s="1"/>
  <c r="E50" i="11"/>
  <c r="J52" i="11" s="1"/>
  <c r="E49" i="11"/>
  <c r="J49" i="11" s="1"/>
  <c r="E48" i="11"/>
  <c r="J48" i="11" s="1"/>
  <c r="E47" i="11"/>
  <c r="J45" i="11" s="1"/>
  <c r="E46" i="11"/>
  <c r="Z16" i="11" s="1"/>
  <c r="E45" i="11"/>
  <c r="J39" i="11" s="1"/>
  <c r="E44" i="11"/>
  <c r="Z14" i="11" s="1"/>
  <c r="E43" i="11"/>
  <c r="J47" i="11" s="1"/>
  <c r="E42" i="11"/>
  <c r="AA17" i="11" s="1"/>
  <c r="E41" i="11"/>
  <c r="J41" i="11" s="1"/>
  <c r="E40" i="11"/>
  <c r="AA15" i="11" s="1"/>
  <c r="E39" i="11"/>
  <c r="J35" i="11" s="1"/>
  <c r="E37" i="11"/>
  <c r="J43" i="11" s="1"/>
  <c r="E36" i="11"/>
  <c r="AB16" i="11" s="1"/>
  <c r="E35" i="11"/>
  <c r="J37" i="11" s="1"/>
  <c r="E34" i="11"/>
  <c r="AB14" i="11" s="1"/>
  <c r="E32" i="11"/>
  <c r="Z12" i="11" s="1"/>
  <c r="E31" i="11"/>
  <c r="J27" i="11" s="1"/>
  <c r="E30" i="11"/>
  <c r="Z10" i="11" s="1"/>
  <c r="E29" i="11"/>
  <c r="Z9" i="11" s="1"/>
  <c r="T28" i="11"/>
  <c r="AB27" i="11"/>
  <c r="AA27" i="11"/>
  <c r="Z27" i="11"/>
  <c r="T27" i="11"/>
  <c r="P27" i="11"/>
  <c r="E27" i="11"/>
  <c r="Z26" i="11"/>
  <c r="T26" i="11"/>
  <c r="P26" i="11"/>
  <c r="E26" i="11"/>
  <c r="J26" i="11" s="1"/>
  <c r="AB25" i="11"/>
  <c r="AA25" i="11"/>
  <c r="T25" i="11"/>
  <c r="P25" i="11"/>
  <c r="E25" i="11"/>
  <c r="Z24" i="11"/>
  <c r="T24" i="11"/>
  <c r="P24" i="11"/>
  <c r="E24" i="11"/>
  <c r="AA9" i="11" s="1"/>
  <c r="T23" i="11"/>
  <c r="T22" i="11"/>
  <c r="T21" i="11"/>
  <c r="J21" i="11"/>
  <c r="E21" i="11"/>
  <c r="J25" i="11" s="1"/>
  <c r="T20" i="11"/>
  <c r="P20" i="11"/>
  <c r="E20" i="11"/>
  <c r="J22" i="11" s="1"/>
  <c r="T19" i="11"/>
  <c r="P19" i="11"/>
  <c r="E19" i="11"/>
  <c r="J19" i="11" s="1"/>
  <c r="T18" i="11"/>
  <c r="P18" i="11"/>
  <c r="P17" i="11"/>
  <c r="E17" i="11"/>
  <c r="J15" i="11" s="1"/>
  <c r="P16" i="11"/>
  <c r="E16" i="11"/>
  <c r="Z6" i="11" s="1"/>
  <c r="P15" i="11"/>
  <c r="E15" i="11"/>
  <c r="P14" i="11"/>
  <c r="E14" i="11"/>
  <c r="Z4" i="11" s="1"/>
  <c r="J13" i="11"/>
  <c r="J12" i="11"/>
  <c r="E12" i="11"/>
  <c r="J14" i="11" s="1"/>
  <c r="P11" i="11"/>
  <c r="E11" i="11"/>
  <c r="AA6" i="11" s="1"/>
  <c r="P10" i="11"/>
  <c r="E10" i="11"/>
  <c r="P9" i="11"/>
  <c r="J9" i="11"/>
  <c r="J8" i="11"/>
  <c r="AB7" i="11"/>
  <c r="AA7" i="11"/>
  <c r="P7" i="11"/>
  <c r="P6" i="11"/>
  <c r="E6" i="11"/>
  <c r="J10" i="11" s="1"/>
  <c r="AA5" i="11"/>
  <c r="Z5" i="11"/>
  <c r="P5" i="11"/>
  <c r="E5" i="11"/>
  <c r="AB5" i="11" s="1"/>
  <c r="P4" i="11"/>
  <c r="E4" i="11"/>
  <c r="AB4" i="11" s="1"/>
  <c r="R42" i="8"/>
  <c r="M42" i="8"/>
  <c r="V36" i="8"/>
  <c r="V35" i="8"/>
  <c r="V34" i="8"/>
  <c r="V33" i="8"/>
  <c r="S33" i="8"/>
  <c r="N33" i="8"/>
  <c r="I33" i="8"/>
  <c r="V32" i="8"/>
  <c r="S32" i="8"/>
  <c r="N32" i="8"/>
  <c r="I32" i="8"/>
  <c r="V31" i="8"/>
  <c r="S31" i="8"/>
  <c r="S35" i="8" s="1"/>
  <c r="AL8" i="8" s="1"/>
  <c r="N31" i="8"/>
  <c r="I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S5" i="8"/>
  <c r="R5" i="8"/>
  <c r="AC15" i="8" s="1"/>
  <c r="Q5" i="8"/>
  <c r="AC14" i="8" s="1"/>
  <c r="P5" i="8"/>
  <c r="AC13" i="8" s="1"/>
  <c r="O5" i="8"/>
  <c r="AC12" i="8" s="1"/>
  <c r="N5" i="8"/>
  <c r="M5" i="8"/>
  <c r="L5" i="8"/>
  <c r="K5" i="8"/>
  <c r="J5" i="8"/>
  <c r="I5" i="8"/>
  <c r="H5" i="8"/>
  <c r="G5" i="8"/>
  <c r="F5" i="8"/>
  <c r="E5" i="8"/>
  <c r="S4" i="8"/>
  <c r="R4" i="8"/>
  <c r="AD15" i="8" s="1"/>
  <c r="Q4" i="8"/>
  <c r="AD14" i="8" s="1"/>
  <c r="P4" i="8"/>
  <c r="AD13" i="8" s="1"/>
  <c r="O4" i="8"/>
  <c r="AD12" i="8" s="1"/>
  <c r="N4" i="8"/>
  <c r="M4" i="8"/>
  <c r="L4" i="8"/>
  <c r="K4" i="8"/>
  <c r="J4" i="8"/>
  <c r="I4" i="8"/>
  <c r="H4" i="8"/>
  <c r="G4" i="8"/>
  <c r="F4" i="8"/>
  <c r="E4" i="8"/>
  <c r="Z3" i="8"/>
  <c r="AF3" i="8" s="1"/>
  <c r="AL3" i="8" s="1"/>
  <c r="Y3" i="8"/>
  <c r="AE3" i="8" s="1"/>
  <c r="AK3" i="8" s="1"/>
  <c r="S3" i="8"/>
  <c r="Q3" i="8"/>
  <c r="AE14" i="8" s="1"/>
  <c r="P3" i="8"/>
  <c r="O3" i="8"/>
  <c r="AE12" i="8" s="1"/>
  <c r="N3" i="8"/>
  <c r="L3" i="8"/>
  <c r="K3" i="8"/>
  <c r="J3" i="8"/>
  <c r="I3" i="8"/>
  <c r="G3" i="8"/>
  <c r="F3" i="8"/>
  <c r="E3" i="8"/>
  <c r="G91" i="7"/>
  <c r="Q40" i="8" s="1"/>
  <c r="AC39" i="8" s="1"/>
  <c r="F91" i="7"/>
  <c r="L40" i="8" s="1"/>
  <c r="E91" i="7"/>
  <c r="G40" i="8" s="1"/>
  <c r="G90" i="7"/>
  <c r="P40" i="8" s="1"/>
  <c r="AC38" i="8" s="1"/>
  <c r="F90" i="7"/>
  <c r="K40" i="8" s="1"/>
  <c r="E90" i="7"/>
  <c r="F40" i="8" s="1"/>
  <c r="G89" i="7"/>
  <c r="O40" i="8" s="1"/>
  <c r="F89" i="7"/>
  <c r="J40" i="8" s="1"/>
  <c r="E89" i="7"/>
  <c r="E38" i="8" s="1"/>
  <c r="G86" i="7"/>
  <c r="Q39" i="8" s="1"/>
  <c r="AD39" i="8" s="1"/>
  <c r="F86" i="7"/>
  <c r="L39" i="8" s="1"/>
  <c r="E86" i="7"/>
  <c r="G39" i="8" s="1"/>
  <c r="G85" i="7"/>
  <c r="P39" i="8" s="1"/>
  <c r="AD38" i="8" s="1"/>
  <c r="F85" i="7"/>
  <c r="K39" i="8" s="1"/>
  <c r="E85" i="7"/>
  <c r="F39" i="8" s="1"/>
  <c r="G84" i="7"/>
  <c r="O39" i="8" s="1"/>
  <c r="AD37" i="8" s="1"/>
  <c r="F84" i="7"/>
  <c r="J39" i="8" s="1"/>
  <c r="E84" i="7"/>
  <c r="E39" i="8" s="1"/>
  <c r="G81" i="7"/>
  <c r="Q38" i="8" s="1"/>
  <c r="F81" i="7"/>
  <c r="L38" i="8" s="1"/>
  <c r="E81" i="7"/>
  <c r="G38" i="8" s="1"/>
  <c r="G80" i="7"/>
  <c r="P38" i="8" s="1"/>
  <c r="F80" i="7"/>
  <c r="K38" i="8" s="1"/>
  <c r="E80" i="7"/>
  <c r="F38" i="8" s="1"/>
  <c r="G79" i="7"/>
  <c r="O38" i="8" s="1"/>
  <c r="F79" i="7"/>
  <c r="J38" i="8" s="1"/>
  <c r="E79" i="7"/>
  <c r="G77" i="7"/>
  <c r="R33" i="8" s="1"/>
  <c r="AC35" i="8" s="1"/>
  <c r="F77" i="7"/>
  <c r="M33" i="8" s="1"/>
  <c r="E77" i="7"/>
  <c r="H33" i="8" s="1"/>
  <c r="G76" i="7"/>
  <c r="Q33" i="8" s="1"/>
  <c r="AC34" i="8" s="1"/>
  <c r="F76" i="7"/>
  <c r="L33" i="8" s="1"/>
  <c r="E76" i="7"/>
  <c r="G33" i="8" s="1"/>
  <c r="G75" i="7"/>
  <c r="P33" i="8" s="1"/>
  <c r="AC33" i="8" s="1"/>
  <c r="F75" i="7"/>
  <c r="K33" i="8" s="1"/>
  <c r="E75" i="7"/>
  <c r="F33" i="8" s="1"/>
  <c r="G74" i="7"/>
  <c r="O33" i="8" s="1"/>
  <c r="AC32" i="8" s="1"/>
  <c r="F74" i="7"/>
  <c r="J33" i="8" s="1"/>
  <c r="G72" i="7"/>
  <c r="R32" i="8" s="1"/>
  <c r="AD35" i="8" s="1"/>
  <c r="F72" i="7"/>
  <c r="M32" i="8" s="1"/>
  <c r="E72" i="7"/>
  <c r="H32" i="8" s="1"/>
  <c r="G71" i="7"/>
  <c r="Q32" i="8" s="1"/>
  <c r="AD34" i="8" s="1"/>
  <c r="F71" i="7"/>
  <c r="L32" i="8" s="1"/>
  <c r="E71" i="7"/>
  <c r="G32" i="8" s="1"/>
  <c r="G70" i="7"/>
  <c r="P32" i="8" s="1"/>
  <c r="AD33" i="8" s="1"/>
  <c r="F70" i="7"/>
  <c r="K32" i="8" s="1"/>
  <c r="E70" i="7"/>
  <c r="F32" i="8" s="1"/>
  <c r="G69" i="7"/>
  <c r="O32" i="8" s="1"/>
  <c r="AD32" i="8" s="1"/>
  <c r="F69" i="7"/>
  <c r="J32" i="8" s="1"/>
  <c r="E69" i="7"/>
  <c r="E32" i="8" s="1"/>
  <c r="G67" i="7"/>
  <c r="R31" i="8" s="1"/>
  <c r="F67" i="7"/>
  <c r="M31" i="8" s="1"/>
  <c r="E67" i="7"/>
  <c r="H31" i="8" s="1"/>
  <c r="G66" i="7"/>
  <c r="Q31" i="8" s="1"/>
  <c r="AE34" i="8" s="1"/>
  <c r="F66" i="7"/>
  <c r="L31" i="8" s="1"/>
  <c r="E66" i="7"/>
  <c r="G31" i="8" s="1"/>
  <c r="G65" i="7"/>
  <c r="P31" i="8" s="1"/>
  <c r="F65" i="7"/>
  <c r="K31" i="8" s="1"/>
  <c r="E65" i="7"/>
  <c r="F31" i="8" s="1"/>
  <c r="G64" i="7"/>
  <c r="O31" i="8" s="1"/>
  <c r="F64" i="7"/>
  <c r="J31" i="8" s="1"/>
  <c r="E64" i="7"/>
  <c r="E31" i="8" s="1"/>
  <c r="G62" i="7"/>
  <c r="R26" i="8" s="1"/>
  <c r="AC30" i="8" s="1"/>
  <c r="F62" i="7"/>
  <c r="M26" i="8" s="1"/>
  <c r="E62" i="7"/>
  <c r="H26" i="8" s="1"/>
  <c r="G61" i="7"/>
  <c r="Q26" i="8" s="1"/>
  <c r="AC29" i="8" s="1"/>
  <c r="F61" i="7"/>
  <c r="L26" i="8" s="1"/>
  <c r="E61" i="7"/>
  <c r="G26" i="8" s="1"/>
  <c r="G60" i="7"/>
  <c r="P26" i="8" s="1"/>
  <c r="AC28" i="8" s="1"/>
  <c r="F60" i="7"/>
  <c r="K26" i="8" s="1"/>
  <c r="E60" i="7"/>
  <c r="F26" i="8" s="1"/>
  <c r="G59" i="7"/>
  <c r="O26" i="8" s="1"/>
  <c r="AC27" i="8" s="1"/>
  <c r="F59" i="7"/>
  <c r="J26" i="8" s="1"/>
  <c r="E59" i="7"/>
  <c r="E26" i="8" s="1"/>
  <c r="G57" i="7"/>
  <c r="R25" i="8" s="1"/>
  <c r="AD30" i="8" s="1"/>
  <c r="F57" i="7"/>
  <c r="M25" i="8" s="1"/>
  <c r="E57" i="7"/>
  <c r="H25" i="8" s="1"/>
  <c r="G56" i="7"/>
  <c r="Q25" i="8" s="1"/>
  <c r="AD29" i="8" s="1"/>
  <c r="F56" i="7"/>
  <c r="L25" i="8" s="1"/>
  <c r="E56" i="7"/>
  <c r="G25" i="8" s="1"/>
  <c r="G55" i="7"/>
  <c r="P25" i="8" s="1"/>
  <c r="AD28" i="8" s="1"/>
  <c r="F55" i="7"/>
  <c r="K25" i="8" s="1"/>
  <c r="E55" i="7"/>
  <c r="F25" i="8" s="1"/>
  <c r="G54" i="7"/>
  <c r="O25" i="8" s="1"/>
  <c r="AD27" i="8" s="1"/>
  <c r="F54" i="7"/>
  <c r="J25" i="8" s="1"/>
  <c r="E54" i="7"/>
  <c r="E25" i="8" s="1"/>
  <c r="G52" i="7"/>
  <c r="R24" i="8" s="1"/>
  <c r="AE30" i="8" s="1"/>
  <c r="F52" i="7"/>
  <c r="M24" i="8" s="1"/>
  <c r="M28" i="8" s="1"/>
  <c r="AE7" i="8" s="1"/>
  <c r="Y30" i="8" s="1"/>
  <c r="E52" i="7"/>
  <c r="H24" i="8" s="1"/>
  <c r="G51" i="7"/>
  <c r="Q24" i="8" s="1"/>
  <c r="F51" i="7"/>
  <c r="L24" i="8" s="1"/>
  <c r="E51" i="7"/>
  <c r="G24" i="8" s="1"/>
  <c r="G28" i="8" s="1"/>
  <c r="Y6" i="8" s="1"/>
  <c r="X29" i="8" s="1"/>
  <c r="G50" i="7"/>
  <c r="P24" i="8" s="1"/>
  <c r="F50" i="7"/>
  <c r="K24" i="8" s="1"/>
  <c r="E50" i="7"/>
  <c r="F24" i="8" s="1"/>
  <c r="G49" i="7"/>
  <c r="O24" i="8" s="1"/>
  <c r="F49" i="7"/>
  <c r="J24" i="8" s="1"/>
  <c r="J28" i="8" s="1"/>
  <c r="AE4" i="8" s="1"/>
  <c r="Y27" i="8" s="1"/>
  <c r="E49" i="7"/>
  <c r="E24" i="8" s="1"/>
  <c r="E28" i="8" s="1"/>
  <c r="Y4" i="8" s="1"/>
  <c r="X27" i="8" s="1"/>
  <c r="G48" i="7"/>
  <c r="S19" i="8" s="1"/>
  <c r="AC26" i="8" s="1"/>
  <c r="F48" i="7"/>
  <c r="N19" i="8" s="1"/>
  <c r="E48" i="7"/>
  <c r="I19" i="8" s="1"/>
  <c r="G47" i="7"/>
  <c r="R19" i="8" s="1"/>
  <c r="AC25" i="8" s="1"/>
  <c r="F47" i="7"/>
  <c r="M19" i="8" s="1"/>
  <c r="E47" i="7"/>
  <c r="H19" i="8" s="1"/>
  <c r="G46" i="7"/>
  <c r="Q19" i="8" s="1"/>
  <c r="AC24" i="8" s="1"/>
  <c r="F46" i="7"/>
  <c r="L19" i="8" s="1"/>
  <c r="E46" i="7"/>
  <c r="G19" i="8" s="1"/>
  <c r="G45" i="7"/>
  <c r="P19" i="8" s="1"/>
  <c r="AC23" i="8" s="1"/>
  <c r="F45" i="7"/>
  <c r="K19" i="8" s="1"/>
  <c r="E45" i="7"/>
  <c r="F19" i="8" s="1"/>
  <c r="G44" i="7"/>
  <c r="O19" i="8" s="1"/>
  <c r="AC22" i="8" s="1"/>
  <c r="F44" i="7"/>
  <c r="J19" i="8" s="1"/>
  <c r="E44" i="7"/>
  <c r="E19" i="8" s="1"/>
  <c r="G43" i="7"/>
  <c r="S18" i="8" s="1"/>
  <c r="AD26" i="8" s="1"/>
  <c r="F43" i="7"/>
  <c r="N18" i="8" s="1"/>
  <c r="E43" i="7"/>
  <c r="I18" i="8" s="1"/>
  <c r="G42" i="7"/>
  <c r="R18" i="8" s="1"/>
  <c r="AD25" i="8" s="1"/>
  <c r="F42" i="7"/>
  <c r="M18" i="8" s="1"/>
  <c r="E42" i="7"/>
  <c r="H18" i="8" s="1"/>
  <c r="G41" i="7"/>
  <c r="Q18" i="8" s="1"/>
  <c r="AD24" i="8" s="1"/>
  <c r="F41" i="7"/>
  <c r="L18" i="8" s="1"/>
  <c r="E41" i="7"/>
  <c r="G18" i="8" s="1"/>
  <c r="G40" i="7"/>
  <c r="P18" i="8" s="1"/>
  <c r="AD23" i="8" s="1"/>
  <c r="F40" i="7"/>
  <c r="K18" i="8" s="1"/>
  <c r="E40" i="7"/>
  <c r="F18" i="8" s="1"/>
  <c r="G39" i="7"/>
  <c r="O18" i="8" s="1"/>
  <c r="AD22" i="8" s="1"/>
  <c r="F39" i="7"/>
  <c r="J18" i="8" s="1"/>
  <c r="E39" i="7"/>
  <c r="E18" i="8" s="1"/>
  <c r="G38" i="7"/>
  <c r="S17" i="8" s="1"/>
  <c r="F38" i="7"/>
  <c r="N17" i="8" s="1"/>
  <c r="E38" i="7"/>
  <c r="I17" i="8" s="1"/>
  <c r="G37" i="7"/>
  <c r="R17" i="8" s="1"/>
  <c r="F37" i="7"/>
  <c r="M17" i="8" s="1"/>
  <c r="E37" i="7"/>
  <c r="H17" i="8" s="1"/>
  <c r="G36" i="7"/>
  <c r="F36" i="7"/>
  <c r="L17" i="8" s="1"/>
  <c r="E36" i="7"/>
  <c r="G35" i="7"/>
  <c r="P17" i="8" s="1"/>
  <c r="F35" i="7"/>
  <c r="K17" i="8" s="1"/>
  <c r="E35" i="7"/>
  <c r="F17" i="8" s="1"/>
  <c r="G34" i="7"/>
  <c r="O17" i="8" s="1"/>
  <c r="F34" i="7"/>
  <c r="J17" i="8" s="1"/>
  <c r="E34" i="7"/>
  <c r="E17" i="8" s="1"/>
  <c r="G33" i="7"/>
  <c r="F33" i="7"/>
  <c r="N26" i="8" s="1"/>
  <c r="E33" i="7"/>
  <c r="I26" i="8" s="1"/>
  <c r="G32" i="7"/>
  <c r="R12" i="8" s="1"/>
  <c r="F32" i="7"/>
  <c r="M12" i="8" s="1"/>
  <c r="E32" i="7"/>
  <c r="H12" i="8" s="1"/>
  <c r="G31" i="7"/>
  <c r="Q12" i="8" s="1"/>
  <c r="AC19" i="8" s="1"/>
  <c r="F31" i="7"/>
  <c r="L12" i="8" s="1"/>
  <c r="E31" i="7"/>
  <c r="G12" i="8" s="1"/>
  <c r="G30" i="7"/>
  <c r="P12" i="8" s="1"/>
  <c r="AC18" i="8" s="1"/>
  <c r="F30" i="7"/>
  <c r="K12" i="8" s="1"/>
  <c r="E30" i="7"/>
  <c r="F12" i="8" s="1"/>
  <c r="G29" i="7"/>
  <c r="O12" i="8" s="1"/>
  <c r="AC17" i="8" s="1"/>
  <c r="F29" i="7"/>
  <c r="J12" i="8" s="1"/>
  <c r="E29" i="7"/>
  <c r="E12" i="8" s="1"/>
  <c r="G28" i="7"/>
  <c r="S25" i="8" s="1"/>
  <c r="F28" i="7"/>
  <c r="E28" i="7"/>
  <c r="I25" i="8" s="1"/>
  <c r="G27" i="7"/>
  <c r="R11" i="8" s="1"/>
  <c r="F27" i="7"/>
  <c r="M11" i="8" s="1"/>
  <c r="E27" i="7"/>
  <c r="H11" i="8" s="1"/>
  <c r="G26" i="7"/>
  <c r="Q11" i="8" s="1"/>
  <c r="AD19" i="8" s="1"/>
  <c r="F26" i="7"/>
  <c r="L11" i="8" s="1"/>
  <c r="E26" i="7"/>
  <c r="G11" i="8" s="1"/>
  <c r="G25" i="7"/>
  <c r="P11" i="8" s="1"/>
  <c r="AD18" i="8" s="1"/>
  <c r="F25" i="7"/>
  <c r="K11" i="8" s="1"/>
  <c r="E25" i="7"/>
  <c r="F11" i="8" s="1"/>
  <c r="G24" i="7"/>
  <c r="O11" i="8" s="1"/>
  <c r="AD17" i="8" s="1"/>
  <c r="F24" i="7"/>
  <c r="J11" i="8" s="1"/>
  <c r="E24" i="7"/>
  <c r="E11" i="8" s="1"/>
  <c r="G23" i="7"/>
  <c r="S24" i="8" s="1"/>
  <c r="F23" i="7"/>
  <c r="N24" i="8" s="1"/>
  <c r="E23" i="7"/>
  <c r="G22" i="7"/>
  <c r="R10" i="8" s="1"/>
  <c r="F22" i="7"/>
  <c r="M10" i="8" s="1"/>
  <c r="G21" i="7"/>
  <c r="Q10" i="8" s="1"/>
  <c r="AE19" i="8" s="1"/>
  <c r="F21" i="7"/>
  <c r="L10" i="8" s="1"/>
  <c r="E21" i="7"/>
  <c r="G10" i="8" s="1"/>
  <c r="G20" i="7"/>
  <c r="P10" i="8" s="1"/>
  <c r="F20" i="7"/>
  <c r="K10" i="8" s="1"/>
  <c r="E20" i="7"/>
  <c r="F10" i="8" s="1"/>
  <c r="G19" i="7"/>
  <c r="O10" i="8" s="1"/>
  <c r="F19" i="7"/>
  <c r="J10" i="8" s="1"/>
  <c r="E19" i="7"/>
  <c r="G17" i="7"/>
  <c r="F17" i="7"/>
  <c r="E17" i="7"/>
  <c r="G16" i="7"/>
  <c r="F16" i="7"/>
  <c r="E16" i="7"/>
  <c r="G15" i="7"/>
  <c r="F15" i="7"/>
  <c r="E15" i="7"/>
  <c r="G14" i="7"/>
  <c r="F14" i="7"/>
  <c r="E14" i="7"/>
  <c r="G12" i="7"/>
  <c r="F12" i="7"/>
  <c r="E12" i="7"/>
  <c r="G11" i="7"/>
  <c r="F11" i="7"/>
  <c r="E11" i="7"/>
  <c r="G10" i="7"/>
  <c r="F10" i="7"/>
  <c r="E10" i="7"/>
  <c r="G9" i="7"/>
  <c r="F9" i="7"/>
  <c r="E9" i="7"/>
  <c r="G6" i="7"/>
  <c r="F6" i="7"/>
  <c r="E6" i="7"/>
  <c r="G5" i="7"/>
  <c r="F5" i="7"/>
  <c r="E5" i="7"/>
  <c r="G4" i="7"/>
  <c r="F4" i="7"/>
  <c r="E4" i="7"/>
  <c r="T72" i="5"/>
  <c r="R72" i="5"/>
  <c r="Q72" i="5"/>
  <c r="O72" i="5"/>
  <c r="M72" i="5"/>
  <c r="L72" i="5"/>
  <c r="J72" i="5"/>
  <c r="H72" i="5"/>
  <c r="G72" i="5"/>
  <c r="D72" i="5"/>
  <c r="C72" i="5"/>
  <c r="B72" i="5"/>
  <c r="A72" i="5"/>
  <c r="T71" i="5"/>
  <c r="R71" i="5"/>
  <c r="Q71" i="5"/>
  <c r="O71" i="5"/>
  <c r="M71" i="5"/>
  <c r="L71" i="5"/>
  <c r="J71" i="5"/>
  <c r="H71" i="5"/>
  <c r="G71" i="5"/>
  <c r="D71" i="5"/>
  <c r="C71" i="5"/>
  <c r="B71" i="5"/>
  <c r="A71" i="5"/>
  <c r="T70" i="5"/>
  <c r="R70" i="5"/>
  <c r="Q70" i="5"/>
  <c r="O70" i="5"/>
  <c r="M70" i="5"/>
  <c r="L70" i="5"/>
  <c r="J70" i="5"/>
  <c r="H70" i="5"/>
  <c r="G70" i="5"/>
  <c r="D70" i="5"/>
  <c r="C70" i="5"/>
  <c r="B70" i="5"/>
  <c r="A70" i="5"/>
  <c r="T69" i="5"/>
  <c r="R69" i="5"/>
  <c r="Q69" i="5"/>
  <c r="O69" i="5"/>
  <c r="M69" i="5"/>
  <c r="L69" i="5"/>
  <c r="J69" i="5"/>
  <c r="H69" i="5"/>
  <c r="G69" i="5"/>
  <c r="D69" i="5"/>
  <c r="C69" i="5"/>
  <c r="B69" i="5"/>
  <c r="A69" i="5"/>
  <c r="T68" i="5"/>
  <c r="R68" i="5"/>
  <c r="Q68" i="5"/>
  <c r="O68" i="5"/>
  <c r="M68" i="5"/>
  <c r="L68" i="5"/>
  <c r="J68" i="5"/>
  <c r="H68" i="5"/>
  <c r="G68" i="5"/>
  <c r="D68" i="5"/>
  <c r="C68" i="5"/>
  <c r="B68" i="5"/>
  <c r="A68" i="5"/>
  <c r="T67" i="5"/>
  <c r="R67" i="5"/>
  <c r="Q67" i="5"/>
  <c r="O67" i="5"/>
  <c r="M67" i="5"/>
  <c r="L67" i="5"/>
  <c r="J67" i="5"/>
  <c r="H67" i="5"/>
  <c r="G67" i="5"/>
  <c r="D67" i="5"/>
  <c r="C67" i="5"/>
  <c r="B67" i="5"/>
  <c r="A67" i="5"/>
  <c r="T66" i="5"/>
  <c r="R66" i="5"/>
  <c r="Q66" i="5"/>
  <c r="O66" i="5"/>
  <c r="M66" i="5"/>
  <c r="L66" i="5"/>
  <c r="J66" i="5"/>
  <c r="H66" i="5"/>
  <c r="G66" i="5"/>
  <c r="D66" i="5"/>
  <c r="C66" i="5"/>
  <c r="B66" i="5"/>
  <c r="A66" i="5"/>
  <c r="T65" i="5"/>
  <c r="R65" i="5"/>
  <c r="Q65" i="5"/>
  <c r="O65" i="5"/>
  <c r="M65" i="5"/>
  <c r="L65" i="5"/>
  <c r="J65" i="5"/>
  <c r="H65" i="5"/>
  <c r="G65" i="5"/>
  <c r="D65" i="5"/>
  <c r="C65" i="5"/>
  <c r="B65" i="5"/>
  <c r="A65" i="5"/>
  <c r="T64" i="5"/>
  <c r="R64" i="5"/>
  <c r="Q64" i="5"/>
  <c r="O64" i="5"/>
  <c r="M64" i="5"/>
  <c r="L64" i="5"/>
  <c r="J64" i="5"/>
  <c r="H64" i="5"/>
  <c r="G64" i="5"/>
  <c r="D64" i="5"/>
  <c r="C64" i="5"/>
  <c r="B64" i="5"/>
  <c r="A64" i="5"/>
  <c r="T63" i="5"/>
  <c r="R63" i="5"/>
  <c r="Q63" i="5"/>
  <c r="O63" i="5"/>
  <c r="M63" i="5"/>
  <c r="L63" i="5"/>
  <c r="J63" i="5"/>
  <c r="H63" i="5"/>
  <c r="G63" i="5"/>
  <c r="D63" i="5"/>
  <c r="C63" i="5"/>
  <c r="B63" i="5"/>
  <c r="A63" i="5"/>
  <c r="T62" i="5"/>
  <c r="R62" i="5"/>
  <c r="Q62" i="5"/>
  <c r="O62" i="5"/>
  <c r="M62" i="5"/>
  <c r="L62" i="5"/>
  <c r="J62" i="5"/>
  <c r="H62" i="5"/>
  <c r="G62" i="5"/>
  <c r="D62" i="5"/>
  <c r="C62" i="5"/>
  <c r="B62" i="5"/>
  <c r="A62" i="5"/>
  <c r="T61" i="5"/>
  <c r="R61" i="5"/>
  <c r="Q61" i="5"/>
  <c r="O61" i="5"/>
  <c r="M61" i="5"/>
  <c r="L61" i="5"/>
  <c r="J61" i="5"/>
  <c r="H61" i="5"/>
  <c r="G61" i="5"/>
  <c r="D61" i="5"/>
  <c r="C61" i="5"/>
  <c r="B61" i="5"/>
  <c r="A61" i="5"/>
  <c r="S56" i="5"/>
  <c r="N56" i="5"/>
  <c r="I56" i="5"/>
  <c r="C56" i="5"/>
  <c r="S55" i="5"/>
  <c r="N55" i="5"/>
  <c r="I55" i="5"/>
  <c r="C55" i="5"/>
  <c r="S54" i="5"/>
  <c r="N54" i="5"/>
  <c r="I54" i="5"/>
  <c r="C54" i="5"/>
  <c r="T52" i="5"/>
  <c r="S52" i="5"/>
  <c r="O52" i="5"/>
  <c r="N52" i="5"/>
  <c r="J52" i="5"/>
  <c r="I52" i="5"/>
  <c r="D52" i="5"/>
  <c r="C52" i="5"/>
  <c r="U47" i="5"/>
  <c r="S47" i="5"/>
  <c r="R47" i="5"/>
  <c r="U46" i="5"/>
  <c r="S46" i="5"/>
  <c r="R46" i="5"/>
  <c r="O46" i="5"/>
  <c r="M46" i="5"/>
  <c r="L46" i="5"/>
  <c r="U45" i="5"/>
  <c r="S45" i="5"/>
  <c r="R45" i="5"/>
  <c r="O45" i="5"/>
  <c r="M45" i="5"/>
  <c r="L45" i="5"/>
  <c r="J45" i="5"/>
  <c r="H45" i="5"/>
  <c r="G45" i="5"/>
  <c r="D45" i="5"/>
  <c r="C45" i="5"/>
  <c r="B45" i="5"/>
  <c r="A45" i="5"/>
  <c r="U44" i="5"/>
  <c r="S44" i="5"/>
  <c r="R44" i="5"/>
  <c r="O44" i="5"/>
  <c r="M44" i="5"/>
  <c r="L44" i="5"/>
  <c r="J44" i="5"/>
  <c r="H44" i="5"/>
  <c r="G44" i="5"/>
  <c r="D44" i="5"/>
  <c r="C44" i="5"/>
  <c r="B44" i="5"/>
  <c r="A44" i="5"/>
  <c r="U43" i="5"/>
  <c r="S43" i="5"/>
  <c r="R43" i="5"/>
  <c r="O43" i="5"/>
  <c r="M43" i="5"/>
  <c r="L43" i="5"/>
  <c r="J43" i="5"/>
  <c r="H43" i="5"/>
  <c r="G43" i="5"/>
  <c r="D43" i="5"/>
  <c r="C43" i="5"/>
  <c r="B43" i="5"/>
  <c r="A43" i="5"/>
  <c r="U42" i="5"/>
  <c r="S42" i="5"/>
  <c r="R42" i="5"/>
  <c r="O42" i="5"/>
  <c r="M42" i="5"/>
  <c r="L42" i="5"/>
  <c r="J42" i="5"/>
  <c r="H42" i="5"/>
  <c r="G42" i="5"/>
  <c r="D42" i="5"/>
  <c r="C42" i="5"/>
  <c r="B42" i="5"/>
  <c r="A42" i="5"/>
  <c r="U41" i="5"/>
  <c r="S41" i="5"/>
  <c r="R41" i="5"/>
  <c r="O41" i="5"/>
  <c r="M41" i="5"/>
  <c r="L41" i="5"/>
  <c r="J41" i="5"/>
  <c r="H41" i="5"/>
  <c r="G41" i="5"/>
  <c r="D41" i="5"/>
  <c r="C41" i="5"/>
  <c r="B41" i="5"/>
  <c r="A41" i="5"/>
  <c r="U40" i="5"/>
  <c r="S40" i="5"/>
  <c r="R40" i="5"/>
  <c r="O40" i="5"/>
  <c r="M40" i="5"/>
  <c r="L40" i="5"/>
  <c r="J40" i="5"/>
  <c r="H40" i="5"/>
  <c r="G40" i="5"/>
  <c r="D40" i="5"/>
  <c r="C40" i="5"/>
  <c r="B40" i="5"/>
  <c r="A40" i="5"/>
  <c r="U39" i="5"/>
  <c r="S39" i="5"/>
  <c r="R39" i="5"/>
  <c r="O39" i="5"/>
  <c r="M39" i="5"/>
  <c r="L39" i="5"/>
  <c r="J39" i="5"/>
  <c r="H39" i="5"/>
  <c r="G39" i="5"/>
  <c r="D39" i="5"/>
  <c r="C39" i="5"/>
  <c r="B39" i="5"/>
  <c r="A39" i="5"/>
  <c r="U38" i="5"/>
  <c r="S38" i="5"/>
  <c r="R38" i="5"/>
  <c r="O38" i="5"/>
  <c r="M38" i="5"/>
  <c r="L38" i="5"/>
  <c r="J38" i="5"/>
  <c r="H38" i="5"/>
  <c r="G38" i="5"/>
  <c r="D38" i="5"/>
  <c r="C38" i="5"/>
  <c r="B38" i="5"/>
  <c r="A38" i="5"/>
  <c r="U37" i="5"/>
  <c r="S37" i="5"/>
  <c r="R37" i="5"/>
  <c r="O37" i="5"/>
  <c r="M37" i="5"/>
  <c r="L37" i="5"/>
  <c r="J37" i="5"/>
  <c r="H37" i="5"/>
  <c r="G37" i="5"/>
  <c r="D37" i="5"/>
  <c r="C37" i="5"/>
  <c r="B37" i="5"/>
  <c r="A37" i="5"/>
  <c r="T32" i="5"/>
  <c r="N32" i="5"/>
  <c r="I32" i="5"/>
  <c r="C32" i="5"/>
  <c r="T31" i="5"/>
  <c r="N31" i="5"/>
  <c r="I31" i="5"/>
  <c r="C31" i="5"/>
  <c r="T30" i="5"/>
  <c r="N30" i="5"/>
  <c r="I30" i="5"/>
  <c r="C30" i="5"/>
  <c r="U28" i="5"/>
  <c r="T28" i="5"/>
  <c r="O28" i="5"/>
  <c r="N28" i="5"/>
  <c r="J28" i="5"/>
  <c r="I28" i="5"/>
  <c r="D28" i="5"/>
  <c r="C28" i="5"/>
  <c r="P24" i="5"/>
  <c r="N24" i="5"/>
  <c r="M24" i="5"/>
  <c r="P23" i="5"/>
  <c r="N23" i="5"/>
  <c r="M23" i="5"/>
  <c r="P22" i="5"/>
  <c r="N22" i="5"/>
  <c r="M22" i="5"/>
  <c r="J22" i="5"/>
  <c r="H22" i="5"/>
  <c r="G22" i="5"/>
  <c r="D22" i="5"/>
  <c r="C22" i="5"/>
  <c r="B22" i="5"/>
  <c r="A22" i="5"/>
  <c r="P21" i="5"/>
  <c r="N21" i="5"/>
  <c r="M21" i="5"/>
  <c r="J21" i="5"/>
  <c r="H21" i="5"/>
  <c r="G21" i="5"/>
  <c r="D21" i="5"/>
  <c r="C21" i="5"/>
  <c r="B21" i="5"/>
  <c r="A21" i="5"/>
  <c r="P20" i="5"/>
  <c r="N20" i="5"/>
  <c r="M20" i="5"/>
  <c r="J20" i="5"/>
  <c r="H20" i="5"/>
  <c r="G20" i="5"/>
  <c r="D20" i="5"/>
  <c r="C20" i="5"/>
  <c r="B20" i="5"/>
  <c r="A20" i="5"/>
  <c r="P19" i="5"/>
  <c r="N19" i="5"/>
  <c r="M19" i="5"/>
  <c r="J19" i="5"/>
  <c r="H19" i="5"/>
  <c r="G19" i="5"/>
  <c r="D19" i="5"/>
  <c r="C19" i="5"/>
  <c r="B19" i="5"/>
  <c r="A19" i="5"/>
  <c r="P18" i="5"/>
  <c r="N18" i="5"/>
  <c r="M18" i="5"/>
  <c r="J18" i="5"/>
  <c r="H18" i="5"/>
  <c r="G18" i="5"/>
  <c r="D18" i="5"/>
  <c r="C18" i="5"/>
  <c r="B18" i="5"/>
  <c r="A18" i="5"/>
  <c r="P17" i="5"/>
  <c r="N17" i="5"/>
  <c r="M17" i="5"/>
  <c r="J17" i="5"/>
  <c r="H17" i="5"/>
  <c r="G17" i="5"/>
  <c r="D17" i="5"/>
  <c r="C17" i="5"/>
  <c r="B17" i="5"/>
  <c r="A17" i="5"/>
  <c r="P16" i="5"/>
  <c r="N16" i="5"/>
  <c r="M16" i="5"/>
  <c r="J16" i="5"/>
  <c r="H16" i="5"/>
  <c r="G16" i="5"/>
  <c r="D16" i="5"/>
  <c r="C16" i="5"/>
  <c r="B16" i="5"/>
  <c r="A16" i="5"/>
  <c r="P15" i="5"/>
  <c r="N15" i="5"/>
  <c r="M15" i="5"/>
  <c r="J15" i="5"/>
  <c r="H15" i="5"/>
  <c r="G15" i="5"/>
  <c r="D15" i="5"/>
  <c r="C15" i="5"/>
  <c r="B15" i="5"/>
  <c r="A15" i="5"/>
  <c r="P14" i="5"/>
  <c r="N14" i="5"/>
  <c r="M14" i="5"/>
  <c r="D14" i="5"/>
  <c r="C14" i="5"/>
  <c r="B14" i="5"/>
  <c r="A14" i="5"/>
  <c r="P13" i="5"/>
  <c r="N13" i="5"/>
  <c r="M13" i="5"/>
  <c r="D13" i="5"/>
  <c r="C13" i="5"/>
  <c r="B13" i="5"/>
  <c r="A13" i="5"/>
  <c r="O9" i="5"/>
  <c r="I9" i="5"/>
  <c r="C9" i="5"/>
  <c r="O8" i="5"/>
  <c r="I8" i="5"/>
  <c r="C8" i="5"/>
  <c r="O7" i="5"/>
  <c r="I7" i="5"/>
  <c r="C7" i="5"/>
  <c r="P5" i="5"/>
  <c r="O5" i="5"/>
  <c r="J5" i="5"/>
  <c r="I5" i="5"/>
  <c r="D5" i="5"/>
  <c r="C5" i="5"/>
  <c r="Q74" i="10"/>
  <c r="P74" i="10"/>
  <c r="O74" i="10"/>
  <c r="Q73" i="10"/>
  <c r="P73" i="10"/>
  <c r="O73" i="10"/>
  <c r="M73" i="10"/>
  <c r="L73" i="10"/>
  <c r="K73" i="10"/>
  <c r="H73" i="10"/>
  <c r="G73" i="10"/>
  <c r="F73" i="10"/>
  <c r="C73" i="10"/>
  <c r="B73" i="10"/>
  <c r="A73" i="10"/>
  <c r="Q72" i="10"/>
  <c r="P72" i="10"/>
  <c r="O72" i="10"/>
  <c r="M72" i="10"/>
  <c r="L72" i="10"/>
  <c r="K72" i="10"/>
  <c r="H72" i="10"/>
  <c r="G72" i="10"/>
  <c r="F72" i="10"/>
  <c r="C72" i="10"/>
  <c r="B72" i="10"/>
  <c r="A72" i="10"/>
  <c r="Q71" i="10"/>
  <c r="P71" i="10"/>
  <c r="O71" i="10"/>
  <c r="M71" i="10"/>
  <c r="L71" i="10"/>
  <c r="K71" i="10"/>
  <c r="H71" i="10"/>
  <c r="G71" i="10"/>
  <c r="F71" i="10"/>
  <c r="C71" i="10"/>
  <c r="B71" i="10"/>
  <c r="A71" i="10"/>
  <c r="Q70" i="10"/>
  <c r="P70" i="10"/>
  <c r="O70" i="10"/>
  <c r="M70" i="10"/>
  <c r="L70" i="10"/>
  <c r="K70" i="10"/>
  <c r="H70" i="10"/>
  <c r="G70" i="10"/>
  <c r="F70" i="10"/>
  <c r="C70" i="10"/>
  <c r="B70" i="10"/>
  <c r="A70" i="10"/>
  <c r="Q69" i="10"/>
  <c r="P69" i="10"/>
  <c r="O69" i="10"/>
  <c r="M69" i="10"/>
  <c r="L69" i="10"/>
  <c r="K69" i="10"/>
  <c r="H69" i="10"/>
  <c r="G69" i="10"/>
  <c r="F69" i="10"/>
  <c r="C69" i="10"/>
  <c r="B69" i="10"/>
  <c r="A69" i="10"/>
  <c r="Q68" i="10"/>
  <c r="P68" i="10"/>
  <c r="O68" i="10"/>
  <c r="M68" i="10"/>
  <c r="L68" i="10"/>
  <c r="K68" i="10"/>
  <c r="H68" i="10"/>
  <c r="G68" i="10"/>
  <c r="F68" i="10"/>
  <c r="C68" i="10"/>
  <c r="B68" i="10"/>
  <c r="A68" i="10"/>
  <c r="Q67" i="10"/>
  <c r="P67" i="10"/>
  <c r="O67" i="10"/>
  <c r="M67" i="10"/>
  <c r="L67" i="10"/>
  <c r="K67" i="10"/>
  <c r="H67" i="10"/>
  <c r="G67" i="10"/>
  <c r="F67" i="10"/>
  <c r="C67" i="10"/>
  <c r="B67" i="10"/>
  <c r="A67" i="10"/>
  <c r="Q66" i="10"/>
  <c r="P66" i="10"/>
  <c r="O66" i="10"/>
  <c r="M66" i="10"/>
  <c r="L66" i="10"/>
  <c r="K66" i="10"/>
  <c r="H66" i="10"/>
  <c r="G66" i="10"/>
  <c r="F66" i="10"/>
  <c r="C66" i="10"/>
  <c r="B66" i="10"/>
  <c r="A66" i="10"/>
  <c r="Q65" i="10"/>
  <c r="P65" i="10"/>
  <c r="O65" i="10"/>
  <c r="M65" i="10"/>
  <c r="L65" i="10"/>
  <c r="K65" i="10"/>
  <c r="H65" i="10"/>
  <c r="G65" i="10"/>
  <c r="F65" i="10"/>
  <c r="C65" i="10"/>
  <c r="B65" i="10"/>
  <c r="A65" i="10"/>
  <c r="Q64" i="10"/>
  <c r="P64" i="10"/>
  <c r="O64" i="10"/>
  <c r="M64" i="10"/>
  <c r="L64" i="10"/>
  <c r="K64" i="10"/>
  <c r="H64" i="10"/>
  <c r="G64" i="10"/>
  <c r="F64" i="10"/>
  <c r="C64" i="10"/>
  <c r="B64" i="10"/>
  <c r="A64" i="10"/>
  <c r="Q63" i="10"/>
  <c r="P63" i="10"/>
  <c r="O63" i="10"/>
  <c r="M63" i="10"/>
  <c r="L63" i="10"/>
  <c r="K63" i="10"/>
  <c r="H63" i="10"/>
  <c r="G63" i="10"/>
  <c r="F63" i="10"/>
  <c r="C63" i="10"/>
  <c r="B63" i="10"/>
  <c r="A63" i="10"/>
  <c r="P62" i="10"/>
  <c r="O62" i="10"/>
  <c r="M62" i="10"/>
  <c r="L62" i="10"/>
  <c r="K62" i="10"/>
  <c r="H62" i="10"/>
  <c r="G62" i="10"/>
  <c r="F62" i="10"/>
  <c r="C62" i="10"/>
  <c r="B62" i="10"/>
  <c r="A62" i="10"/>
  <c r="M58" i="10"/>
  <c r="H58" i="10"/>
  <c r="C58" i="10"/>
  <c r="Q54" i="10"/>
  <c r="M54" i="10"/>
  <c r="H54" i="10"/>
  <c r="C54" i="10"/>
  <c r="Q47" i="10"/>
  <c r="P47" i="10"/>
  <c r="O47" i="10"/>
  <c r="H47" i="10"/>
  <c r="G47" i="10"/>
  <c r="F47" i="10"/>
  <c r="Q46" i="10"/>
  <c r="P46" i="10"/>
  <c r="O46" i="10"/>
  <c r="M46" i="10"/>
  <c r="L46" i="10"/>
  <c r="K46" i="10"/>
  <c r="H46" i="10"/>
  <c r="G46" i="10"/>
  <c r="F46" i="10"/>
  <c r="Q45" i="10"/>
  <c r="P45" i="10"/>
  <c r="O45" i="10"/>
  <c r="M45" i="10"/>
  <c r="L45" i="10"/>
  <c r="K45" i="10"/>
  <c r="H45" i="10"/>
  <c r="G45" i="10"/>
  <c r="F45" i="10"/>
  <c r="C45" i="10"/>
  <c r="B45" i="10"/>
  <c r="A45" i="10"/>
  <c r="Q44" i="10"/>
  <c r="P44" i="10"/>
  <c r="O44" i="10"/>
  <c r="M44" i="10"/>
  <c r="L44" i="10"/>
  <c r="K44" i="10"/>
  <c r="H44" i="10"/>
  <c r="G44" i="10"/>
  <c r="F44" i="10"/>
  <c r="C44" i="10"/>
  <c r="B44" i="10"/>
  <c r="A44" i="10"/>
  <c r="Q43" i="10"/>
  <c r="P43" i="10"/>
  <c r="O43" i="10"/>
  <c r="M43" i="10"/>
  <c r="L43" i="10"/>
  <c r="K43" i="10"/>
  <c r="H43" i="10"/>
  <c r="G43" i="10"/>
  <c r="F43" i="10"/>
  <c r="C43" i="10"/>
  <c r="B43" i="10"/>
  <c r="A43" i="10"/>
  <c r="Q42" i="10"/>
  <c r="P42" i="10"/>
  <c r="O42" i="10"/>
  <c r="M42" i="10"/>
  <c r="L42" i="10"/>
  <c r="K42" i="10"/>
  <c r="H42" i="10"/>
  <c r="G42" i="10"/>
  <c r="F42" i="10"/>
  <c r="C42" i="10"/>
  <c r="B42" i="10"/>
  <c r="A42" i="10"/>
  <c r="Q41" i="10"/>
  <c r="P41" i="10"/>
  <c r="O41" i="10"/>
  <c r="M41" i="10"/>
  <c r="L41" i="10"/>
  <c r="K41" i="10"/>
  <c r="H41" i="10"/>
  <c r="G41" i="10"/>
  <c r="F41" i="10"/>
  <c r="C41" i="10"/>
  <c r="B41" i="10"/>
  <c r="A41" i="10"/>
  <c r="Q40" i="10"/>
  <c r="P40" i="10"/>
  <c r="O40" i="10"/>
  <c r="M40" i="10"/>
  <c r="L40" i="10"/>
  <c r="K40" i="10"/>
  <c r="H40" i="10"/>
  <c r="G40" i="10"/>
  <c r="F40" i="10"/>
  <c r="C40" i="10"/>
  <c r="B40" i="10"/>
  <c r="A40" i="10"/>
  <c r="Q39" i="10"/>
  <c r="P39" i="10"/>
  <c r="O39" i="10"/>
  <c r="M39" i="10"/>
  <c r="L39" i="10"/>
  <c r="K39" i="10"/>
  <c r="H39" i="10"/>
  <c r="G39" i="10"/>
  <c r="F39" i="10"/>
  <c r="C39" i="10"/>
  <c r="B39" i="10"/>
  <c r="A39" i="10"/>
  <c r="Q38" i="10"/>
  <c r="P38" i="10"/>
  <c r="O38" i="10"/>
  <c r="M38" i="10"/>
  <c r="L38" i="10"/>
  <c r="K38" i="10"/>
  <c r="H38" i="10"/>
  <c r="G38" i="10"/>
  <c r="F38" i="10"/>
  <c r="C38" i="10"/>
  <c r="B38" i="10"/>
  <c r="A38" i="10"/>
  <c r="Q37" i="10"/>
  <c r="P37" i="10"/>
  <c r="O37" i="10"/>
  <c r="M37" i="10"/>
  <c r="L37" i="10"/>
  <c r="K37" i="10"/>
  <c r="H37" i="10"/>
  <c r="G37" i="10"/>
  <c r="F37" i="10"/>
  <c r="C37" i="10"/>
  <c r="B37" i="10"/>
  <c r="A37" i="10"/>
  <c r="Q33" i="10"/>
  <c r="M33" i="10"/>
  <c r="H33" i="10"/>
  <c r="C33" i="10"/>
  <c r="Q29" i="10"/>
  <c r="M29" i="10"/>
  <c r="H29" i="10"/>
  <c r="C29" i="10"/>
  <c r="M23" i="10"/>
  <c r="L23" i="10"/>
  <c r="K23" i="10"/>
  <c r="M22" i="10"/>
  <c r="L22" i="10"/>
  <c r="K22" i="10"/>
  <c r="H22" i="10"/>
  <c r="G22" i="10"/>
  <c r="F22" i="10"/>
  <c r="C22" i="10"/>
  <c r="B22" i="10"/>
  <c r="A22" i="10"/>
  <c r="M21" i="10"/>
  <c r="L21" i="10"/>
  <c r="K21" i="10"/>
  <c r="H21" i="10"/>
  <c r="G21" i="10"/>
  <c r="F21" i="10"/>
  <c r="C21" i="10"/>
  <c r="B21" i="10"/>
  <c r="A21" i="10"/>
  <c r="M20" i="10"/>
  <c r="L20" i="10"/>
  <c r="K20" i="10"/>
  <c r="H20" i="10"/>
  <c r="G20" i="10"/>
  <c r="F20" i="10"/>
  <c r="C20" i="10"/>
  <c r="B20" i="10"/>
  <c r="A20" i="10"/>
  <c r="M19" i="10"/>
  <c r="L19" i="10"/>
  <c r="K19" i="10"/>
  <c r="H19" i="10"/>
  <c r="G19" i="10"/>
  <c r="F19" i="10"/>
  <c r="C19" i="10"/>
  <c r="B19" i="10"/>
  <c r="A19" i="10"/>
  <c r="M18" i="10"/>
  <c r="L18" i="10"/>
  <c r="K18" i="10"/>
  <c r="H18" i="10"/>
  <c r="G18" i="10"/>
  <c r="F18" i="10"/>
  <c r="C18" i="10"/>
  <c r="B18" i="10"/>
  <c r="A18" i="10"/>
  <c r="M17" i="10"/>
  <c r="L17" i="10"/>
  <c r="K17" i="10"/>
  <c r="H17" i="10"/>
  <c r="G17" i="10"/>
  <c r="F17" i="10"/>
  <c r="C17" i="10"/>
  <c r="B17" i="10"/>
  <c r="A17" i="10"/>
  <c r="M16" i="10"/>
  <c r="L16" i="10"/>
  <c r="K16" i="10"/>
  <c r="H16" i="10"/>
  <c r="G16" i="10"/>
  <c r="F16" i="10"/>
  <c r="C16" i="10"/>
  <c r="B16" i="10"/>
  <c r="A16" i="10"/>
  <c r="M15" i="10"/>
  <c r="L15" i="10"/>
  <c r="K15" i="10"/>
  <c r="H15" i="10"/>
  <c r="G15" i="10"/>
  <c r="F15" i="10"/>
  <c r="C15" i="10"/>
  <c r="B15" i="10"/>
  <c r="A15" i="10"/>
  <c r="M14" i="10"/>
  <c r="L14" i="10"/>
  <c r="K14" i="10"/>
  <c r="H14" i="10"/>
  <c r="G14" i="10"/>
  <c r="F14" i="10"/>
  <c r="C14" i="10"/>
  <c r="B14" i="10"/>
  <c r="A14" i="10"/>
  <c r="M13" i="10"/>
  <c r="L13" i="10"/>
  <c r="K13" i="10"/>
  <c r="H13" i="10"/>
  <c r="G13" i="10"/>
  <c r="F13" i="10"/>
  <c r="C13" i="10"/>
  <c r="B13" i="10"/>
  <c r="A13" i="10"/>
  <c r="M9" i="10"/>
  <c r="H9" i="10"/>
  <c r="C9" i="10"/>
  <c r="M5" i="10"/>
  <c r="H5" i="10"/>
  <c r="C5" i="10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AJ58" i="2"/>
  <c r="AH58" i="2"/>
  <c r="AF58" i="2"/>
  <c r="AE58" i="2"/>
  <c r="AD58" i="2"/>
  <c r="AC58" i="2"/>
  <c r="Z58" i="2"/>
  <c r="Y58" i="2"/>
  <c r="X58" i="2"/>
  <c r="W58" i="2"/>
  <c r="V58" i="2"/>
  <c r="Q58" i="2"/>
  <c r="P58" i="2"/>
  <c r="O58" i="2"/>
  <c r="G58" i="2"/>
  <c r="F58" i="2"/>
  <c r="E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AJ57" i="2"/>
  <c r="AH57" i="2"/>
  <c r="AF57" i="2"/>
  <c r="AE57" i="2"/>
  <c r="AD57" i="2"/>
  <c r="AC57" i="2"/>
  <c r="Z57" i="2"/>
  <c r="Y57" i="2"/>
  <c r="X57" i="2"/>
  <c r="W57" i="2"/>
  <c r="V57" i="2"/>
  <c r="Q57" i="2"/>
  <c r="P57" i="2"/>
  <c r="O57" i="2"/>
  <c r="G57" i="2"/>
  <c r="F57" i="2"/>
  <c r="E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AJ56" i="2"/>
  <c r="AH56" i="2"/>
  <c r="AF56" i="2"/>
  <c r="AE56" i="2"/>
  <c r="AD56" i="2"/>
  <c r="AC56" i="2"/>
  <c r="Z56" i="2"/>
  <c r="Y56" i="2"/>
  <c r="X56" i="2"/>
  <c r="W56" i="2"/>
  <c r="V56" i="2"/>
  <c r="Q56" i="2"/>
  <c r="P56" i="2"/>
  <c r="O56" i="2"/>
  <c r="G56" i="2"/>
  <c r="F56" i="2"/>
  <c r="E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AJ55" i="2"/>
  <c r="AH55" i="2"/>
  <c r="AF55" i="2"/>
  <c r="AE55" i="2"/>
  <c r="AD55" i="2"/>
  <c r="AC55" i="2"/>
  <c r="Z55" i="2"/>
  <c r="Y55" i="2"/>
  <c r="X55" i="2"/>
  <c r="W55" i="2"/>
  <c r="V55" i="2"/>
  <c r="Q55" i="2"/>
  <c r="P55" i="2"/>
  <c r="O55" i="2"/>
  <c r="G55" i="2"/>
  <c r="F55" i="2"/>
  <c r="E55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AJ54" i="2"/>
  <c r="AH54" i="2"/>
  <c r="AF54" i="2"/>
  <c r="AE54" i="2"/>
  <c r="AD54" i="2"/>
  <c r="AC54" i="2"/>
  <c r="Z54" i="2"/>
  <c r="Y54" i="2"/>
  <c r="X54" i="2"/>
  <c r="W54" i="2"/>
  <c r="V54" i="2"/>
  <c r="Q54" i="2"/>
  <c r="P54" i="2"/>
  <c r="O54" i="2"/>
  <c r="G54" i="2"/>
  <c r="F54" i="2"/>
  <c r="E54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AJ53" i="2"/>
  <c r="AH53" i="2"/>
  <c r="AF53" i="2"/>
  <c r="AE53" i="2"/>
  <c r="AD53" i="2"/>
  <c r="AC53" i="2"/>
  <c r="Z53" i="2"/>
  <c r="Y53" i="2"/>
  <c r="X53" i="2"/>
  <c r="W53" i="2"/>
  <c r="V53" i="2"/>
  <c r="Q53" i="2"/>
  <c r="P53" i="2"/>
  <c r="O53" i="2"/>
  <c r="G53" i="2"/>
  <c r="F53" i="2"/>
  <c r="E53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AJ52" i="2"/>
  <c r="AH52" i="2"/>
  <c r="AF52" i="2"/>
  <c r="AE52" i="2"/>
  <c r="AD52" i="2"/>
  <c r="AC52" i="2"/>
  <c r="Z52" i="2"/>
  <c r="Y52" i="2"/>
  <c r="X52" i="2"/>
  <c r="W52" i="2"/>
  <c r="V52" i="2"/>
  <c r="Q52" i="2"/>
  <c r="P52" i="2"/>
  <c r="O52" i="2"/>
  <c r="G52" i="2"/>
  <c r="F52" i="2"/>
  <c r="E52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AJ51" i="2"/>
  <c r="AH51" i="2"/>
  <c r="AF51" i="2"/>
  <c r="AE51" i="2"/>
  <c r="AD51" i="2"/>
  <c r="AC51" i="2"/>
  <c r="Z51" i="2"/>
  <c r="Y51" i="2"/>
  <c r="X51" i="2"/>
  <c r="W51" i="2"/>
  <c r="V51" i="2"/>
  <c r="Q51" i="2"/>
  <c r="P51" i="2"/>
  <c r="O51" i="2"/>
  <c r="G51" i="2"/>
  <c r="F51" i="2"/>
  <c r="E51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AJ50" i="2"/>
  <c r="AH50" i="2"/>
  <c r="AF50" i="2"/>
  <c r="AE50" i="2"/>
  <c r="AD50" i="2"/>
  <c r="AC50" i="2"/>
  <c r="Z50" i="2"/>
  <c r="Y50" i="2"/>
  <c r="X50" i="2"/>
  <c r="W50" i="2"/>
  <c r="V50" i="2"/>
  <c r="Q50" i="2"/>
  <c r="P50" i="2"/>
  <c r="O50" i="2"/>
  <c r="G50" i="2"/>
  <c r="F50" i="2"/>
  <c r="E50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AJ49" i="2"/>
  <c r="AH49" i="2"/>
  <c r="AF49" i="2"/>
  <c r="AE49" i="2"/>
  <c r="AD49" i="2"/>
  <c r="AC49" i="2"/>
  <c r="Z49" i="2"/>
  <c r="Y49" i="2"/>
  <c r="X49" i="2"/>
  <c r="W49" i="2"/>
  <c r="V49" i="2"/>
  <c r="Q49" i="2"/>
  <c r="P49" i="2"/>
  <c r="O49" i="2"/>
  <c r="G49" i="2"/>
  <c r="F49" i="2"/>
  <c r="E49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AJ48" i="2"/>
  <c r="AH48" i="2"/>
  <c r="AF48" i="2"/>
  <c r="AE48" i="2"/>
  <c r="AD48" i="2"/>
  <c r="AC48" i="2"/>
  <c r="Z48" i="2"/>
  <c r="Y48" i="2"/>
  <c r="X48" i="2"/>
  <c r="W48" i="2"/>
  <c r="V48" i="2"/>
  <c r="Q48" i="2"/>
  <c r="P48" i="2"/>
  <c r="O48" i="2"/>
  <c r="G48" i="2"/>
  <c r="F48" i="2"/>
  <c r="E48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AJ47" i="2"/>
  <c r="AH47" i="2"/>
  <c r="AF47" i="2"/>
  <c r="AE47" i="2"/>
  <c r="AD47" i="2"/>
  <c r="AC47" i="2"/>
  <c r="Z47" i="2"/>
  <c r="Y47" i="2"/>
  <c r="X47" i="2"/>
  <c r="W47" i="2"/>
  <c r="V47" i="2"/>
  <c r="Q47" i="2"/>
  <c r="P47" i="2"/>
  <c r="O47" i="2"/>
  <c r="G47" i="2"/>
  <c r="F47" i="2"/>
  <c r="E47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AJ46" i="2"/>
  <c r="AH46" i="2"/>
  <c r="AF46" i="2"/>
  <c r="AE46" i="2"/>
  <c r="AD46" i="2"/>
  <c r="AC46" i="2"/>
  <c r="Z46" i="2"/>
  <c r="Y46" i="2"/>
  <c r="X46" i="2"/>
  <c r="W46" i="2"/>
  <c r="V46" i="2"/>
  <c r="Q46" i="2"/>
  <c r="P46" i="2"/>
  <c r="O46" i="2"/>
  <c r="G46" i="2"/>
  <c r="F46" i="2"/>
  <c r="E46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AJ44" i="2"/>
  <c r="AH44" i="2"/>
  <c r="AF44" i="2"/>
  <c r="AE44" i="2"/>
  <c r="AD44" i="2"/>
  <c r="AC44" i="2"/>
  <c r="Z44" i="2"/>
  <c r="Y44" i="2"/>
  <c r="X44" i="2"/>
  <c r="W44" i="2"/>
  <c r="V44" i="2"/>
  <c r="Q44" i="2"/>
  <c r="P44" i="2"/>
  <c r="O44" i="2"/>
  <c r="G44" i="2"/>
  <c r="F44" i="2"/>
  <c r="E44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AJ43" i="2"/>
  <c r="AH43" i="2"/>
  <c r="AF43" i="2"/>
  <c r="AE43" i="2"/>
  <c r="AD43" i="2"/>
  <c r="AC43" i="2"/>
  <c r="Z43" i="2"/>
  <c r="Y43" i="2"/>
  <c r="X43" i="2"/>
  <c r="W43" i="2"/>
  <c r="V43" i="2"/>
  <c r="Q43" i="2"/>
  <c r="P43" i="2"/>
  <c r="O43" i="2"/>
  <c r="G43" i="2"/>
  <c r="F43" i="2"/>
  <c r="E43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AJ42" i="2"/>
  <c r="AH42" i="2"/>
  <c r="AF42" i="2"/>
  <c r="AE42" i="2"/>
  <c r="AD42" i="2"/>
  <c r="AC42" i="2"/>
  <c r="Z42" i="2"/>
  <c r="Y42" i="2"/>
  <c r="X42" i="2"/>
  <c r="W42" i="2"/>
  <c r="V42" i="2"/>
  <c r="Q42" i="2"/>
  <c r="P42" i="2"/>
  <c r="O42" i="2"/>
  <c r="G42" i="2"/>
  <c r="F42" i="2"/>
  <c r="E42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AJ41" i="2"/>
  <c r="AH41" i="2"/>
  <c r="AF41" i="2"/>
  <c r="AE41" i="2"/>
  <c r="AD41" i="2"/>
  <c r="AC41" i="2"/>
  <c r="Z41" i="2"/>
  <c r="Y41" i="2"/>
  <c r="X41" i="2"/>
  <c r="W41" i="2"/>
  <c r="V41" i="2"/>
  <c r="Q41" i="2"/>
  <c r="P41" i="2"/>
  <c r="O41" i="2"/>
  <c r="G41" i="2"/>
  <c r="F41" i="2"/>
  <c r="E41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AJ40" i="2"/>
  <c r="AH40" i="2"/>
  <c r="AF40" i="2"/>
  <c r="AE40" i="2"/>
  <c r="AD40" i="2"/>
  <c r="AC40" i="2"/>
  <c r="Z40" i="2"/>
  <c r="Y40" i="2"/>
  <c r="X40" i="2"/>
  <c r="W40" i="2"/>
  <c r="V40" i="2"/>
  <c r="Q40" i="2"/>
  <c r="P40" i="2"/>
  <c r="O40" i="2"/>
  <c r="G40" i="2"/>
  <c r="F40" i="2"/>
  <c r="E40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AJ39" i="2"/>
  <c r="AH39" i="2"/>
  <c r="AF39" i="2"/>
  <c r="AE39" i="2"/>
  <c r="AD39" i="2"/>
  <c r="AC39" i="2"/>
  <c r="Z39" i="2"/>
  <c r="Y39" i="2"/>
  <c r="X39" i="2"/>
  <c r="W39" i="2"/>
  <c r="V39" i="2"/>
  <c r="Q39" i="2"/>
  <c r="P39" i="2"/>
  <c r="O39" i="2"/>
  <c r="G39" i="2"/>
  <c r="F39" i="2"/>
  <c r="E39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AJ38" i="2"/>
  <c r="AH38" i="2"/>
  <c r="AF38" i="2"/>
  <c r="AE38" i="2"/>
  <c r="AD38" i="2"/>
  <c r="AC38" i="2"/>
  <c r="Z38" i="2"/>
  <c r="Y38" i="2"/>
  <c r="X38" i="2"/>
  <c r="W38" i="2"/>
  <c r="V38" i="2"/>
  <c r="Q38" i="2"/>
  <c r="P38" i="2"/>
  <c r="O38" i="2"/>
  <c r="G38" i="2"/>
  <c r="F38" i="2"/>
  <c r="E38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AJ37" i="2"/>
  <c r="AH37" i="2"/>
  <c r="AF37" i="2"/>
  <c r="AE37" i="2"/>
  <c r="AD37" i="2"/>
  <c r="AC37" i="2"/>
  <c r="Z37" i="2"/>
  <c r="Y37" i="2"/>
  <c r="X37" i="2"/>
  <c r="W37" i="2"/>
  <c r="V37" i="2"/>
  <c r="Q37" i="2"/>
  <c r="P37" i="2"/>
  <c r="O37" i="2"/>
  <c r="G37" i="2"/>
  <c r="F37" i="2"/>
  <c r="E37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AJ36" i="2"/>
  <c r="AH36" i="2"/>
  <c r="AF36" i="2"/>
  <c r="AE36" i="2"/>
  <c r="AD36" i="2"/>
  <c r="AC36" i="2"/>
  <c r="Z36" i="2"/>
  <c r="Y36" i="2"/>
  <c r="X36" i="2"/>
  <c r="W36" i="2"/>
  <c r="V36" i="2"/>
  <c r="Q36" i="2"/>
  <c r="P36" i="2"/>
  <c r="O36" i="2"/>
  <c r="G36" i="2"/>
  <c r="F36" i="2"/>
  <c r="E36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AJ35" i="2"/>
  <c r="AH35" i="2"/>
  <c r="AF35" i="2"/>
  <c r="AE35" i="2"/>
  <c r="AD35" i="2"/>
  <c r="AC35" i="2"/>
  <c r="Z35" i="2"/>
  <c r="Y35" i="2"/>
  <c r="X35" i="2"/>
  <c r="W35" i="2"/>
  <c r="V35" i="2"/>
  <c r="Q35" i="2"/>
  <c r="P35" i="2"/>
  <c r="O35" i="2"/>
  <c r="G35" i="2"/>
  <c r="F35" i="2"/>
  <c r="E35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AJ34" i="2"/>
  <c r="AH34" i="2"/>
  <c r="AF34" i="2"/>
  <c r="AE34" i="2"/>
  <c r="AD34" i="2"/>
  <c r="AC34" i="2"/>
  <c r="Z34" i="2"/>
  <c r="Y34" i="2"/>
  <c r="X34" i="2"/>
  <c r="W34" i="2"/>
  <c r="V34" i="2"/>
  <c r="Q34" i="2"/>
  <c r="P34" i="2"/>
  <c r="O34" i="2"/>
  <c r="G34" i="2"/>
  <c r="F34" i="2"/>
  <c r="E34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AJ33" i="2"/>
  <c r="AH33" i="2"/>
  <c r="AF33" i="2"/>
  <c r="AE33" i="2"/>
  <c r="AD33" i="2"/>
  <c r="AC33" i="2"/>
  <c r="Z33" i="2"/>
  <c r="Y33" i="2"/>
  <c r="X33" i="2"/>
  <c r="W33" i="2"/>
  <c r="V33" i="2"/>
  <c r="Q33" i="2"/>
  <c r="P33" i="2"/>
  <c r="O33" i="2"/>
  <c r="G33" i="2"/>
  <c r="F33" i="2"/>
  <c r="E33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AJ31" i="2"/>
  <c r="AH31" i="2"/>
  <c r="AF31" i="2"/>
  <c r="AE31" i="2"/>
  <c r="AD31" i="2"/>
  <c r="AC31" i="2"/>
  <c r="Z31" i="2"/>
  <c r="Y31" i="2"/>
  <c r="X31" i="2"/>
  <c r="W31" i="2"/>
  <c r="V31" i="2"/>
  <c r="Q31" i="2"/>
  <c r="P31" i="2"/>
  <c r="O31" i="2"/>
  <c r="G31" i="2"/>
  <c r="F31" i="2"/>
  <c r="E31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AJ30" i="2"/>
  <c r="AH30" i="2"/>
  <c r="AF30" i="2"/>
  <c r="AE30" i="2"/>
  <c r="AD30" i="2"/>
  <c r="AC30" i="2"/>
  <c r="Z30" i="2"/>
  <c r="Y30" i="2"/>
  <c r="X30" i="2"/>
  <c r="W30" i="2"/>
  <c r="V30" i="2"/>
  <c r="Q30" i="2"/>
  <c r="P30" i="2"/>
  <c r="O30" i="2"/>
  <c r="G30" i="2"/>
  <c r="F30" i="2"/>
  <c r="E30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AJ29" i="2"/>
  <c r="AH29" i="2"/>
  <c r="AF29" i="2"/>
  <c r="AE29" i="2"/>
  <c r="AD29" i="2"/>
  <c r="AC29" i="2"/>
  <c r="Z29" i="2"/>
  <c r="Y29" i="2"/>
  <c r="X29" i="2"/>
  <c r="W29" i="2"/>
  <c r="V29" i="2"/>
  <c r="Q29" i="2"/>
  <c r="P29" i="2"/>
  <c r="O29" i="2"/>
  <c r="G29" i="2"/>
  <c r="F29" i="2"/>
  <c r="E29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AJ28" i="2"/>
  <c r="AH28" i="2"/>
  <c r="AF28" i="2"/>
  <c r="AE28" i="2"/>
  <c r="AD28" i="2"/>
  <c r="AC28" i="2"/>
  <c r="Z28" i="2"/>
  <c r="Y28" i="2"/>
  <c r="X28" i="2"/>
  <c r="W28" i="2"/>
  <c r="V28" i="2"/>
  <c r="Q28" i="2"/>
  <c r="P28" i="2"/>
  <c r="O28" i="2"/>
  <c r="G28" i="2"/>
  <c r="F28" i="2"/>
  <c r="E28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AJ27" i="2"/>
  <c r="AH27" i="2"/>
  <c r="AF27" i="2"/>
  <c r="AE27" i="2"/>
  <c r="AD27" i="2"/>
  <c r="AC27" i="2"/>
  <c r="Z27" i="2"/>
  <c r="Y27" i="2"/>
  <c r="X27" i="2"/>
  <c r="W27" i="2"/>
  <c r="V27" i="2"/>
  <c r="Q27" i="2"/>
  <c r="P27" i="2"/>
  <c r="O27" i="2"/>
  <c r="G27" i="2"/>
  <c r="F27" i="2"/>
  <c r="E27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AJ26" i="2"/>
  <c r="AH26" i="2"/>
  <c r="AF26" i="2"/>
  <c r="AE26" i="2"/>
  <c r="AD26" i="2"/>
  <c r="AC26" i="2"/>
  <c r="Z26" i="2"/>
  <c r="Y26" i="2"/>
  <c r="X26" i="2"/>
  <c r="W26" i="2"/>
  <c r="V26" i="2"/>
  <c r="Q26" i="2"/>
  <c r="P26" i="2"/>
  <c r="O26" i="2"/>
  <c r="G26" i="2"/>
  <c r="F26" i="2"/>
  <c r="E26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AJ25" i="2"/>
  <c r="AH25" i="2"/>
  <c r="AF25" i="2"/>
  <c r="AE25" i="2"/>
  <c r="AD25" i="2"/>
  <c r="AC25" i="2"/>
  <c r="Z25" i="2"/>
  <c r="Y25" i="2"/>
  <c r="X25" i="2"/>
  <c r="W25" i="2"/>
  <c r="V25" i="2"/>
  <c r="Q25" i="2"/>
  <c r="P25" i="2"/>
  <c r="O25" i="2"/>
  <c r="G25" i="2"/>
  <c r="F25" i="2"/>
  <c r="E25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AJ24" i="2"/>
  <c r="AH24" i="2"/>
  <c r="AF24" i="2"/>
  <c r="AE24" i="2"/>
  <c r="AD24" i="2"/>
  <c r="AC24" i="2"/>
  <c r="Z24" i="2"/>
  <c r="Y24" i="2"/>
  <c r="X24" i="2"/>
  <c r="W24" i="2"/>
  <c r="V24" i="2"/>
  <c r="Q24" i="2"/>
  <c r="P24" i="2"/>
  <c r="O24" i="2"/>
  <c r="G24" i="2"/>
  <c r="F24" i="2"/>
  <c r="E24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AJ23" i="2"/>
  <c r="AH23" i="2"/>
  <c r="AF23" i="2"/>
  <c r="AE23" i="2"/>
  <c r="AD23" i="2"/>
  <c r="AC23" i="2"/>
  <c r="Z23" i="2"/>
  <c r="Y23" i="2"/>
  <c r="X23" i="2"/>
  <c r="W23" i="2"/>
  <c r="V23" i="2"/>
  <c r="Q23" i="2"/>
  <c r="P23" i="2"/>
  <c r="O23" i="2"/>
  <c r="G23" i="2"/>
  <c r="F23" i="2"/>
  <c r="E23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AJ22" i="2"/>
  <c r="AH22" i="2"/>
  <c r="AF22" i="2"/>
  <c r="AE22" i="2"/>
  <c r="AD22" i="2"/>
  <c r="AC22" i="2"/>
  <c r="Z22" i="2"/>
  <c r="Y22" i="2"/>
  <c r="X22" i="2"/>
  <c r="W22" i="2"/>
  <c r="V22" i="2"/>
  <c r="Q22" i="2"/>
  <c r="P22" i="2"/>
  <c r="O22" i="2"/>
  <c r="G22" i="2"/>
  <c r="F22" i="2"/>
  <c r="E22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AJ21" i="2"/>
  <c r="AH21" i="2"/>
  <c r="AF21" i="2"/>
  <c r="AE21" i="2"/>
  <c r="AD21" i="2"/>
  <c r="AC21" i="2"/>
  <c r="Z21" i="2"/>
  <c r="Y21" i="2"/>
  <c r="X21" i="2"/>
  <c r="W21" i="2"/>
  <c r="V21" i="2"/>
  <c r="Q21" i="2"/>
  <c r="P21" i="2"/>
  <c r="O21" i="2"/>
  <c r="G21" i="2"/>
  <c r="F21" i="2"/>
  <c r="E21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AJ20" i="2"/>
  <c r="AH20" i="2"/>
  <c r="AF20" i="2"/>
  <c r="AE20" i="2"/>
  <c r="AD20" i="2"/>
  <c r="AC20" i="2"/>
  <c r="Z20" i="2"/>
  <c r="Y20" i="2"/>
  <c r="X20" i="2"/>
  <c r="W20" i="2"/>
  <c r="V20" i="2"/>
  <c r="Q20" i="2"/>
  <c r="P20" i="2"/>
  <c r="O20" i="2"/>
  <c r="G20" i="2"/>
  <c r="F20" i="2"/>
  <c r="E20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AJ18" i="2"/>
  <c r="AH18" i="2"/>
  <c r="AF18" i="2"/>
  <c r="AE18" i="2"/>
  <c r="AD18" i="2"/>
  <c r="AC18" i="2"/>
  <c r="Z18" i="2"/>
  <c r="Y18" i="2"/>
  <c r="X18" i="2"/>
  <c r="W18" i="2"/>
  <c r="V18" i="2"/>
  <c r="Q18" i="2"/>
  <c r="P18" i="2"/>
  <c r="O18" i="2"/>
  <c r="G18" i="2"/>
  <c r="F18" i="2"/>
  <c r="E18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AJ17" i="2"/>
  <c r="AH17" i="2"/>
  <c r="AF17" i="2"/>
  <c r="AE17" i="2"/>
  <c r="AD17" i="2"/>
  <c r="AC17" i="2"/>
  <c r="Z17" i="2"/>
  <c r="Y17" i="2"/>
  <c r="X17" i="2"/>
  <c r="W17" i="2"/>
  <c r="V17" i="2"/>
  <c r="Q17" i="2"/>
  <c r="P17" i="2"/>
  <c r="O17" i="2"/>
  <c r="G17" i="2"/>
  <c r="F17" i="2"/>
  <c r="E17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AJ16" i="2"/>
  <c r="AH16" i="2"/>
  <c r="AF16" i="2"/>
  <c r="AE16" i="2"/>
  <c r="AD16" i="2"/>
  <c r="AC16" i="2"/>
  <c r="Z16" i="2"/>
  <c r="Y16" i="2"/>
  <c r="X16" i="2"/>
  <c r="W16" i="2"/>
  <c r="V16" i="2"/>
  <c r="Q16" i="2"/>
  <c r="P16" i="2"/>
  <c r="O16" i="2"/>
  <c r="G16" i="2"/>
  <c r="F16" i="2"/>
  <c r="E16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AJ15" i="2"/>
  <c r="AH15" i="2"/>
  <c r="AF15" i="2"/>
  <c r="AE15" i="2"/>
  <c r="AD15" i="2"/>
  <c r="AC15" i="2"/>
  <c r="Z15" i="2"/>
  <c r="Y15" i="2"/>
  <c r="X15" i="2"/>
  <c r="W15" i="2"/>
  <c r="V15" i="2"/>
  <c r="Q15" i="2"/>
  <c r="P15" i="2"/>
  <c r="O15" i="2"/>
  <c r="G15" i="2"/>
  <c r="F15" i="2"/>
  <c r="E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AJ14" i="2"/>
  <c r="AH14" i="2"/>
  <c r="AF14" i="2"/>
  <c r="AE14" i="2"/>
  <c r="AD14" i="2"/>
  <c r="AC14" i="2"/>
  <c r="Z14" i="2"/>
  <c r="Y14" i="2"/>
  <c r="X14" i="2"/>
  <c r="W14" i="2"/>
  <c r="V14" i="2"/>
  <c r="Q14" i="2"/>
  <c r="P14" i="2"/>
  <c r="O14" i="2"/>
  <c r="G14" i="2"/>
  <c r="F14" i="2"/>
  <c r="E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AJ13" i="2"/>
  <c r="AH13" i="2"/>
  <c r="AF13" i="2"/>
  <c r="AE13" i="2"/>
  <c r="AD13" i="2"/>
  <c r="AC13" i="2"/>
  <c r="Z13" i="2"/>
  <c r="Y13" i="2"/>
  <c r="X13" i="2"/>
  <c r="W13" i="2"/>
  <c r="V13" i="2"/>
  <c r="Q13" i="2"/>
  <c r="P13" i="2"/>
  <c r="O13" i="2"/>
  <c r="G13" i="2"/>
  <c r="F13" i="2"/>
  <c r="E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AJ12" i="2"/>
  <c r="AH12" i="2"/>
  <c r="AF12" i="2"/>
  <c r="AE12" i="2"/>
  <c r="AD12" i="2"/>
  <c r="AC12" i="2"/>
  <c r="Z12" i="2"/>
  <c r="Y12" i="2"/>
  <c r="X12" i="2"/>
  <c r="W12" i="2"/>
  <c r="V12" i="2"/>
  <c r="Q12" i="2"/>
  <c r="P12" i="2"/>
  <c r="O12" i="2"/>
  <c r="G12" i="2"/>
  <c r="F12" i="2"/>
  <c r="E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AJ11" i="2"/>
  <c r="AH11" i="2"/>
  <c r="AF11" i="2"/>
  <c r="AE11" i="2"/>
  <c r="AD11" i="2"/>
  <c r="AC11" i="2"/>
  <c r="Z11" i="2"/>
  <c r="Y11" i="2"/>
  <c r="X11" i="2"/>
  <c r="W11" i="2"/>
  <c r="V11" i="2"/>
  <c r="Q11" i="2"/>
  <c r="P11" i="2"/>
  <c r="O11" i="2"/>
  <c r="G11" i="2"/>
  <c r="F11" i="2"/>
  <c r="E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AJ10" i="2"/>
  <c r="AH10" i="2"/>
  <c r="AF10" i="2"/>
  <c r="AE10" i="2"/>
  <c r="AD10" i="2"/>
  <c r="AC10" i="2"/>
  <c r="Z10" i="2"/>
  <c r="Y10" i="2"/>
  <c r="X10" i="2"/>
  <c r="W10" i="2"/>
  <c r="V10" i="2"/>
  <c r="Q10" i="2"/>
  <c r="P10" i="2"/>
  <c r="O10" i="2"/>
  <c r="G10" i="2"/>
  <c r="F10" i="2"/>
  <c r="E10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AJ9" i="2"/>
  <c r="AH9" i="2"/>
  <c r="AF9" i="2"/>
  <c r="AE9" i="2"/>
  <c r="AD9" i="2"/>
  <c r="AC9" i="2"/>
  <c r="Z9" i="2"/>
  <c r="Y9" i="2"/>
  <c r="X9" i="2"/>
  <c r="W9" i="2"/>
  <c r="V9" i="2"/>
  <c r="Q9" i="2"/>
  <c r="P9" i="2"/>
  <c r="O9" i="2"/>
  <c r="G9" i="2"/>
  <c r="F9" i="2"/>
  <c r="E9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AJ8" i="2"/>
  <c r="AH8" i="2"/>
  <c r="AF8" i="2"/>
  <c r="AE8" i="2"/>
  <c r="AD8" i="2"/>
  <c r="AC8" i="2"/>
  <c r="Z8" i="2"/>
  <c r="Y8" i="2"/>
  <c r="X8" i="2"/>
  <c r="W8" i="2"/>
  <c r="V8" i="2"/>
  <c r="Q8" i="2"/>
  <c r="P8" i="2"/>
  <c r="O8" i="2"/>
  <c r="G8" i="2"/>
  <c r="F8" i="2"/>
  <c r="E8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AJ7" i="2"/>
  <c r="AH7" i="2"/>
  <c r="AF7" i="2"/>
  <c r="AE7" i="2"/>
  <c r="AD7" i="2"/>
  <c r="AC7" i="2"/>
  <c r="Z7" i="2"/>
  <c r="Y7" i="2"/>
  <c r="X7" i="2"/>
  <c r="W7" i="2"/>
  <c r="V7" i="2"/>
  <c r="Q7" i="2"/>
  <c r="P7" i="2"/>
  <c r="O7" i="2"/>
  <c r="G7" i="2"/>
  <c r="F7" i="2"/>
  <c r="E7" i="2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AJ50" i="4"/>
  <c r="AH50" i="4"/>
  <c r="AF50" i="4"/>
  <c r="AE50" i="4"/>
  <c r="AD50" i="4"/>
  <c r="AC50" i="4"/>
  <c r="Z50" i="4"/>
  <c r="Y50" i="4"/>
  <c r="X50" i="4"/>
  <c r="W50" i="4"/>
  <c r="V50" i="4"/>
  <c r="Q50" i="4"/>
  <c r="P50" i="4"/>
  <c r="O50" i="4"/>
  <c r="G50" i="4"/>
  <c r="F50" i="4"/>
  <c r="E50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AJ49" i="4"/>
  <c r="AH49" i="4"/>
  <c r="AF49" i="4"/>
  <c r="AE49" i="4"/>
  <c r="AD49" i="4"/>
  <c r="AC49" i="4"/>
  <c r="Z49" i="4"/>
  <c r="Y49" i="4"/>
  <c r="X49" i="4"/>
  <c r="W49" i="4"/>
  <c r="V49" i="4"/>
  <c r="Q49" i="4"/>
  <c r="P49" i="4"/>
  <c r="O49" i="4"/>
  <c r="G49" i="4"/>
  <c r="F49" i="4"/>
  <c r="E49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AJ48" i="4"/>
  <c r="AH48" i="4"/>
  <c r="AF48" i="4"/>
  <c r="AE48" i="4"/>
  <c r="AD48" i="4"/>
  <c r="AC48" i="4"/>
  <c r="Z48" i="4"/>
  <c r="Y48" i="4"/>
  <c r="X48" i="4"/>
  <c r="W48" i="4"/>
  <c r="V48" i="4"/>
  <c r="Q48" i="4"/>
  <c r="P48" i="4"/>
  <c r="O48" i="4"/>
  <c r="G48" i="4"/>
  <c r="F48" i="4"/>
  <c r="E48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AJ47" i="4"/>
  <c r="AH47" i="4"/>
  <c r="AF47" i="4"/>
  <c r="AE47" i="4"/>
  <c r="AD47" i="4"/>
  <c r="AC47" i="4"/>
  <c r="Z47" i="4"/>
  <c r="Y47" i="4"/>
  <c r="X47" i="4"/>
  <c r="W47" i="4"/>
  <c r="V47" i="4"/>
  <c r="Q47" i="4"/>
  <c r="P47" i="4"/>
  <c r="O47" i="4"/>
  <c r="G47" i="4"/>
  <c r="F47" i="4"/>
  <c r="E47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AJ46" i="4"/>
  <c r="AH46" i="4"/>
  <c r="AF46" i="4"/>
  <c r="AE46" i="4"/>
  <c r="AD46" i="4"/>
  <c r="AC46" i="4"/>
  <c r="Z46" i="4"/>
  <c r="Y46" i="4"/>
  <c r="X46" i="4"/>
  <c r="W46" i="4"/>
  <c r="V46" i="4"/>
  <c r="Q46" i="4"/>
  <c r="P46" i="4"/>
  <c r="O46" i="4"/>
  <c r="G46" i="4"/>
  <c r="F46" i="4"/>
  <c r="E46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AJ45" i="4"/>
  <c r="AH45" i="4"/>
  <c r="AF45" i="4"/>
  <c r="AE45" i="4"/>
  <c r="AD45" i="4"/>
  <c r="AC45" i="4"/>
  <c r="Z45" i="4"/>
  <c r="Y45" i="4"/>
  <c r="X45" i="4"/>
  <c r="W45" i="4"/>
  <c r="V45" i="4"/>
  <c r="Q45" i="4"/>
  <c r="P45" i="4"/>
  <c r="O45" i="4"/>
  <c r="G45" i="4"/>
  <c r="F45" i="4"/>
  <c r="E45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AJ44" i="4"/>
  <c r="AH44" i="4"/>
  <c r="AF44" i="4"/>
  <c r="AE44" i="4"/>
  <c r="AD44" i="4"/>
  <c r="AC44" i="4"/>
  <c r="Z44" i="4"/>
  <c r="Y44" i="4"/>
  <c r="X44" i="4"/>
  <c r="W44" i="4"/>
  <c r="V44" i="4"/>
  <c r="Q44" i="4"/>
  <c r="P44" i="4"/>
  <c r="O44" i="4"/>
  <c r="G44" i="4"/>
  <c r="F44" i="4"/>
  <c r="E44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AJ43" i="4"/>
  <c r="AH43" i="4"/>
  <c r="AF43" i="4"/>
  <c r="AE43" i="4"/>
  <c r="AD43" i="4"/>
  <c r="AC43" i="4"/>
  <c r="Z43" i="4"/>
  <c r="Y43" i="4"/>
  <c r="X43" i="4"/>
  <c r="W43" i="4"/>
  <c r="V43" i="4"/>
  <c r="Q43" i="4"/>
  <c r="P43" i="4"/>
  <c r="O43" i="4"/>
  <c r="G43" i="4"/>
  <c r="F43" i="4"/>
  <c r="E43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AJ42" i="4"/>
  <c r="AH42" i="4"/>
  <c r="AF42" i="4"/>
  <c r="AE42" i="4"/>
  <c r="AD42" i="4"/>
  <c r="AC42" i="4"/>
  <c r="Z42" i="4"/>
  <c r="Y42" i="4"/>
  <c r="X42" i="4"/>
  <c r="W42" i="4"/>
  <c r="V42" i="4"/>
  <c r="Q42" i="4"/>
  <c r="P42" i="4"/>
  <c r="O42" i="4"/>
  <c r="G42" i="4"/>
  <c r="F42" i="4"/>
  <c r="E42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AJ41" i="4"/>
  <c r="AH41" i="4"/>
  <c r="AF41" i="4"/>
  <c r="AE41" i="4"/>
  <c r="AD41" i="4"/>
  <c r="AC41" i="4"/>
  <c r="Z41" i="4"/>
  <c r="Y41" i="4"/>
  <c r="X41" i="4"/>
  <c r="W41" i="4"/>
  <c r="V41" i="4"/>
  <c r="Q41" i="4"/>
  <c r="P41" i="4"/>
  <c r="O41" i="4"/>
  <c r="G41" i="4"/>
  <c r="F41" i="4"/>
  <c r="E41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AJ40" i="4"/>
  <c r="AH40" i="4"/>
  <c r="AF40" i="4"/>
  <c r="AE40" i="4"/>
  <c r="AD40" i="4"/>
  <c r="AC40" i="4"/>
  <c r="Z40" i="4"/>
  <c r="Y40" i="4"/>
  <c r="X40" i="4"/>
  <c r="W40" i="4"/>
  <c r="V40" i="4"/>
  <c r="Q40" i="4"/>
  <c r="P40" i="4"/>
  <c r="O40" i="4"/>
  <c r="G40" i="4"/>
  <c r="F40" i="4"/>
  <c r="E40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AJ38" i="4"/>
  <c r="AH38" i="4"/>
  <c r="AF38" i="4"/>
  <c r="AE38" i="4"/>
  <c r="AD38" i="4"/>
  <c r="AC38" i="4"/>
  <c r="Z38" i="4"/>
  <c r="Y38" i="4"/>
  <c r="X38" i="4"/>
  <c r="W38" i="4"/>
  <c r="V38" i="4"/>
  <c r="Q38" i="4"/>
  <c r="P38" i="4"/>
  <c r="O38" i="4"/>
  <c r="G38" i="4"/>
  <c r="F38" i="4"/>
  <c r="E38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AJ37" i="4"/>
  <c r="AH37" i="4"/>
  <c r="AF37" i="4"/>
  <c r="AE37" i="4"/>
  <c r="AD37" i="4"/>
  <c r="AC37" i="4"/>
  <c r="Z37" i="4"/>
  <c r="Y37" i="4"/>
  <c r="X37" i="4"/>
  <c r="W37" i="4"/>
  <c r="V37" i="4"/>
  <c r="Q37" i="4"/>
  <c r="P37" i="4"/>
  <c r="O37" i="4"/>
  <c r="G37" i="4"/>
  <c r="F37" i="4"/>
  <c r="E37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AJ36" i="4"/>
  <c r="AH36" i="4"/>
  <c r="AF36" i="4"/>
  <c r="AE36" i="4"/>
  <c r="AD36" i="4"/>
  <c r="AC36" i="4"/>
  <c r="Z36" i="4"/>
  <c r="Y36" i="4"/>
  <c r="X36" i="4"/>
  <c r="W36" i="4"/>
  <c r="V36" i="4"/>
  <c r="Q36" i="4"/>
  <c r="P36" i="4"/>
  <c r="O36" i="4"/>
  <c r="G36" i="4"/>
  <c r="F36" i="4"/>
  <c r="E36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AJ35" i="4"/>
  <c r="AH35" i="4"/>
  <c r="AF35" i="4"/>
  <c r="AE35" i="4"/>
  <c r="AD35" i="4"/>
  <c r="AC35" i="4"/>
  <c r="Z35" i="4"/>
  <c r="Y35" i="4"/>
  <c r="X35" i="4"/>
  <c r="W35" i="4"/>
  <c r="V35" i="4"/>
  <c r="Q35" i="4"/>
  <c r="P35" i="4"/>
  <c r="O35" i="4"/>
  <c r="G35" i="4"/>
  <c r="F35" i="4"/>
  <c r="E35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AJ34" i="4"/>
  <c r="AH34" i="4"/>
  <c r="AF34" i="4"/>
  <c r="AE34" i="4"/>
  <c r="AD34" i="4"/>
  <c r="AC34" i="4"/>
  <c r="Z34" i="4"/>
  <c r="Y34" i="4"/>
  <c r="X34" i="4"/>
  <c r="W34" i="4"/>
  <c r="V34" i="4"/>
  <c r="Q34" i="4"/>
  <c r="P34" i="4"/>
  <c r="O34" i="4"/>
  <c r="G34" i="4"/>
  <c r="F34" i="4"/>
  <c r="E34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AJ33" i="4"/>
  <c r="AH33" i="4"/>
  <c r="AF33" i="4"/>
  <c r="AE33" i="4"/>
  <c r="AD33" i="4"/>
  <c r="AC33" i="4"/>
  <c r="Z33" i="4"/>
  <c r="Y33" i="4"/>
  <c r="X33" i="4"/>
  <c r="W33" i="4"/>
  <c r="V33" i="4"/>
  <c r="Q33" i="4"/>
  <c r="P33" i="4"/>
  <c r="O33" i="4"/>
  <c r="G33" i="4"/>
  <c r="F33" i="4"/>
  <c r="E33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AJ32" i="4"/>
  <c r="AH32" i="4"/>
  <c r="AF32" i="4"/>
  <c r="AE32" i="4"/>
  <c r="AD32" i="4"/>
  <c r="AC32" i="4"/>
  <c r="Z32" i="4"/>
  <c r="Y32" i="4"/>
  <c r="X32" i="4"/>
  <c r="W32" i="4"/>
  <c r="V32" i="4"/>
  <c r="Q32" i="4"/>
  <c r="P32" i="4"/>
  <c r="O32" i="4"/>
  <c r="G32" i="4"/>
  <c r="F32" i="4"/>
  <c r="E32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AJ31" i="4"/>
  <c r="AH31" i="4"/>
  <c r="AF31" i="4"/>
  <c r="AE31" i="4"/>
  <c r="AD31" i="4"/>
  <c r="AC31" i="4"/>
  <c r="Z31" i="4"/>
  <c r="Y31" i="4"/>
  <c r="X31" i="4"/>
  <c r="W31" i="4"/>
  <c r="V31" i="4"/>
  <c r="Q31" i="4"/>
  <c r="P31" i="4"/>
  <c r="O31" i="4"/>
  <c r="G31" i="4"/>
  <c r="F31" i="4"/>
  <c r="E31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AJ30" i="4"/>
  <c r="AH30" i="4"/>
  <c r="AF30" i="4"/>
  <c r="AE30" i="4"/>
  <c r="AD30" i="4"/>
  <c r="AC30" i="4"/>
  <c r="Z30" i="4"/>
  <c r="Y30" i="4"/>
  <c r="X30" i="4"/>
  <c r="W30" i="4"/>
  <c r="V30" i="4"/>
  <c r="Q30" i="4"/>
  <c r="P30" i="4"/>
  <c r="O30" i="4"/>
  <c r="G30" i="4"/>
  <c r="F30" i="4"/>
  <c r="E30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AJ29" i="4"/>
  <c r="AH29" i="4"/>
  <c r="AF29" i="4"/>
  <c r="AE29" i="4"/>
  <c r="AD29" i="4"/>
  <c r="AC29" i="4"/>
  <c r="Z29" i="4"/>
  <c r="Y29" i="4"/>
  <c r="X29" i="4"/>
  <c r="W29" i="4"/>
  <c r="V29" i="4"/>
  <c r="Q29" i="4"/>
  <c r="P29" i="4"/>
  <c r="O29" i="4"/>
  <c r="G29" i="4"/>
  <c r="F29" i="4"/>
  <c r="E29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AJ27" i="4"/>
  <c r="AH27" i="4"/>
  <c r="AF27" i="4"/>
  <c r="AE27" i="4"/>
  <c r="AD27" i="4"/>
  <c r="AC27" i="4"/>
  <c r="Z27" i="4"/>
  <c r="Y27" i="4"/>
  <c r="X27" i="4"/>
  <c r="W27" i="4"/>
  <c r="V27" i="4"/>
  <c r="Q27" i="4"/>
  <c r="P27" i="4"/>
  <c r="O27" i="4"/>
  <c r="G27" i="4"/>
  <c r="F27" i="4"/>
  <c r="E27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AJ26" i="4"/>
  <c r="AH26" i="4"/>
  <c r="AF26" i="4"/>
  <c r="AE26" i="4"/>
  <c r="AD26" i="4"/>
  <c r="AC26" i="4"/>
  <c r="Z26" i="4"/>
  <c r="Y26" i="4"/>
  <c r="X26" i="4"/>
  <c r="W26" i="4"/>
  <c r="V26" i="4"/>
  <c r="Q26" i="4"/>
  <c r="P26" i="4"/>
  <c r="O26" i="4"/>
  <c r="G26" i="4"/>
  <c r="F26" i="4"/>
  <c r="E26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AJ25" i="4"/>
  <c r="AH25" i="4"/>
  <c r="AF25" i="4"/>
  <c r="AE25" i="4"/>
  <c r="AD25" i="4"/>
  <c r="AC25" i="4"/>
  <c r="Z25" i="4"/>
  <c r="Y25" i="4"/>
  <c r="X25" i="4"/>
  <c r="W25" i="4"/>
  <c r="V25" i="4"/>
  <c r="Q25" i="4"/>
  <c r="P25" i="4"/>
  <c r="O25" i="4"/>
  <c r="G25" i="4"/>
  <c r="F25" i="4"/>
  <c r="E25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AJ24" i="4"/>
  <c r="AH24" i="4"/>
  <c r="AF24" i="4"/>
  <c r="AE24" i="4"/>
  <c r="AD24" i="4"/>
  <c r="AC24" i="4"/>
  <c r="Z24" i="4"/>
  <c r="Y24" i="4"/>
  <c r="X24" i="4"/>
  <c r="W24" i="4"/>
  <c r="V24" i="4"/>
  <c r="Q24" i="4"/>
  <c r="P24" i="4"/>
  <c r="O24" i="4"/>
  <c r="G24" i="4"/>
  <c r="F24" i="4"/>
  <c r="E24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AJ23" i="4"/>
  <c r="AH23" i="4"/>
  <c r="AF23" i="4"/>
  <c r="AE23" i="4"/>
  <c r="AD23" i="4"/>
  <c r="AC23" i="4"/>
  <c r="Z23" i="4"/>
  <c r="Y23" i="4"/>
  <c r="X23" i="4"/>
  <c r="W23" i="4"/>
  <c r="V23" i="4"/>
  <c r="Q23" i="4"/>
  <c r="P23" i="4"/>
  <c r="O23" i="4"/>
  <c r="G23" i="4"/>
  <c r="F23" i="4"/>
  <c r="E23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AJ22" i="4"/>
  <c r="AH22" i="4"/>
  <c r="AF22" i="4"/>
  <c r="AE22" i="4"/>
  <c r="AD22" i="4"/>
  <c r="AC22" i="4"/>
  <c r="Z22" i="4"/>
  <c r="Y22" i="4"/>
  <c r="X22" i="4"/>
  <c r="W22" i="4"/>
  <c r="V22" i="4"/>
  <c r="Q22" i="4"/>
  <c r="P22" i="4"/>
  <c r="O22" i="4"/>
  <c r="G22" i="4"/>
  <c r="F22" i="4"/>
  <c r="E22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AJ21" i="4"/>
  <c r="AH21" i="4"/>
  <c r="AF21" i="4"/>
  <c r="AE21" i="4"/>
  <c r="AD21" i="4"/>
  <c r="AC21" i="4"/>
  <c r="Z21" i="4"/>
  <c r="Y21" i="4"/>
  <c r="X21" i="4"/>
  <c r="W21" i="4"/>
  <c r="V21" i="4"/>
  <c r="Q21" i="4"/>
  <c r="P21" i="4"/>
  <c r="O21" i="4"/>
  <c r="G21" i="4"/>
  <c r="F21" i="4"/>
  <c r="E21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AJ20" i="4"/>
  <c r="AH20" i="4"/>
  <c r="AF20" i="4"/>
  <c r="AE20" i="4"/>
  <c r="AD20" i="4"/>
  <c r="AC20" i="4"/>
  <c r="Z20" i="4"/>
  <c r="Y20" i="4"/>
  <c r="X20" i="4"/>
  <c r="W20" i="4"/>
  <c r="V20" i="4"/>
  <c r="Q20" i="4"/>
  <c r="P20" i="4"/>
  <c r="O20" i="4"/>
  <c r="G20" i="4"/>
  <c r="F20" i="4"/>
  <c r="E20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AJ19" i="4"/>
  <c r="AH19" i="4"/>
  <c r="AF19" i="4"/>
  <c r="AE19" i="4"/>
  <c r="AD19" i="4"/>
  <c r="AC19" i="4"/>
  <c r="Z19" i="4"/>
  <c r="Y19" i="4"/>
  <c r="X19" i="4"/>
  <c r="W19" i="4"/>
  <c r="V19" i="4"/>
  <c r="Q19" i="4"/>
  <c r="P19" i="4"/>
  <c r="O19" i="4"/>
  <c r="G19" i="4"/>
  <c r="F19" i="4"/>
  <c r="E19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AJ18" i="4"/>
  <c r="AH18" i="4"/>
  <c r="AF18" i="4"/>
  <c r="AE18" i="4"/>
  <c r="AD18" i="4"/>
  <c r="AC18" i="4"/>
  <c r="Z18" i="4"/>
  <c r="Y18" i="4"/>
  <c r="X18" i="4"/>
  <c r="W18" i="4"/>
  <c r="V18" i="4"/>
  <c r="Q18" i="4"/>
  <c r="P18" i="4"/>
  <c r="O18" i="4"/>
  <c r="G18" i="4"/>
  <c r="F18" i="4"/>
  <c r="E18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AJ17" i="4"/>
  <c r="AH17" i="4"/>
  <c r="AF17" i="4"/>
  <c r="AE17" i="4"/>
  <c r="AD17" i="4"/>
  <c r="AC17" i="4"/>
  <c r="Z17" i="4"/>
  <c r="Y17" i="4"/>
  <c r="X17" i="4"/>
  <c r="W17" i="4"/>
  <c r="V17" i="4"/>
  <c r="Q17" i="4"/>
  <c r="P17" i="4"/>
  <c r="O17" i="4"/>
  <c r="G17" i="4"/>
  <c r="F17" i="4"/>
  <c r="E17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AJ15" i="4"/>
  <c r="AH15" i="4"/>
  <c r="AF15" i="4"/>
  <c r="AE15" i="4"/>
  <c r="AD15" i="4"/>
  <c r="AC15" i="4"/>
  <c r="Z15" i="4"/>
  <c r="Y15" i="4"/>
  <c r="X15" i="4"/>
  <c r="W15" i="4"/>
  <c r="V15" i="4"/>
  <c r="Q15" i="4"/>
  <c r="P15" i="4"/>
  <c r="O15" i="4"/>
  <c r="G15" i="4"/>
  <c r="F15" i="4"/>
  <c r="E15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AJ14" i="4"/>
  <c r="AH14" i="4"/>
  <c r="AF14" i="4"/>
  <c r="AE14" i="4"/>
  <c r="AD14" i="4"/>
  <c r="AC14" i="4"/>
  <c r="Z14" i="4"/>
  <c r="Y14" i="4"/>
  <c r="X14" i="4"/>
  <c r="W14" i="4"/>
  <c r="V14" i="4"/>
  <c r="Q14" i="4"/>
  <c r="P14" i="4"/>
  <c r="O14" i="4"/>
  <c r="G14" i="4"/>
  <c r="F14" i="4"/>
  <c r="E14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AJ13" i="4"/>
  <c r="AH13" i="4"/>
  <c r="AF13" i="4"/>
  <c r="AE13" i="4"/>
  <c r="AD13" i="4"/>
  <c r="AC13" i="4"/>
  <c r="Z13" i="4"/>
  <c r="Y13" i="4"/>
  <c r="X13" i="4"/>
  <c r="W13" i="4"/>
  <c r="V13" i="4"/>
  <c r="Q13" i="4"/>
  <c r="P13" i="4"/>
  <c r="O13" i="4"/>
  <c r="G13" i="4"/>
  <c r="F13" i="4"/>
  <c r="E13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AJ12" i="4"/>
  <c r="AH12" i="4"/>
  <c r="AF12" i="4"/>
  <c r="AE12" i="4"/>
  <c r="AD12" i="4"/>
  <c r="AC12" i="4"/>
  <c r="Z12" i="4"/>
  <c r="Y12" i="4"/>
  <c r="X12" i="4"/>
  <c r="W12" i="4"/>
  <c r="V12" i="4"/>
  <c r="Q12" i="4"/>
  <c r="P12" i="4"/>
  <c r="O12" i="4"/>
  <c r="G12" i="4"/>
  <c r="F12" i="4"/>
  <c r="E12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AJ11" i="4"/>
  <c r="AH11" i="4"/>
  <c r="AF11" i="4"/>
  <c r="AE11" i="4"/>
  <c r="AD11" i="4"/>
  <c r="AC11" i="4"/>
  <c r="Z11" i="4"/>
  <c r="Y11" i="4"/>
  <c r="X11" i="4"/>
  <c r="W11" i="4"/>
  <c r="V11" i="4"/>
  <c r="Q11" i="4"/>
  <c r="P11" i="4"/>
  <c r="O11" i="4"/>
  <c r="G11" i="4"/>
  <c r="F11" i="4"/>
  <c r="E11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AJ10" i="4"/>
  <c r="AH10" i="4"/>
  <c r="AF10" i="4"/>
  <c r="AE10" i="4"/>
  <c r="AD10" i="4"/>
  <c r="AC10" i="4"/>
  <c r="Z10" i="4"/>
  <c r="Y10" i="4"/>
  <c r="X10" i="4"/>
  <c r="W10" i="4"/>
  <c r="V10" i="4"/>
  <c r="Q10" i="4"/>
  <c r="P10" i="4"/>
  <c r="O10" i="4"/>
  <c r="G10" i="4"/>
  <c r="F10" i="4"/>
  <c r="E10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AJ9" i="4"/>
  <c r="AH9" i="4"/>
  <c r="AF9" i="4"/>
  <c r="AE9" i="4"/>
  <c r="AD9" i="4"/>
  <c r="AC9" i="4"/>
  <c r="Z9" i="4"/>
  <c r="Y9" i="4"/>
  <c r="X9" i="4"/>
  <c r="W9" i="4"/>
  <c r="V9" i="4"/>
  <c r="Q9" i="4"/>
  <c r="P9" i="4"/>
  <c r="O9" i="4"/>
  <c r="G9" i="4"/>
  <c r="F9" i="4"/>
  <c r="E9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AJ8" i="4"/>
  <c r="AH8" i="4"/>
  <c r="AF8" i="4"/>
  <c r="AE8" i="4"/>
  <c r="AD8" i="4"/>
  <c r="AC8" i="4"/>
  <c r="Z8" i="4"/>
  <c r="Y8" i="4"/>
  <c r="X8" i="4"/>
  <c r="W8" i="4"/>
  <c r="V8" i="4"/>
  <c r="Q8" i="4"/>
  <c r="P8" i="4"/>
  <c r="O8" i="4"/>
  <c r="G8" i="4"/>
  <c r="F8" i="4"/>
  <c r="E8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AJ7" i="4"/>
  <c r="AH7" i="4"/>
  <c r="AF7" i="4"/>
  <c r="AE7" i="4"/>
  <c r="AD7" i="4"/>
  <c r="AC7" i="4"/>
  <c r="Z7" i="4"/>
  <c r="Y7" i="4"/>
  <c r="X7" i="4"/>
  <c r="W7" i="4"/>
  <c r="V7" i="4"/>
  <c r="Q7" i="4"/>
  <c r="P7" i="4"/>
  <c r="O7" i="4"/>
  <c r="G7" i="4"/>
  <c r="F7" i="4"/>
  <c r="E7" i="4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AJ43" i="1"/>
  <c r="AH43" i="1"/>
  <c r="AF43" i="1"/>
  <c r="AE43" i="1"/>
  <c r="AD43" i="1"/>
  <c r="AC43" i="1"/>
  <c r="Z43" i="1"/>
  <c r="Y43" i="1"/>
  <c r="X43" i="1"/>
  <c r="W43" i="1"/>
  <c r="V43" i="1"/>
  <c r="Q43" i="1"/>
  <c r="P43" i="1"/>
  <c r="O43" i="1"/>
  <c r="G43" i="1"/>
  <c r="F43" i="1"/>
  <c r="E43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AJ42" i="1"/>
  <c r="AH42" i="1"/>
  <c r="AF42" i="1"/>
  <c r="AE42" i="1"/>
  <c r="AD42" i="1"/>
  <c r="AC42" i="1"/>
  <c r="Z42" i="1"/>
  <c r="Y42" i="1"/>
  <c r="X42" i="1"/>
  <c r="W42" i="1"/>
  <c r="V42" i="1"/>
  <c r="Q42" i="1"/>
  <c r="P42" i="1"/>
  <c r="O42" i="1"/>
  <c r="G42" i="1"/>
  <c r="F42" i="1"/>
  <c r="E42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AJ41" i="1"/>
  <c r="AH41" i="1"/>
  <c r="AF41" i="1"/>
  <c r="AE41" i="1"/>
  <c r="AD41" i="1"/>
  <c r="AC41" i="1"/>
  <c r="Z41" i="1"/>
  <c r="Y41" i="1"/>
  <c r="X41" i="1"/>
  <c r="W41" i="1"/>
  <c r="V41" i="1"/>
  <c r="Q41" i="1"/>
  <c r="P41" i="1"/>
  <c r="O41" i="1"/>
  <c r="G41" i="1"/>
  <c r="F41" i="1"/>
  <c r="E41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AJ40" i="1"/>
  <c r="AH40" i="1"/>
  <c r="AF40" i="1"/>
  <c r="AE40" i="1"/>
  <c r="AD40" i="1"/>
  <c r="AC40" i="1"/>
  <c r="Z40" i="1"/>
  <c r="Y40" i="1"/>
  <c r="X40" i="1"/>
  <c r="W40" i="1"/>
  <c r="V40" i="1"/>
  <c r="Q40" i="1"/>
  <c r="P40" i="1"/>
  <c r="O40" i="1"/>
  <c r="G40" i="1"/>
  <c r="F40" i="1"/>
  <c r="E40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AJ39" i="1"/>
  <c r="AH39" i="1"/>
  <c r="AF39" i="1"/>
  <c r="AE39" i="1"/>
  <c r="AD39" i="1"/>
  <c r="AC39" i="1"/>
  <c r="Z39" i="1"/>
  <c r="Y39" i="1"/>
  <c r="X39" i="1"/>
  <c r="W39" i="1"/>
  <c r="V39" i="1"/>
  <c r="Q39" i="1"/>
  <c r="P39" i="1"/>
  <c r="O39" i="1"/>
  <c r="G39" i="1"/>
  <c r="F39" i="1"/>
  <c r="E39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AJ38" i="1"/>
  <c r="AH38" i="1"/>
  <c r="AF38" i="1"/>
  <c r="AE38" i="1"/>
  <c r="AD38" i="1"/>
  <c r="AC38" i="1"/>
  <c r="Z38" i="1"/>
  <c r="Y38" i="1"/>
  <c r="X38" i="1"/>
  <c r="W38" i="1"/>
  <c r="V38" i="1"/>
  <c r="Q38" i="1"/>
  <c r="P38" i="1"/>
  <c r="O38" i="1"/>
  <c r="G38" i="1"/>
  <c r="F38" i="1"/>
  <c r="E38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AJ37" i="1"/>
  <c r="AH37" i="1"/>
  <c r="AF37" i="1"/>
  <c r="AE37" i="1"/>
  <c r="AD37" i="1"/>
  <c r="AC37" i="1"/>
  <c r="Z37" i="1"/>
  <c r="Y37" i="1"/>
  <c r="X37" i="1"/>
  <c r="W37" i="1"/>
  <c r="V37" i="1"/>
  <c r="Q37" i="1"/>
  <c r="P37" i="1"/>
  <c r="O37" i="1"/>
  <c r="G37" i="1"/>
  <c r="F37" i="1"/>
  <c r="E37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AJ36" i="1"/>
  <c r="AH36" i="1"/>
  <c r="AF36" i="1"/>
  <c r="AE36" i="1"/>
  <c r="AD36" i="1"/>
  <c r="AC36" i="1"/>
  <c r="Z36" i="1"/>
  <c r="Y36" i="1"/>
  <c r="X36" i="1"/>
  <c r="W36" i="1"/>
  <c r="V36" i="1"/>
  <c r="Q36" i="1"/>
  <c r="P36" i="1"/>
  <c r="O36" i="1"/>
  <c r="G36" i="1"/>
  <c r="F36" i="1"/>
  <c r="E36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AJ35" i="1"/>
  <c r="AH35" i="1"/>
  <c r="AF35" i="1"/>
  <c r="AE35" i="1"/>
  <c r="AD35" i="1"/>
  <c r="AC35" i="1"/>
  <c r="Z35" i="1"/>
  <c r="Y35" i="1"/>
  <c r="X35" i="1"/>
  <c r="W35" i="1"/>
  <c r="V35" i="1"/>
  <c r="Q35" i="1"/>
  <c r="P35" i="1"/>
  <c r="O35" i="1"/>
  <c r="G35" i="1"/>
  <c r="F35" i="1"/>
  <c r="E35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AJ34" i="1"/>
  <c r="AH34" i="1"/>
  <c r="AF34" i="1"/>
  <c r="AE34" i="1"/>
  <c r="AD34" i="1"/>
  <c r="AC34" i="1"/>
  <c r="Z34" i="1"/>
  <c r="Y34" i="1"/>
  <c r="X34" i="1"/>
  <c r="W34" i="1"/>
  <c r="V34" i="1"/>
  <c r="Q34" i="1"/>
  <c r="P34" i="1"/>
  <c r="O34" i="1"/>
  <c r="G34" i="1"/>
  <c r="F34" i="1"/>
  <c r="E34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AJ33" i="1"/>
  <c r="AH33" i="1"/>
  <c r="AF33" i="1"/>
  <c r="AE33" i="1"/>
  <c r="AD33" i="1"/>
  <c r="AC33" i="1"/>
  <c r="Z33" i="1"/>
  <c r="Y33" i="1"/>
  <c r="X33" i="1"/>
  <c r="W33" i="1"/>
  <c r="V33" i="1"/>
  <c r="Q33" i="1"/>
  <c r="P33" i="1"/>
  <c r="O33" i="1"/>
  <c r="G33" i="1"/>
  <c r="F33" i="1"/>
  <c r="E33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AJ32" i="1"/>
  <c r="AH32" i="1"/>
  <c r="AF32" i="1"/>
  <c r="AE32" i="1"/>
  <c r="AD32" i="1"/>
  <c r="AC32" i="1"/>
  <c r="Z32" i="1"/>
  <c r="Y32" i="1"/>
  <c r="X32" i="1"/>
  <c r="W32" i="1"/>
  <c r="V32" i="1"/>
  <c r="Q32" i="1"/>
  <c r="P32" i="1"/>
  <c r="O32" i="1"/>
  <c r="G32" i="1"/>
  <c r="F32" i="1"/>
  <c r="E32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AJ30" i="1"/>
  <c r="AH30" i="1"/>
  <c r="AF30" i="1"/>
  <c r="AE30" i="1"/>
  <c r="AD30" i="1"/>
  <c r="AC30" i="1"/>
  <c r="Z30" i="1"/>
  <c r="Y30" i="1"/>
  <c r="X30" i="1"/>
  <c r="W30" i="1"/>
  <c r="V30" i="1"/>
  <c r="Q30" i="1"/>
  <c r="P30" i="1"/>
  <c r="O30" i="1"/>
  <c r="G30" i="1"/>
  <c r="F30" i="1"/>
  <c r="E30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AJ29" i="1"/>
  <c r="AH29" i="1"/>
  <c r="AF29" i="1"/>
  <c r="AE29" i="1"/>
  <c r="AD29" i="1"/>
  <c r="AC29" i="1"/>
  <c r="Z29" i="1"/>
  <c r="Y29" i="1"/>
  <c r="X29" i="1"/>
  <c r="W29" i="1"/>
  <c r="V29" i="1"/>
  <c r="Q29" i="1"/>
  <c r="P29" i="1"/>
  <c r="O29" i="1"/>
  <c r="G29" i="1"/>
  <c r="F29" i="1"/>
  <c r="E29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AJ28" i="1"/>
  <c r="AH28" i="1"/>
  <c r="AF28" i="1"/>
  <c r="AE28" i="1"/>
  <c r="AD28" i="1"/>
  <c r="AC28" i="1"/>
  <c r="Z28" i="1"/>
  <c r="Y28" i="1"/>
  <c r="X28" i="1"/>
  <c r="W28" i="1"/>
  <c r="V28" i="1"/>
  <c r="Q28" i="1"/>
  <c r="P28" i="1"/>
  <c r="O28" i="1"/>
  <c r="G28" i="1"/>
  <c r="F28" i="1"/>
  <c r="E28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AJ27" i="1"/>
  <c r="AH27" i="1"/>
  <c r="AF27" i="1"/>
  <c r="AE27" i="1"/>
  <c r="AD27" i="1"/>
  <c r="AC27" i="1"/>
  <c r="Z27" i="1"/>
  <c r="Y27" i="1"/>
  <c r="X27" i="1"/>
  <c r="W27" i="1"/>
  <c r="V27" i="1"/>
  <c r="Q27" i="1"/>
  <c r="P27" i="1"/>
  <c r="O27" i="1"/>
  <c r="G27" i="1"/>
  <c r="F27" i="1"/>
  <c r="E27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AJ26" i="1"/>
  <c r="AH26" i="1"/>
  <c r="AF26" i="1"/>
  <c r="AE26" i="1"/>
  <c r="AD26" i="1"/>
  <c r="AC26" i="1"/>
  <c r="Z26" i="1"/>
  <c r="Y26" i="1"/>
  <c r="X26" i="1"/>
  <c r="W26" i="1"/>
  <c r="V26" i="1"/>
  <c r="Q26" i="1"/>
  <c r="P26" i="1"/>
  <c r="O26" i="1"/>
  <c r="G26" i="1"/>
  <c r="F26" i="1"/>
  <c r="E26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AJ25" i="1"/>
  <c r="AH25" i="1"/>
  <c r="AF25" i="1"/>
  <c r="AE25" i="1"/>
  <c r="AD25" i="1"/>
  <c r="AC25" i="1"/>
  <c r="Z25" i="1"/>
  <c r="Y25" i="1"/>
  <c r="X25" i="1"/>
  <c r="W25" i="1"/>
  <c r="V25" i="1"/>
  <c r="Q25" i="1"/>
  <c r="P25" i="1"/>
  <c r="O25" i="1"/>
  <c r="G25" i="1"/>
  <c r="F25" i="1"/>
  <c r="E25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AJ24" i="1"/>
  <c r="AH24" i="1"/>
  <c r="AF24" i="1"/>
  <c r="AE24" i="1"/>
  <c r="AD24" i="1"/>
  <c r="AC24" i="1"/>
  <c r="Z24" i="1"/>
  <c r="Y24" i="1"/>
  <c r="X24" i="1"/>
  <c r="W24" i="1"/>
  <c r="V24" i="1"/>
  <c r="Q24" i="1"/>
  <c r="P24" i="1"/>
  <c r="O24" i="1"/>
  <c r="G24" i="1"/>
  <c r="F24" i="1"/>
  <c r="E24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AJ23" i="1"/>
  <c r="AH23" i="1"/>
  <c r="AF23" i="1"/>
  <c r="AE23" i="1"/>
  <c r="AD23" i="1"/>
  <c r="AC23" i="1"/>
  <c r="Z23" i="1"/>
  <c r="Y23" i="1"/>
  <c r="X23" i="1"/>
  <c r="W23" i="1"/>
  <c r="V23" i="1"/>
  <c r="Q23" i="1"/>
  <c r="P23" i="1"/>
  <c r="O23" i="1"/>
  <c r="G23" i="1"/>
  <c r="F23" i="1"/>
  <c r="E23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AJ22" i="1"/>
  <c r="AH22" i="1"/>
  <c r="AF22" i="1"/>
  <c r="AE22" i="1"/>
  <c r="AD22" i="1"/>
  <c r="AC22" i="1"/>
  <c r="Z22" i="1"/>
  <c r="Y22" i="1"/>
  <c r="X22" i="1"/>
  <c r="W22" i="1"/>
  <c r="V22" i="1"/>
  <c r="Q22" i="1"/>
  <c r="P22" i="1"/>
  <c r="O22" i="1"/>
  <c r="G22" i="1"/>
  <c r="F22" i="1"/>
  <c r="E22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AJ21" i="1"/>
  <c r="AH21" i="1"/>
  <c r="AF21" i="1"/>
  <c r="AE21" i="1"/>
  <c r="AD21" i="1"/>
  <c r="AC21" i="1"/>
  <c r="Z21" i="1"/>
  <c r="Y21" i="1"/>
  <c r="X21" i="1"/>
  <c r="W21" i="1"/>
  <c r="V21" i="1"/>
  <c r="Q21" i="1"/>
  <c r="P21" i="1"/>
  <c r="O21" i="1"/>
  <c r="G21" i="1"/>
  <c r="F21" i="1"/>
  <c r="E21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AJ20" i="1"/>
  <c r="AH20" i="1"/>
  <c r="AF20" i="1"/>
  <c r="AE20" i="1"/>
  <c r="AD20" i="1"/>
  <c r="AC20" i="1"/>
  <c r="Z20" i="1"/>
  <c r="Y20" i="1"/>
  <c r="X20" i="1"/>
  <c r="W20" i="1"/>
  <c r="V20" i="1"/>
  <c r="Q20" i="1"/>
  <c r="P20" i="1"/>
  <c r="O20" i="1"/>
  <c r="G20" i="1"/>
  <c r="F20" i="1"/>
  <c r="E20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AJ19" i="1"/>
  <c r="AH19" i="1"/>
  <c r="AF19" i="1"/>
  <c r="AE19" i="1"/>
  <c r="AD19" i="1"/>
  <c r="AC19" i="1"/>
  <c r="Z19" i="1"/>
  <c r="Y19" i="1"/>
  <c r="X19" i="1"/>
  <c r="W19" i="1"/>
  <c r="V19" i="1"/>
  <c r="Q19" i="1"/>
  <c r="P19" i="1"/>
  <c r="O19" i="1"/>
  <c r="G19" i="1"/>
  <c r="F19" i="1"/>
  <c r="E19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AJ18" i="1"/>
  <c r="AH18" i="1"/>
  <c r="AF18" i="1"/>
  <c r="AE18" i="1"/>
  <c r="AD18" i="1"/>
  <c r="AC18" i="1"/>
  <c r="Z18" i="1"/>
  <c r="Y18" i="1"/>
  <c r="X18" i="1"/>
  <c r="W18" i="1"/>
  <c r="V18" i="1"/>
  <c r="Q18" i="1"/>
  <c r="P18" i="1"/>
  <c r="O18" i="1"/>
  <c r="G18" i="1"/>
  <c r="F18" i="1"/>
  <c r="E18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AJ16" i="1"/>
  <c r="AH16" i="1"/>
  <c r="AF16" i="1"/>
  <c r="AE16" i="1"/>
  <c r="AD16" i="1"/>
  <c r="AC16" i="1"/>
  <c r="Z16" i="1"/>
  <c r="Y16" i="1"/>
  <c r="X16" i="1"/>
  <c r="W16" i="1"/>
  <c r="V16" i="1"/>
  <c r="Q16" i="1"/>
  <c r="P16" i="1"/>
  <c r="O16" i="1"/>
  <c r="G16" i="1"/>
  <c r="F16" i="1"/>
  <c r="E16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AJ15" i="1"/>
  <c r="AH15" i="1"/>
  <c r="AF15" i="1"/>
  <c r="AE15" i="1"/>
  <c r="AD15" i="1"/>
  <c r="AC15" i="1"/>
  <c r="Z15" i="1"/>
  <c r="Y15" i="1"/>
  <c r="X15" i="1"/>
  <c r="W15" i="1"/>
  <c r="V15" i="1"/>
  <c r="Q15" i="1"/>
  <c r="P15" i="1"/>
  <c r="O15" i="1"/>
  <c r="G15" i="1"/>
  <c r="F15" i="1"/>
  <c r="E15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AJ14" i="1"/>
  <c r="AH14" i="1"/>
  <c r="AF14" i="1"/>
  <c r="AE14" i="1"/>
  <c r="AD14" i="1"/>
  <c r="AC14" i="1"/>
  <c r="Z14" i="1"/>
  <c r="Y14" i="1"/>
  <c r="X14" i="1"/>
  <c r="W14" i="1"/>
  <c r="V14" i="1"/>
  <c r="Q14" i="1"/>
  <c r="P14" i="1"/>
  <c r="O14" i="1"/>
  <c r="G14" i="1"/>
  <c r="F14" i="1"/>
  <c r="E14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AJ13" i="1"/>
  <c r="AH13" i="1"/>
  <c r="AF13" i="1"/>
  <c r="AE13" i="1"/>
  <c r="AD13" i="1"/>
  <c r="AC13" i="1"/>
  <c r="Z13" i="1"/>
  <c r="Y13" i="1"/>
  <c r="X13" i="1"/>
  <c r="W13" i="1"/>
  <c r="V13" i="1"/>
  <c r="Q13" i="1"/>
  <c r="P13" i="1"/>
  <c r="O13" i="1"/>
  <c r="G13" i="1"/>
  <c r="F13" i="1"/>
  <c r="E13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AJ12" i="1"/>
  <c r="AH12" i="1"/>
  <c r="AF12" i="1"/>
  <c r="AE12" i="1"/>
  <c r="AD12" i="1"/>
  <c r="AC12" i="1"/>
  <c r="Z12" i="1"/>
  <c r="Y12" i="1"/>
  <c r="X12" i="1"/>
  <c r="W12" i="1"/>
  <c r="V12" i="1"/>
  <c r="Q12" i="1"/>
  <c r="P12" i="1"/>
  <c r="O12" i="1"/>
  <c r="G12" i="1"/>
  <c r="F12" i="1"/>
  <c r="E12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AJ11" i="1"/>
  <c r="AH11" i="1"/>
  <c r="AF11" i="1"/>
  <c r="AE11" i="1"/>
  <c r="AD11" i="1"/>
  <c r="AC11" i="1"/>
  <c r="Z11" i="1"/>
  <c r="Y11" i="1"/>
  <c r="X11" i="1"/>
  <c r="W11" i="1"/>
  <c r="V11" i="1"/>
  <c r="Q11" i="1"/>
  <c r="P11" i="1"/>
  <c r="O11" i="1"/>
  <c r="G11" i="1"/>
  <c r="F11" i="1"/>
  <c r="E11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AJ10" i="1"/>
  <c r="AH10" i="1"/>
  <c r="AF10" i="1"/>
  <c r="AE10" i="1"/>
  <c r="AD10" i="1"/>
  <c r="AC10" i="1"/>
  <c r="Z10" i="1"/>
  <c r="Y10" i="1"/>
  <c r="X10" i="1"/>
  <c r="W10" i="1"/>
  <c r="V10" i="1"/>
  <c r="Q10" i="1"/>
  <c r="P10" i="1"/>
  <c r="O10" i="1"/>
  <c r="G10" i="1"/>
  <c r="F10" i="1"/>
  <c r="E10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AJ9" i="1"/>
  <c r="AH9" i="1"/>
  <c r="AF9" i="1"/>
  <c r="AE9" i="1"/>
  <c r="AD9" i="1"/>
  <c r="AC9" i="1"/>
  <c r="Z9" i="1"/>
  <c r="Y9" i="1"/>
  <c r="X9" i="1"/>
  <c r="W9" i="1"/>
  <c r="V9" i="1"/>
  <c r="Q9" i="1"/>
  <c r="P9" i="1"/>
  <c r="O9" i="1"/>
  <c r="G9" i="1"/>
  <c r="F9" i="1"/>
  <c r="E9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AJ8" i="1"/>
  <c r="AH8" i="1"/>
  <c r="AF8" i="1"/>
  <c r="AE8" i="1"/>
  <c r="AD8" i="1"/>
  <c r="AC8" i="1"/>
  <c r="Z8" i="1"/>
  <c r="Y8" i="1"/>
  <c r="X8" i="1"/>
  <c r="W8" i="1"/>
  <c r="V8" i="1"/>
  <c r="Q8" i="1"/>
  <c r="P8" i="1"/>
  <c r="O8" i="1"/>
  <c r="G8" i="1"/>
  <c r="F8" i="1"/>
  <c r="E8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AJ7" i="1"/>
  <c r="AH7" i="1"/>
  <c r="AF7" i="1"/>
  <c r="AE7" i="1"/>
  <c r="AD7" i="1"/>
  <c r="AC7" i="1"/>
  <c r="Z7" i="1"/>
  <c r="Y7" i="1"/>
  <c r="X7" i="1"/>
  <c r="W7" i="1"/>
  <c r="V7" i="1"/>
  <c r="Q7" i="1"/>
  <c r="P7" i="1"/>
  <c r="O7" i="1"/>
  <c r="G7" i="1"/>
  <c r="F7" i="1"/>
  <c r="E7" i="1"/>
  <c r="J36" i="11" l="1"/>
  <c r="AA14" i="11"/>
  <c r="E40" i="8"/>
  <c r="E42" i="8" s="1"/>
  <c r="AA4" i="8" s="1"/>
  <c r="AB15" i="11"/>
  <c r="AB6" i="11"/>
  <c r="AK4" i="11"/>
  <c r="AA4" i="11"/>
  <c r="AF4" i="11" s="1"/>
  <c r="J7" i="11"/>
  <c r="O5" i="11" s="1"/>
  <c r="J11" i="11"/>
  <c r="O6" i="11" s="1"/>
  <c r="O7" i="11"/>
  <c r="Z7" i="11"/>
  <c r="E7" i="8"/>
  <c r="V4" i="8" s="1"/>
  <c r="X12" i="8" s="1"/>
  <c r="J7" i="8"/>
  <c r="AB4" i="8" s="1"/>
  <c r="Y12" i="8" s="1"/>
  <c r="L7" i="8"/>
  <c r="AB6" i="8" s="1"/>
  <c r="Y14" i="8" s="1"/>
  <c r="Q7" i="8"/>
  <c r="AH6" i="8" s="1"/>
  <c r="Z14" i="8" s="1"/>
  <c r="P7" i="8"/>
  <c r="AH5" i="8" s="1"/>
  <c r="Z13" i="8" s="1"/>
  <c r="F7" i="8"/>
  <c r="V5" i="8" s="1"/>
  <c r="X13" i="8" s="1"/>
  <c r="K7" i="8"/>
  <c r="AB5" i="8" s="1"/>
  <c r="Y13" i="8" s="1"/>
  <c r="AT13" i="8"/>
  <c r="J42" i="8"/>
  <c r="AG4" i="8" s="1"/>
  <c r="Y37" i="8" s="1"/>
  <c r="H3" i="8"/>
  <c r="H7" i="8" s="1"/>
  <c r="V7" i="8" s="1"/>
  <c r="X15" i="8" s="1"/>
  <c r="AN13" i="8"/>
  <c r="AU13" i="8"/>
  <c r="AM13" i="8"/>
  <c r="G7" i="8"/>
  <c r="V6" i="8" s="1"/>
  <c r="X14" i="8" s="1"/>
  <c r="AJ13" i="8" s="1"/>
  <c r="M3" i="8"/>
  <c r="M7" i="8" s="1"/>
  <c r="AB7" i="8" s="1"/>
  <c r="Y15" i="8" s="1"/>
  <c r="AR13" i="8" s="1"/>
  <c r="N7" i="8"/>
  <c r="O7" i="8"/>
  <c r="AH4" i="8" s="1"/>
  <c r="Z12" i="8" s="1"/>
  <c r="AE13" i="8"/>
  <c r="K42" i="8"/>
  <c r="AG5" i="8" s="1"/>
  <c r="Y38" i="8" s="1"/>
  <c r="R3" i="8"/>
  <c r="J21" i="8"/>
  <c r="AD4" i="8" s="1"/>
  <c r="Y22" i="8" s="1"/>
  <c r="Z15" i="11"/>
  <c r="K35" i="8"/>
  <c r="AF5" i="8" s="1"/>
  <c r="Y33" i="8" s="1"/>
  <c r="AA16" i="11"/>
  <c r="AB17" i="11"/>
  <c r="J57" i="11"/>
  <c r="O21" i="11" s="1"/>
  <c r="Z21" i="11"/>
  <c r="AE7" i="11" s="1"/>
  <c r="AB19" i="11"/>
  <c r="Z11" i="11"/>
  <c r="AE5" i="11" s="1"/>
  <c r="J30" i="11"/>
  <c r="S7" i="8"/>
  <c r="BZ60" i="2"/>
  <c r="CA60" i="2"/>
  <c r="CA65" i="2"/>
  <c r="BZ65" i="2"/>
  <c r="CA69" i="2"/>
  <c r="BZ69" i="2"/>
  <c r="BZ61" i="2"/>
  <c r="CA61" i="2"/>
  <c r="BZ70" i="2"/>
  <c r="CA70" i="2"/>
  <c r="CA59" i="4"/>
  <c r="BZ59" i="4"/>
  <c r="CA57" i="4"/>
  <c r="BZ57" i="4"/>
  <c r="BZ45" i="1"/>
  <c r="CA45" i="1"/>
  <c r="CA52" i="1"/>
  <c r="BZ52" i="1"/>
  <c r="CA51" i="1"/>
  <c r="BZ51" i="1"/>
  <c r="CA48" i="1"/>
  <c r="BZ48" i="1"/>
  <c r="CA49" i="1"/>
  <c r="BZ49" i="1"/>
  <c r="CA54" i="1"/>
  <c r="BZ54" i="1"/>
  <c r="AA20" i="11"/>
  <c r="AA19" i="11"/>
  <c r="AB21" i="11"/>
  <c r="O20" i="11"/>
  <c r="O42" i="8"/>
  <c r="AM4" i="8" s="1"/>
  <c r="Z37" i="8" s="1"/>
  <c r="AE37" i="8"/>
  <c r="G42" i="8"/>
  <c r="AA6" i="8" s="1"/>
  <c r="X39" i="8" s="1"/>
  <c r="L42" i="8"/>
  <c r="AG6" i="8" s="1"/>
  <c r="Y39" i="8" s="1"/>
  <c r="AE39" i="8"/>
  <c r="Q42" i="8"/>
  <c r="AM6" i="8" s="1"/>
  <c r="Z39" i="8" s="1"/>
  <c r="AE38" i="8"/>
  <c r="P42" i="8"/>
  <c r="AM5" i="8" s="1"/>
  <c r="F42" i="8"/>
  <c r="AA5" i="8" s="1"/>
  <c r="X38" i="8" s="1"/>
  <c r="AN18" i="8"/>
  <c r="AU18" i="8"/>
  <c r="AM18" i="8"/>
  <c r="AT18" i="8"/>
  <c r="AA21" i="11"/>
  <c r="AB9" i="11"/>
  <c r="AB11" i="11"/>
  <c r="J34" i="11"/>
  <c r="O14" i="11" s="1"/>
  <c r="K28" i="8"/>
  <c r="AE5" i="8" s="1"/>
  <c r="Y28" i="8" s="1"/>
  <c r="F28" i="8"/>
  <c r="Y5" i="8" s="1"/>
  <c r="X28" i="8" s="1"/>
  <c r="L28" i="8"/>
  <c r="AE6" i="8" s="1"/>
  <c r="Y29" i="8" s="1"/>
  <c r="Z17" i="11"/>
  <c r="Z18" i="11"/>
  <c r="AB20" i="11"/>
  <c r="M21" i="8"/>
  <c r="AD7" i="8" s="1"/>
  <c r="Y25" i="8" s="1"/>
  <c r="AB10" i="11"/>
  <c r="F21" i="8"/>
  <c r="X5" i="8" s="1"/>
  <c r="X23" i="8" s="1"/>
  <c r="L21" i="8"/>
  <c r="AD6" i="8" s="1"/>
  <c r="Y24" i="8" s="1"/>
  <c r="G35" i="8"/>
  <c r="Z6" i="8" s="1"/>
  <c r="X34" i="8" s="1"/>
  <c r="M35" i="8"/>
  <c r="AF7" i="8" s="1"/>
  <c r="Y35" i="8" s="1"/>
  <c r="E22" i="11"/>
  <c r="AB12" i="11" s="1"/>
  <c r="J38" i="11"/>
  <c r="O15" i="11" s="1"/>
  <c r="N21" i="8"/>
  <c r="AU15" i="8"/>
  <c r="AA18" i="11"/>
  <c r="I21" i="8"/>
  <c r="X8" i="8" s="1"/>
  <c r="X26" i="8" s="1"/>
  <c r="L35" i="8"/>
  <c r="AF6" i="8" s="1"/>
  <c r="Y34" i="8" s="1"/>
  <c r="F35" i="8"/>
  <c r="Z5" i="8" s="1"/>
  <c r="X33" i="8" s="1"/>
  <c r="N10" i="8"/>
  <c r="AK8" i="11"/>
  <c r="AG8" i="11"/>
  <c r="H28" i="8"/>
  <c r="Y7" i="8" s="1"/>
  <c r="X30" i="8" s="1"/>
  <c r="AE29" i="8"/>
  <c r="Q28" i="8"/>
  <c r="AK6" i="8" s="1"/>
  <c r="Z29" i="8" s="1"/>
  <c r="P28" i="8"/>
  <c r="AK5" i="8" s="1"/>
  <c r="Z28" i="8" s="1"/>
  <c r="AE28" i="8"/>
  <c r="O28" i="8"/>
  <c r="AK4" i="8" s="1"/>
  <c r="Z27" i="8" s="1"/>
  <c r="AE27" i="8"/>
  <c r="J51" i="11"/>
  <c r="O19" i="11" s="1"/>
  <c r="G14" i="8"/>
  <c r="W6" i="8" s="1"/>
  <c r="X19" i="8" s="1"/>
  <c r="S11" i="8"/>
  <c r="R28" i="8"/>
  <c r="AK7" i="8" s="1"/>
  <c r="Z30" i="8" s="1"/>
  <c r="K14" i="8"/>
  <c r="AC5" i="8" s="1"/>
  <c r="Y18" i="8" s="1"/>
  <c r="AU16" i="8"/>
  <c r="AA11" i="11"/>
  <c r="E22" i="7"/>
  <c r="E10" i="8"/>
  <c r="G17" i="8"/>
  <c r="G21" i="8" s="1"/>
  <c r="X6" i="8" s="1"/>
  <c r="X24" i="8" s="1"/>
  <c r="E21" i="8"/>
  <c r="X4" i="8" s="1"/>
  <c r="X22" i="8" s="1"/>
  <c r="AM15" i="8"/>
  <c r="AT15" i="8"/>
  <c r="M14" i="8"/>
  <c r="Q14" i="8"/>
  <c r="AI6" i="8" s="1"/>
  <c r="Z19" i="8" s="1"/>
  <c r="AN15" i="8"/>
  <c r="P21" i="8"/>
  <c r="AJ5" i="8" s="1"/>
  <c r="Z23" i="8" s="1"/>
  <c r="AE23" i="8"/>
  <c r="P14" i="8"/>
  <c r="AI5" i="8" s="1"/>
  <c r="Z18" i="8" s="1"/>
  <c r="AE18" i="8"/>
  <c r="AE31" i="8"/>
  <c r="AE17" i="8"/>
  <c r="O14" i="8"/>
  <c r="AI4" i="8" s="1"/>
  <c r="Z17" i="8" s="1"/>
  <c r="AE33" i="8"/>
  <c r="P35" i="8"/>
  <c r="AL5" i="8" s="1"/>
  <c r="Z33" i="8" s="1"/>
  <c r="H35" i="8"/>
  <c r="Z7" i="8" s="1"/>
  <c r="X35" i="8" s="1"/>
  <c r="AM17" i="8"/>
  <c r="AT17" i="8"/>
  <c r="F14" i="8"/>
  <c r="W5" i="8" s="1"/>
  <c r="X18" i="8" s="1"/>
  <c r="R14" i="8"/>
  <c r="AU14" i="8"/>
  <c r="AN14" i="8"/>
  <c r="L14" i="8"/>
  <c r="AC6" i="8" s="1"/>
  <c r="Y19" i="8" s="1"/>
  <c r="I24" i="8"/>
  <c r="I28" i="8" s="1"/>
  <c r="Y8" i="8" s="1"/>
  <c r="X31" i="8" s="1"/>
  <c r="I10" i="8"/>
  <c r="N25" i="8"/>
  <c r="N28" i="8" s="1"/>
  <c r="AE8" i="8" s="1"/>
  <c r="Y31" i="8" s="1"/>
  <c r="N11" i="8"/>
  <c r="AT14" i="8"/>
  <c r="AM14" i="8"/>
  <c r="S26" i="8"/>
  <c r="AC31" i="8" s="1"/>
  <c r="S12" i="8"/>
  <c r="AE25" i="8"/>
  <c r="R21" i="8"/>
  <c r="AJ7" i="8" s="1"/>
  <c r="Z25" i="8" s="1"/>
  <c r="O35" i="8"/>
  <c r="AL4" i="8" s="1"/>
  <c r="Z32" i="8" s="1"/>
  <c r="AE32" i="8"/>
  <c r="AN17" i="8"/>
  <c r="AU17" i="8"/>
  <c r="J14" i="8"/>
  <c r="AC4" i="8" s="1"/>
  <c r="Y17" i="8" s="1"/>
  <c r="H21" i="8"/>
  <c r="X7" i="8" s="1"/>
  <c r="X25" i="8" s="1"/>
  <c r="AE22" i="8"/>
  <c r="O21" i="8"/>
  <c r="AJ4" i="8" s="1"/>
  <c r="Z22" i="8" s="1"/>
  <c r="AE26" i="8"/>
  <c r="S21" i="8"/>
  <c r="AJ8" i="8" s="1"/>
  <c r="Z26" i="8" s="1"/>
  <c r="J35" i="8"/>
  <c r="AF4" i="8" s="1"/>
  <c r="Y32" i="8" s="1"/>
  <c r="AN16" i="8"/>
  <c r="J40" i="11"/>
  <c r="J65" i="11"/>
  <c r="O24" i="11" s="1"/>
  <c r="AA24" i="11"/>
  <c r="K21" i="8"/>
  <c r="AD5" i="8" s="1"/>
  <c r="Y23" i="8" s="1"/>
  <c r="R35" i="8"/>
  <c r="AL7" i="8" s="1"/>
  <c r="Z35" i="8" s="1"/>
  <c r="S10" i="8"/>
  <c r="I12" i="8"/>
  <c r="Q17" i="8"/>
  <c r="Q35" i="8"/>
  <c r="AL6" i="8" s="1"/>
  <c r="Z34" i="8" s="1"/>
  <c r="J24" i="11"/>
  <c r="J23" i="11"/>
  <c r="AA10" i="11"/>
  <c r="Z25" i="11"/>
  <c r="AE8" i="11" s="1"/>
  <c r="J29" i="11"/>
  <c r="AA12" i="11"/>
  <c r="J44" i="11"/>
  <c r="O17" i="11" s="1"/>
  <c r="J70" i="11"/>
  <c r="O27" i="11"/>
  <c r="E74" i="7"/>
  <c r="E33" i="8" s="1"/>
  <c r="E35" i="8" s="1"/>
  <c r="Z4" i="8" s="1"/>
  <c r="X32" i="8" s="1"/>
  <c r="I11" i="8"/>
  <c r="N12" i="8"/>
  <c r="AE35" i="8"/>
  <c r="J20" i="11"/>
  <c r="O9" i="11" s="1"/>
  <c r="O11" i="11"/>
  <c r="E38" i="11"/>
  <c r="J42" i="11"/>
  <c r="O25" i="11"/>
  <c r="J71" i="11"/>
  <c r="AA26" i="11"/>
  <c r="AI7" i="11" l="1"/>
  <c r="AI6" i="11"/>
  <c r="AI4" i="11"/>
  <c r="AJ4" i="11"/>
  <c r="AR18" i="8"/>
  <c r="AQ13" i="8"/>
  <c r="AK13" i="8"/>
  <c r="R7" i="8"/>
  <c r="AH7" i="8" s="1"/>
  <c r="Z15" i="8" s="1"/>
  <c r="AS13" i="8" s="1"/>
  <c r="AE15" i="8"/>
  <c r="AV13" i="8" s="1"/>
  <c r="AJ6" i="11"/>
  <c r="AF7" i="11"/>
  <c r="AK7" i="11"/>
  <c r="AJ7" i="11"/>
  <c r="AG5" i="11"/>
  <c r="AI5" i="11"/>
  <c r="AE6" i="11"/>
  <c r="AK18" i="8"/>
  <c r="AJ18" i="8"/>
  <c r="AQ18" i="8"/>
  <c r="AV18" i="8"/>
  <c r="AO18" i="8"/>
  <c r="O26" i="11"/>
  <c r="U8" i="11" s="1"/>
  <c r="AS18" i="8"/>
  <c r="AL18" i="8"/>
  <c r="AK5" i="11"/>
  <c r="AF5" i="11"/>
  <c r="O10" i="11"/>
  <c r="U5" i="11" s="1"/>
  <c r="J28" i="11"/>
  <c r="AG7" i="11"/>
  <c r="AF6" i="11"/>
  <c r="AR15" i="8"/>
  <c r="AI8" i="11"/>
  <c r="U7" i="11"/>
  <c r="T7" i="11"/>
  <c r="AJ17" i="8"/>
  <c r="AQ17" i="8"/>
  <c r="O16" i="11"/>
  <c r="AO16" i="8"/>
  <c r="AV16" i="8"/>
  <c r="AQ15" i="8"/>
  <c r="AJ15" i="8"/>
  <c r="AB18" i="11"/>
  <c r="J46" i="11"/>
  <c r="O18" i="11" s="1"/>
  <c r="AK16" i="8"/>
  <c r="AR16" i="8"/>
  <c r="AV17" i="8"/>
  <c r="AO17" i="8"/>
  <c r="AK15" i="8"/>
  <c r="AF8" i="11"/>
  <c r="AJ8" i="11"/>
  <c r="AK14" i="8"/>
  <c r="AR14" i="8"/>
  <c r="AS17" i="8"/>
  <c r="AL17" i="8"/>
  <c r="AT16" i="8"/>
  <c r="AM16" i="8"/>
  <c r="AL14" i="8"/>
  <c r="AS14" i="8"/>
  <c r="E14" i="8"/>
  <c r="W4" i="8" s="1"/>
  <c r="X17" i="8" s="1"/>
  <c r="H10" i="8"/>
  <c r="H14" i="8" s="1"/>
  <c r="AE24" i="8"/>
  <c r="AV15" i="8" s="1"/>
  <c r="Q21" i="8"/>
  <c r="AJ6" i="8" s="1"/>
  <c r="Z24" i="8" s="1"/>
  <c r="AL15" i="8" s="1"/>
  <c r="AQ16" i="8"/>
  <c r="AJ16" i="8"/>
  <c r="AJ5" i="11"/>
  <c r="AR17" i="8"/>
  <c r="AK17" i="8"/>
  <c r="AO14" i="8"/>
  <c r="AV14" i="8"/>
  <c r="S28" i="8"/>
  <c r="AK8" i="8" s="1"/>
  <c r="Z31" i="8" s="1"/>
  <c r="AO15" i="8" l="1"/>
  <c r="U4" i="11"/>
  <c r="AL13" i="8"/>
  <c r="AO13" i="8"/>
  <c r="T5" i="11"/>
  <c r="P3" i="11"/>
  <c r="T8" i="11"/>
  <c r="AG6" i="11"/>
  <c r="AK6" i="11"/>
  <c r="U6" i="11"/>
  <c r="T6" i="11"/>
  <c r="AS15" i="8"/>
  <c r="AQ14" i="8"/>
  <c r="AJ14" i="8"/>
  <c r="AL16" i="8"/>
  <c r="AS16" i="8"/>
</calcChain>
</file>

<file path=xl/sharedStrings.xml><?xml version="1.0" encoding="utf-8"?>
<sst xmlns="http://schemas.openxmlformats.org/spreadsheetml/2006/main" count="1549" uniqueCount="306">
  <si>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</si>
  <si>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</si>
  <si>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</si>
  <si>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</si>
  <si>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</si>
  <si>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</si>
  <si>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</si>
  <si>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</si>
  <si>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</si>
  <si>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</si>
  <si>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</si>
  <si>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</si>
  <si>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</si>
  <si>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</si>
  <si>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</si>
  <si>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</si>
  <si>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</si>
  <si>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</si>
  <si>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</si>
  <si>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</si>
  <si>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</si>
  <si>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</si>
  <si>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</si>
  <si>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</si>
  <si>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</si>
  <si>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</si>
  <si>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</si>
  <si>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</si>
  <si>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</si>
  <si>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</si>
  <si>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</si>
  <si>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</si>
  <si>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</si>
  <si>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</si>
  <si>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</si>
  <si>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</si>
  <si>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</si>
  <si>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</si>
  <si>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</si>
  <si>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</si>
  <si>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</si>
  <si>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</si>
  <si>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</si>
  <si>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</si>
  <si>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</si>
  <si>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</si>
  <si>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</si>
  <si>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</si>
  <si>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</si>
  <si>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</si>
  <si>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</si>
  <si>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</si>
  <si>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</si>
  <si>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</si>
  <si>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</si>
  <si>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</si>
  <si>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</si>
  <si>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</si>
  <si>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</si>
  <si>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</si>
  <si>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</si>
  <si>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</si>
  <si>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</si>
  <si>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</si>
  <si>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</si>
  <si>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</si>
  <si>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</si>
  <si>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</si>
  <si>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</si>
  <si>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</si>
  <si>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</si>
  <si>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</si>
  <si>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</si>
  <si>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</si>
  <si>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</si>
  <si>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</si>
  <si>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</si>
  <si>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</si>
  <si>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</si>
  <si>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</si>
  <si>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</si>
  <si>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</si>
  <si>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</si>
  <si>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</si>
  <si>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</si>
  <si>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</si>
  <si>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</si>
  <si>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04:07:02</t>
  </si>
  <si>
    <t>04:08:04</t>
  </si>
  <si>
    <t>04:09:06</t>
  </si>
  <si>
    <t>04:10:08</t>
  </si>
  <si>
    <t>04:11:10</t>
  </si>
  <si>
    <t>04:12:12</t>
  </si>
  <si>
    <t>04:13:14</t>
  </si>
  <si>
    <t>04:14:16</t>
  </si>
  <si>
    <t>04:15:18</t>
  </si>
  <si>
    <t>04:18:59</t>
  </si>
  <si>
    <t>10oC</t>
  </si>
  <si>
    <t>05:57:12</t>
  </si>
  <si>
    <t>05:58:14</t>
  </si>
  <si>
    <t>05:59:16</t>
  </si>
  <si>
    <t>06:00:18</t>
  </si>
  <si>
    <t>06:01:20</t>
  </si>
  <si>
    <t>06:02:22</t>
  </si>
  <si>
    <t>06:03:24</t>
  </si>
  <si>
    <t>06:05:28</t>
  </si>
  <si>
    <t>06:06:30</t>
  </si>
  <si>
    <t>06:07:32</t>
  </si>
  <si>
    <t>06:10:35</t>
  </si>
  <si>
    <t>06:10:37</t>
  </si>
  <si>
    <t>03:14:55</t>
  </si>
  <si>
    <t>03:15:57</t>
  </si>
  <si>
    <t>03:16:59</t>
  </si>
  <si>
    <t>03:18:01</t>
  </si>
  <si>
    <t>03:20:05</t>
  </si>
  <si>
    <t>03:21:07</t>
  </si>
  <si>
    <t>03:23:11</t>
  </si>
  <si>
    <t>03:24:13</t>
  </si>
  <si>
    <t>03:25:15</t>
  </si>
  <si>
    <t>20oC</t>
  </si>
  <si>
    <t>Enter</t>
  </si>
  <si>
    <t>PPFD</t>
  </si>
  <si>
    <t>Jmax</t>
  </si>
  <si>
    <t>Tau</t>
  </si>
  <si>
    <t>Curveture</t>
  </si>
  <si>
    <t>SSD</t>
  </si>
  <si>
    <t>A act</t>
  </si>
  <si>
    <t>A pred</t>
  </si>
  <si>
    <t>15oC</t>
  </si>
  <si>
    <t>a</t>
  </si>
  <si>
    <t>Light comp</t>
  </si>
  <si>
    <t>b</t>
  </si>
  <si>
    <t>Quantum eff</t>
  </si>
  <si>
    <t>c</t>
  </si>
  <si>
    <t>Asat</t>
  </si>
  <si>
    <t>A pred (mono)</t>
  </si>
  <si>
    <t xml:space="preserve"> </t>
  </si>
  <si>
    <t>03:30:55</t>
  </si>
  <si>
    <t>03:32:09</t>
  </si>
  <si>
    <t>03:33:23</t>
  </si>
  <si>
    <t>03:34:38</t>
  </si>
  <si>
    <t>03:35:52</t>
  </si>
  <si>
    <t>03:37:06</t>
  </si>
  <si>
    <t>03:38:20</t>
  </si>
  <si>
    <t>03:39:34</t>
  </si>
  <si>
    <t>03:40:48</t>
  </si>
  <si>
    <t>03:42:02</t>
  </si>
  <si>
    <t>03:43:16</t>
  </si>
  <si>
    <t>03:44:30</t>
  </si>
  <si>
    <t>03:45:44</t>
  </si>
  <si>
    <t>02:21:46</t>
  </si>
  <si>
    <t>02:23:00</t>
  </si>
  <si>
    <t>02:24:14</t>
  </si>
  <si>
    <t>02:25:28</t>
  </si>
  <si>
    <t>02:26:42</t>
  </si>
  <si>
    <t>02:27:56</t>
  </si>
  <si>
    <t>02:29:10</t>
  </si>
  <si>
    <t>02:30:24</t>
  </si>
  <si>
    <t>02:31:38</t>
  </si>
  <si>
    <t>02:32:52</t>
  </si>
  <si>
    <t>02:36:21</t>
  </si>
  <si>
    <t>01:48:35</t>
  </si>
  <si>
    <t>01:49:49</t>
  </si>
  <si>
    <t>01:51:03</t>
  </si>
  <si>
    <t>01:52:17</t>
  </si>
  <si>
    <t>01:53:32</t>
  </si>
  <si>
    <t>01:54:47</t>
  </si>
  <si>
    <t>01:56:01</t>
  </si>
  <si>
    <t>01:57:16</t>
  </si>
  <si>
    <t>01:58:30</t>
  </si>
  <si>
    <t>01:59:44</t>
  </si>
  <si>
    <t>02:00:58</t>
  </si>
  <si>
    <t>02:02:12</t>
  </si>
  <si>
    <t>Spp</t>
  </si>
  <si>
    <t>Rep</t>
  </si>
  <si>
    <t>Temp</t>
  </si>
  <si>
    <t>A. mag</t>
  </si>
  <si>
    <t>P. cookii</t>
  </si>
  <si>
    <t>P. pratensis</t>
  </si>
  <si>
    <t>06:25:46</t>
  </si>
  <si>
    <t>06:30:07</t>
  </si>
  <si>
    <t>06:32:14</t>
  </si>
  <si>
    <t>06:34:52</t>
  </si>
  <si>
    <t>06:37:16</t>
  </si>
  <si>
    <t>06:39:31</t>
  </si>
  <si>
    <t>06:42:55</t>
  </si>
  <si>
    <t>06:45:10</t>
  </si>
  <si>
    <t>06:47:14</t>
  </si>
  <si>
    <t>06:49:57</t>
  </si>
  <si>
    <t>06:53:21</t>
  </si>
  <si>
    <t>06:55:25</t>
  </si>
  <si>
    <t>07:30:45</t>
  </si>
  <si>
    <t>07:34:09</t>
  </si>
  <si>
    <t>07:37:33</t>
  </si>
  <si>
    <t>07:40:56</t>
  </si>
  <si>
    <t>07:43:00</t>
  </si>
  <si>
    <t>07:45:32</t>
  </si>
  <si>
    <t>07:48:30</t>
  </si>
  <si>
    <t>07:50:34</t>
  </si>
  <si>
    <t>07:52:39</t>
  </si>
  <si>
    <t>07:56:03</t>
  </si>
  <si>
    <t>Slope</t>
  </si>
  <si>
    <t>Linear</t>
  </si>
  <si>
    <t>Slopes</t>
  </si>
  <si>
    <t>P.cookii</t>
  </si>
  <si>
    <t>P.pratensis</t>
  </si>
  <si>
    <t>Rep1</t>
  </si>
  <si>
    <t>Rep2</t>
  </si>
  <si>
    <t>Rep 3</t>
  </si>
  <si>
    <t>Light Comp</t>
  </si>
  <si>
    <t>Quantum</t>
  </si>
  <si>
    <t>04:10:36</t>
  </si>
  <si>
    <t>04:11:50</t>
  </si>
  <si>
    <t>04:13:04</t>
  </si>
  <si>
    <t>04:14:18</t>
  </si>
  <si>
    <t>04:15:32</t>
  </si>
  <si>
    <t>04:16:46</t>
  </si>
  <si>
    <t>04:18:00</t>
  </si>
  <si>
    <t>04:19:14</t>
  </si>
  <si>
    <t>04:20:28</t>
  </si>
  <si>
    <t>04:22:56</t>
  </si>
  <si>
    <t>04:24:10</t>
  </si>
  <si>
    <t>05:08:22</t>
  </si>
  <si>
    <t>05:09:37</t>
  </si>
  <si>
    <t>05:10:48</t>
  </si>
  <si>
    <t>05:12:03</t>
  </si>
  <si>
    <t>05:13:18</t>
  </si>
  <si>
    <t>05:14:29</t>
  </si>
  <si>
    <t>05:15:44</t>
  </si>
  <si>
    <t>05:16:59</t>
  </si>
  <si>
    <t>05:18:14</t>
  </si>
  <si>
    <t>05:19:27</t>
  </si>
  <si>
    <t>05:20:42</t>
  </si>
  <si>
    <t>05:53:04</t>
  </si>
  <si>
    <t>03:39:05</t>
  </si>
  <si>
    <t>03:40:20</t>
  </si>
  <si>
    <t>03:41:35</t>
  </si>
  <si>
    <t>03:42:50</t>
  </si>
  <si>
    <t>03:44:05</t>
  </si>
  <si>
    <t>03:45:20</t>
  </si>
  <si>
    <t>03:46:35</t>
  </si>
  <si>
    <t>03:47:50</t>
  </si>
  <si>
    <t>03:49:05</t>
  </si>
  <si>
    <t>03:50:19</t>
  </si>
  <si>
    <t>03:51:31</t>
  </si>
  <si>
    <t>03:52:45</t>
  </si>
  <si>
    <t>03:54:00</t>
  </si>
  <si>
    <t>P. annua</t>
  </si>
  <si>
    <t>A. stolonifera</t>
  </si>
  <si>
    <t>P. anua</t>
  </si>
  <si>
    <t>Rep4</t>
  </si>
  <si>
    <t>Rep5</t>
  </si>
  <si>
    <t xml:space="preserve">Rate of spread </t>
  </si>
  <si>
    <t>km2 yr-1</t>
  </si>
  <si>
    <t>Spread</t>
  </si>
  <si>
    <t>Rate</t>
  </si>
  <si>
    <t>SLA</t>
  </si>
  <si>
    <t>RWC</t>
  </si>
  <si>
    <t>Ave</t>
  </si>
  <si>
    <t>SE</t>
  </si>
  <si>
    <t>A ETR (mono)</t>
  </si>
  <si>
    <t>SE slope</t>
  </si>
  <si>
    <t>Asat @ 20</t>
  </si>
  <si>
    <t>Asat @ 10</t>
  </si>
  <si>
    <t>Asat @ 15</t>
  </si>
  <si>
    <t>ETR @ 20</t>
  </si>
  <si>
    <t>ETR @ 15</t>
  </si>
  <si>
    <t>ETR @ 10</t>
  </si>
  <si>
    <t>A. repens</t>
  </si>
  <si>
    <t>11:28:55</t>
  </si>
  <si>
    <t>11:32:19</t>
  </si>
  <si>
    <t>11:38:17</t>
  </si>
  <si>
    <t>11:40:48</t>
  </si>
  <si>
    <t>11:48:44</t>
  </si>
  <si>
    <t>11:51:20</t>
  </si>
  <si>
    <t>11:54:51</t>
  </si>
  <si>
    <t>11:57:10</t>
  </si>
  <si>
    <t>12:00:34</t>
  </si>
  <si>
    <t>12:25:18</t>
  </si>
  <si>
    <t>10:15:36</t>
  </si>
  <si>
    <t>10:19:00</t>
  </si>
  <si>
    <t>10:22:24</t>
  </si>
  <si>
    <t>10:25:48</t>
  </si>
  <si>
    <t>10:29:12</t>
  </si>
  <si>
    <t>10:32:36</t>
  </si>
  <si>
    <t>10:36:00</t>
  </si>
  <si>
    <t>10:38:40</t>
  </si>
  <si>
    <t>10:42:04</t>
  </si>
  <si>
    <t>10:45:28</t>
  </si>
  <si>
    <t>10:48:52</t>
  </si>
  <si>
    <t>10:52:16</t>
  </si>
  <si>
    <t>09:12:46</t>
  </si>
  <si>
    <t>09:15:03</t>
  </si>
  <si>
    <t>09:17:10</t>
  </si>
  <si>
    <t>09:20:34</t>
  </si>
  <si>
    <t>09:23:58</t>
  </si>
  <si>
    <t>09:29:56</t>
  </si>
  <si>
    <t>09:33:03</t>
  </si>
  <si>
    <t>09:37:06</t>
  </si>
  <si>
    <t>09:40:30</t>
  </si>
  <si>
    <t>09:43:06</t>
  </si>
  <si>
    <t>09:46:30</t>
  </si>
  <si>
    <t>09:49:54</t>
  </si>
  <si>
    <t>Electro leak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</si>
  <si>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S g-1</t>
    </r>
  </si>
  <si>
    <t>Electro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</si>
</sst>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Protection="1">
      <protection locked="0"/>
    </xf>
    <xf numFmtId="164" fontId="1" fillId="0" borderId="0" xfId="0" applyNumberFormat="1" applyFont="1" applyFill="1" applyBorder="1"/>
    <xf numFmtId="2" fontId="2" fillId="0" borderId="0" xfId="0" applyNumberFormat="1" applyFont="1" applyFill="1" applyBorder="1" applyAlignment="1">
      <alignment vertical="center"/>
    </xf>
    <xf numFmtId="0" fontId="3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/>
    <xf numFmtId="164" fontId="3" fillId="0" borderId="0" xfId="0" applyNumberFormat="1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left" indent="1"/>
    </xf>
    <xf numFmtId="0" fontId="4" fillId="0" borderId="0" xfId="0" applyFont="1" applyFill="1" applyBorder="1"/>
    <xf numFmtId="0" fontId="2" fillId="0" borderId="0" xfId="0" applyFont="1" applyFill="1"/>
    <xf numFmtId="0" fontId="1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2" fontId="2" fillId="0" borderId="0" xfId="0" applyNumberFormat="1" applyFont="1" applyFill="1" applyAlignment="1">
      <alignment horizontal="center"/>
    </xf>
    <xf numFmtId="0" fontId="5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164" fontId="0" fillId="16" borderId="0" xfId="0" applyNumberFormat="1" applyFill="1"/>
    <xf numFmtId="0" fontId="0" fillId="17" borderId="0" xfId="0" applyFill="1"/>
    <xf numFmtId="0" fontId="0" fillId="18" borderId="0" xfId="0" applyFill="1"/>
    <xf numFmtId="0" fontId="5" fillId="4" borderId="0" xfId="0" applyFont="1" applyFill="1"/>
    <xf numFmtId="0" fontId="5" fillId="5" borderId="0" xfId="0" applyFont="1" applyFill="1"/>
    <xf numFmtId="0" fontId="5" fillId="16" borderId="0" xfId="0" applyFont="1" applyFill="1"/>
    <xf numFmtId="0" fontId="5" fillId="2" borderId="0" xfId="0" applyFont="1" applyFill="1"/>
    <xf numFmtId="0" fontId="5" fillId="15" borderId="0" xfId="0" applyFont="1" applyFill="1"/>
    <xf numFmtId="0" fontId="0" fillId="19" borderId="0" xfId="0" applyFill="1"/>
    <xf numFmtId="0" fontId="0" fillId="20" borderId="0" xfId="0" applyFill="1"/>
    <xf numFmtId="0" fontId="5" fillId="13" borderId="0" xfId="0" applyFont="1" applyFill="1"/>
    <xf numFmtId="0" fontId="5" fillId="14" borderId="0" xfId="0" applyFont="1" applyFill="1"/>
    <xf numFmtId="0" fontId="0" fillId="0" borderId="0" xfId="0" applyFill="1"/>
    <xf numFmtId="0" fontId="5" fillId="0" borderId="0" xfId="0" applyFont="1" applyFill="1"/>
    <xf numFmtId="164" fontId="0" fillId="17" borderId="0" xfId="0" applyNumberFormat="1" applyFill="1"/>
    <xf numFmtId="164" fontId="0" fillId="13" borderId="0" xfId="0" applyNumberFormat="1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2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'Individual fits'!$Z$11</c:f>
              <c:strCache>
                <c:ptCount val="1"/>
                <c:pt idx="0">
                  <c:v>Asat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9547991708860353"/>
                  <c:y val="-0.17816272965879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'Individual fits'!$V$12:$V$42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1.48</c:v>
                </c:pt>
                <c:pt idx="16">
                  <c:v>1.48</c:v>
                </c:pt>
                <c:pt idx="17">
                  <c:v>1.48</c:v>
                </c:pt>
                <c:pt idx="18">
                  <c:v>1.48</c:v>
                </c:pt>
                <c:pt idx="19">
                  <c:v>1.48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'Individual fits'!$Z$12:$Z$42</c:f>
              <c:numCache>
                <c:formatCode>General</c:formatCode>
                <c:ptCount val="31"/>
                <c:pt idx="0">
                  <c:v>-0.19065251036487887</c:v>
                </c:pt>
                <c:pt idx="1">
                  <c:v>-6.802798329087878E-2</c:v>
                </c:pt>
                <c:pt idx="2">
                  <c:v>-0.6198829006860993</c:v>
                </c:pt>
                <c:pt idx="3">
                  <c:v>0.41065814762110842</c:v>
                </c:pt>
                <c:pt idx="5">
                  <c:v>0.33540087917133471</c:v>
                </c:pt>
                <c:pt idx="6">
                  <c:v>9.9725845277977315E-2</c:v>
                </c:pt>
                <c:pt idx="7">
                  <c:v>-0.27211702762655515</c:v>
                </c:pt>
                <c:pt idx="10">
                  <c:v>-0.15613656400295825</c:v>
                </c:pt>
                <c:pt idx="11">
                  <c:v>2.9626995431573811E-2</c:v>
                </c:pt>
                <c:pt idx="12">
                  <c:v>-0.23850285456014184</c:v>
                </c:pt>
                <c:pt idx="13">
                  <c:v>0.1411272043858231</c:v>
                </c:pt>
                <c:pt idx="14">
                  <c:v>0.34827498422099651</c:v>
                </c:pt>
                <c:pt idx="15">
                  <c:v>0.24794478810712964</c:v>
                </c:pt>
                <c:pt idx="16">
                  <c:v>0.62697704959655554</c:v>
                </c:pt>
                <c:pt idx="17">
                  <c:v>0.28288422051073886</c:v>
                </c:pt>
                <c:pt idx="18">
                  <c:v>0.34631087676403721</c:v>
                </c:pt>
                <c:pt idx="19">
                  <c:v>0.4762345379979257</c:v>
                </c:pt>
                <c:pt idx="20">
                  <c:v>-2.2523716363535228E-3</c:v>
                </c:pt>
                <c:pt idx="21">
                  <c:v>0.20072563146418865</c:v>
                </c:pt>
                <c:pt idx="22">
                  <c:v>0.36068353503047507</c:v>
                </c:pt>
                <c:pt idx="23">
                  <c:v>0.25267290984893997</c:v>
                </c:pt>
                <c:pt idx="25">
                  <c:v>0.2682639762882138</c:v>
                </c:pt>
                <c:pt idx="27">
                  <c:v>-0.56063799097735856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222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'Individual fits'!$AS$13:$AS$17</c:f>
                <c:numCache>
                  <c:formatCode>General</c:formatCode>
                  <c:ptCount val="5"/>
                  <c:pt idx="0">
                    <c:v>0.10598125630393189</c:v>
                  </c:pt>
                  <c:pt idx="1">
                    <c:v>0.10209725309275258</c:v>
                  </c:pt>
                  <c:pt idx="2">
                    <c:v>4.6931629719324908E-2</c:v>
                  </c:pt>
                  <c:pt idx="3">
                    <c:v>3.114040592662274E-2</c:v>
                  </c:pt>
                  <c:pt idx="4">
                    <c:v>3.8041971545975481E-2</c:v>
                  </c:pt>
                </c:numCache>
              </c:numRef>
            </c:plus>
            <c:minus>
              <c:numRef>
                <c:f>'Individual fits'!$AS$13:$AS$17</c:f>
                <c:numCache>
                  <c:formatCode>General</c:formatCode>
                  <c:ptCount val="5"/>
                  <c:pt idx="0">
                    <c:v>0.10598125630393189</c:v>
                  </c:pt>
                  <c:pt idx="1">
                    <c:v>0.10209725309275258</c:v>
                  </c:pt>
                  <c:pt idx="2">
                    <c:v>4.6931629719324908E-2</c:v>
                  </c:pt>
                  <c:pt idx="3">
                    <c:v>3.114040592662274E-2</c:v>
                  </c:pt>
                  <c:pt idx="4">
                    <c:v>3.8041971545975481E-2</c:v>
                  </c:pt>
                </c:numCache>
              </c:numRef>
            </c:minus>
            <c:spPr>
              <a:noFill/>
              <a:ln w="2730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'Individual fits'!$AH$13:$AH$19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0.28999999999999998</c:v>
                </c:pt>
                <c:pt idx="3">
                  <c:v>1.48</c:v>
                </c:pt>
                <c:pt idx="4">
                  <c:v>0.56000000000000005</c:v>
                </c:pt>
                <c:pt idx="5">
                  <c:v>0</c:v>
                </c:pt>
              </c:numCache>
            </c:numRef>
          </c:xVal>
          <c:yVal>
            <c:numRef>
              <c:f>'Individual fits'!$AL$13:$AL$19</c:f>
              <c:numCache>
                <c:formatCode>General</c:formatCode>
                <c:ptCount val="7"/>
                <c:pt idx="0">
                  <c:v>-0.11697631168018713</c:v>
                </c:pt>
                <c:pt idx="1">
                  <c:v>5.4336565607585617E-2</c:v>
                </c:pt>
                <c:pt idx="2">
                  <c:v>2.4877953095058671E-2</c:v>
                </c:pt>
                <c:pt idx="3">
                  <c:v>0.39607029459527743</c:v>
                </c:pt>
                <c:pt idx="4">
                  <c:v>0.20295742617681253</c:v>
                </c:pt>
                <c:pt idx="5">
                  <c:v>-0.14618700734457238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73808"/>
        <c:axId val="336674200"/>
      </c:scatterChart>
      <c:valAx>
        <c:axId val="336673808"/>
        <c:scaling>
          <c:orientation val="minMax"/>
          <c:max val="1.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1">
                    <a:solidFill>
                      <a:sysClr val="windowText" lastClr="000000"/>
                    </a:solidFill>
                  </a:rPr>
                  <a:t>Rate of invasion (km</a:t>
                </a:r>
                <a:r>
                  <a:rPr lang="en-ZA" sz="1200" b="1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ZA" sz="1200" b="1">
                    <a:solidFill>
                      <a:sysClr val="windowText" lastClr="000000"/>
                    </a:solidFill>
                  </a:rPr>
                  <a:t> yr</a:t>
                </a:r>
                <a:r>
                  <a:rPr lang="en-ZA" sz="12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ZA" sz="1200" b="1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4200"/>
        <c:crossesAt val="-0.4"/>
        <c:crossBetween val="midCat"/>
      </c:valAx>
      <c:valAx>
        <c:axId val="336674200"/>
        <c:scaling>
          <c:orientation val="minMax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1">
                    <a:solidFill>
                      <a:sysClr val="windowText" lastClr="000000"/>
                    </a:solidFill>
                  </a:rPr>
                  <a:t>Slope</a:t>
                </a:r>
                <a:r>
                  <a:rPr lang="en-ZA" sz="1200" b="1" baseline="0">
                    <a:solidFill>
                      <a:sysClr val="windowText" lastClr="000000"/>
                    </a:solidFill>
                  </a:rPr>
                  <a:t> of A</a:t>
                </a:r>
                <a:r>
                  <a:rPr lang="en-ZA" sz="1200" b="1" baseline="-25000">
                    <a:solidFill>
                      <a:sysClr val="windowText" lastClr="000000"/>
                    </a:solidFill>
                  </a:rPr>
                  <a:t>sat</a:t>
                </a:r>
                <a:r>
                  <a:rPr lang="en-ZA" sz="1200" b="1" baseline="0">
                    <a:solidFill>
                      <a:sysClr val="windowText" lastClr="000000"/>
                    </a:solidFill>
                  </a:rPr>
                  <a:t> response to Temp</a:t>
                </a:r>
              </a:p>
              <a:p>
                <a:pPr>
                  <a:defRPr sz="1200" b="1">
                    <a:solidFill>
                      <a:sysClr val="windowText" lastClr="000000"/>
                    </a:solidFill>
                  </a:defRPr>
                </a:pPr>
                <a:r>
                  <a:rPr lang="en-ZA" sz="1200" b="1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n-ZA" sz="1200" b="1" baseline="0">
                    <a:solidFill>
                      <a:sysClr val="windowText" lastClr="000000"/>
                    </a:solidFill>
                    <a:latin typeface="Symbol" panose="05050102010706020507" pitchFamily="18" charset="2"/>
                  </a:rPr>
                  <a:t>m</a:t>
                </a:r>
                <a:r>
                  <a:rPr lang="en-ZA" sz="1200" b="1" baseline="0">
                    <a:solidFill>
                      <a:sysClr val="windowText" lastClr="000000"/>
                    </a:solidFill>
                  </a:rPr>
                  <a:t>mol m</a:t>
                </a:r>
                <a:r>
                  <a:rPr lang="en-ZA" sz="1200" b="1" baseline="30000">
                    <a:solidFill>
                      <a:sysClr val="windowText" lastClr="000000"/>
                    </a:solidFill>
                  </a:rPr>
                  <a:t>-2</a:t>
                </a:r>
                <a:r>
                  <a:rPr lang="en-ZA" sz="1200" b="1" baseline="0">
                    <a:solidFill>
                      <a:sysClr val="windowText" lastClr="000000"/>
                    </a:solidFill>
                  </a:rPr>
                  <a:t> s</a:t>
                </a:r>
                <a:r>
                  <a:rPr lang="en-ZA" sz="12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ZA" sz="12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ZA" sz="1200" b="1" baseline="30000">
                    <a:solidFill>
                      <a:sysClr val="windowText" lastClr="000000"/>
                    </a:solidFill>
                  </a:rPr>
                  <a:t>o</a:t>
                </a:r>
                <a:r>
                  <a:rPr lang="en-ZA" sz="1200" b="1" baseline="0">
                    <a:solidFill>
                      <a:sysClr val="windowText" lastClr="000000"/>
                    </a:solidFill>
                  </a:rPr>
                  <a:t>C</a:t>
                </a:r>
                <a:r>
                  <a:rPr lang="en-ZA" sz="12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ZA" sz="1200" b="1" baseline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1971541557305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3808"/>
        <c:crossesAt val="-0.2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'Summary paramters (2)'!$T$3</c:f>
              <c:strCache>
                <c:ptCount val="1"/>
                <c:pt idx="0">
                  <c:v>Asat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'Summary paramters (2)'!$AI$4:$AI$8</c:f>
                <c:numCache>
                  <c:formatCode>General</c:formatCode>
                  <c:ptCount val="5"/>
                  <c:pt idx="0">
                    <c:v>5.3378299457272167</c:v>
                  </c:pt>
                  <c:pt idx="1">
                    <c:v>7.2309818619518023</c:v>
                  </c:pt>
                  <c:pt idx="2">
                    <c:v>5.9693194001753414</c:v>
                  </c:pt>
                  <c:pt idx="3">
                    <c:v>9.9998404974517108</c:v>
                  </c:pt>
                  <c:pt idx="4">
                    <c:v>8.1659042006390692</c:v>
                  </c:pt>
                </c:numCache>
              </c:numRef>
            </c:plus>
            <c:minus>
              <c:numRef>
                <c:f>'Summary paramters (2)'!$AI$4:$AI$8</c:f>
                <c:numCache>
                  <c:formatCode>General</c:formatCode>
                  <c:ptCount val="5"/>
                  <c:pt idx="0">
                    <c:v>5.3378299457272167</c:v>
                  </c:pt>
                  <c:pt idx="1">
                    <c:v>7.2309818619518023</c:v>
                  </c:pt>
                  <c:pt idx="2">
                    <c:v>5.9693194001753414</c:v>
                  </c:pt>
                  <c:pt idx="3">
                    <c:v>9.9998404974517108</c:v>
                  </c:pt>
                  <c:pt idx="4">
                    <c:v>8.1659042006390692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'Summary paramters (2)'!$R$4:$R$8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0.28999999999999998</c:v>
                </c:pt>
                <c:pt idx="3">
                  <c:v>1.48</c:v>
                </c:pt>
                <c:pt idx="4">
                  <c:v>0.56000000000000005</c:v>
                </c:pt>
              </c:numCache>
            </c:numRef>
          </c:xVal>
          <c:yVal>
            <c:numRef>
              <c:f>'Summary paramters (2)'!$AE$4:$AE$8</c:f>
              <c:numCache>
                <c:formatCode>General</c:formatCode>
                <c:ptCount val="5"/>
                <c:pt idx="0">
                  <c:v>92.419967524146628</c:v>
                </c:pt>
                <c:pt idx="1">
                  <c:v>98.84651344815191</c:v>
                </c:pt>
                <c:pt idx="2">
                  <c:v>93.853734285533307</c:v>
                </c:pt>
                <c:pt idx="3">
                  <c:v>169.31996926008048</c:v>
                </c:pt>
                <c:pt idx="4">
                  <c:v>151.87510959996368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'Summary paramters (2)'!$T$3</c:f>
              <c:strCache>
                <c:ptCount val="1"/>
                <c:pt idx="0">
                  <c:v>Asat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3"/>
            <c:marker>
              <c:symbol val="circle"/>
              <c:size val="11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'Summary paramters (2)'!$AJ$4:$AJ$8</c:f>
                <c:numCache>
                  <c:formatCode>General</c:formatCode>
                  <c:ptCount val="5"/>
                  <c:pt idx="0">
                    <c:v>11.665403457731694</c:v>
                  </c:pt>
                  <c:pt idx="1">
                    <c:v>8.6871233486367938</c:v>
                  </c:pt>
                  <c:pt idx="2">
                    <c:v>5.0986215754912942</c:v>
                  </c:pt>
                  <c:pt idx="3">
                    <c:v>8.910354921446709</c:v>
                  </c:pt>
                  <c:pt idx="4">
                    <c:v>7.1378455436922721</c:v>
                  </c:pt>
                </c:numCache>
              </c:numRef>
            </c:plus>
            <c:minus>
              <c:numRef>
                <c:f>'Summary paramters (2)'!$AJ$4:$AJ$8</c:f>
                <c:numCache>
                  <c:formatCode>General</c:formatCode>
                  <c:ptCount val="5"/>
                  <c:pt idx="0">
                    <c:v>11.665403457731694</c:v>
                  </c:pt>
                  <c:pt idx="1">
                    <c:v>8.6871233486367938</c:v>
                  </c:pt>
                  <c:pt idx="2">
                    <c:v>5.0986215754912942</c:v>
                  </c:pt>
                  <c:pt idx="3">
                    <c:v>8.910354921446709</c:v>
                  </c:pt>
                  <c:pt idx="4">
                    <c:v>7.1378455436922721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'Summary paramters (2)'!$R$4:$R$8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0.28999999999999998</c:v>
                </c:pt>
                <c:pt idx="3">
                  <c:v>1.48</c:v>
                </c:pt>
                <c:pt idx="4">
                  <c:v>0.56000000000000005</c:v>
                </c:pt>
              </c:numCache>
            </c:numRef>
          </c:xVal>
          <c:yVal>
            <c:numRef>
              <c:f>'Summary paramters (2)'!$AF$4:$AF$8</c:f>
              <c:numCache>
                <c:formatCode>General</c:formatCode>
                <c:ptCount val="5"/>
                <c:pt idx="0">
                  <c:v>69.537454124562771</c:v>
                </c:pt>
                <c:pt idx="1">
                  <c:v>99.110578668767232</c:v>
                </c:pt>
                <c:pt idx="2">
                  <c:v>84.645307934542515</c:v>
                </c:pt>
                <c:pt idx="3">
                  <c:v>138.36416390633647</c:v>
                </c:pt>
                <c:pt idx="4">
                  <c:v>122.63596767787256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'Summary paramters (2)'!$T$3</c:f>
              <c:strCache>
                <c:ptCount val="1"/>
                <c:pt idx="0">
                  <c:v>Asat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222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'Summary paramters (2)'!$AK$4:$AK$8</c:f>
                <c:numCache>
                  <c:formatCode>General</c:formatCode>
                  <c:ptCount val="5"/>
                  <c:pt idx="0">
                    <c:v>5.2403656071914861</c:v>
                  </c:pt>
                  <c:pt idx="1">
                    <c:v>5.5065480960760835</c:v>
                  </c:pt>
                  <c:pt idx="2">
                    <c:v>2.8366474496218772</c:v>
                  </c:pt>
                  <c:pt idx="3">
                    <c:v>1.833204164923584</c:v>
                  </c:pt>
                  <c:pt idx="4">
                    <c:v>3.6958668081335131</c:v>
                  </c:pt>
                </c:numCache>
              </c:numRef>
            </c:plus>
            <c:minus>
              <c:numRef>
                <c:f>'Summary paramters (2)'!$AK$4:$AK$8</c:f>
                <c:numCache>
                  <c:formatCode>General</c:formatCode>
                  <c:ptCount val="5"/>
                  <c:pt idx="0">
                    <c:v>5.2403656071914861</c:v>
                  </c:pt>
                  <c:pt idx="1">
                    <c:v>5.5065480960760835</c:v>
                  </c:pt>
                  <c:pt idx="2">
                    <c:v>2.8366474496218772</c:v>
                  </c:pt>
                  <c:pt idx="3">
                    <c:v>1.833204164923584</c:v>
                  </c:pt>
                  <c:pt idx="4">
                    <c:v>3.6958668081335131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'Summary paramters (2)'!$R$4:$R$8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0.28999999999999998</c:v>
                </c:pt>
                <c:pt idx="3">
                  <c:v>1.48</c:v>
                </c:pt>
                <c:pt idx="4">
                  <c:v>0.56000000000000005</c:v>
                </c:pt>
              </c:numCache>
            </c:numRef>
          </c:xVal>
          <c:yVal>
            <c:numRef>
              <c:f>'Summary paramters (2)'!$AG$4:$AG$8</c:f>
              <c:numCache>
                <c:formatCode>General</c:formatCode>
                <c:ptCount val="5"/>
                <c:pt idx="0">
                  <c:v>88.595546650848689</c:v>
                </c:pt>
                <c:pt idx="1">
                  <c:v>97.794679850901119</c:v>
                </c:pt>
                <c:pt idx="2">
                  <c:v>61.466081954279822</c:v>
                </c:pt>
                <c:pt idx="3">
                  <c:v>106.14356933197314</c:v>
                </c:pt>
                <c:pt idx="4">
                  <c:v>85.354560962791481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84392"/>
        <c:axId val="336684784"/>
      </c:scatterChart>
      <c:valAx>
        <c:axId val="336684392"/>
        <c:scaling>
          <c:orientation val="minMax"/>
          <c:max val="1.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Rate of</a:t>
                </a:r>
                <a:r>
                  <a:rPr lang="en-ZA" sz="1200" baseline="0"/>
                  <a:t> invasion (Km</a:t>
                </a:r>
                <a:r>
                  <a:rPr lang="en-ZA" sz="1200" baseline="30000"/>
                  <a:t>2</a:t>
                </a:r>
                <a:r>
                  <a:rPr lang="en-ZA" sz="1200" baseline="0"/>
                  <a:t> yr</a:t>
                </a:r>
                <a:r>
                  <a:rPr lang="en-ZA" sz="1200" baseline="30000"/>
                  <a:t>-1</a:t>
                </a:r>
                <a:r>
                  <a:rPr lang="en-ZA" sz="1200" baseline="0"/>
                  <a:t>)</a:t>
                </a:r>
                <a:endParaRPr lang="en-ZA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4784"/>
        <c:crossesAt val="-6"/>
        <c:crossBetween val="midCat"/>
      </c:valAx>
      <c:valAx>
        <c:axId val="336684784"/>
        <c:scaling>
          <c:orientation val="minMax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ETR @ 10</a:t>
                </a:r>
                <a:r>
                  <a:rPr lang="en-ZA" sz="1200" baseline="30000"/>
                  <a:t>o</a:t>
                </a:r>
                <a:r>
                  <a:rPr lang="en-ZA" sz="1200"/>
                  <a:t>C</a:t>
                </a:r>
                <a:r>
                  <a:rPr lang="en-ZA" sz="1200" baseline="30000"/>
                  <a:t>-</a:t>
                </a:r>
                <a:endParaRPr lang="en-ZA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4392"/>
        <c:crossesAt val="0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'Individual fits'!$Z$11</c:f>
              <c:strCache>
                <c:ptCount val="1"/>
                <c:pt idx="0">
                  <c:v>Asat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957498283374724"/>
                  <c:y val="-0.29609673790776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'Individual fits'!$W$12:$W$42</c:f>
              <c:numCache>
                <c:formatCode>General</c:formatCode>
                <c:ptCount val="31"/>
                <c:pt idx="0">
                  <c:v>8693.8472080764768</c:v>
                </c:pt>
                <c:pt idx="1">
                  <c:v>8693.8472080764768</c:v>
                </c:pt>
                <c:pt idx="2">
                  <c:v>8693.8472080764768</c:v>
                </c:pt>
                <c:pt idx="3">
                  <c:v>8693.8472080764768</c:v>
                </c:pt>
                <c:pt idx="4">
                  <c:v>8693.8472080764768</c:v>
                </c:pt>
                <c:pt idx="5">
                  <c:v>1415.8322348383324</c:v>
                </c:pt>
                <c:pt idx="6">
                  <c:v>1415.8322348383324</c:v>
                </c:pt>
                <c:pt idx="7">
                  <c:v>1415.8322348383324</c:v>
                </c:pt>
                <c:pt idx="8">
                  <c:v>1415.8322348383324</c:v>
                </c:pt>
                <c:pt idx="9">
                  <c:v>1415.8322348383324</c:v>
                </c:pt>
                <c:pt idx="10">
                  <c:v>3737.7087242026269</c:v>
                </c:pt>
                <c:pt idx="11">
                  <c:v>3737.7087242026269</c:v>
                </c:pt>
                <c:pt idx="12">
                  <c:v>3737.7087242026269</c:v>
                </c:pt>
                <c:pt idx="13">
                  <c:v>3737.7087242026269</c:v>
                </c:pt>
                <c:pt idx="14">
                  <c:v>3737.7087242026269</c:v>
                </c:pt>
                <c:pt idx="15">
                  <c:v>6172.9893147502899</c:v>
                </c:pt>
                <c:pt idx="16">
                  <c:v>6172.9893147502899</c:v>
                </c:pt>
                <c:pt idx="17">
                  <c:v>6172.9893147502899</c:v>
                </c:pt>
                <c:pt idx="18">
                  <c:v>6172.9893147502899</c:v>
                </c:pt>
                <c:pt idx="19">
                  <c:v>6172.9893147502899</c:v>
                </c:pt>
                <c:pt idx="20">
                  <c:v>8111.8569016349502</c:v>
                </c:pt>
                <c:pt idx="21">
                  <c:v>8111.8569016349502</c:v>
                </c:pt>
                <c:pt idx="22">
                  <c:v>8111.8569016349502</c:v>
                </c:pt>
                <c:pt idx="23">
                  <c:v>8111.8569016349502</c:v>
                </c:pt>
                <c:pt idx="24">
                  <c:v>8111.8569016349502</c:v>
                </c:pt>
              </c:numCache>
            </c:numRef>
          </c:xVal>
          <c:yVal>
            <c:numRef>
              <c:f>'Individual fits'!$Z$12:$Z$42</c:f>
              <c:numCache>
                <c:formatCode>General</c:formatCode>
                <c:ptCount val="31"/>
                <c:pt idx="0">
                  <c:v>-0.19065251036487887</c:v>
                </c:pt>
                <c:pt idx="1">
                  <c:v>-6.802798329087878E-2</c:v>
                </c:pt>
                <c:pt idx="2">
                  <c:v>-0.6198829006860993</c:v>
                </c:pt>
                <c:pt idx="3">
                  <c:v>0.41065814762110842</c:v>
                </c:pt>
                <c:pt idx="5">
                  <c:v>0.33540087917133471</c:v>
                </c:pt>
                <c:pt idx="6">
                  <c:v>9.9725845277977315E-2</c:v>
                </c:pt>
                <c:pt idx="7">
                  <c:v>-0.27211702762655515</c:v>
                </c:pt>
                <c:pt idx="10">
                  <c:v>-0.15613656400295825</c:v>
                </c:pt>
                <c:pt idx="11">
                  <c:v>2.9626995431573811E-2</c:v>
                </c:pt>
                <c:pt idx="12">
                  <c:v>-0.23850285456014184</c:v>
                </c:pt>
                <c:pt idx="13">
                  <c:v>0.1411272043858231</c:v>
                </c:pt>
                <c:pt idx="14">
                  <c:v>0.34827498422099651</c:v>
                </c:pt>
                <c:pt idx="15">
                  <c:v>0.24794478810712964</c:v>
                </c:pt>
                <c:pt idx="16">
                  <c:v>0.62697704959655554</c:v>
                </c:pt>
                <c:pt idx="17">
                  <c:v>0.28288422051073886</c:v>
                </c:pt>
                <c:pt idx="18">
                  <c:v>0.34631087676403721</c:v>
                </c:pt>
                <c:pt idx="19">
                  <c:v>0.4762345379979257</c:v>
                </c:pt>
                <c:pt idx="20">
                  <c:v>-2.2523716363535228E-3</c:v>
                </c:pt>
                <c:pt idx="21">
                  <c:v>0.20072563146418865</c:v>
                </c:pt>
                <c:pt idx="22">
                  <c:v>0.36068353503047507</c:v>
                </c:pt>
                <c:pt idx="23">
                  <c:v>0.25267290984893997</c:v>
                </c:pt>
                <c:pt idx="25">
                  <c:v>0.2682639762882138</c:v>
                </c:pt>
                <c:pt idx="27">
                  <c:v>-0.56063799097735856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222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'Individual fits'!$AS$13:$AS$17</c:f>
                <c:numCache>
                  <c:formatCode>General</c:formatCode>
                  <c:ptCount val="5"/>
                  <c:pt idx="0">
                    <c:v>0.10598125630393189</c:v>
                  </c:pt>
                  <c:pt idx="1">
                    <c:v>0.10209725309275258</c:v>
                  </c:pt>
                  <c:pt idx="2">
                    <c:v>4.6931629719324908E-2</c:v>
                  </c:pt>
                  <c:pt idx="3">
                    <c:v>3.114040592662274E-2</c:v>
                  </c:pt>
                  <c:pt idx="4">
                    <c:v>3.8041971545975481E-2</c:v>
                  </c:pt>
                </c:numCache>
              </c:numRef>
            </c:plus>
            <c:minus>
              <c:numRef>
                <c:f>'Individual fits'!$AS$13:$AS$17</c:f>
                <c:numCache>
                  <c:formatCode>General</c:formatCode>
                  <c:ptCount val="5"/>
                  <c:pt idx="0">
                    <c:v>0.10598125630393189</c:v>
                  </c:pt>
                  <c:pt idx="1">
                    <c:v>0.10209725309275258</c:v>
                  </c:pt>
                  <c:pt idx="2">
                    <c:v>4.6931629719324908E-2</c:v>
                  </c:pt>
                  <c:pt idx="3">
                    <c:v>3.114040592662274E-2</c:v>
                  </c:pt>
                  <c:pt idx="4">
                    <c:v>3.8041971545975481E-2</c:v>
                  </c:pt>
                </c:numCache>
              </c:numRef>
            </c:minus>
            <c:spPr>
              <a:noFill/>
              <a:ln w="2730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'Individual fits'!$AG$13:$AG$19</c:f>
              <c:numCache>
                <c:formatCode>General</c:formatCode>
                <c:ptCount val="7"/>
                <c:pt idx="0">
                  <c:v>8693.8472080764768</c:v>
                </c:pt>
                <c:pt idx="1">
                  <c:v>1415.8322348383324</c:v>
                </c:pt>
                <c:pt idx="2">
                  <c:v>3737.7087242026269</c:v>
                </c:pt>
                <c:pt idx="3" formatCode="0.00">
                  <c:v>6172</c:v>
                </c:pt>
                <c:pt idx="4">
                  <c:v>8111.8569016349502</c:v>
                </c:pt>
              </c:numCache>
            </c:numRef>
          </c:xVal>
          <c:yVal>
            <c:numRef>
              <c:f>'Individual fits'!$AL$13:$AL$19</c:f>
              <c:numCache>
                <c:formatCode>General</c:formatCode>
                <c:ptCount val="7"/>
                <c:pt idx="0">
                  <c:v>-0.11697631168018713</c:v>
                </c:pt>
                <c:pt idx="1">
                  <c:v>5.4336565607585617E-2</c:v>
                </c:pt>
                <c:pt idx="2">
                  <c:v>2.4877953095058671E-2</c:v>
                </c:pt>
                <c:pt idx="3">
                  <c:v>0.39607029459527743</c:v>
                </c:pt>
                <c:pt idx="4">
                  <c:v>0.20295742617681253</c:v>
                </c:pt>
                <c:pt idx="5">
                  <c:v>-0.14618700734457238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85568"/>
        <c:axId val="336685960"/>
      </c:scatterChart>
      <c:valAx>
        <c:axId val="336685568"/>
        <c:scaling>
          <c:orientation val="minMax"/>
          <c:max val="1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1">
                    <a:solidFill>
                      <a:sysClr val="windowText" lastClr="000000"/>
                    </a:solidFill>
                  </a:rPr>
                  <a:t>Electrolyte leakage (</a:t>
                </a:r>
                <a:r>
                  <a:rPr lang="en-ZA" sz="1200" b="1" baseline="0">
                    <a:solidFill>
                      <a:sysClr val="windowText" lastClr="000000"/>
                    </a:solidFill>
                    <a:latin typeface="Symbol" panose="05050102010706020507" pitchFamily="18" charset="2"/>
                  </a:rPr>
                  <a:t>m</a:t>
                </a:r>
                <a:r>
                  <a:rPr lang="en-ZA" sz="1200" b="1">
                    <a:solidFill>
                      <a:sysClr val="windowText" lastClr="000000"/>
                    </a:solidFill>
                  </a:rPr>
                  <a:t>S g</a:t>
                </a:r>
                <a:r>
                  <a:rPr lang="en-ZA" sz="12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ZA" sz="1200" b="1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5960"/>
        <c:crossesAt val="-0.4"/>
        <c:crossBetween val="midCat"/>
      </c:valAx>
      <c:valAx>
        <c:axId val="336685960"/>
        <c:scaling>
          <c:orientation val="minMax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 b="1">
                    <a:solidFill>
                      <a:sysClr val="windowText" lastClr="000000"/>
                    </a:solidFill>
                  </a:rPr>
                  <a:t>Slope</a:t>
                </a:r>
                <a:r>
                  <a:rPr lang="en-ZA" sz="1200" b="1" baseline="0">
                    <a:solidFill>
                      <a:sysClr val="windowText" lastClr="000000"/>
                    </a:solidFill>
                  </a:rPr>
                  <a:t> of A</a:t>
                </a:r>
                <a:r>
                  <a:rPr lang="en-ZA" sz="1200" b="1" baseline="-25000">
                    <a:solidFill>
                      <a:sysClr val="windowText" lastClr="000000"/>
                    </a:solidFill>
                  </a:rPr>
                  <a:t>sat</a:t>
                </a:r>
                <a:r>
                  <a:rPr lang="en-ZA" sz="1200" b="1" baseline="0">
                    <a:solidFill>
                      <a:sysClr val="windowText" lastClr="000000"/>
                    </a:solidFill>
                  </a:rPr>
                  <a:t> response to Temp</a:t>
                </a:r>
              </a:p>
              <a:p>
                <a:pPr>
                  <a:defRPr sz="1200" b="1">
                    <a:solidFill>
                      <a:sysClr val="windowText" lastClr="000000"/>
                    </a:solidFill>
                  </a:defRPr>
                </a:pPr>
                <a:r>
                  <a:rPr lang="en-ZA" sz="1200" b="1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n-ZA" sz="1200" b="1" baseline="0">
                    <a:solidFill>
                      <a:sysClr val="windowText" lastClr="000000"/>
                    </a:solidFill>
                    <a:latin typeface="Symbol" panose="05050102010706020507" pitchFamily="18" charset="2"/>
                  </a:rPr>
                  <a:t>m</a:t>
                </a:r>
                <a:r>
                  <a:rPr lang="en-ZA" sz="1200" b="1" baseline="0">
                    <a:solidFill>
                      <a:sysClr val="windowText" lastClr="000000"/>
                    </a:solidFill>
                  </a:rPr>
                  <a:t>mol m</a:t>
                </a:r>
                <a:r>
                  <a:rPr lang="en-ZA" sz="1200" b="1" baseline="30000">
                    <a:solidFill>
                      <a:sysClr val="windowText" lastClr="000000"/>
                    </a:solidFill>
                  </a:rPr>
                  <a:t>-2</a:t>
                </a:r>
                <a:r>
                  <a:rPr lang="en-ZA" sz="1200" b="1" baseline="0">
                    <a:solidFill>
                      <a:sysClr val="windowText" lastClr="000000"/>
                    </a:solidFill>
                  </a:rPr>
                  <a:t> s</a:t>
                </a:r>
                <a:r>
                  <a:rPr lang="en-ZA" sz="12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ZA" sz="12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ZA" sz="1200" b="1" baseline="30000">
                    <a:solidFill>
                      <a:sysClr val="windowText" lastClr="000000"/>
                    </a:solidFill>
                  </a:rPr>
                  <a:t>o</a:t>
                </a:r>
                <a:r>
                  <a:rPr lang="en-ZA" sz="1200" b="1" baseline="0">
                    <a:solidFill>
                      <a:sysClr val="windowText" lastClr="000000"/>
                    </a:solidFill>
                  </a:rPr>
                  <a:t>C</a:t>
                </a:r>
                <a:r>
                  <a:rPr lang="en-ZA" sz="12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ZA" sz="1200" b="1" baseline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1971541557305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5568"/>
        <c:crossesAt val="-0.2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'Summary paramters (2)'!$T$3</c:f>
              <c:strCache>
                <c:ptCount val="1"/>
                <c:pt idx="0">
                  <c:v>Asat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'Summary paramters (2)'!$K$4:$K$28</c:f>
              <c:numCache>
                <c:formatCode>General</c:formatCode>
                <c:ptCount val="25"/>
                <c:pt idx="0">
                  <c:v>8693.8472080764768</c:v>
                </c:pt>
                <c:pt idx="1">
                  <c:v>8693.8472080764768</c:v>
                </c:pt>
                <c:pt idx="2">
                  <c:v>8693.8472080764768</c:v>
                </c:pt>
                <c:pt idx="3">
                  <c:v>8693.8472080764768</c:v>
                </c:pt>
                <c:pt idx="4">
                  <c:v>8693.8472080764768</c:v>
                </c:pt>
                <c:pt idx="5">
                  <c:v>1415.8322348383324</c:v>
                </c:pt>
                <c:pt idx="6">
                  <c:v>1415.8322348383324</c:v>
                </c:pt>
                <c:pt idx="7">
                  <c:v>1415.8322348383324</c:v>
                </c:pt>
                <c:pt idx="8">
                  <c:v>1415.8322348383324</c:v>
                </c:pt>
                <c:pt idx="9">
                  <c:v>1415.8322348383324</c:v>
                </c:pt>
                <c:pt idx="10">
                  <c:v>3737.7087242026269</c:v>
                </c:pt>
                <c:pt idx="11">
                  <c:v>3737.7087242026269</c:v>
                </c:pt>
                <c:pt idx="12">
                  <c:v>3737.7087242026269</c:v>
                </c:pt>
                <c:pt idx="13">
                  <c:v>3737.7087242026269</c:v>
                </c:pt>
                <c:pt idx="14">
                  <c:v>3737.7087242026269</c:v>
                </c:pt>
                <c:pt idx="15">
                  <c:v>6172.9893147502899</c:v>
                </c:pt>
                <c:pt idx="16">
                  <c:v>6172.9893147502899</c:v>
                </c:pt>
                <c:pt idx="17">
                  <c:v>6172.9893147502899</c:v>
                </c:pt>
                <c:pt idx="18">
                  <c:v>6172.9893147502899</c:v>
                </c:pt>
                <c:pt idx="19">
                  <c:v>6172.9893147502899</c:v>
                </c:pt>
                <c:pt idx="20">
                  <c:v>8111.8569016349502</c:v>
                </c:pt>
                <c:pt idx="21">
                  <c:v>8111.8569016349502</c:v>
                </c:pt>
                <c:pt idx="22">
                  <c:v>8111.8569016349502</c:v>
                </c:pt>
                <c:pt idx="23">
                  <c:v>8111.8569016349502</c:v>
                </c:pt>
                <c:pt idx="24">
                  <c:v>8111.8569016349502</c:v>
                </c:pt>
              </c:numCache>
            </c:numRef>
          </c:xVal>
          <c:yVal>
            <c:numRef>
              <c:f>'Summary paramters (2)'!$O$4:$O$28</c:f>
              <c:numCache>
                <c:formatCode>General</c:formatCode>
                <c:ptCount val="25"/>
                <c:pt idx="0">
                  <c:v>-0.81136248693637869</c:v>
                </c:pt>
                <c:pt idx="1">
                  <c:v>1.4865014158829966</c:v>
                </c:pt>
                <c:pt idx="2">
                  <c:v>1.0641897957352739</c:v>
                </c:pt>
                <c:pt idx="3">
                  <c:v>-0.20956037536271738</c:v>
                </c:pt>
                <c:pt idx="5">
                  <c:v>1.947544652639833</c:v>
                </c:pt>
                <c:pt idx="6">
                  <c:v>-0.67018883844780031</c:v>
                </c:pt>
                <c:pt idx="7">
                  <c:v>-3.7625873108826666</c:v>
                </c:pt>
                <c:pt idx="10">
                  <c:v>0.86567687399379101</c:v>
                </c:pt>
                <c:pt idx="11">
                  <c:v>2.0723708513222077</c:v>
                </c:pt>
                <c:pt idx="12">
                  <c:v>5.3185078289230816</c:v>
                </c:pt>
                <c:pt idx="13">
                  <c:v>6.2891587414469745</c:v>
                </c:pt>
                <c:pt idx="14">
                  <c:v>1.6481118699406898</c:v>
                </c:pt>
                <c:pt idx="15">
                  <c:v>4.4296548387582284</c:v>
                </c:pt>
                <c:pt idx="16">
                  <c:v>11.211126713124859</c:v>
                </c:pt>
                <c:pt idx="17">
                  <c:v>5.0324341359905063</c:v>
                </c:pt>
                <c:pt idx="18">
                  <c:v>4.3444116625967784</c:v>
                </c:pt>
                <c:pt idx="20">
                  <c:v>8.3974122273934864</c:v>
                </c:pt>
                <c:pt idx="21">
                  <c:v>5.1485975276476257</c:v>
                </c:pt>
                <c:pt idx="22">
                  <c:v>8.0937233148809558</c:v>
                </c:pt>
                <c:pt idx="23">
                  <c:v>4.968486384946817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'Summary paramters (2)'!$T$3</c:f>
              <c:strCache>
                <c:ptCount val="1"/>
                <c:pt idx="0">
                  <c:v>Asat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222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3162986979568791E-2"/>
                  <c:y val="0.21848402283047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'Individual fits'!$AF$13:$AF$17</c:f>
                <c:numCache>
                  <c:formatCode>General</c:formatCode>
                  <c:ptCount val="5"/>
                  <c:pt idx="0">
                    <c:v>717.64647376544781</c:v>
                  </c:pt>
                  <c:pt idx="1">
                    <c:v>95.056510928179563</c:v>
                  </c:pt>
                  <c:pt idx="2">
                    <c:v>243.25973826834215</c:v>
                  </c:pt>
                  <c:pt idx="3">
                    <c:v>287.17898537786442</c:v>
                  </c:pt>
                  <c:pt idx="4">
                    <c:v>142.42827981813818</c:v>
                  </c:pt>
                </c:numCache>
              </c:numRef>
            </c:plus>
            <c:minus>
              <c:numRef>
                <c:f>'Individual fits'!$AF$13:$AF$17</c:f>
                <c:numCache>
                  <c:formatCode>General</c:formatCode>
                  <c:ptCount val="5"/>
                  <c:pt idx="0">
                    <c:v>717.64647376544781</c:v>
                  </c:pt>
                  <c:pt idx="1">
                    <c:v>95.056510928179563</c:v>
                  </c:pt>
                  <c:pt idx="2">
                    <c:v>243.25973826834215</c:v>
                  </c:pt>
                  <c:pt idx="3">
                    <c:v>287.17898537786442</c:v>
                  </c:pt>
                  <c:pt idx="4">
                    <c:v>142.42827981813818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'Summary paramters (2)'!$U$4:$U$8</c:f>
                <c:numCache>
                  <c:formatCode>General</c:formatCode>
                  <c:ptCount val="5"/>
                  <c:pt idx="0">
                    <c:v>0.26845868770687625</c:v>
                  </c:pt>
                  <c:pt idx="1">
                    <c:v>0.95278406849417274</c:v>
                  </c:pt>
                  <c:pt idx="2">
                    <c:v>0.48116974298416276</c:v>
                  </c:pt>
                  <c:pt idx="3">
                    <c:v>0.82965970224889263</c:v>
                  </c:pt>
                  <c:pt idx="4">
                    <c:v>0.46141690824094977</c:v>
                  </c:pt>
                </c:numCache>
              </c:numRef>
            </c:plus>
            <c:minus>
              <c:numRef>
                <c:f>'Summary paramters (2)'!$U$4:$U$8</c:f>
                <c:numCache>
                  <c:formatCode>General</c:formatCode>
                  <c:ptCount val="5"/>
                  <c:pt idx="0">
                    <c:v>0.26845868770687625</c:v>
                  </c:pt>
                  <c:pt idx="1">
                    <c:v>0.95278406849417274</c:v>
                  </c:pt>
                  <c:pt idx="2">
                    <c:v>0.48116974298416276</c:v>
                  </c:pt>
                  <c:pt idx="3">
                    <c:v>0.82965970224889263</c:v>
                  </c:pt>
                  <c:pt idx="4">
                    <c:v>0.46141690824094977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'Summary paramters (2)'!$Q$4:$Q$8</c:f>
              <c:numCache>
                <c:formatCode>General</c:formatCode>
                <c:ptCount val="5"/>
                <c:pt idx="0">
                  <c:v>8693.8472080764768</c:v>
                </c:pt>
                <c:pt idx="1">
                  <c:v>1415.8322348383324</c:v>
                </c:pt>
                <c:pt idx="2">
                  <c:v>3737.7087242026269</c:v>
                </c:pt>
                <c:pt idx="3">
                  <c:v>6172.9893147502899</c:v>
                </c:pt>
                <c:pt idx="4">
                  <c:v>8111.8569016349502</c:v>
                </c:pt>
              </c:numCache>
            </c:numRef>
          </c:xVal>
          <c:yVal>
            <c:numRef>
              <c:f>'Summary paramters (2)'!$T$4:$T$8</c:f>
              <c:numCache>
                <c:formatCode>General</c:formatCode>
                <c:ptCount val="5"/>
                <c:pt idx="0">
                  <c:v>0.38244208732979362</c:v>
                </c:pt>
                <c:pt idx="1">
                  <c:v>-0.82841049889687801</c:v>
                </c:pt>
                <c:pt idx="2">
                  <c:v>3.2387652331253483</c:v>
                </c:pt>
                <c:pt idx="3">
                  <c:v>6.2544068376175925</c:v>
                </c:pt>
                <c:pt idx="4">
                  <c:v>6.652054863717221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86744"/>
        <c:axId val="338246152"/>
      </c:scatterChart>
      <c:valAx>
        <c:axId val="336686744"/>
        <c:scaling>
          <c:orientation val="minMax"/>
          <c:max val="1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Electrolyte</a:t>
                </a:r>
                <a:r>
                  <a:rPr lang="en-ZA" sz="1200" baseline="0"/>
                  <a:t> leakage (</a:t>
                </a:r>
                <a:r>
                  <a:rPr lang="en-ZA" sz="1200" baseline="0">
                    <a:latin typeface="Symbol" panose="05050102010706020507" pitchFamily="18" charset="2"/>
                  </a:rPr>
                  <a:t>m</a:t>
                </a:r>
                <a:r>
                  <a:rPr lang="en-ZA" sz="1200" baseline="0"/>
                  <a:t>S g</a:t>
                </a:r>
                <a:r>
                  <a:rPr lang="en-ZA" sz="1200" baseline="30000"/>
                  <a:t>-1</a:t>
                </a:r>
                <a:r>
                  <a:rPr lang="en-ZA" sz="1200" baseline="0"/>
                  <a:t>)</a:t>
                </a:r>
                <a:endParaRPr lang="en-Z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6152"/>
        <c:crossesAt val="-6"/>
        <c:crossBetween val="midCat"/>
      </c:valAx>
      <c:valAx>
        <c:axId val="338246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Slope of ETR response to Temp</a:t>
                </a:r>
              </a:p>
              <a:p>
                <a:pPr>
                  <a:defRPr/>
                </a:pPr>
                <a:r>
                  <a:rPr lang="en-ZA" sz="1200"/>
                  <a:t>(</a:t>
                </a:r>
                <a:r>
                  <a:rPr lang="en-ZA" sz="1200" baseline="30000"/>
                  <a:t>o</a:t>
                </a:r>
                <a:r>
                  <a:rPr lang="en-ZA" sz="1200"/>
                  <a:t>C</a:t>
                </a:r>
                <a:r>
                  <a:rPr lang="en-ZA" sz="1200" baseline="30000"/>
                  <a:t>-1</a:t>
                </a:r>
                <a:r>
                  <a:rPr lang="en-ZA" sz="12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6744"/>
        <c:crossesAt val="0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'Individual fits'!$AM$12</c:f>
              <c:strCache>
                <c:ptCount val="1"/>
                <c:pt idx="0">
                  <c:v>Asat @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'Individual fits'!$AT$13:$AT$17</c:f>
                <c:numCache>
                  <c:formatCode>General</c:formatCode>
                  <c:ptCount val="5"/>
                  <c:pt idx="0">
                    <c:v>0.89470676999624776</c:v>
                  </c:pt>
                  <c:pt idx="1">
                    <c:v>0.25477431305571119</c:v>
                  </c:pt>
                  <c:pt idx="2">
                    <c:v>0.47552217100425481</c:v>
                  </c:pt>
                  <c:pt idx="3">
                    <c:v>0.61770793577562466</c:v>
                  </c:pt>
                  <c:pt idx="4">
                    <c:v>0.4659773077703519</c:v>
                  </c:pt>
                </c:numCache>
              </c:numRef>
            </c:plus>
            <c:minus>
              <c:numRef>
                <c:f>'Individual fits'!$AT$13:$AT$17</c:f>
                <c:numCache>
                  <c:formatCode>General</c:formatCode>
                  <c:ptCount val="5"/>
                  <c:pt idx="0">
                    <c:v>0.89470676999624776</c:v>
                  </c:pt>
                  <c:pt idx="1">
                    <c:v>0.25477431305571119</c:v>
                  </c:pt>
                  <c:pt idx="2">
                    <c:v>0.47552217100425481</c:v>
                  </c:pt>
                  <c:pt idx="3">
                    <c:v>0.61770793577562466</c:v>
                  </c:pt>
                  <c:pt idx="4">
                    <c:v>0.4659773077703519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'Individual fits'!$AG$13:$AG$18</c:f>
              <c:numCache>
                <c:formatCode>General</c:formatCode>
                <c:ptCount val="6"/>
                <c:pt idx="0">
                  <c:v>8693.8472080764768</c:v>
                </c:pt>
                <c:pt idx="1">
                  <c:v>1415.8322348383324</c:v>
                </c:pt>
                <c:pt idx="2">
                  <c:v>3737.7087242026269</c:v>
                </c:pt>
                <c:pt idx="3" formatCode="0.00">
                  <c:v>6172</c:v>
                </c:pt>
                <c:pt idx="4">
                  <c:v>8111.8569016349502</c:v>
                </c:pt>
              </c:numCache>
            </c:numRef>
          </c:xVal>
          <c:yVal>
            <c:numRef>
              <c:f>'Individual fits'!$AM$13:$AM$18</c:f>
              <c:numCache>
                <c:formatCode>General</c:formatCode>
                <c:ptCount val="6"/>
                <c:pt idx="0">
                  <c:v>5.7503143236584453</c:v>
                </c:pt>
                <c:pt idx="1">
                  <c:v>7.7506424236870286</c:v>
                </c:pt>
                <c:pt idx="2">
                  <c:v>7.6144286171226296</c:v>
                </c:pt>
                <c:pt idx="3">
                  <c:v>13.600714172809589</c:v>
                </c:pt>
                <c:pt idx="4">
                  <c:v>8.4196652774095391</c:v>
                </c:pt>
                <c:pt idx="5">
                  <c:v>6.5385541580062121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'Individual fits'!$AC$11</c:f>
              <c:strCache>
                <c:ptCount val="1"/>
                <c:pt idx="0">
                  <c:v>Asat @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8426570645611449"/>
                  <c:y val="-0.30340258672485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'Individual fits'!$W$12:$W$42</c:f>
              <c:numCache>
                <c:formatCode>General</c:formatCode>
                <c:ptCount val="31"/>
                <c:pt idx="0">
                  <c:v>8693.8472080764768</c:v>
                </c:pt>
                <c:pt idx="1">
                  <c:v>8693.8472080764768</c:v>
                </c:pt>
                <c:pt idx="2">
                  <c:v>8693.8472080764768</c:v>
                </c:pt>
                <c:pt idx="3">
                  <c:v>8693.8472080764768</c:v>
                </c:pt>
                <c:pt idx="4">
                  <c:v>8693.8472080764768</c:v>
                </c:pt>
                <c:pt idx="5">
                  <c:v>1415.8322348383324</c:v>
                </c:pt>
                <c:pt idx="6">
                  <c:v>1415.8322348383324</c:v>
                </c:pt>
                <c:pt idx="7">
                  <c:v>1415.8322348383324</c:v>
                </c:pt>
                <c:pt idx="8">
                  <c:v>1415.8322348383324</c:v>
                </c:pt>
                <c:pt idx="9">
                  <c:v>1415.8322348383324</c:v>
                </c:pt>
                <c:pt idx="10">
                  <c:v>3737.7087242026269</c:v>
                </c:pt>
                <c:pt idx="11">
                  <c:v>3737.7087242026269</c:v>
                </c:pt>
                <c:pt idx="12">
                  <c:v>3737.7087242026269</c:v>
                </c:pt>
                <c:pt idx="13">
                  <c:v>3737.7087242026269</c:v>
                </c:pt>
                <c:pt idx="14">
                  <c:v>3737.7087242026269</c:v>
                </c:pt>
                <c:pt idx="15">
                  <c:v>6172.9893147502899</c:v>
                </c:pt>
                <c:pt idx="16">
                  <c:v>6172.9893147502899</c:v>
                </c:pt>
                <c:pt idx="17">
                  <c:v>6172.9893147502899</c:v>
                </c:pt>
                <c:pt idx="18">
                  <c:v>6172.9893147502899</c:v>
                </c:pt>
                <c:pt idx="19">
                  <c:v>6172.9893147502899</c:v>
                </c:pt>
                <c:pt idx="20">
                  <c:v>8111.8569016349502</c:v>
                </c:pt>
                <c:pt idx="21">
                  <c:v>8111.8569016349502</c:v>
                </c:pt>
                <c:pt idx="22">
                  <c:v>8111.8569016349502</c:v>
                </c:pt>
                <c:pt idx="23">
                  <c:v>8111.8569016349502</c:v>
                </c:pt>
                <c:pt idx="24">
                  <c:v>8111.8569016349502</c:v>
                </c:pt>
              </c:numCache>
            </c:numRef>
          </c:xVal>
          <c:yVal>
            <c:numRef>
              <c:f>'Individual fits'!$AC$12:$AC$42</c:f>
              <c:numCache>
                <c:formatCode>General</c:formatCode>
                <c:ptCount val="31"/>
                <c:pt idx="0">
                  <c:v>4.2792638674797532</c:v>
                </c:pt>
                <c:pt idx="1">
                  <c:v>4.6158066835186586</c:v>
                </c:pt>
                <c:pt idx="2">
                  <c:v>3.0795278269639685</c:v>
                </c:pt>
                <c:pt idx="3">
                  <c:v>11.026658916671401</c:v>
                </c:pt>
                <c:pt idx="5">
                  <c:v>8.5923946936426709</c:v>
                </c:pt>
                <c:pt idx="6">
                  <c:v>7.5595039485638251</c:v>
                </c:pt>
                <c:pt idx="7">
                  <c:v>7.1000286288545862</c:v>
                </c:pt>
                <c:pt idx="10">
                  <c:v>5.1838594912217442</c:v>
                </c:pt>
                <c:pt idx="11">
                  <c:v>9.3928871633705313</c:v>
                </c:pt>
                <c:pt idx="12">
                  <c:v>4.9806205405706248</c:v>
                </c:pt>
                <c:pt idx="13">
                  <c:v>10.033911204196329</c:v>
                </c:pt>
                <c:pt idx="14">
                  <c:v>8.4808646862539234</c:v>
                </c:pt>
                <c:pt idx="15">
                  <c:v>12.244883598938877</c:v>
                </c:pt>
                <c:pt idx="16">
                  <c:v>13.239902428624934</c:v>
                </c:pt>
                <c:pt idx="17">
                  <c:v>10.269105133329466</c:v>
                </c:pt>
                <c:pt idx="18">
                  <c:v>13.640306891858474</c:v>
                </c:pt>
                <c:pt idx="19">
                  <c:v>18.6093728112962</c:v>
                </c:pt>
                <c:pt idx="20">
                  <c:v>5.6288982637343894</c:v>
                </c:pt>
                <c:pt idx="21">
                  <c:v>9.2566291924687452</c:v>
                </c:pt>
                <c:pt idx="22">
                  <c:v>9.2849637996029415</c:v>
                </c:pt>
                <c:pt idx="23">
                  <c:v>9.5081698538320829</c:v>
                </c:pt>
                <c:pt idx="26">
                  <c:v>8.3179986999567319</c:v>
                </c:pt>
                <c:pt idx="27">
                  <c:v>4.7591096160556923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46936"/>
        <c:axId val="338247328"/>
      </c:scatterChart>
      <c:valAx>
        <c:axId val="338246936"/>
        <c:scaling>
          <c:orientation val="minMax"/>
          <c:max val="1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>
                    <a:solidFill>
                      <a:sysClr val="windowText" lastClr="000000"/>
                    </a:solidFill>
                  </a:rPr>
                  <a:t>Electrolyte leakage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7328"/>
        <c:crosses val="autoZero"/>
        <c:crossBetween val="midCat"/>
      </c:valAx>
      <c:valAx>
        <c:axId val="33824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>
                    <a:solidFill>
                      <a:sysClr val="windowText" lastClr="000000"/>
                    </a:solidFill>
                  </a:rPr>
                  <a:t>A</a:t>
                </a:r>
                <a:r>
                  <a:rPr lang="en-ZA" sz="1400" baseline="-25000">
                    <a:solidFill>
                      <a:sysClr val="windowText" lastClr="000000"/>
                    </a:solidFill>
                  </a:rPr>
                  <a:t>sat</a:t>
                </a:r>
                <a:r>
                  <a:rPr lang="en-ZA" sz="1400">
                    <a:solidFill>
                      <a:sysClr val="windowText" lastClr="000000"/>
                    </a:solidFill>
                  </a:rPr>
                  <a:t> at 20</a:t>
                </a:r>
                <a:r>
                  <a:rPr lang="en-ZA" sz="1400" baseline="30000">
                    <a:solidFill>
                      <a:sysClr val="windowText" lastClr="000000"/>
                    </a:solidFill>
                  </a:rPr>
                  <a:t>o</a:t>
                </a:r>
                <a:r>
                  <a:rPr lang="en-ZA" sz="1400">
                    <a:solidFill>
                      <a:sysClr val="windowText" lastClr="000000"/>
                    </a:solidFill>
                  </a:rPr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6936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'Individual fits'!$AM$12</c:f>
              <c:strCache>
                <c:ptCount val="1"/>
                <c:pt idx="0">
                  <c:v>Asat @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'Individual fits'!$AV$13:$AV$17</c:f>
                <c:numCache>
                  <c:formatCode>General</c:formatCode>
                  <c:ptCount val="5"/>
                  <c:pt idx="0">
                    <c:v>0.42666360125940772</c:v>
                  </c:pt>
                  <c:pt idx="1">
                    <c:v>0.7861716494633878</c:v>
                  </c:pt>
                  <c:pt idx="2">
                    <c:v>0.32506028610823334</c:v>
                  </c:pt>
                  <c:pt idx="3">
                    <c:v>0.54745259551090464</c:v>
                  </c:pt>
                  <c:pt idx="4">
                    <c:v>0.21117639118313841</c:v>
                  </c:pt>
                </c:numCache>
              </c:numRef>
            </c:plus>
            <c:minus>
              <c:numRef>
                <c:f>'Individual fits'!$AV$13:$AV$17</c:f>
                <c:numCache>
                  <c:formatCode>General</c:formatCode>
                  <c:ptCount val="5"/>
                  <c:pt idx="0">
                    <c:v>0.42666360125940772</c:v>
                  </c:pt>
                  <c:pt idx="1">
                    <c:v>0.7861716494633878</c:v>
                  </c:pt>
                  <c:pt idx="2">
                    <c:v>0.32506028610823334</c:v>
                  </c:pt>
                  <c:pt idx="3">
                    <c:v>0.54745259551090464</c:v>
                  </c:pt>
                  <c:pt idx="4">
                    <c:v>0.21117639118313841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'Individual fits'!$AH$13:$AH$18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0.28999999999999998</c:v>
                </c:pt>
                <c:pt idx="3">
                  <c:v>1.48</c:v>
                </c:pt>
                <c:pt idx="4">
                  <c:v>0.56000000000000005</c:v>
                </c:pt>
                <c:pt idx="5">
                  <c:v>0</c:v>
                </c:pt>
              </c:numCache>
            </c:numRef>
          </c:xVal>
          <c:yVal>
            <c:numRef>
              <c:f>'Individual fits'!$AO$13:$AO$18</c:f>
              <c:numCache>
                <c:formatCode>General</c:formatCode>
                <c:ptCount val="6"/>
                <c:pt idx="0">
                  <c:v>6.9200774404603171</c:v>
                </c:pt>
                <c:pt idx="1">
                  <c:v>7.2072767676111722</c:v>
                </c:pt>
                <c:pt idx="2">
                  <c:v>7.3656490861720441</c:v>
                </c:pt>
                <c:pt idx="3">
                  <c:v>9.6400112268568172</c:v>
                </c:pt>
                <c:pt idx="4">
                  <c:v>6.3900910156414144</c:v>
                </c:pt>
                <c:pt idx="5">
                  <c:v>9.2165561337625856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'Individual fits'!$AC$11</c:f>
              <c:strCache>
                <c:ptCount val="1"/>
                <c:pt idx="0">
                  <c:v>Asat @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7098689110142224"/>
                  <c:y val="-0.11197799070296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'Individual fits'!$V$12:$V$42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1.48</c:v>
                </c:pt>
                <c:pt idx="16">
                  <c:v>1.48</c:v>
                </c:pt>
                <c:pt idx="17">
                  <c:v>1.48</c:v>
                </c:pt>
                <c:pt idx="18">
                  <c:v>1.48</c:v>
                </c:pt>
                <c:pt idx="19">
                  <c:v>1.48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'Individual fits'!$AE$12:$AE$42</c:f>
              <c:numCache>
                <c:formatCode>General</c:formatCode>
                <c:ptCount val="31"/>
                <c:pt idx="0">
                  <c:v>6.1857889711285416</c:v>
                </c:pt>
                <c:pt idx="1">
                  <c:v>5.2960865164274464</c:v>
                </c:pt>
                <c:pt idx="2">
                  <c:v>9.2783568338249616</c:v>
                </c:pt>
                <c:pt idx="3">
                  <c:v>6.9200774404603171</c:v>
                </c:pt>
                <c:pt idx="5">
                  <c:v>5.2383859019293242</c:v>
                </c:pt>
                <c:pt idx="6">
                  <c:v>6.5622454957840519</c:v>
                </c:pt>
                <c:pt idx="7">
                  <c:v>9.8211989051201378</c:v>
                </c:pt>
                <c:pt idx="10">
                  <c:v>6.7452251312513267</c:v>
                </c:pt>
                <c:pt idx="11">
                  <c:v>9.0966172090547932</c:v>
                </c:pt>
                <c:pt idx="12">
                  <c:v>7.3656490861720432</c:v>
                </c:pt>
                <c:pt idx="13">
                  <c:v>8.6226391603380979</c:v>
                </c:pt>
                <c:pt idx="14">
                  <c:v>4.9981148440439584</c:v>
                </c:pt>
                <c:pt idx="15">
                  <c:v>9.7654357178675806</c:v>
                </c:pt>
                <c:pt idx="16">
                  <c:v>6.9701319326593785</c:v>
                </c:pt>
                <c:pt idx="17">
                  <c:v>7.4402629282220776</c:v>
                </c:pt>
                <c:pt idx="18">
                  <c:v>10.177198124218101</c:v>
                </c:pt>
                <c:pt idx="19">
                  <c:v>13.847027431316944</c:v>
                </c:pt>
                <c:pt idx="20">
                  <c:v>5.6514219800979246</c:v>
                </c:pt>
                <c:pt idx="21">
                  <c:v>7.2493728778268585</c:v>
                </c:pt>
                <c:pt idx="22">
                  <c:v>5.6781284492981916</c:v>
                </c:pt>
                <c:pt idx="23">
                  <c:v>6.9814407553426827</c:v>
                </c:pt>
                <c:pt idx="25">
                  <c:v>13.96143134857992</c:v>
                </c:pt>
                <c:pt idx="26">
                  <c:v>3.3227475268785569</c:v>
                </c:pt>
                <c:pt idx="27">
                  <c:v>10.365489525829277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48112"/>
        <c:axId val="338248504"/>
      </c:scatterChart>
      <c:valAx>
        <c:axId val="338248112"/>
        <c:scaling>
          <c:orientation val="minMax"/>
          <c:max val="1.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>
                    <a:solidFill>
                      <a:sysClr val="windowText" lastClr="000000"/>
                    </a:solidFill>
                  </a:rPr>
                  <a:t>Electrolyte leakage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8504"/>
        <c:crosses val="autoZero"/>
        <c:crossBetween val="midCat"/>
      </c:valAx>
      <c:valAx>
        <c:axId val="338248504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>
                    <a:solidFill>
                      <a:sysClr val="windowText" lastClr="000000"/>
                    </a:solidFill>
                  </a:rPr>
                  <a:t>A</a:t>
                </a:r>
                <a:r>
                  <a:rPr lang="en-ZA" sz="1400" baseline="-25000">
                    <a:solidFill>
                      <a:sysClr val="windowText" lastClr="000000"/>
                    </a:solidFill>
                  </a:rPr>
                  <a:t>sat</a:t>
                </a:r>
                <a:r>
                  <a:rPr lang="en-ZA" sz="1400">
                    <a:solidFill>
                      <a:sysClr val="windowText" lastClr="000000"/>
                    </a:solidFill>
                  </a:rPr>
                  <a:t> at 10</a:t>
                </a:r>
                <a:r>
                  <a:rPr lang="en-ZA" sz="1400" baseline="30000">
                    <a:solidFill>
                      <a:sysClr val="windowText" lastClr="000000"/>
                    </a:solidFill>
                  </a:rPr>
                  <a:t>o</a:t>
                </a:r>
                <a:r>
                  <a:rPr lang="en-ZA" sz="1400">
                    <a:solidFill>
                      <a:sysClr val="windowText" lastClr="000000"/>
                    </a:solidFill>
                  </a:rPr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8112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'Individual fits'!$AM$12</c:f>
              <c:strCache>
                <c:ptCount val="1"/>
                <c:pt idx="0">
                  <c:v>Asat @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'Individual fits'!$AU$13:$AU$17</c:f>
                <c:numCache>
                  <c:formatCode>General</c:formatCode>
                  <c:ptCount val="5"/>
                  <c:pt idx="0">
                    <c:v>0.5922543879913903</c:v>
                  </c:pt>
                  <c:pt idx="1">
                    <c:v>0.42273468269514597</c:v>
                  </c:pt>
                  <c:pt idx="2">
                    <c:v>0.3021952605156048</c:v>
                  </c:pt>
                  <c:pt idx="3">
                    <c:v>0.30878459437309624</c:v>
                  </c:pt>
                  <c:pt idx="4">
                    <c:v>0.42896153771497036</c:v>
                  </c:pt>
                </c:numCache>
              </c:numRef>
            </c:plus>
            <c:minus>
              <c:numRef>
                <c:f>'Individual fits'!$AU$13:$AU$17</c:f>
                <c:numCache>
                  <c:formatCode>General</c:formatCode>
                  <c:ptCount val="5"/>
                  <c:pt idx="0">
                    <c:v>0.5922543879913903</c:v>
                  </c:pt>
                  <c:pt idx="1">
                    <c:v>0.42273468269514597</c:v>
                  </c:pt>
                  <c:pt idx="2">
                    <c:v>0.3021952605156048</c:v>
                  </c:pt>
                  <c:pt idx="3">
                    <c:v>0.30878459437309624</c:v>
                  </c:pt>
                  <c:pt idx="4">
                    <c:v>0.42896153771497036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'Individual fits'!$AH$13:$AH$18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0.28999999999999998</c:v>
                </c:pt>
                <c:pt idx="3">
                  <c:v>1.48</c:v>
                </c:pt>
                <c:pt idx="4">
                  <c:v>0.56000000000000005</c:v>
                </c:pt>
                <c:pt idx="5">
                  <c:v>0</c:v>
                </c:pt>
              </c:numCache>
            </c:numRef>
          </c:xVal>
          <c:yVal>
            <c:numRef>
              <c:f>'Individual fits'!$AN$13:$AN$18</c:f>
              <c:numCache>
                <c:formatCode>General</c:formatCode>
                <c:ptCount val="6"/>
                <c:pt idx="0">
                  <c:v>6.4208856266864114</c:v>
                </c:pt>
                <c:pt idx="1">
                  <c:v>7.1760538936759017</c:v>
                </c:pt>
                <c:pt idx="2">
                  <c:v>7.3659891311841816</c:v>
                </c:pt>
                <c:pt idx="3">
                  <c:v>10.58949539239495</c:v>
                </c:pt>
                <c:pt idx="4">
                  <c:v>8.295456334146543</c:v>
                </c:pt>
                <c:pt idx="5">
                  <c:v>8.2070383835028657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'Individual fits'!$AC$11</c:f>
              <c:strCache>
                <c:ptCount val="1"/>
                <c:pt idx="0">
                  <c:v>Asat @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9640470561014585"/>
                  <c:y val="-0.12629573411757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'Individual fits'!$V$12:$V$42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1.48</c:v>
                </c:pt>
                <c:pt idx="16">
                  <c:v>1.48</c:v>
                </c:pt>
                <c:pt idx="17">
                  <c:v>1.48</c:v>
                </c:pt>
                <c:pt idx="18">
                  <c:v>1.48</c:v>
                </c:pt>
                <c:pt idx="19">
                  <c:v>1.48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'Individual fits'!$AD$12:$AD$42</c:f>
              <c:numCache>
                <c:formatCode>General</c:formatCode>
                <c:ptCount val="31"/>
                <c:pt idx="0">
                  <c:v>4.9280751178466211</c:v>
                </c:pt>
                <c:pt idx="1">
                  <c:v>6.0569534022550275</c:v>
                </c:pt>
                <c:pt idx="2">
                  <c:v>4.8241772107702721</c:v>
                </c:pt>
                <c:pt idx="3">
                  <c:v>9.8743367758737257</c:v>
                </c:pt>
                <c:pt idx="5">
                  <c:v>8.2865785877007703</c:v>
                </c:pt>
                <c:pt idx="6">
                  <c:v>5.7941158632476357</c:v>
                </c:pt>
                <c:pt idx="7">
                  <c:v>7.4474672300792966</c:v>
                </c:pt>
                <c:pt idx="10">
                  <c:v>5.7531037438547914</c:v>
                </c:pt>
                <c:pt idx="11">
                  <c:v>8.4629283135635127</c:v>
                </c:pt>
                <c:pt idx="12">
                  <c:v>6.5014024619808541</c:v>
                </c:pt>
                <c:pt idx="13">
                  <c:v>9.4029324204485949</c:v>
                </c:pt>
                <c:pt idx="14">
                  <c:v>6.7095787160731577</c:v>
                </c:pt>
                <c:pt idx="15">
                  <c:v>10.60260974457708</c:v>
                </c:pt>
                <c:pt idx="16">
                  <c:v>12.112535268505685</c:v>
                </c:pt>
                <c:pt idx="17">
                  <c:v>9.0875950442010076</c:v>
                </c:pt>
                <c:pt idx="18">
                  <c:v>10.555241512296028</c:v>
                </c:pt>
                <c:pt idx="20">
                  <c:v>7.4399146757797272</c:v>
                </c:pt>
                <c:pt idx="21">
                  <c:v>7.9365500444544441</c:v>
                </c:pt>
                <c:pt idx="22">
                  <c:v>10.804544771933637</c:v>
                </c:pt>
                <c:pt idx="23">
                  <c:v>7.0008158444183595</c:v>
                </c:pt>
                <c:pt idx="25">
                  <c:v>12.887263036717913</c:v>
                </c:pt>
                <c:pt idx="26">
                  <c:v>4.3973836776337771</c:v>
                </c:pt>
                <c:pt idx="27">
                  <c:v>7.3364684361569061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49288"/>
        <c:axId val="338249680"/>
      </c:scatterChart>
      <c:valAx>
        <c:axId val="338249288"/>
        <c:scaling>
          <c:orientation val="minMax"/>
          <c:max val="1.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>
                    <a:solidFill>
                      <a:sysClr val="windowText" lastClr="000000"/>
                    </a:solidFill>
                  </a:rPr>
                  <a:t>Electrolyte leakage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9680"/>
        <c:crosses val="autoZero"/>
        <c:crossBetween val="midCat"/>
      </c:valAx>
      <c:valAx>
        <c:axId val="338249680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>
                    <a:solidFill>
                      <a:sysClr val="windowText" lastClr="000000"/>
                    </a:solidFill>
                  </a:rPr>
                  <a:t>A</a:t>
                </a:r>
                <a:r>
                  <a:rPr lang="en-ZA" sz="1400" baseline="-25000">
                    <a:solidFill>
                      <a:sysClr val="windowText" lastClr="000000"/>
                    </a:solidFill>
                  </a:rPr>
                  <a:t>sat</a:t>
                </a:r>
                <a:r>
                  <a:rPr lang="en-ZA" sz="1400">
                    <a:solidFill>
                      <a:sysClr val="windowText" lastClr="000000"/>
                    </a:solidFill>
                  </a:rPr>
                  <a:t> at 15</a:t>
                </a:r>
                <a:r>
                  <a:rPr lang="en-ZA" sz="1400" baseline="30000">
                    <a:solidFill>
                      <a:sysClr val="windowText" lastClr="000000"/>
                    </a:solidFill>
                  </a:rPr>
                  <a:t>o</a:t>
                </a:r>
                <a:r>
                  <a:rPr lang="en-ZA" sz="1400">
                    <a:solidFill>
                      <a:sysClr val="windowText" lastClr="000000"/>
                    </a:solidFill>
                  </a:rPr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9288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92607174103238"/>
          <c:y val="3.3912219305920095E-2"/>
          <c:w val="0.7420669291338583"/>
          <c:h val="0.70026939340915717"/>
        </c:manualLayout>
      </c:layout>
      <c:scatterChart>
        <c:scatterStyle val="lineMarker"/>
        <c:varyColors val="0"/>
        <c:ser>
          <c:idx val="1"/>
          <c:order val="0"/>
          <c:tx>
            <c:strRef>
              <c:f>'Summary paramters (2)'!$Z$3</c:f>
              <c:strCache>
                <c:ptCount val="1"/>
                <c:pt idx="0">
                  <c:v>ETR @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908955322088917"/>
                  <c:y val="-0.11814158646835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paramters (2)'!$K$4:$K$28</c:f>
              <c:numCache>
                <c:formatCode>General</c:formatCode>
                <c:ptCount val="25"/>
                <c:pt idx="0">
                  <c:v>8693.8472080764768</c:v>
                </c:pt>
                <c:pt idx="1">
                  <c:v>8693.8472080764768</c:v>
                </c:pt>
                <c:pt idx="2">
                  <c:v>8693.8472080764768</c:v>
                </c:pt>
                <c:pt idx="3">
                  <c:v>8693.8472080764768</c:v>
                </c:pt>
                <c:pt idx="4">
                  <c:v>8693.8472080764768</c:v>
                </c:pt>
                <c:pt idx="5">
                  <c:v>1415.8322348383324</c:v>
                </c:pt>
                <c:pt idx="6">
                  <c:v>1415.8322348383324</c:v>
                </c:pt>
                <c:pt idx="7">
                  <c:v>1415.8322348383324</c:v>
                </c:pt>
                <c:pt idx="8">
                  <c:v>1415.8322348383324</c:v>
                </c:pt>
                <c:pt idx="9">
                  <c:v>1415.8322348383324</c:v>
                </c:pt>
                <c:pt idx="10">
                  <c:v>3737.7087242026269</c:v>
                </c:pt>
                <c:pt idx="11">
                  <c:v>3737.7087242026269</c:v>
                </c:pt>
                <c:pt idx="12">
                  <c:v>3737.7087242026269</c:v>
                </c:pt>
                <c:pt idx="13">
                  <c:v>3737.7087242026269</c:v>
                </c:pt>
                <c:pt idx="14">
                  <c:v>3737.7087242026269</c:v>
                </c:pt>
                <c:pt idx="15">
                  <c:v>6172.9893147502899</c:v>
                </c:pt>
                <c:pt idx="16">
                  <c:v>6172.9893147502899</c:v>
                </c:pt>
                <c:pt idx="17">
                  <c:v>6172.9893147502899</c:v>
                </c:pt>
                <c:pt idx="18">
                  <c:v>6172.9893147502899</c:v>
                </c:pt>
                <c:pt idx="19">
                  <c:v>6172.9893147502899</c:v>
                </c:pt>
                <c:pt idx="20">
                  <c:v>8111.8569016349502</c:v>
                </c:pt>
                <c:pt idx="21">
                  <c:v>8111.8569016349502</c:v>
                </c:pt>
                <c:pt idx="22">
                  <c:v>8111.8569016349502</c:v>
                </c:pt>
                <c:pt idx="23">
                  <c:v>8111.8569016349502</c:v>
                </c:pt>
                <c:pt idx="24">
                  <c:v>8111.8569016349502</c:v>
                </c:pt>
              </c:numCache>
            </c:numRef>
          </c:xVal>
          <c:yVal>
            <c:numRef>
              <c:f>'Summary paramters (2)'!$Z$4:$Z$28</c:f>
              <c:numCache>
                <c:formatCode>General</c:formatCode>
                <c:ptCount val="25"/>
                <c:pt idx="0">
                  <c:v>65.029717118446982</c:v>
                </c:pt>
                <c:pt idx="1">
                  <c:v>89.70388522558622</c:v>
                </c:pt>
                <c:pt idx="2">
                  <c:v>98.617683164233981</c:v>
                </c:pt>
                <c:pt idx="3">
                  <c:v>116.32858458831929</c:v>
                </c:pt>
                <c:pt idx="5">
                  <c:v>117.78146592269927</c:v>
                </c:pt>
                <c:pt idx="6">
                  <c:v>63.864290449533023</c:v>
                </c:pt>
                <c:pt idx="7">
                  <c:v>86.885968213564723</c:v>
                </c:pt>
                <c:pt idx="8">
                  <c:v>126.85432920681063</c:v>
                </c:pt>
                <c:pt idx="10">
                  <c:v>56.832581098258004</c:v>
                </c:pt>
                <c:pt idx="11">
                  <c:v>89.496820926621808</c:v>
                </c:pt>
                <c:pt idx="12">
                  <c:v>134.32710389168469</c:v>
                </c:pt>
                <c:pt idx="13">
                  <c:v>110.66496485741534</c:v>
                </c:pt>
                <c:pt idx="14">
                  <c:v>77.947200653686721</c:v>
                </c:pt>
                <c:pt idx="15">
                  <c:v>159.37921836386869</c:v>
                </c:pt>
                <c:pt idx="16">
                  <c:v>227.73589851785138</c:v>
                </c:pt>
                <c:pt idx="17">
                  <c:v>152.6218131068199</c:v>
                </c:pt>
                <c:pt idx="18">
                  <c:v>137.54294705178199</c:v>
                </c:pt>
                <c:pt idx="20">
                  <c:v>187.02167570311971</c:v>
                </c:pt>
                <c:pt idx="21">
                  <c:v>121.13545095056364</c:v>
                </c:pt>
                <c:pt idx="22">
                  <c:v>172.15295308315089</c:v>
                </c:pt>
                <c:pt idx="23">
                  <c:v>127.19035866302048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'Summary paramters (2)'!$T$3</c:f>
              <c:strCache>
                <c:ptCount val="1"/>
                <c:pt idx="0">
                  <c:v>Asat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222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paramters (2)'!$AI$4:$AI$8</c:f>
                <c:numCache>
                  <c:formatCode>General</c:formatCode>
                  <c:ptCount val="5"/>
                  <c:pt idx="0">
                    <c:v>5.3378299457272167</c:v>
                  </c:pt>
                  <c:pt idx="1">
                    <c:v>7.2309818619518023</c:v>
                  </c:pt>
                  <c:pt idx="2">
                    <c:v>5.9693194001753414</c:v>
                  </c:pt>
                  <c:pt idx="3">
                    <c:v>9.9998404974517108</c:v>
                  </c:pt>
                  <c:pt idx="4">
                    <c:v>8.1659042006390692</c:v>
                  </c:pt>
                </c:numCache>
              </c:numRef>
            </c:plus>
            <c:minus>
              <c:numRef>
                <c:f>'Summary paramters (2)'!$AI$4:$AI$8</c:f>
                <c:numCache>
                  <c:formatCode>General</c:formatCode>
                  <c:ptCount val="5"/>
                  <c:pt idx="0">
                    <c:v>5.3378299457272167</c:v>
                  </c:pt>
                  <c:pt idx="1">
                    <c:v>7.2309818619518023</c:v>
                  </c:pt>
                  <c:pt idx="2">
                    <c:v>5.9693194001753414</c:v>
                  </c:pt>
                  <c:pt idx="3">
                    <c:v>9.9998404974517108</c:v>
                  </c:pt>
                  <c:pt idx="4">
                    <c:v>8.1659042006390692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'Summary paramters (2)'!$Q$4:$Q$8</c:f>
              <c:numCache>
                <c:formatCode>General</c:formatCode>
                <c:ptCount val="5"/>
                <c:pt idx="0">
                  <c:v>8693.8472080764768</c:v>
                </c:pt>
                <c:pt idx="1">
                  <c:v>1415.8322348383324</c:v>
                </c:pt>
                <c:pt idx="2">
                  <c:v>3737.7087242026269</c:v>
                </c:pt>
                <c:pt idx="3">
                  <c:v>6172.9893147502899</c:v>
                </c:pt>
                <c:pt idx="4">
                  <c:v>8111.8569016349502</c:v>
                </c:pt>
              </c:numCache>
            </c:numRef>
          </c:xVal>
          <c:yVal>
            <c:numRef>
              <c:f>'Summary paramters (2)'!$AE$4:$AE$8</c:f>
              <c:numCache>
                <c:formatCode>General</c:formatCode>
                <c:ptCount val="5"/>
                <c:pt idx="0">
                  <c:v>92.419967524146628</c:v>
                </c:pt>
                <c:pt idx="1">
                  <c:v>98.84651344815191</c:v>
                </c:pt>
                <c:pt idx="2">
                  <c:v>93.853734285533307</c:v>
                </c:pt>
                <c:pt idx="3">
                  <c:v>169.31996926008048</c:v>
                </c:pt>
                <c:pt idx="4">
                  <c:v>151.87510959996368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50464"/>
        <c:axId val="338250856"/>
      </c:scatterChart>
      <c:valAx>
        <c:axId val="338250464"/>
        <c:scaling>
          <c:orientation val="minMax"/>
          <c:max val="1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Electrolyte leakage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50856"/>
        <c:crossesAt val="-6"/>
        <c:crossBetween val="midCat"/>
      </c:valAx>
      <c:valAx>
        <c:axId val="338250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ETR @ 20oC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50464"/>
        <c:crossesAt val="0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'Summary paramters (2)'!$AA$3</c:f>
              <c:strCache>
                <c:ptCount val="1"/>
                <c:pt idx="0">
                  <c:v>ETR @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265177918333981"/>
                  <c:y val="-0.29468387654074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paramters (2)'!$K$4:$K$28</c:f>
              <c:numCache>
                <c:formatCode>General</c:formatCode>
                <c:ptCount val="25"/>
                <c:pt idx="0">
                  <c:v>8693.8472080764768</c:v>
                </c:pt>
                <c:pt idx="1">
                  <c:v>8693.8472080764768</c:v>
                </c:pt>
                <c:pt idx="2">
                  <c:v>8693.8472080764768</c:v>
                </c:pt>
                <c:pt idx="3">
                  <c:v>8693.8472080764768</c:v>
                </c:pt>
                <c:pt idx="4">
                  <c:v>8693.8472080764768</c:v>
                </c:pt>
                <c:pt idx="5">
                  <c:v>1415.8322348383324</c:v>
                </c:pt>
                <c:pt idx="6">
                  <c:v>1415.8322348383324</c:v>
                </c:pt>
                <c:pt idx="7">
                  <c:v>1415.8322348383324</c:v>
                </c:pt>
                <c:pt idx="8">
                  <c:v>1415.8322348383324</c:v>
                </c:pt>
                <c:pt idx="9">
                  <c:v>1415.8322348383324</c:v>
                </c:pt>
                <c:pt idx="10">
                  <c:v>3737.7087242026269</c:v>
                </c:pt>
                <c:pt idx="11">
                  <c:v>3737.7087242026269</c:v>
                </c:pt>
                <c:pt idx="12">
                  <c:v>3737.7087242026269</c:v>
                </c:pt>
                <c:pt idx="13">
                  <c:v>3737.7087242026269</c:v>
                </c:pt>
                <c:pt idx="14">
                  <c:v>3737.7087242026269</c:v>
                </c:pt>
                <c:pt idx="15">
                  <c:v>6172.9893147502899</c:v>
                </c:pt>
                <c:pt idx="16">
                  <c:v>6172.9893147502899</c:v>
                </c:pt>
                <c:pt idx="17">
                  <c:v>6172.9893147502899</c:v>
                </c:pt>
                <c:pt idx="18">
                  <c:v>6172.9893147502899</c:v>
                </c:pt>
                <c:pt idx="19">
                  <c:v>6172.9893147502899</c:v>
                </c:pt>
                <c:pt idx="20">
                  <c:v>8111.8569016349502</c:v>
                </c:pt>
                <c:pt idx="21">
                  <c:v>8111.8569016349502</c:v>
                </c:pt>
                <c:pt idx="22">
                  <c:v>8111.8569016349502</c:v>
                </c:pt>
                <c:pt idx="23">
                  <c:v>8111.8569016349502</c:v>
                </c:pt>
                <c:pt idx="24">
                  <c:v>8111.8569016349502</c:v>
                </c:pt>
              </c:numCache>
            </c:numRef>
          </c:xVal>
          <c:yVal>
            <c:numRef>
              <c:f>'Summary paramters (2)'!$AA$4:$AA$28</c:f>
              <c:numCache>
                <c:formatCode>General</c:formatCode>
                <c:ptCount val="25"/>
                <c:pt idx="0">
                  <c:v>0</c:v>
                </c:pt>
                <c:pt idx="1">
                  <c:v>85.270942996774053</c:v>
                </c:pt>
                <c:pt idx="2">
                  <c:v>95.57772935729605</c:v>
                </c:pt>
                <c:pt idx="3">
                  <c:v>97.301144144180952</c:v>
                </c:pt>
                <c:pt idx="5">
                  <c:v>110.40896306674007</c:v>
                </c:pt>
                <c:pt idx="6">
                  <c:v>65.687660068819937</c:v>
                </c:pt>
                <c:pt idx="7">
                  <c:v>77.516445975820929</c:v>
                </c:pt>
                <c:pt idx="8">
                  <c:v>142.82924556368798</c:v>
                </c:pt>
                <c:pt idx="10">
                  <c:v>60.007350497235379</c:v>
                </c:pt>
                <c:pt idx="11">
                  <c:v>81.122533568947262</c:v>
                </c:pt>
                <c:pt idx="12">
                  <c:v>122.54081544390066</c:v>
                </c:pt>
                <c:pt idx="13">
                  <c:v>95.537090311275477</c:v>
                </c:pt>
                <c:pt idx="14">
                  <c:v>64.018749851353803</c:v>
                </c:pt>
                <c:pt idx="15">
                  <c:v>127.37214638200879</c:v>
                </c:pt>
                <c:pt idx="16">
                  <c:v>191.13122416937549</c:v>
                </c:pt>
                <c:pt idx="17">
                  <c:v>121.54900031143289</c:v>
                </c:pt>
                <c:pt idx="18">
                  <c:v>113.4042847625287</c:v>
                </c:pt>
                <c:pt idx="20">
                  <c:v>153.93785745880339</c:v>
                </c:pt>
                <c:pt idx="21">
                  <c:v>94.01165883777594</c:v>
                </c:pt>
                <c:pt idx="22">
                  <c:v>139.22481218799641</c:v>
                </c:pt>
                <c:pt idx="23">
                  <c:v>103.36954222691445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'Summary paramters (2)'!$T$3</c:f>
              <c:strCache>
                <c:ptCount val="1"/>
                <c:pt idx="0">
                  <c:v>Asat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222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paramters (2)'!$AJ$4:$AJ$8</c:f>
                <c:numCache>
                  <c:formatCode>General</c:formatCode>
                  <c:ptCount val="5"/>
                  <c:pt idx="0">
                    <c:v>11.665403457731694</c:v>
                  </c:pt>
                  <c:pt idx="1">
                    <c:v>8.6871233486367938</c:v>
                  </c:pt>
                  <c:pt idx="2">
                    <c:v>5.0986215754912942</c:v>
                  </c:pt>
                  <c:pt idx="3">
                    <c:v>8.910354921446709</c:v>
                  </c:pt>
                  <c:pt idx="4">
                    <c:v>7.1378455436922721</c:v>
                  </c:pt>
                </c:numCache>
              </c:numRef>
            </c:plus>
            <c:minus>
              <c:numRef>
                <c:f>'Summary paramters (2)'!$AJ$4:$AJ$8</c:f>
                <c:numCache>
                  <c:formatCode>General</c:formatCode>
                  <c:ptCount val="5"/>
                  <c:pt idx="0">
                    <c:v>11.665403457731694</c:v>
                  </c:pt>
                  <c:pt idx="1">
                    <c:v>8.6871233486367938</c:v>
                  </c:pt>
                  <c:pt idx="2">
                    <c:v>5.0986215754912942</c:v>
                  </c:pt>
                  <c:pt idx="3">
                    <c:v>8.910354921446709</c:v>
                  </c:pt>
                  <c:pt idx="4">
                    <c:v>7.1378455436922721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'Summary paramters (2)'!$Q$4:$Q$8</c:f>
              <c:numCache>
                <c:formatCode>General</c:formatCode>
                <c:ptCount val="5"/>
                <c:pt idx="0">
                  <c:v>8693.8472080764768</c:v>
                </c:pt>
                <c:pt idx="1">
                  <c:v>1415.8322348383324</c:v>
                </c:pt>
                <c:pt idx="2">
                  <c:v>3737.7087242026269</c:v>
                </c:pt>
                <c:pt idx="3">
                  <c:v>6172.9893147502899</c:v>
                </c:pt>
                <c:pt idx="4">
                  <c:v>8111.8569016349502</c:v>
                </c:pt>
              </c:numCache>
            </c:numRef>
          </c:xVal>
          <c:yVal>
            <c:numRef>
              <c:f>'Summary paramters (2)'!$AF$4:$AF$8</c:f>
              <c:numCache>
                <c:formatCode>General</c:formatCode>
                <c:ptCount val="5"/>
                <c:pt idx="0">
                  <c:v>69.537454124562771</c:v>
                </c:pt>
                <c:pt idx="1">
                  <c:v>99.110578668767232</c:v>
                </c:pt>
                <c:pt idx="2">
                  <c:v>84.645307934542515</c:v>
                </c:pt>
                <c:pt idx="3">
                  <c:v>138.36416390633647</c:v>
                </c:pt>
                <c:pt idx="4">
                  <c:v>122.63596767787256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51640"/>
        <c:axId val="338252032"/>
      </c:scatterChart>
      <c:valAx>
        <c:axId val="338251640"/>
        <c:scaling>
          <c:orientation val="minMax"/>
          <c:max val="1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Electrolyte leakage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52032"/>
        <c:crossesAt val="-6"/>
        <c:crossBetween val="midCat"/>
      </c:valAx>
      <c:valAx>
        <c:axId val="33825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ETR @ 15</a:t>
                </a:r>
                <a:r>
                  <a:rPr lang="en-ZA" sz="1200" baseline="30000"/>
                  <a:t>o</a:t>
                </a:r>
                <a:r>
                  <a:rPr lang="en-ZA" sz="1200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51640"/>
        <c:crossesAt val="0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'Summary paramters (2)'!$AA$3</c:f>
              <c:strCache>
                <c:ptCount val="1"/>
                <c:pt idx="0">
                  <c:v>ETR @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494063588311848"/>
                  <c:y val="-0.39436681879733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paramters (2)'!$K$4:$K$28</c:f>
              <c:numCache>
                <c:formatCode>General</c:formatCode>
                <c:ptCount val="25"/>
                <c:pt idx="0">
                  <c:v>8693.8472080764768</c:v>
                </c:pt>
                <c:pt idx="1">
                  <c:v>8693.8472080764768</c:v>
                </c:pt>
                <c:pt idx="2">
                  <c:v>8693.8472080764768</c:v>
                </c:pt>
                <c:pt idx="3">
                  <c:v>8693.8472080764768</c:v>
                </c:pt>
                <c:pt idx="4">
                  <c:v>8693.8472080764768</c:v>
                </c:pt>
                <c:pt idx="5">
                  <c:v>1415.8322348383324</c:v>
                </c:pt>
                <c:pt idx="6">
                  <c:v>1415.8322348383324</c:v>
                </c:pt>
                <c:pt idx="7">
                  <c:v>1415.8322348383324</c:v>
                </c:pt>
                <c:pt idx="8">
                  <c:v>1415.8322348383324</c:v>
                </c:pt>
                <c:pt idx="9">
                  <c:v>1415.8322348383324</c:v>
                </c:pt>
                <c:pt idx="10">
                  <c:v>3737.7087242026269</c:v>
                </c:pt>
                <c:pt idx="11">
                  <c:v>3737.7087242026269</c:v>
                </c:pt>
                <c:pt idx="12">
                  <c:v>3737.7087242026269</c:v>
                </c:pt>
                <c:pt idx="13">
                  <c:v>3737.7087242026269</c:v>
                </c:pt>
                <c:pt idx="14">
                  <c:v>3737.7087242026269</c:v>
                </c:pt>
                <c:pt idx="15">
                  <c:v>6172.9893147502899</c:v>
                </c:pt>
                <c:pt idx="16">
                  <c:v>6172.9893147502899</c:v>
                </c:pt>
                <c:pt idx="17">
                  <c:v>6172.9893147502899</c:v>
                </c:pt>
                <c:pt idx="18">
                  <c:v>6172.9893147502899</c:v>
                </c:pt>
                <c:pt idx="19">
                  <c:v>6172.9893147502899</c:v>
                </c:pt>
                <c:pt idx="20">
                  <c:v>8111.8569016349502</c:v>
                </c:pt>
                <c:pt idx="21">
                  <c:v>8111.8569016349502</c:v>
                </c:pt>
                <c:pt idx="22">
                  <c:v>8111.8569016349502</c:v>
                </c:pt>
                <c:pt idx="23">
                  <c:v>8111.8569016349502</c:v>
                </c:pt>
                <c:pt idx="24">
                  <c:v>8111.8569016349502</c:v>
                </c:pt>
              </c:numCache>
            </c:numRef>
          </c:xVal>
          <c:yVal>
            <c:numRef>
              <c:f>'Summary paramters (2)'!$AB$4:$AB$28</c:f>
              <c:numCache>
                <c:formatCode>General</c:formatCode>
                <c:ptCount val="25"/>
                <c:pt idx="0">
                  <c:v>73.143341987810771</c:v>
                </c:pt>
                <c:pt idx="1">
                  <c:v>74.838871066756255</c:v>
                </c:pt>
                <c:pt idx="2">
                  <c:v>87.975785206881241</c:v>
                </c:pt>
                <c:pt idx="3">
                  <c:v>118.42418834194646</c:v>
                </c:pt>
                <c:pt idx="5">
                  <c:v>98.30601939630094</c:v>
                </c:pt>
                <c:pt idx="6">
                  <c:v>70.566178834011026</c:v>
                </c:pt>
                <c:pt idx="7">
                  <c:v>124.51184132239139</c:v>
                </c:pt>
                <c:pt idx="8">
                  <c:v>97.794679850901119</c:v>
                </c:pt>
                <c:pt idx="10">
                  <c:v>48.175812358320094</c:v>
                </c:pt>
                <c:pt idx="11">
                  <c:v>68.77311241339973</c:v>
                </c:pt>
                <c:pt idx="12">
                  <c:v>81.14202560245387</c:v>
                </c:pt>
                <c:pt idx="13">
                  <c:v>47.773377442945588</c:v>
                </c:pt>
                <c:pt idx="14">
                  <c:v>61.466081954279822</c:v>
                </c:pt>
                <c:pt idx="15">
                  <c:v>115.0826699762864</c:v>
                </c:pt>
                <c:pt idx="16">
                  <c:v>115.62463138660279</c:v>
                </c:pt>
                <c:pt idx="17">
                  <c:v>102.29747174691484</c:v>
                </c:pt>
                <c:pt idx="18">
                  <c:v>94.098830425814214</c:v>
                </c:pt>
                <c:pt idx="19">
                  <c:v>103.61424312424748</c:v>
                </c:pt>
                <c:pt idx="20">
                  <c:v>103.04755342918484</c:v>
                </c:pt>
                <c:pt idx="21">
                  <c:v>69.649475674087384</c:v>
                </c:pt>
                <c:pt idx="22">
                  <c:v>91.215719934341337</c:v>
                </c:pt>
                <c:pt idx="23">
                  <c:v>77.505494813552303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'Summary paramters (2)'!$T$3</c:f>
              <c:strCache>
                <c:ptCount val="1"/>
                <c:pt idx="0">
                  <c:v>Asat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222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paramters (2)'!$AK$4:$AK$8</c:f>
                <c:numCache>
                  <c:formatCode>General</c:formatCode>
                  <c:ptCount val="5"/>
                  <c:pt idx="0">
                    <c:v>5.2403656071914861</c:v>
                  </c:pt>
                  <c:pt idx="1">
                    <c:v>5.5065480960760835</c:v>
                  </c:pt>
                  <c:pt idx="2">
                    <c:v>2.8366474496218772</c:v>
                  </c:pt>
                  <c:pt idx="3">
                    <c:v>1.833204164923584</c:v>
                  </c:pt>
                  <c:pt idx="4">
                    <c:v>3.6958668081335131</c:v>
                  </c:pt>
                </c:numCache>
              </c:numRef>
            </c:plus>
            <c:minus>
              <c:numRef>
                <c:f>'Summary paramters (2)'!$AK$4:$AK$8</c:f>
                <c:numCache>
                  <c:formatCode>General</c:formatCode>
                  <c:ptCount val="5"/>
                  <c:pt idx="0">
                    <c:v>5.2403656071914861</c:v>
                  </c:pt>
                  <c:pt idx="1">
                    <c:v>5.5065480960760835</c:v>
                  </c:pt>
                  <c:pt idx="2">
                    <c:v>2.8366474496218772</c:v>
                  </c:pt>
                  <c:pt idx="3">
                    <c:v>1.833204164923584</c:v>
                  </c:pt>
                  <c:pt idx="4">
                    <c:v>3.6958668081335131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'Summary paramters (2)'!$Q$4:$Q$8</c:f>
              <c:numCache>
                <c:formatCode>General</c:formatCode>
                <c:ptCount val="5"/>
                <c:pt idx="0">
                  <c:v>8693.8472080764768</c:v>
                </c:pt>
                <c:pt idx="1">
                  <c:v>1415.8322348383324</c:v>
                </c:pt>
                <c:pt idx="2">
                  <c:v>3737.7087242026269</c:v>
                </c:pt>
                <c:pt idx="3">
                  <c:v>6172.9893147502899</c:v>
                </c:pt>
                <c:pt idx="4">
                  <c:v>8111.8569016349502</c:v>
                </c:pt>
              </c:numCache>
            </c:numRef>
          </c:xVal>
          <c:yVal>
            <c:numRef>
              <c:f>'Summary paramters (2)'!$AG$4:$AG$8</c:f>
              <c:numCache>
                <c:formatCode>General</c:formatCode>
                <c:ptCount val="5"/>
                <c:pt idx="0">
                  <c:v>88.595546650848689</c:v>
                </c:pt>
                <c:pt idx="1">
                  <c:v>97.794679850901119</c:v>
                </c:pt>
                <c:pt idx="2">
                  <c:v>61.466081954279822</c:v>
                </c:pt>
                <c:pt idx="3">
                  <c:v>106.14356933197314</c:v>
                </c:pt>
                <c:pt idx="4">
                  <c:v>85.354560962791481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52816"/>
        <c:axId val="338253208"/>
      </c:scatterChart>
      <c:valAx>
        <c:axId val="338252816"/>
        <c:scaling>
          <c:orientation val="minMax"/>
          <c:max val="1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Electrolyte leakage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53208"/>
        <c:crossesAt val="-6"/>
        <c:crossBetween val="midCat"/>
      </c:valAx>
      <c:valAx>
        <c:axId val="338253208"/>
        <c:scaling>
          <c:orientation val="minMax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ETR @ 10</a:t>
                </a:r>
                <a:r>
                  <a:rPr lang="en-ZA" sz="1200" baseline="30000"/>
                  <a:t>o</a:t>
                </a:r>
                <a:r>
                  <a:rPr lang="en-ZA" sz="1200"/>
                  <a:t>C</a:t>
                </a:r>
                <a:r>
                  <a:rPr lang="en-ZA" sz="1200" baseline="30000"/>
                  <a:t>-</a:t>
                </a:r>
                <a:endParaRPr lang="en-Z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52816"/>
        <c:crossesAt val="0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26496171449643"/>
          <c:y val="4.9498150080637508E-2"/>
          <c:w val="0.74447784935973915"/>
          <c:h val="0.73019353002561427"/>
        </c:manualLayout>
      </c:layout>
      <c:scatterChart>
        <c:scatterStyle val="lineMarker"/>
        <c:varyColors val="0"/>
        <c:ser>
          <c:idx val="2"/>
          <c:order val="0"/>
          <c:tx>
            <c:v>20oC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'Individual fits'!$AT$13:$AT$17</c:f>
                <c:numCache>
                  <c:formatCode>General</c:formatCode>
                  <c:ptCount val="5"/>
                  <c:pt idx="0">
                    <c:v>0.89470676999624776</c:v>
                  </c:pt>
                  <c:pt idx="1">
                    <c:v>0.25477431305571119</c:v>
                  </c:pt>
                  <c:pt idx="2">
                    <c:v>0.47552217100425481</c:v>
                  </c:pt>
                  <c:pt idx="3">
                    <c:v>0.61770793577562466</c:v>
                  </c:pt>
                  <c:pt idx="4">
                    <c:v>0.4659773077703519</c:v>
                  </c:pt>
                </c:numCache>
              </c:numRef>
            </c:plus>
            <c:minus>
              <c:numRef>
                <c:f>'Individual fits'!$AT$13:$AT$17</c:f>
                <c:numCache>
                  <c:formatCode>General</c:formatCode>
                  <c:ptCount val="5"/>
                  <c:pt idx="0">
                    <c:v>0.89470676999624776</c:v>
                  </c:pt>
                  <c:pt idx="1">
                    <c:v>0.25477431305571119</c:v>
                  </c:pt>
                  <c:pt idx="2">
                    <c:v>0.47552217100425481</c:v>
                  </c:pt>
                  <c:pt idx="3">
                    <c:v>0.61770793577562466</c:v>
                  </c:pt>
                  <c:pt idx="4">
                    <c:v>0.4659773077703519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'Individual fits'!$AG$13:$AG$18</c:f>
              <c:numCache>
                <c:formatCode>General</c:formatCode>
                <c:ptCount val="6"/>
                <c:pt idx="0">
                  <c:v>8693.8472080764768</c:v>
                </c:pt>
                <c:pt idx="1">
                  <c:v>1415.8322348383324</c:v>
                </c:pt>
                <c:pt idx="2">
                  <c:v>3737.7087242026269</c:v>
                </c:pt>
                <c:pt idx="3" formatCode="0.00">
                  <c:v>6172</c:v>
                </c:pt>
                <c:pt idx="4">
                  <c:v>8111.8569016349502</c:v>
                </c:pt>
              </c:numCache>
            </c:numRef>
          </c:xVal>
          <c:yVal>
            <c:numRef>
              <c:f>'Individual fits'!$AM$13:$AM$18</c:f>
              <c:numCache>
                <c:formatCode>General</c:formatCode>
                <c:ptCount val="6"/>
                <c:pt idx="0">
                  <c:v>5.7503143236584453</c:v>
                </c:pt>
                <c:pt idx="1">
                  <c:v>7.7506424236870286</c:v>
                </c:pt>
                <c:pt idx="2">
                  <c:v>7.6144286171226296</c:v>
                </c:pt>
                <c:pt idx="3">
                  <c:v>13.600714172809589</c:v>
                </c:pt>
                <c:pt idx="4">
                  <c:v>8.4196652774095391</c:v>
                </c:pt>
                <c:pt idx="5">
                  <c:v>6.5385541580062121</c:v>
                </c:pt>
              </c:numCache>
            </c:numRef>
          </c:yVal>
          <c:smooth val="0"/>
        </c:ser>
        <c:ser>
          <c:idx val="3"/>
          <c:order val="1"/>
          <c:tx>
            <c:v>15oC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'Individual fits'!$AU$13:$AU$17</c:f>
                <c:numCache>
                  <c:formatCode>General</c:formatCode>
                  <c:ptCount val="5"/>
                  <c:pt idx="0">
                    <c:v>0.5922543879913903</c:v>
                  </c:pt>
                  <c:pt idx="1">
                    <c:v>0.42273468269514597</c:v>
                  </c:pt>
                  <c:pt idx="2">
                    <c:v>0.3021952605156048</c:v>
                  </c:pt>
                  <c:pt idx="3">
                    <c:v>0.30878459437309624</c:v>
                  </c:pt>
                  <c:pt idx="4">
                    <c:v>0.42896153771497036</c:v>
                  </c:pt>
                </c:numCache>
              </c:numRef>
            </c:plus>
            <c:minus>
              <c:numRef>
                <c:f>'Individual fits'!$AU$13:$AU$17</c:f>
                <c:numCache>
                  <c:formatCode>General</c:formatCode>
                  <c:ptCount val="5"/>
                  <c:pt idx="0">
                    <c:v>0.5922543879913903</c:v>
                  </c:pt>
                  <c:pt idx="1">
                    <c:v>0.42273468269514597</c:v>
                  </c:pt>
                  <c:pt idx="2">
                    <c:v>0.3021952605156048</c:v>
                  </c:pt>
                  <c:pt idx="3">
                    <c:v>0.30878459437309624</c:v>
                  </c:pt>
                  <c:pt idx="4">
                    <c:v>0.42896153771497036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'Individual fits'!$AG$13:$AG$18</c:f>
              <c:numCache>
                <c:formatCode>General</c:formatCode>
                <c:ptCount val="6"/>
                <c:pt idx="0">
                  <c:v>8693.8472080764768</c:v>
                </c:pt>
                <c:pt idx="1">
                  <c:v>1415.8322348383324</c:v>
                </c:pt>
                <c:pt idx="2">
                  <c:v>3737.7087242026269</c:v>
                </c:pt>
                <c:pt idx="3" formatCode="0.00">
                  <c:v>6172</c:v>
                </c:pt>
                <c:pt idx="4">
                  <c:v>8111.8569016349502</c:v>
                </c:pt>
              </c:numCache>
            </c:numRef>
          </c:xVal>
          <c:yVal>
            <c:numRef>
              <c:f>'Individual fits'!$AN$13:$AN$18</c:f>
              <c:numCache>
                <c:formatCode>General</c:formatCode>
                <c:ptCount val="6"/>
                <c:pt idx="0">
                  <c:v>6.4208856266864114</c:v>
                </c:pt>
                <c:pt idx="1">
                  <c:v>7.1760538936759017</c:v>
                </c:pt>
                <c:pt idx="2">
                  <c:v>7.3659891311841816</c:v>
                </c:pt>
                <c:pt idx="3">
                  <c:v>10.58949539239495</c:v>
                </c:pt>
                <c:pt idx="4">
                  <c:v>8.295456334146543</c:v>
                </c:pt>
                <c:pt idx="5">
                  <c:v>8.2070383835028657</c:v>
                </c:pt>
              </c:numCache>
            </c:numRef>
          </c:yVal>
          <c:smooth val="0"/>
        </c:ser>
        <c:ser>
          <c:idx val="1"/>
          <c:order val="2"/>
          <c:tx>
            <c:v>10oC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'Individual fits'!$AV$13:$AV$17</c:f>
                <c:numCache>
                  <c:formatCode>General</c:formatCode>
                  <c:ptCount val="5"/>
                  <c:pt idx="0">
                    <c:v>0.42666360125940772</c:v>
                  </c:pt>
                  <c:pt idx="1">
                    <c:v>0.7861716494633878</c:v>
                  </c:pt>
                  <c:pt idx="2">
                    <c:v>0.32506028610823334</c:v>
                  </c:pt>
                  <c:pt idx="3">
                    <c:v>0.54745259551090464</c:v>
                  </c:pt>
                  <c:pt idx="4">
                    <c:v>0.21117639118313841</c:v>
                  </c:pt>
                </c:numCache>
              </c:numRef>
            </c:plus>
            <c:minus>
              <c:numRef>
                <c:f>'Individual fits'!$AV$13:$AV$17</c:f>
                <c:numCache>
                  <c:formatCode>General</c:formatCode>
                  <c:ptCount val="5"/>
                  <c:pt idx="0">
                    <c:v>0.42666360125940772</c:v>
                  </c:pt>
                  <c:pt idx="1">
                    <c:v>0.7861716494633878</c:v>
                  </c:pt>
                  <c:pt idx="2">
                    <c:v>0.32506028610823334</c:v>
                  </c:pt>
                  <c:pt idx="3">
                    <c:v>0.54745259551090464</c:v>
                  </c:pt>
                  <c:pt idx="4">
                    <c:v>0.21117639118313841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'Individual fits'!$AG$13:$AG$18</c:f>
              <c:numCache>
                <c:formatCode>General</c:formatCode>
                <c:ptCount val="6"/>
                <c:pt idx="0">
                  <c:v>8693.8472080764768</c:v>
                </c:pt>
                <c:pt idx="1">
                  <c:v>1415.8322348383324</c:v>
                </c:pt>
                <c:pt idx="2">
                  <c:v>3737.7087242026269</c:v>
                </c:pt>
                <c:pt idx="3" formatCode="0.00">
                  <c:v>6172</c:v>
                </c:pt>
                <c:pt idx="4">
                  <c:v>8111.8569016349502</c:v>
                </c:pt>
              </c:numCache>
            </c:numRef>
          </c:xVal>
          <c:yVal>
            <c:numRef>
              <c:f>'Individual fits'!$AO$13:$AO$18</c:f>
              <c:numCache>
                <c:formatCode>General</c:formatCode>
                <c:ptCount val="6"/>
                <c:pt idx="0">
                  <c:v>6.9200774404603171</c:v>
                </c:pt>
                <c:pt idx="1">
                  <c:v>7.2072767676111722</c:v>
                </c:pt>
                <c:pt idx="2">
                  <c:v>7.3656490861720441</c:v>
                </c:pt>
                <c:pt idx="3">
                  <c:v>9.6400112268568172</c:v>
                </c:pt>
                <c:pt idx="4">
                  <c:v>6.3900910156414144</c:v>
                </c:pt>
                <c:pt idx="5">
                  <c:v>9.2165561337625856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53992"/>
        <c:axId val="338254384"/>
      </c:scatterChart>
      <c:valAx>
        <c:axId val="338253992"/>
        <c:scaling>
          <c:orientation val="minMax"/>
          <c:max val="1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>
                    <a:solidFill>
                      <a:sysClr val="windowText" lastClr="000000"/>
                    </a:solidFill>
                  </a:rPr>
                  <a:t>Rate of invassion (km</a:t>
                </a:r>
                <a:r>
                  <a:rPr lang="en-ZA" sz="1400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ZA" sz="1400">
                    <a:solidFill>
                      <a:sysClr val="windowText" lastClr="000000"/>
                    </a:solidFill>
                  </a:rPr>
                  <a:t> yr</a:t>
                </a:r>
                <a:r>
                  <a:rPr lang="en-ZA" sz="1400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ZA" sz="14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54384"/>
        <c:crosses val="autoZero"/>
        <c:crossBetween val="midCat"/>
      </c:valAx>
      <c:valAx>
        <c:axId val="338254384"/>
        <c:scaling>
          <c:orientation val="minMax"/>
          <c:max val="16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>
                    <a:solidFill>
                      <a:sysClr val="windowText" lastClr="000000"/>
                    </a:solidFill>
                  </a:rPr>
                  <a:t>A</a:t>
                </a:r>
                <a:r>
                  <a:rPr lang="en-ZA" sz="1400" baseline="-25000">
                    <a:solidFill>
                      <a:sysClr val="windowText" lastClr="000000"/>
                    </a:solidFill>
                  </a:rPr>
                  <a:t>sat</a:t>
                </a:r>
                <a:endParaRPr lang="en-ZA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53992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1342982862436313"/>
          <c:y val="5.9215444454985285E-2"/>
          <c:w val="0.14815398075240596"/>
          <c:h val="0.20686999968377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'Summary paramters (2)'!$T$3</c:f>
              <c:strCache>
                <c:ptCount val="1"/>
                <c:pt idx="0">
                  <c:v>Asat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'Summary paramters (2)'!$S$16:$S$28</c:f>
              <c:numCache>
                <c:formatCode>General</c:formatCode>
                <c:ptCount val="13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</c:numCache>
            </c:numRef>
          </c:xVal>
          <c:yVal>
            <c:numRef>
              <c:f>'Summary paramters (2)'!$T$16:$T$28</c:f>
              <c:numCache>
                <c:formatCode>General</c:formatCode>
                <c:ptCount val="13"/>
                <c:pt idx="0">
                  <c:v>0</c:v>
                </c:pt>
                <c:pt idx="1">
                  <c:v>2.3828168027823069</c:v>
                </c:pt>
                <c:pt idx="2">
                  <c:v>4.00192378280284</c:v>
                </c:pt>
                <c:pt idx="3">
                  <c:v>5.102095398887716</c:v>
                </c:pt>
                <c:pt idx="4">
                  <c:v>5.8496541456380147</c:v>
                </c:pt>
                <c:pt idx="5">
                  <c:v>6.3576149689063008</c:v>
                </c:pt>
                <c:pt idx="6">
                  <c:v>6.7027707163268877</c:v>
                </c:pt>
                <c:pt idx="7">
                  <c:v>6.9373015787877952</c:v>
                </c:pt>
                <c:pt idx="8">
                  <c:v>7.0966636229018434</c:v>
                </c:pt>
                <c:pt idx="9">
                  <c:v>7.2049489924166599</c:v>
                </c:pt>
                <c:pt idx="10">
                  <c:v>7.2785281267465933</c:v>
                </c:pt>
                <c:pt idx="11">
                  <c:v>7.328524622422786</c:v>
                </c:pt>
                <c:pt idx="12">
                  <c:v>7.3624968837528924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'Summary paramters (2)'!$T$3</c:f>
              <c:strCache>
                <c:ptCount val="1"/>
                <c:pt idx="0">
                  <c:v>Asat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'Summary paramters (2)'!$L$4:$L$28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1.48</c:v>
                </c:pt>
                <c:pt idx="16">
                  <c:v>1.48</c:v>
                </c:pt>
                <c:pt idx="17">
                  <c:v>1.48</c:v>
                </c:pt>
                <c:pt idx="18">
                  <c:v>1.48</c:v>
                </c:pt>
                <c:pt idx="19">
                  <c:v>1.48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</c:numCache>
            </c:numRef>
          </c:xVal>
          <c:yVal>
            <c:numRef>
              <c:f>'Summary paramters (2)'!$O$4:$O$28</c:f>
              <c:numCache>
                <c:formatCode>General</c:formatCode>
                <c:ptCount val="25"/>
                <c:pt idx="0">
                  <c:v>-0.81136248693637869</c:v>
                </c:pt>
                <c:pt idx="1">
                  <c:v>1.4865014158829966</c:v>
                </c:pt>
                <c:pt idx="2">
                  <c:v>1.0641897957352739</c:v>
                </c:pt>
                <c:pt idx="3">
                  <c:v>-0.20956037536271738</c:v>
                </c:pt>
                <c:pt idx="5">
                  <c:v>1.947544652639833</c:v>
                </c:pt>
                <c:pt idx="6">
                  <c:v>-0.67018883844780031</c:v>
                </c:pt>
                <c:pt idx="7">
                  <c:v>-3.7625873108826666</c:v>
                </c:pt>
                <c:pt idx="10">
                  <c:v>0.86567687399379101</c:v>
                </c:pt>
                <c:pt idx="11">
                  <c:v>2.0723708513222077</c:v>
                </c:pt>
                <c:pt idx="12">
                  <c:v>5.3185078289230816</c:v>
                </c:pt>
                <c:pt idx="13">
                  <c:v>6.2891587414469745</c:v>
                </c:pt>
                <c:pt idx="14">
                  <c:v>1.6481118699406898</c:v>
                </c:pt>
                <c:pt idx="15">
                  <c:v>4.4296548387582284</c:v>
                </c:pt>
                <c:pt idx="16">
                  <c:v>11.211126713124859</c:v>
                </c:pt>
                <c:pt idx="17">
                  <c:v>5.0324341359905063</c:v>
                </c:pt>
                <c:pt idx="18">
                  <c:v>4.3444116625967784</c:v>
                </c:pt>
                <c:pt idx="20">
                  <c:v>8.3974122273934864</c:v>
                </c:pt>
                <c:pt idx="21">
                  <c:v>5.1485975276476257</c:v>
                </c:pt>
                <c:pt idx="22">
                  <c:v>8.0937233148809558</c:v>
                </c:pt>
                <c:pt idx="23">
                  <c:v>4.968486384946817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'Summary paramters (2)'!$T$3</c:f>
              <c:strCache>
                <c:ptCount val="1"/>
                <c:pt idx="0">
                  <c:v>Asat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222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paramters (2)'!$U$4:$U$8</c:f>
                <c:numCache>
                  <c:formatCode>General</c:formatCode>
                  <c:ptCount val="5"/>
                  <c:pt idx="0">
                    <c:v>0.26845868770687625</c:v>
                  </c:pt>
                  <c:pt idx="1">
                    <c:v>0.95278406849417274</c:v>
                  </c:pt>
                  <c:pt idx="2">
                    <c:v>0.48116974298416276</c:v>
                  </c:pt>
                  <c:pt idx="3">
                    <c:v>0.82965970224889263</c:v>
                  </c:pt>
                  <c:pt idx="4">
                    <c:v>0.46141690824094977</c:v>
                  </c:pt>
                </c:numCache>
              </c:numRef>
            </c:plus>
            <c:minus>
              <c:numRef>
                <c:f>'Summary paramters (2)'!$U$4:$U$8</c:f>
                <c:numCache>
                  <c:formatCode>General</c:formatCode>
                  <c:ptCount val="5"/>
                  <c:pt idx="0">
                    <c:v>0.26845868770687625</c:v>
                  </c:pt>
                  <c:pt idx="1">
                    <c:v>0.95278406849417274</c:v>
                  </c:pt>
                  <c:pt idx="2">
                    <c:v>0.48116974298416276</c:v>
                  </c:pt>
                  <c:pt idx="3">
                    <c:v>0.82965970224889263</c:v>
                  </c:pt>
                  <c:pt idx="4">
                    <c:v>0.46141690824094977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'Summary paramters (2)'!$R$4:$R$8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0.28999999999999998</c:v>
                </c:pt>
                <c:pt idx="3">
                  <c:v>1.48</c:v>
                </c:pt>
                <c:pt idx="4">
                  <c:v>0.56000000000000005</c:v>
                </c:pt>
              </c:numCache>
            </c:numRef>
          </c:xVal>
          <c:yVal>
            <c:numRef>
              <c:f>'Summary paramters (2)'!$T$4:$T$8</c:f>
              <c:numCache>
                <c:formatCode>General</c:formatCode>
                <c:ptCount val="5"/>
                <c:pt idx="0">
                  <c:v>0.38244208732979362</c:v>
                </c:pt>
                <c:pt idx="1">
                  <c:v>-0.82841049889687801</c:v>
                </c:pt>
                <c:pt idx="2">
                  <c:v>3.2387652331253483</c:v>
                </c:pt>
                <c:pt idx="3">
                  <c:v>6.2544068376175925</c:v>
                </c:pt>
                <c:pt idx="4">
                  <c:v>6.652054863717221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74984"/>
        <c:axId val="336675376"/>
      </c:scatterChart>
      <c:valAx>
        <c:axId val="336674984"/>
        <c:scaling>
          <c:orientation val="minMax"/>
          <c:max val="1.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Rate of</a:t>
                </a:r>
                <a:r>
                  <a:rPr lang="en-ZA" sz="1200" baseline="0"/>
                  <a:t> invasion (Km</a:t>
                </a:r>
                <a:r>
                  <a:rPr lang="en-ZA" sz="1200" baseline="30000"/>
                  <a:t>2</a:t>
                </a:r>
                <a:r>
                  <a:rPr lang="en-ZA" sz="1200" baseline="0"/>
                  <a:t> yr</a:t>
                </a:r>
                <a:r>
                  <a:rPr lang="en-ZA" sz="1200" baseline="30000"/>
                  <a:t>-1</a:t>
                </a:r>
                <a:r>
                  <a:rPr lang="en-ZA" sz="1200" baseline="0"/>
                  <a:t>)</a:t>
                </a:r>
                <a:endParaRPr lang="en-ZA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5376"/>
        <c:crossesAt val="-6"/>
        <c:crossBetween val="midCat"/>
      </c:valAx>
      <c:valAx>
        <c:axId val="336675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Slope of ETR response to Temp</a:t>
                </a:r>
              </a:p>
              <a:p>
                <a:pPr>
                  <a:defRPr/>
                </a:pPr>
                <a:r>
                  <a:rPr lang="en-ZA" sz="1200"/>
                  <a:t>(</a:t>
                </a:r>
                <a:r>
                  <a:rPr lang="en-ZA" sz="1200" baseline="30000"/>
                  <a:t>o</a:t>
                </a:r>
                <a:r>
                  <a:rPr lang="en-ZA" sz="1200"/>
                  <a:t>C</a:t>
                </a:r>
                <a:r>
                  <a:rPr lang="en-ZA" sz="1200" baseline="30000"/>
                  <a:t>-1</a:t>
                </a:r>
                <a:r>
                  <a:rPr lang="en-ZA" sz="120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4984"/>
        <c:crossesAt val="0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'Summary paramters (2)'!$T$3</c:f>
              <c:strCache>
                <c:ptCount val="1"/>
                <c:pt idx="0">
                  <c:v>Asat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'Summary paramters (2)'!$AI$4:$AI$8</c:f>
                <c:numCache>
                  <c:formatCode>General</c:formatCode>
                  <c:ptCount val="5"/>
                  <c:pt idx="0">
                    <c:v>5.3378299457272167</c:v>
                  </c:pt>
                  <c:pt idx="1">
                    <c:v>7.2309818619518023</c:v>
                  </c:pt>
                  <c:pt idx="2">
                    <c:v>5.9693194001753414</c:v>
                  </c:pt>
                  <c:pt idx="3">
                    <c:v>9.9998404974517108</c:v>
                  </c:pt>
                  <c:pt idx="4">
                    <c:v>8.1659042006390692</c:v>
                  </c:pt>
                </c:numCache>
              </c:numRef>
            </c:plus>
            <c:minus>
              <c:numRef>
                <c:f>'Summary paramters (2)'!$AI$4:$AI$8</c:f>
                <c:numCache>
                  <c:formatCode>General</c:formatCode>
                  <c:ptCount val="5"/>
                  <c:pt idx="0">
                    <c:v>5.3378299457272167</c:v>
                  </c:pt>
                  <c:pt idx="1">
                    <c:v>7.2309818619518023</c:v>
                  </c:pt>
                  <c:pt idx="2">
                    <c:v>5.9693194001753414</c:v>
                  </c:pt>
                  <c:pt idx="3">
                    <c:v>9.9998404974517108</c:v>
                  </c:pt>
                  <c:pt idx="4">
                    <c:v>8.1659042006390692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'Summary paramters (2)'!$Q$4:$Q$8</c:f>
              <c:numCache>
                <c:formatCode>General</c:formatCode>
                <c:ptCount val="5"/>
                <c:pt idx="0">
                  <c:v>8693.8472080764768</c:v>
                </c:pt>
                <c:pt idx="1">
                  <c:v>1415.8322348383324</c:v>
                </c:pt>
                <c:pt idx="2">
                  <c:v>3737.7087242026269</c:v>
                </c:pt>
                <c:pt idx="3">
                  <c:v>6172.9893147502899</c:v>
                </c:pt>
                <c:pt idx="4">
                  <c:v>8111.8569016349502</c:v>
                </c:pt>
              </c:numCache>
            </c:numRef>
          </c:xVal>
          <c:yVal>
            <c:numRef>
              <c:f>'Summary paramters (2)'!$AE$4:$AE$8</c:f>
              <c:numCache>
                <c:formatCode>General</c:formatCode>
                <c:ptCount val="5"/>
                <c:pt idx="0">
                  <c:v>92.419967524146628</c:v>
                </c:pt>
                <c:pt idx="1">
                  <c:v>98.84651344815191</c:v>
                </c:pt>
                <c:pt idx="2">
                  <c:v>93.853734285533307</c:v>
                </c:pt>
                <c:pt idx="3">
                  <c:v>169.31996926008048</c:v>
                </c:pt>
                <c:pt idx="4">
                  <c:v>151.87510959996368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'Summary paramters (2)'!$T$3</c:f>
              <c:strCache>
                <c:ptCount val="1"/>
                <c:pt idx="0">
                  <c:v>Asat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3"/>
            <c:marker>
              <c:symbol val="circle"/>
              <c:size val="11"/>
              <c:spPr>
                <a:solidFill>
                  <a:srgbClr val="C0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'Summary paramters (2)'!$AJ$4:$AJ$8</c:f>
                <c:numCache>
                  <c:formatCode>General</c:formatCode>
                  <c:ptCount val="5"/>
                  <c:pt idx="0">
                    <c:v>11.665403457731694</c:v>
                  </c:pt>
                  <c:pt idx="1">
                    <c:v>8.6871233486367938</c:v>
                  </c:pt>
                  <c:pt idx="2">
                    <c:v>5.0986215754912942</c:v>
                  </c:pt>
                  <c:pt idx="3">
                    <c:v>8.910354921446709</c:v>
                  </c:pt>
                  <c:pt idx="4">
                    <c:v>7.1378455436922721</c:v>
                  </c:pt>
                </c:numCache>
              </c:numRef>
            </c:plus>
            <c:minus>
              <c:numRef>
                <c:f>'Summary paramters (2)'!$AJ$4:$AJ$8</c:f>
                <c:numCache>
                  <c:formatCode>General</c:formatCode>
                  <c:ptCount val="5"/>
                  <c:pt idx="0">
                    <c:v>11.665403457731694</c:v>
                  </c:pt>
                  <c:pt idx="1">
                    <c:v>8.6871233486367938</c:v>
                  </c:pt>
                  <c:pt idx="2">
                    <c:v>5.0986215754912942</c:v>
                  </c:pt>
                  <c:pt idx="3">
                    <c:v>8.910354921446709</c:v>
                  </c:pt>
                  <c:pt idx="4">
                    <c:v>7.1378455436922721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'Summary paramters (2)'!$Q$4:$Q$8</c:f>
              <c:numCache>
                <c:formatCode>General</c:formatCode>
                <c:ptCount val="5"/>
                <c:pt idx="0">
                  <c:v>8693.8472080764768</c:v>
                </c:pt>
                <c:pt idx="1">
                  <c:v>1415.8322348383324</c:v>
                </c:pt>
                <c:pt idx="2">
                  <c:v>3737.7087242026269</c:v>
                </c:pt>
                <c:pt idx="3">
                  <c:v>6172.9893147502899</c:v>
                </c:pt>
                <c:pt idx="4">
                  <c:v>8111.8569016349502</c:v>
                </c:pt>
              </c:numCache>
            </c:numRef>
          </c:xVal>
          <c:yVal>
            <c:numRef>
              <c:f>'Summary paramters (2)'!$AF$4:$AF$8</c:f>
              <c:numCache>
                <c:formatCode>General</c:formatCode>
                <c:ptCount val="5"/>
                <c:pt idx="0">
                  <c:v>69.537454124562771</c:v>
                </c:pt>
                <c:pt idx="1">
                  <c:v>99.110578668767232</c:v>
                </c:pt>
                <c:pt idx="2">
                  <c:v>84.645307934542515</c:v>
                </c:pt>
                <c:pt idx="3">
                  <c:v>138.36416390633647</c:v>
                </c:pt>
                <c:pt idx="4">
                  <c:v>122.63596767787256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'Summary paramters (2)'!$T$3</c:f>
              <c:strCache>
                <c:ptCount val="1"/>
                <c:pt idx="0">
                  <c:v>Asat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222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'Summary paramters (2)'!$AK$4:$AK$8</c:f>
                <c:numCache>
                  <c:formatCode>General</c:formatCode>
                  <c:ptCount val="5"/>
                  <c:pt idx="0">
                    <c:v>5.2403656071914861</c:v>
                  </c:pt>
                  <c:pt idx="1">
                    <c:v>5.5065480960760835</c:v>
                  </c:pt>
                  <c:pt idx="2">
                    <c:v>2.8366474496218772</c:v>
                  </c:pt>
                  <c:pt idx="3">
                    <c:v>1.833204164923584</c:v>
                  </c:pt>
                  <c:pt idx="4">
                    <c:v>3.6958668081335131</c:v>
                  </c:pt>
                </c:numCache>
              </c:numRef>
            </c:plus>
            <c:minus>
              <c:numRef>
                <c:f>'Summary paramters (2)'!$AK$4:$AK$8</c:f>
                <c:numCache>
                  <c:formatCode>General</c:formatCode>
                  <c:ptCount val="5"/>
                  <c:pt idx="0">
                    <c:v>5.2403656071914861</c:v>
                  </c:pt>
                  <c:pt idx="1">
                    <c:v>5.5065480960760835</c:v>
                  </c:pt>
                  <c:pt idx="2">
                    <c:v>2.8366474496218772</c:v>
                  </c:pt>
                  <c:pt idx="3">
                    <c:v>1.833204164923584</c:v>
                  </c:pt>
                  <c:pt idx="4">
                    <c:v>3.6958668081335131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'Summary paramters (2)'!$Q$4:$Q$8</c:f>
              <c:numCache>
                <c:formatCode>General</c:formatCode>
                <c:ptCount val="5"/>
                <c:pt idx="0">
                  <c:v>8693.8472080764768</c:v>
                </c:pt>
                <c:pt idx="1">
                  <c:v>1415.8322348383324</c:v>
                </c:pt>
                <c:pt idx="2">
                  <c:v>3737.7087242026269</c:v>
                </c:pt>
                <c:pt idx="3">
                  <c:v>6172.9893147502899</c:v>
                </c:pt>
                <c:pt idx="4">
                  <c:v>8111.8569016349502</c:v>
                </c:pt>
              </c:numCache>
            </c:numRef>
          </c:xVal>
          <c:yVal>
            <c:numRef>
              <c:f>'Summary paramters (2)'!$AG$4:$AG$8</c:f>
              <c:numCache>
                <c:formatCode>General</c:formatCode>
                <c:ptCount val="5"/>
                <c:pt idx="0">
                  <c:v>88.595546650848689</c:v>
                </c:pt>
                <c:pt idx="1">
                  <c:v>97.794679850901119</c:v>
                </c:pt>
                <c:pt idx="2">
                  <c:v>61.466081954279822</c:v>
                </c:pt>
                <c:pt idx="3">
                  <c:v>106.14356933197314</c:v>
                </c:pt>
                <c:pt idx="4">
                  <c:v>85.354560962791481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55168"/>
        <c:axId val="338255560"/>
      </c:scatterChart>
      <c:valAx>
        <c:axId val="338255168"/>
        <c:scaling>
          <c:orientation val="minMax"/>
          <c:max val="1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Rate of</a:t>
                </a:r>
                <a:r>
                  <a:rPr lang="en-ZA" sz="1200" baseline="0"/>
                  <a:t> invasion (Km</a:t>
                </a:r>
                <a:r>
                  <a:rPr lang="en-ZA" sz="1200" baseline="30000"/>
                  <a:t>2</a:t>
                </a:r>
                <a:r>
                  <a:rPr lang="en-ZA" sz="1200" baseline="0"/>
                  <a:t> yr</a:t>
                </a:r>
                <a:r>
                  <a:rPr lang="en-ZA" sz="1200" baseline="30000"/>
                  <a:t>-1</a:t>
                </a:r>
                <a:r>
                  <a:rPr lang="en-ZA" sz="1200" baseline="0"/>
                  <a:t>)</a:t>
                </a:r>
                <a:endParaRPr lang="en-Z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55560"/>
        <c:crossesAt val="-6"/>
        <c:crossBetween val="midCat"/>
      </c:valAx>
      <c:valAx>
        <c:axId val="338255560"/>
        <c:scaling>
          <c:orientation val="minMax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ETR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55168"/>
        <c:crossesAt val="0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'Individual fits'!$AM$12</c:f>
              <c:strCache>
                <c:ptCount val="1"/>
                <c:pt idx="0">
                  <c:v>Asat @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'Individual fits'!$AT$13:$AT$17</c:f>
                <c:numCache>
                  <c:formatCode>General</c:formatCode>
                  <c:ptCount val="5"/>
                  <c:pt idx="0">
                    <c:v>0.89470676999624776</c:v>
                  </c:pt>
                  <c:pt idx="1">
                    <c:v>0.25477431305571119</c:v>
                  </c:pt>
                  <c:pt idx="2">
                    <c:v>0.47552217100425481</c:v>
                  </c:pt>
                  <c:pt idx="3">
                    <c:v>0.61770793577562466</c:v>
                  </c:pt>
                  <c:pt idx="4">
                    <c:v>0.4659773077703519</c:v>
                  </c:pt>
                </c:numCache>
              </c:numRef>
            </c:plus>
            <c:minus>
              <c:numRef>
                <c:f>'Individual fits'!$AT$13:$AT$17</c:f>
                <c:numCache>
                  <c:formatCode>General</c:formatCode>
                  <c:ptCount val="5"/>
                  <c:pt idx="0">
                    <c:v>0.89470676999624776</c:v>
                  </c:pt>
                  <c:pt idx="1">
                    <c:v>0.25477431305571119</c:v>
                  </c:pt>
                  <c:pt idx="2">
                    <c:v>0.47552217100425481</c:v>
                  </c:pt>
                  <c:pt idx="3">
                    <c:v>0.61770793577562466</c:v>
                  </c:pt>
                  <c:pt idx="4">
                    <c:v>0.4659773077703519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'Individual fits'!$AH$13:$AH$18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0.28999999999999998</c:v>
                </c:pt>
                <c:pt idx="3">
                  <c:v>1.48</c:v>
                </c:pt>
                <c:pt idx="4">
                  <c:v>0.56000000000000005</c:v>
                </c:pt>
                <c:pt idx="5">
                  <c:v>0</c:v>
                </c:pt>
              </c:numCache>
            </c:numRef>
          </c:xVal>
          <c:yVal>
            <c:numRef>
              <c:f>'Individual fits'!$AM$13:$AM$18</c:f>
              <c:numCache>
                <c:formatCode>General</c:formatCode>
                <c:ptCount val="6"/>
                <c:pt idx="0">
                  <c:v>5.7503143236584453</c:v>
                </c:pt>
                <c:pt idx="1">
                  <c:v>7.7506424236870286</c:v>
                </c:pt>
                <c:pt idx="2">
                  <c:v>7.6144286171226296</c:v>
                </c:pt>
                <c:pt idx="3">
                  <c:v>13.600714172809589</c:v>
                </c:pt>
                <c:pt idx="4">
                  <c:v>8.4196652774095391</c:v>
                </c:pt>
                <c:pt idx="5">
                  <c:v>6.5385541580062121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'Individual fits'!$AC$11</c:f>
              <c:strCache>
                <c:ptCount val="1"/>
                <c:pt idx="0">
                  <c:v>Asat @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538542186358937"/>
                  <c:y val="-5.79366284033772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'Individual fits'!$V$12:$V$42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1.48</c:v>
                </c:pt>
                <c:pt idx="16">
                  <c:v>1.48</c:v>
                </c:pt>
                <c:pt idx="17">
                  <c:v>1.48</c:v>
                </c:pt>
                <c:pt idx="18">
                  <c:v>1.48</c:v>
                </c:pt>
                <c:pt idx="19">
                  <c:v>1.48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'Individual fits'!$AC$12:$AC$42</c:f>
              <c:numCache>
                <c:formatCode>General</c:formatCode>
                <c:ptCount val="31"/>
                <c:pt idx="0">
                  <c:v>4.2792638674797532</c:v>
                </c:pt>
                <c:pt idx="1">
                  <c:v>4.6158066835186586</c:v>
                </c:pt>
                <c:pt idx="2">
                  <c:v>3.0795278269639685</c:v>
                </c:pt>
                <c:pt idx="3">
                  <c:v>11.026658916671401</c:v>
                </c:pt>
                <c:pt idx="5">
                  <c:v>8.5923946936426709</c:v>
                </c:pt>
                <c:pt idx="6">
                  <c:v>7.5595039485638251</c:v>
                </c:pt>
                <c:pt idx="7">
                  <c:v>7.1000286288545862</c:v>
                </c:pt>
                <c:pt idx="10">
                  <c:v>5.1838594912217442</c:v>
                </c:pt>
                <c:pt idx="11">
                  <c:v>9.3928871633705313</c:v>
                </c:pt>
                <c:pt idx="12">
                  <c:v>4.9806205405706248</c:v>
                </c:pt>
                <c:pt idx="13">
                  <c:v>10.033911204196329</c:v>
                </c:pt>
                <c:pt idx="14">
                  <c:v>8.4808646862539234</c:v>
                </c:pt>
                <c:pt idx="15">
                  <c:v>12.244883598938877</c:v>
                </c:pt>
                <c:pt idx="16">
                  <c:v>13.239902428624934</c:v>
                </c:pt>
                <c:pt idx="17">
                  <c:v>10.269105133329466</c:v>
                </c:pt>
                <c:pt idx="18">
                  <c:v>13.640306891858474</c:v>
                </c:pt>
                <c:pt idx="19">
                  <c:v>18.6093728112962</c:v>
                </c:pt>
                <c:pt idx="20">
                  <c:v>5.6288982637343894</c:v>
                </c:pt>
                <c:pt idx="21">
                  <c:v>9.2566291924687452</c:v>
                </c:pt>
                <c:pt idx="22">
                  <c:v>9.2849637996029415</c:v>
                </c:pt>
                <c:pt idx="23">
                  <c:v>9.5081698538320829</c:v>
                </c:pt>
                <c:pt idx="26">
                  <c:v>8.3179986999567319</c:v>
                </c:pt>
                <c:pt idx="27">
                  <c:v>4.7591096160556923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76160"/>
        <c:axId val="336676552"/>
      </c:scatterChart>
      <c:valAx>
        <c:axId val="336676160"/>
        <c:scaling>
          <c:orientation val="minMax"/>
          <c:max val="1.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>
                    <a:solidFill>
                      <a:sysClr val="windowText" lastClr="000000"/>
                    </a:solidFill>
                  </a:rPr>
                  <a:t>Rate of invassion (km</a:t>
                </a:r>
                <a:r>
                  <a:rPr lang="en-ZA" sz="1400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ZA" sz="1400">
                    <a:solidFill>
                      <a:sysClr val="windowText" lastClr="000000"/>
                    </a:solidFill>
                  </a:rPr>
                  <a:t> yr</a:t>
                </a:r>
                <a:r>
                  <a:rPr lang="en-ZA" sz="1400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ZA" sz="14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6552"/>
        <c:crosses val="autoZero"/>
        <c:crossBetween val="midCat"/>
      </c:valAx>
      <c:valAx>
        <c:axId val="336676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>
                    <a:solidFill>
                      <a:sysClr val="windowText" lastClr="000000"/>
                    </a:solidFill>
                  </a:rPr>
                  <a:t>A</a:t>
                </a:r>
                <a:r>
                  <a:rPr lang="en-ZA" sz="1400" baseline="-25000">
                    <a:solidFill>
                      <a:sysClr val="windowText" lastClr="000000"/>
                    </a:solidFill>
                  </a:rPr>
                  <a:t>sat</a:t>
                </a:r>
                <a:r>
                  <a:rPr lang="en-ZA" sz="1400">
                    <a:solidFill>
                      <a:sysClr val="windowText" lastClr="000000"/>
                    </a:solidFill>
                  </a:rPr>
                  <a:t> at 20</a:t>
                </a:r>
                <a:r>
                  <a:rPr lang="en-ZA" sz="1400" baseline="30000">
                    <a:solidFill>
                      <a:sysClr val="windowText" lastClr="000000"/>
                    </a:solidFill>
                  </a:rPr>
                  <a:t>o</a:t>
                </a:r>
                <a:r>
                  <a:rPr lang="en-ZA" sz="1400">
                    <a:solidFill>
                      <a:sysClr val="windowText" lastClr="000000"/>
                    </a:solidFill>
                  </a:rPr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6160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'Individual fits'!$AM$12</c:f>
              <c:strCache>
                <c:ptCount val="1"/>
                <c:pt idx="0">
                  <c:v>Asat @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'Individual fits'!$AV$13:$AV$17</c:f>
                <c:numCache>
                  <c:formatCode>General</c:formatCode>
                  <c:ptCount val="5"/>
                  <c:pt idx="0">
                    <c:v>0.42666360125940772</c:v>
                  </c:pt>
                  <c:pt idx="1">
                    <c:v>0.7861716494633878</c:v>
                  </c:pt>
                  <c:pt idx="2">
                    <c:v>0.32506028610823334</c:v>
                  </c:pt>
                  <c:pt idx="3">
                    <c:v>0.54745259551090464</c:v>
                  </c:pt>
                  <c:pt idx="4">
                    <c:v>0.21117639118313841</c:v>
                  </c:pt>
                </c:numCache>
              </c:numRef>
            </c:plus>
            <c:minus>
              <c:numRef>
                <c:f>'Individual fits'!$AV$13:$AV$17</c:f>
                <c:numCache>
                  <c:formatCode>General</c:formatCode>
                  <c:ptCount val="5"/>
                  <c:pt idx="0">
                    <c:v>0.42666360125940772</c:v>
                  </c:pt>
                  <c:pt idx="1">
                    <c:v>0.7861716494633878</c:v>
                  </c:pt>
                  <c:pt idx="2">
                    <c:v>0.32506028610823334</c:v>
                  </c:pt>
                  <c:pt idx="3">
                    <c:v>0.54745259551090464</c:v>
                  </c:pt>
                  <c:pt idx="4">
                    <c:v>0.21117639118313841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'Individual fits'!$AH$13:$AH$18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0.28999999999999998</c:v>
                </c:pt>
                <c:pt idx="3">
                  <c:v>1.48</c:v>
                </c:pt>
                <c:pt idx="4">
                  <c:v>0.56000000000000005</c:v>
                </c:pt>
                <c:pt idx="5">
                  <c:v>0</c:v>
                </c:pt>
              </c:numCache>
            </c:numRef>
          </c:xVal>
          <c:yVal>
            <c:numRef>
              <c:f>'Individual fits'!$AO$13:$AO$18</c:f>
              <c:numCache>
                <c:formatCode>General</c:formatCode>
                <c:ptCount val="6"/>
                <c:pt idx="0">
                  <c:v>6.9200774404603171</c:v>
                </c:pt>
                <c:pt idx="1">
                  <c:v>7.2072767676111722</c:v>
                </c:pt>
                <c:pt idx="2">
                  <c:v>7.3656490861720441</c:v>
                </c:pt>
                <c:pt idx="3">
                  <c:v>9.6400112268568172</c:v>
                </c:pt>
                <c:pt idx="4">
                  <c:v>6.3900910156414144</c:v>
                </c:pt>
                <c:pt idx="5">
                  <c:v>9.2165561337625856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'Individual fits'!$AC$11</c:f>
              <c:strCache>
                <c:ptCount val="1"/>
                <c:pt idx="0">
                  <c:v>Asat @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7098689110142224"/>
                  <c:y val="-0.11197799070296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'Individual fits'!$V$12:$V$42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1.48</c:v>
                </c:pt>
                <c:pt idx="16">
                  <c:v>1.48</c:v>
                </c:pt>
                <c:pt idx="17">
                  <c:v>1.48</c:v>
                </c:pt>
                <c:pt idx="18">
                  <c:v>1.48</c:v>
                </c:pt>
                <c:pt idx="19">
                  <c:v>1.48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'Individual fits'!$AE$12:$AE$42</c:f>
              <c:numCache>
                <c:formatCode>General</c:formatCode>
                <c:ptCount val="31"/>
                <c:pt idx="0">
                  <c:v>6.1857889711285416</c:v>
                </c:pt>
                <c:pt idx="1">
                  <c:v>5.2960865164274464</c:v>
                </c:pt>
                <c:pt idx="2">
                  <c:v>9.2783568338249616</c:v>
                </c:pt>
                <c:pt idx="3">
                  <c:v>6.9200774404603171</c:v>
                </c:pt>
                <c:pt idx="5">
                  <c:v>5.2383859019293242</c:v>
                </c:pt>
                <c:pt idx="6">
                  <c:v>6.5622454957840519</c:v>
                </c:pt>
                <c:pt idx="7">
                  <c:v>9.8211989051201378</c:v>
                </c:pt>
                <c:pt idx="10">
                  <c:v>6.7452251312513267</c:v>
                </c:pt>
                <c:pt idx="11">
                  <c:v>9.0966172090547932</c:v>
                </c:pt>
                <c:pt idx="12">
                  <c:v>7.3656490861720432</c:v>
                </c:pt>
                <c:pt idx="13">
                  <c:v>8.6226391603380979</c:v>
                </c:pt>
                <c:pt idx="14">
                  <c:v>4.9981148440439584</c:v>
                </c:pt>
                <c:pt idx="15">
                  <c:v>9.7654357178675806</c:v>
                </c:pt>
                <c:pt idx="16">
                  <c:v>6.9701319326593785</c:v>
                </c:pt>
                <c:pt idx="17">
                  <c:v>7.4402629282220776</c:v>
                </c:pt>
                <c:pt idx="18">
                  <c:v>10.177198124218101</c:v>
                </c:pt>
                <c:pt idx="19">
                  <c:v>13.847027431316944</c:v>
                </c:pt>
                <c:pt idx="20">
                  <c:v>5.6514219800979246</c:v>
                </c:pt>
                <c:pt idx="21">
                  <c:v>7.2493728778268585</c:v>
                </c:pt>
                <c:pt idx="22">
                  <c:v>5.6781284492981916</c:v>
                </c:pt>
                <c:pt idx="23">
                  <c:v>6.9814407553426827</c:v>
                </c:pt>
                <c:pt idx="25">
                  <c:v>13.96143134857992</c:v>
                </c:pt>
                <c:pt idx="26">
                  <c:v>3.3227475268785569</c:v>
                </c:pt>
                <c:pt idx="27">
                  <c:v>10.365489525829277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77336"/>
        <c:axId val="336677728"/>
      </c:scatterChart>
      <c:valAx>
        <c:axId val="336677336"/>
        <c:scaling>
          <c:orientation val="minMax"/>
          <c:max val="1.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>
                    <a:solidFill>
                      <a:sysClr val="windowText" lastClr="000000"/>
                    </a:solidFill>
                  </a:rPr>
                  <a:t>Rate of invassion (km</a:t>
                </a:r>
                <a:r>
                  <a:rPr lang="en-ZA" sz="1400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ZA" sz="1400">
                    <a:solidFill>
                      <a:sysClr val="windowText" lastClr="000000"/>
                    </a:solidFill>
                  </a:rPr>
                  <a:t> yr</a:t>
                </a:r>
                <a:r>
                  <a:rPr lang="en-ZA" sz="1400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ZA" sz="14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7728"/>
        <c:crosses val="autoZero"/>
        <c:crossBetween val="midCat"/>
      </c:valAx>
      <c:valAx>
        <c:axId val="336677728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>
                    <a:solidFill>
                      <a:sysClr val="windowText" lastClr="000000"/>
                    </a:solidFill>
                  </a:rPr>
                  <a:t>A</a:t>
                </a:r>
                <a:r>
                  <a:rPr lang="en-ZA" sz="1400" baseline="-25000">
                    <a:solidFill>
                      <a:sysClr val="windowText" lastClr="000000"/>
                    </a:solidFill>
                  </a:rPr>
                  <a:t>sat</a:t>
                </a:r>
                <a:r>
                  <a:rPr lang="en-ZA" sz="1400">
                    <a:solidFill>
                      <a:sysClr val="windowText" lastClr="000000"/>
                    </a:solidFill>
                  </a:rPr>
                  <a:t> at 10</a:t>
                </a:r>
                <a:r>
                  <a:rPr lang="en-ZA" sz="1400" baseline="30000">
                    <a:solidFill>
                      <a:sysClr val="windowText" lastClr="000000"/>
                    </a:solidFill>
                  </a:rPr>
                  <a:t>o</a:t>
                </a:r>
                <a:r>
                  <a:rPr lang="en-ZA" sz="1400">
                    <a:solidFill>
                      <a:sysClr val="windowText" lastClr="000000"/>
                    </a:solidFill>
                  </a:rPr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7336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'Individual fits'!$AM$12</c:f>
              <c:strCache>
                <c:ptCount val="1"/>
                <c:pt idx="0">
                  <c:v>Asat @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'Individual fits'!$AU$13:$AU$17</c:f>
                <c:numCache>
                  <c:formatCode>General</c:formatCode>
                  <c:ptCount val="5"/>
                  <c:pt idx="0">
                    <c:v>0.5922543879913903</c:v>
                  </c:pt>
                  <c:pt idx="1">
                    <c:v>0.42273468269514597</c:v>
                  </c:pt>
                  <c:pt idx="2">
                    <c:v>0.3021952605156048</c:v>
                  </c:pt>
                  <c:pt idx="3">
                    <c:v>0.30878459437309624</c:v>
                  </c:pt>
                  <c:pt idx="4">
                    <c:v>0.42896153771497036</c:v>
                  </c:pt>
                </c:numCache>
              </c:numRef>
            </c:plus>
            <c:minus>
              <c:numRef>
                <c:f>'Individual fits'!$AU$13:$AU$17</c:f>
                <c:numCache>
                  <c:formatCode>General</c:formatCode>
                  <c:ptCount val="5"/>
                  <c:pt idx="0">
                    <c:v>0.5922543879913903</c:v>
                  </c:pt>
                  <c:pt idx="1">
                    <c:v>0.42273468269514597</c:v>
                  </c:pt>
                  <c:pt idx="2">
                    <c:v>0.3021952605156048</c:v>
                  </c:pt>
                  <c:pt idx="3">
                    <c:v>0.30878459437309624</c:v>
                  </c:pt>
                  <c:pt idx="4">
                    <c:v>0.42896153771497036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'Individual fits'!$AH$13:$AH$18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0.28999999999999998</c:v>
                </c:pt>
                <c:pt idx="3">
                  <c:v>1.48</c:v>
                </c:pt>
                <c:pt idx="4">
                  <c:v>0.56000000000000005</c:v>
                </c:pt>
                <c:pt idx="5">
                  <c:v>0</c:v>
                </c:pt>
              </c:numCache>
            </c:numRef>
          </c:xVal>
          <c:yVal>
            <c:numRef>
              <c:f>'Individual fits'!$AN$13:$AN$18</c:f>
              <c:numCache>
                <c:formatCode>General</c:formatCode>
                <c:ptCount val="6"/>
                <c:pt idx="0">
                  <c:v>6.4208856266864114</c:v>
                </c:pt>
                <c:pt idx="1">
                  <c:v>7.1760538936759017</c:v>
                </c:pt>
                <c:pt idx="2">
                  <c:v>7.3659891311841816</c:v>
                </c:pt>
                <c:pt idx="3">
                  <c:v>10.58949539239495</c:v>
                </c:pt>
                <c:pt idx="4">
                  <c:v>8.295456334146543</c:v>
                </c:pt>
                <c:pt idx="5">
                  <c:v>8.2070383835028657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'Individual fits'!$AC$11</c:f>
              <c:strCache>
                <c:ptCount val="1"/>
                <c:pt idx="0">
                  <c:v>Asat @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9640470561014585"/>
                  <c:y val="-0.12629573411757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'Individual fits'!$V$12:$V$42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1.48</c:v>
                </c:pt>
                <c:pt idx="16">
                  <c:v>1.48</c:v>
                </c:pt>
                <c:pt idx="17">
                  <c:v>1.48</c:v>
                </c:pt>
                <c:pt idx="18">
                  <c:v>1.48</c:v>
                </c:pt>
                <c:pt idx="19">
                  <c:v>1.48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'Individual fits'!$AD$12:$AD$42</c:f>
              <c:numCache>
                <c:formatCode>General</c:formatCode>
                <c:ptCount val="31"/>
                <c:pt idx="0">
                  <c:v>4.9280751178466211</c:v>
                </c:pt>
                <c:pt idx="1">
                  <c:v>6.0569534022550275</c:v>
                </c:pt>
                <c:pt idx="2">
                  <c:v>4.8241772107702721</c:v>
                </c:pt>
                <c:pt idx="3">
                  <c:v>9.8743367758737257</c:v>
                </c:pt>
                <c:pt idx="5">
                  <c:v>8.2865785877007703</c:v>
                </c:pt>
                <c:pt idx="6">
                  <c:v>5.7941158632476357</c:v>
                </c:pt>
                <c:pt idx="7">
                  <c:v>7.4474672300792966</c:v>
                </c:pt>
                <c:pt idx="10">
                  <c:v>5.7531037438547914</c:v>
                </c:pt>
                <c:pt idx="11">
                  <c:v>8.4629283135635127</c:v>
                </c:pt>
                <c:pt idx="12">
                  <c:v>6.5014024619808541</c:v>
                </c:pt>
                <c:pt idx="13">
                  <c:v>9.4029324204485949</c:v>
                </c:pt>
                <c:pt idx="14">
                  <c:v>6.7095787160731577</c:v>
                </c:pt>
                <c:pt idx="15">
                  <c:v>10.60260974457708</c:v>
                </c:pt>
                <c:pt idx="16">
                  <c:v>12.112535268505685</c:v>
                </c:pt>
                <c:pt idx="17">
                  <c:v>9.0875950442010076</c:v>
                </c:pt>
                <c:pt idx="18">
                  <c:v>10.555241512296028</c:v>
                </c:pt>
                <c:pt idx="20">
                  <c:v>7.4399146757797272</c:v>
                </c:pt>
                <c:pt idx="21">
                  <c:v>7.9365500444544441</c:v>
                </c:pt>
                <c:pt idx="22">
                  <c:v>10.804544771933637</c:v>
                </c:pt>
                <c:pt idx="23">
                  <c:v>7.0008158444183595</c:v>
                </c:pt>
                <c:pt idx="25">
                  <c:v>12.887263036717913</c:v>
                </c:pt>
                <c:pt idx="26">
                  <c:v>4.3973836776337771</c:v>
                </c:pt>
                <c:pt idx="27">
                  <c:v>7.3364684361569061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78512"/>
        <c:axId val="336678904"/>
      </c:scatterChart>
      <c:valAx>
        <c:axId val="336678512"/>
        <c:scaling>
          <c:orientation val="minMax"/>
          <c:max val="1.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>
                    <a:solidFill>
                      <a:sysClr val="windowText" lastClr="000000"/>
                    </a:solidFill>
                  </a:rPr>
                  <a:t>Rate of invassion (km</a:t>
                </a:r>
                <a:r>
                  <a:rPr lang="en-ZA" sz="1400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ZA" sz="1400">
                    <a:solidFill>
                      <a:sysClr val="windowText" lastClr="000000"/>
                    </a:solidFill>
                  </a:rPr>
                  <a:t> yr</a:t>
                </a:r>
                <a:r>
                  <a:rPr lang="en-ZA" sz="1400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ZA" sz="14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8904"/>
        <c:crosses val="autoZero"/>
        <c:crossBetween val="midCat"/>
      </c:valAx>
      <c:valAx>
        <c:axId val="336678904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>
                    <a:solidFill>
                      <a:sysClr val="windowText" lastClr="000000"/>
                    </a:solidFill>
                  </a:rPr>
                  <a:t>A</a:t>
                </a:r>
                <a:r>
                  <a:rPr lang="en-ZA" sz="1400" baseline="-25000">
                    <a:solidFill>
                      <a:sysClr val="windowText" lastClr="000000"/>
                    </a:solidFill>
                  </a:rPr>
                  <a:t>sat</a:t>
                </a:r>
                <a:r>
                  <a:rPr lang="en-ZA" sz="1400">
                    <a:solidFill>
                      <a:sysClr val="windowText" lastClr="000000"/>
                    </a:solidFill>
                  </a:rPr>
                  <a:t> at 15</a:t>
                </a:r>
                <a:r>
                  <a:rPr lang="en-ZA" sz="1400" baseline="30000">
                    <a:solidFill>
                      <a:sysClr val="windowText" lastClr="000000"/>
                    </a:solidFill>
                  </a:rPr>
                  <a:t>o</a:t>
                </a:r>
                <a:r>
                  <a:rPr lang="en-ZA" sz="1400">
                    <a:solidFill>
                      <a:sysClr val="windowText" lastClr="000000"/>
                    </a:solidFill>
                  </a:rPr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8512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92607174103238"/>
          <c:y val="3.3912219305920095E-2"/>
          <c:w val="0.7420669291338583"/>
          <c:h val="0.70026939340915717"/>
        </c:manualLayout>
      </c:layout>
      <c:scatterChart>
        <c:scatterStyle val="lineMarker"/>
        <c:varyColors val="0"/>
        <c:ser>
          <c:idx val="1"/>
          <c:order val="0"/>
          <c:tx>
            <c:strRef>
              <c:f>'Summary paramters (2)'!$Z$3</c:f>
              <c:strCache>
                <c:ptCount val="1"/>
                <c:pt idx="0">
                  <c:v>ETR @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908955322088917"/>
                  <c:y val="-0.11814158646835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paramters (2)'!$W$4:$W$28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1.48</c:v>
                </c:pt>
                <c:pt idx="16">
                  <c:v>1.48</c:v>
                </c:pt>
                <c:pt idx="17">
                  <c:v>1.48</c:v>
                </c:pt>
                <c:pt idx="18">
                  <c:v>1.48</c:v>
                </c:pt>
                <c:pt idx="19">
                  <c:v>1.48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</c:numCache>
            </c:numRef>
          </c:xVal>
          <c:yVal>
            <c:numRef>
              <c:f>'Summary paramters (2)'!$Z$4:$Z$28</c:f>
              <c:numCache>
                <c:formatCode>General</c:formatCode>
                <c:ptCount val="25"/>
                <c:pt idx="0">
                  <c:v>65.029717118446982</c:v>
                </c:pt>
                <c:pt idx="1">
                  <c:v>89.70388522558622</c:v>
                </c:pt>
                <c:pt idx="2">
                  <c:v>98.617683164233981</c:v>
                </c:pt>
                <c:pt idx="3">
                  <c:v>116.32858458831929</c:v>
                </c:pt>
                <c:pt idx="5">
                  <c:v>117.78146592269927</c:v>
                </c:pt>
                <c:pt idx="6">
                  <c:v>63.864290449533023</c:v>
                </c:pt>
                <c:pt idx="7">
                  <c:v>86.885968213564723</c:v>
                </c:pt>
                <c:pt idx="8">
                  <c:v>126.85432920681063</c:v>
                </c:pt>
                <c:pt idx="10">
                  <c:v>56.832581098258004</c:v>
                </c:pt>
                <c:pt idx="11">
                  <c:v>89.496820926621808</c:v>
                </c:pt>
                <c:pt idx="12">
                  <c:v>134.32710389168469</c:v>
                </c:pt>
                <c:pt idx="13">
                  <c:v>110.66496485741534</c:v>
                </c:pt>
                <c:pt idx="14">
                  <c:v>77.947200653686721</c:v>
                </c:pt>
                <c:pt idx="15">
                  <c:v>159.37921836386869</c:v>
                </c:pt>
                <c:pt idx="16">
                  <c:v>227.73589851785138</c:v>
                </c:pt>
                <c:pt idx="17">
                  <c:v>152.6218131068199</c:v>
                </c:pt>
                <c:pt idx="18">
                  <c:v>137.54294705178199</c:v>
                </c:pt>
                <c:pt idx="20">
                  <c:v>187.02167570311971</c:v>
                </c:pt>
                <c:pt idx="21">
                  <c:v>121.13545095056364</c:v>
                </c:pt>
                <c:pt idx="22">
                  <c:v>172.15295308315089</c:v>
                </c:pt>
                <c:pt idx="23">
                  <c:v>127.19035866302048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'Summary paramters (2)'!$T$3</c:f>
              <c:strCache>
                <c:ptCount val="1"/>
                <c:pt idx="0">
                  <c:v>Asat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222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paramters (2)'!$AI$4:$AI$8</c:f>
                <c:numCache>
                  <c:formatCode>General</c:formatCode>
                  <c:ptCount val="5"/>
                  <c:pt idx="0">
                    <c:v>5.3378299457272167</c:v>
                  </c:pt>
                  <c:pt idx="1">
                    <c:v>7.2309818619518023</c:v>
                  </c:pt>
                  <c:pt idx="2">
                    <c:v>5.9693194001753414</c:v>
                  </c:pt>
                  <c:pt idx="3">
                    <c:v>9.9998404974517108</c:v>
                  </c:pt>
                  <c:pt idx="4">
                    <c:v>8.1659042006390692</c:v>
                  </c:pt>
                </c:numCache>
              </c:numRef>
            </c:plus>
            <c:minus>
              <c:numRef>
                <c:f>'Summary paramters (2)'!$AI$4:$AI$8</c:f>
                <c:numCache>
                  <c:formatCode>General</c:formatCode>
                  <c:ptCount val="5"/>
                  <c:pt idx="0">
                    <c:v>5.3378299457272167</c:v>
                  </c:pt>
                  <c:pt idx="1">
                    <c:v>7.2309818619518023</c:v>
                  </c:pt>
                  <c:pt idx="2">
                    <c:v>5.9693194001753414</c:v>
                  </c:pt>
                  <c:pt idx="3">
                    <c:v>9.9998404974517108</c:v>
                  </c:pt>
                  <c:pt idx="4">
                    <c:v>8.1659042006390692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'Summary paramters (2)'!$R$4:$R$8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0.28999999999999998</c:v>
                </c:pt>
                <c:pt idx="3">
                  <c:v>1.48</c:v>
                </c:pt>
                <c:pt idx="4">
                  <c:v>0.56000000000000005</c:v>
                </c:pt>
              </c:numCache>
            </c:numRef>
          </c:xVal>
          <c:yVal>
            <c:numRef>
              <c:f>'Summary paramters (2)'!$AE$4:$AE$8</c:f>
              <c:numCache>
                <c:formatCode>General</c:formatCode>
                <c:ptCount val="5"/>
                <c:pt idx="0">
                  <c:v>92.419967524146628</c:v>
                </c:pt>
                <c:pt idx="1">
                  <c:v>98.84651344815191</c:v>
                </c:pt>
                <c:pt idx="2">
                  <c:v>93.853734285533307</c:v>
                </c:pt>
                <c:pt idx="3">
                  <c:v>169.31996926008048</c:v>
                </c:pt>
                <c:pt idx="4">
                  <c:v>151.87510959996368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79688"/>
        <c:axId val="336680080"/>
      </c:scatterChart>
      <c:valAx>
        <c:axId val="336679688"/>
        <c:scaling>
          <c:orientation val="minMax"/>
          <c:max val="1.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Rate of invassion (km</a:t>
                </a:r>
                <a:r>
                  <a:rPr lang="en-ZA" baseline="30000"/>
                  <a:t>2</a:t>
                </a:r>
                <a:r>
                  <a:rPr lang="en-ZA"/>
                  <a:t> yr</a:t>
                </a:r>
                <a:r>
                  <a:rPr lang="en-ZA" baseline="30000"/>
                  <a:t>-1</a:t>
                </a:r>
                <a:r>
                  <a:rPr lang="en-ZA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0080"/>
        <c:crossesAt val="-6"/>
        <c:crossBetween val="midCat"/>
      </c:valAx>
      <c:valAx>
        <c:axId val="336680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ETR @ 20oC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9688"/>
        <c:crossesAt val="0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'Summary paramters (2)'!$AA$3</c:f>
              <c:strCache>
                <c:ptCount val="1"/>
                <c:pt idx="0">
                  <c:v>ETR @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9808900936563257"/>
                  <c:y val="-0.2272156605424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paramters (2)'!$W$4:$W$28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1.48</c:v>
                </c:pt>
                <c:pt idx="16">
                  <c:v>1.48</c:v>
                </c:pt>
                <c:pt idx="17">
                  <c:v>1.48</c:v>
                </c:pt>
                <c:pt idx="18">
                  <c:v>1.48</c:v>
                </c:pt>
                <c:pt idx="19">
                  <c:v>1.48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</c:numCache>
            </c:numRef>
          </c:xVal>
          <c:yVal>
            <c:numRef>
              <c:f>'Summary paramters (2)'!$AA$4:$AA$28</c:f>
              <c:numCache>
                <c:formatCode>General</c:formatCode>
                <c:ptCount val="25"/>
                <c:pt idx="0">
                  <c:v>0</c:v>
                </c:pt>
                <c:pt idx="1">
                  <c:v>85.270942996774053</c:v>
                </c:pt>
                <c:pt idx="2">
                  <c:v>95.57772935729605</c:v>
                </c:pt>
                <c:pt idx="3">
                  <c:v>97.301144144180952</c:v>
                </c:pt>
                <c:pt idx="5">
                  <c:v>110.40896306674007</c:v>
                </c:pt>
                <c:pt idx="6">
                  <c:v>65.687660068819937</c:v>
                </c:pt>
                <c:pt idx="7">
                  <c:v>77.516445975820929</c:v>
                </c:pt>
                <c:pt idx="8">
                  <c:v>142.82924556368798</c:v>
                </c:pt>
                <c:pt idx="10">
                  <c:v>60.007350497235379</c:v>
                </c:pt>
                <c:pt idx="11">
                  <c:v>81.122533568947262</c:v>
                </c:pt>
                <c:pt idx="12">
                  <c:v>122.54081544390066</c:v>
                </c:pt>
                <c:pt idx="13">
                  <c:v>95.537090311275477</c:v>
                </c:pt>
                <c:pt idx="14">
                  <c:v>64.018749851353803</c:v>
                </c:pt>
                <c:pt idx="15">
                  <c:v>127.37214638200879</c:v>
                </c:pt>
                <c:pt idx="16">
                  <c:v>191.13122416937549</c:v>
                </c:pt>
                <c:pt idx="17">
                  <c:v>121.54900031143289</c:v>
                </c:pt>
                <c:pt idx="18">
                  <c:v>113.4042847625287</c:v>
                </c:pt>
                <c:pt idx="20">
                  <c:v>153.93785745880339</c:v>
                </c:pt>
                <c:pt idx="21">
                  <c:v>94.01165883777594</c:v>
                </c:pt>
                <c:pt idx="22">
                  <c:v>139.22481218799641</c:v>
                </c:pt>
                <c:pt idx="23">
                  <c:v>103.36954222691445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'Summary paramters (2)'!$T$3</c:f>
              <c:strCache>
                <c:ptCount val="1"/>
                <c:pt idx="0">
                  <c:v>Asat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222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paramters (2)'!$AJ$4:$AJ$8</c:f>
                <c:numCache>
                  <c:formatCode>General</c:formatCode>
                  <c:ptCount val="5"/>
                  <c:pt idx="0">
                    <c:v>11.665403457731694</c:v>
                  </c:pt>
                  <c:pt idx="1">
                    <c:v>8.6871233486367938</c:v>
                  </c:pt>
                  <c:pt idx="2">
                    <c:v>5.0986215754912942</c:v>
                  </c:pt>
                  <c:pt idx="3">
                    <c:v>8.910354921446709</c:v>
                  </c:pt>
                  <c:pt idx="4">
                    <c:v>7.1378455436922721</c:v>
                  </c:pt>
                </c:numCache>
              </c:numRef>
            </c:plus>
            <c:minus>
              <c:numRef>
                <c:f>'Summary paramters (2)'!$AJ$4:$AJ$8</c:f>
                <c:numCache>
                  <c:formatCode>General</c:formatCode>
                  <c:ptCount val="5"/>
                  <c:pt idx="0">
                    <c:v>11.665403457731694</c:v>
                  </c:pt>
                  <c:pt idx="1">
                    <c:v>8.6871233486367938</c:v>
                  </c:pt>
                  <c:pt idx="2">
                    <c:v>5.0986215754912942</c:v>
                  </c:pt>
                  <c:pt idx="3">
                    <c:v>8.910354921446709</c:v>
                  </c:pt>
                  <c:pt idx="4">
                    <c:v>7.1378455436922721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'Summary paramters (2)'!$R$4:$R$8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0.28999999999999998</c:v>
                </c:pt>
                <c:pt idx="3">
                  <c:v>1.48</c:v>
                </c:pt>
                <c:pt idx="4">
                  <c:v>0.56000000000000005</c:v>
                </c:pt>
              </c:numCache>
            </c:numRef>
          </c:xVal>
          <c:yVal>
            <c:numRef>
              <c:f>'Summary paramters (2)'!$AF$4:$AF$8</c:f>
              <c:numCache>
                <c:formatCode>General</c:formatCode>
                <c:ptCount val="5"/>
                <c:pt idx="0">
                  <c:v>69.537454124562771</c:v>
                </c:pt>
                <c:pt idx="1">
                  <c:v>99.110578668767232</c:v>
                </c:pt>
                <c:pt idx="2">
                  <c:v>84.645307934542515</c:v>
                </c:pt>
                <c:pt idx="3">
                  <c:v>138.36416390633647</c:v>
                </c:pt>
                <c:pt idx="4">
                  <c:v>122.63596767787256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80864"/>
        <c:axId val="336681256"/>
      </c:scatterChart>
      <c:valAx>
        <c:axId val="336680864"/>
        <c:scaling>
          <c:orientation val="minMax"/>
          <c:max val="1.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Rate of</a:t>
                </a:r>
                <a:r>
                  <a:rPr lang="en-ZA" sz="1200" baseline="0"/>
                  <a:t> invasion (Km</a:t>
                </a:r>
                <a:r>
                  <a:rPr lang="en-ZA" sz="1200" baseline="30000"/>
                  <a:t>2</a:t>
                </a:r>
                <a:r>
                  <a:rPr lang="en-ZA" sz="1200" baseline="0"/>
                  <a:t> yr</a:t>
                </a:r>
                <a:r>
                  <a:rPr lang="en-ZA" sz="1200" baseline="30000"/>
                  <a:t>-1</a:t>
                </a:r>
                <a:r>
                  <a:rPr lang="en-ZA" sz="1200" baseline="0"/>
                  <a:t>)</a:t>
                </a:r>
                <a:endParaRPr lang="en-ZA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1256"/>
        <c:crossesAt val="-6"/>
        <c:crossBetween val="midCat"/>
      </c:valAx>
      <c:valAx>
        <c:axId val="336681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ETR @ 15</a:t>
                </a:r>
                <a:r>
                  <a:rPr lang="en-ZA" sz="1200" baseline="30000"/>
                  <a:t>o</a:t>
                </a:r>
                <a:r>
                  <a:rPr lang="en-ZA" sz="1200"/>
                  <a:t>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0864"/>
        <c:crossesAt val="0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'Summary paramters (2)'!$AA$3</c:f>
              <c:strCache>
                <c:ptCount val="1"/>
                <c:pt idx="0">
                  <c:v>ETR @ 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340422128674356"/>
                  <c:y val="-0.33883019830854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'Summary paramters (2)'!$W$4:$W$28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1.48</c:v>
                </c:pt>
                <c:pt idx="16">
                  <c:v>1.48</c:v>
                </c:pt>
                <c:pt idx="17">
                  <c:v>1.48</c:v>
                </c:pt>
                <c:pt idx="18">
                  <c:v>1.48</c:v>
                </c:pt>
                <c:pt idx="19">
                  <c:v>1.48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</c:numCache>
            </c:numRef>
          </c:xVal>
          <c:yVal>
            <c:numRef>
              <c:f>'Summary paramters (2)'!$AB$4:$AB$28</c:f>
              <c:numCache>
                <c:formatCode>General</c:formatCode>
                <c:ptCount val="25"/>
                <c:pt idx="0">
                  <c:v>73.143341987810771</c:v>
                </c:pt>
                <c:pt idx="1">
                  <c:v>74.838871066756255</c:v>
                </c:pt>
                <c:pt idx="2">
                  <c:v>87.975785206881241</c:v>
                </c:pt>
                <c:pt idx="3">
                  <c:v>118.42418834194646</c:v>
                </c:pt>
                <c:pt idx="5">
                  <c:v>98.30601939630094</c:v>
                </c:pt>
                <c:pt idx="6">
                  <c:v>70.566178834011026</c:v>
                </c:pt>
                <c:pt idx="7">
                  <c:v>124.51184132239139</c:v>
                </c:pt>
                <c:pt idx="8">
                  <c:v>97.794679850901119</c:v>
                </c:pt>
                <c:pt idx="10">
                  <c:v>48.175812358320094</c:v>
                </c:pt>
                <c:pt idx="11">
                  <c:v>68.77311241339973</c:v>
                </c:pt>
                <c:pt idx="12">
                  <c:v>81.14202560245387</c:v>
                </c:pt>
                <c:pt idx="13">
                  <c:v>47.773377442945588</c:v>
                </c:pt>
                <c:pt idx="14">
                  <c:v>61.466081954279822</c:v>
                </c:pt>
                <c:pt idx="15">
                  <c:v>115.0826699762864</c:v>
                </c:pt>
                <c:pt idx="16">
                  <c:v>115.62463138660279</c:v>
                </c:pt>
                <c:pt idx="17">
                  <c:v>102.29747174691484</c:v>
                </c:pt>
                <c:pt idx="18">
                  <c:v>94.098830425814214</c:v>
                </c:pt>
                <c:pt idx="19">
                  <c:v>103.61424312424748</c:v>
                </c:pt>
                <c:pt idx="20">
                  <c:v>103.04755342918484</c:v>
                </c:pt>
                <c:pt idx="21">
                  <c:v>69.649475674087384</c:v>
                </c:pt>
                <c:pt idx="22">
                  <c:v>91.215719934341337</c:v>
                </c:pt>
                <c:pt idx="23">
                  <c:v>77.505494813552303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'Summary paramters (2)'!$T$3</c:f>
              <c:strCache>
                <c:ptCount val="1"/>
                <c:pt idx="0">
                  <c:v>Asat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222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'Summary paramters (2)'!$AK$4:$AK$8</c:f>
                <c:numCache>
                  <c:formatCode>General</c:formatCode>
                  <c:ptCount val="5"/>
                  <c:pt idx="0">
                    <c:v>5.2403656071914861</c:v>
                  </c:pt>
                  <c:pt idx="1">
                    <c:v>5.5065480960760835</c:v>
                  </c:pt>
                  <c:pt idx="2">
                    <c:v>2.8366474496218772</c:v>
                  </c:pt>
                  <c:pt idx="3">
                    <c:v>1.833204164923584</c:v>
                  </c:pt>
                  <c:pt idx="4">
                    <c:v>3.6958668081335131</c:v>
                  </c:pt>
                </c:numCache>
              </c:numRef>
            </c:plus>
            <c:minus>
              <c:numRef>
                <c:f>'Summary paramters (2)'!$AK$4:$AK$8</c:f>
                <c:numCache>
                  <c:formatCode>General</c:formatCode>
                  <c:ptCount val="5"/>
                  <c:pt idx="0">
                    <c:v>5.2403656071914861</c:v>
                  </c:pt>
                  <c:pt idx="1">
                    <c:v>5.5065480960760835</c:v>
                  </c:pt>
                  <c:pt idx="2">
                    <c:v>2.8366474496218772</c:v>
                  </c:pt>
                  <c:pt idx="3">
                    <c:v>1.833204164923584</c:v>
                  </c:pt>
                  <c:pt idx="4">
                    <c:v>3.6958668081335131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'Summary paramters (2)'!$R$4:$R$8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0.28999999999999998</c:v>
                </c:pt>
                <c:pt idx="3">
                  <c:v>1.48</c:v>
                </c:pt>
                <c:pt idx="4">
                  <c:v>0.56000000000000005</c:v>
                </c:pt>
              </c:numCache>
            </c:numRef>
          </c:xVal>
          <c:yVal>
            <c:numRef>
              <c:f>'Summary paramters (2)'!$AG$4:$AG$8</c:f>
              <c:numCache>
                <c:formatCode>General</c:formatCode>
                <c:ptCount val="5"/>
                <c:pt idx="0">
                  <c:v>88.595546650848689</c:v>
                </c:pt>
                <c:pt idx="1">
                  <c:v>97.794679850901119</c:v>
                </c:pt>
                <c:pt idx="2">
                  <c:v>61.466081954279822</c:v>
                </c:pt>
                <c:pt idx="3">
                  <c:v>106.14356933197314</c:v>
                </c:pt>
                <c:pt idx="4">
                  <c:v>85.354560962791481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82040"/>
        <c:axId val="336682432"/>
      </c:scatterChart>
      <c:valAx>
        <c:axId val="336682040"/>
        <c:scaling>
          <c:orientation val="minMax"/>
          <c:max val="1.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Rate of</a:t>
                </a:r>
                <a:r>
                  <a:rPr lang="en-ZA" sz="1200" baseline="0"/>
                  <a:t> invasion (Km</a:t>
                </a:r>
                <a:r>
                  <a:rPr lang="en-ZA" sz="1200" baseline="30000"/>
                  <a:t>2</a:t>
                </a:r>
                <a:r>
                  <a:rPr lang="en-ZA" sz="1200" baseline="0"/>
                  <a:t> yr</a:t>
                </a:r>
                <a:r>
                  <a:rPr lang="en-ZA" sz="1200" baseline="30000"/>
                  <a:t>-1</a:t>
                </a:r>
                <a:r>
                  <a:rPr lang="en-ZA" sz="1200" baseline="0"/>
                  <a:t>)</a:t>
                </a:r>
                <a:endParaRPr lang="en-ZA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2432"/>
        <c:crossesAt val="-6"/>
        <c:crossBetween val="midCat"/>
      </c:valAx>
      <c:valAx>
        <c:axId val="336682432"/>
        <c:scaling>
          <c:orientation val="minMax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ETR @ 10</a:t>
                </a:r>
                <a:r>
                  <a:rPr lang="en-ZA" sz="1200" baseline="30000"/>
                  <a:t>o</a:t>
                </a:r>
                <a:r>
                  <a:rPr lang="en-ZA" sz="1200"/>
                  <a:t>C</a:t>
                </a:r>
                <a:r>
                  <a:rPr lang="en-ZA" sz="1200" baseline="30000"/>
                  <a:t>-</a:t>
                </a:r>
                <a:endParaRPr lang="en-ZA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2040"/>
        <c:crossesAt val="0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26496171449643"/>
          <c:y val="4.9498150080637508E-2"/>
          <c:w val="0.74447784935973915"/>
          <c:h val="0.73019353002561427"/>
        </c:manualLayout>
      </c:layout>
      <c:scatterChart>
        <c:scatterStyle val="lineMarker"/>
        <c:varyColors val="0"/>
        <c:ser>
          <c:idx val="2"/>
          <c:order val="0"/>
          <c:tx>
            <c:v>20oC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'Individual fits'!$AT$13:$AT$17</c:f>
                <c:numCache>
                  <c:formatCode>General</c:formatCode>
                  <c:ptCount val="5"/>
                  <c:pt idx="0">
                    <c:v>0.89470676999624776</c:v>
                  </c:pt>
                  <c:pt idx="1">
                    <c:v>0.25477431305571119</c:v>
                  </c:pt>
                  <c:pt idx="2">
                    <c:v>0.47552217100425481</c:v>
                  </c:pt>
                  <c:pt idx="3">
                    <c:v>0.61770793577562466</c:v>
                  </c:pt>
                  <c:pt idx="4">
                    <c:v>0.4659773077703519</c:v>
                  </c:pt>
                </c:numCache>
              </c:numRef>
            </c:plus>
            <c:minus>
              <c:numRef>
                <c:f>'Individual fits'!$AT$13:$AT$17</c:f>
                <c:numCache>
                  <c:formatCode>General</c:formatCode>
                  <c:ptCount val="5"/>
                  <c:pt idx="0">
                    <c:v>0.89470676999624776</c:v>
                  </c:pt>
                  <c:pt idx="1">
                    <c:v>0.25477431305571119</c:v>
                  </c:pt>
                  <c:pt idx="2">
                    <c:v>0.47552217100425481</c:v>
                  </c:pt>
                  <c:pt idx="3">
                    <c:v>0.61770793577562466</c:v>
                  </c:pt>
                  <c:pt idx="4">
                    <c:v>0.4659773077703519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'Individual fits'!$AH$13:$AH$18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0.28999999999999998</c:v>
                </c:pt>
                <c:pt idx="3">
                  <c:v>1.48</c:v>
                </c:pt>
                <c:pt idx="4">
                  <c:v>0.56000000000000005</c:v>
                </c:pt>
                <c:pt idx="5">
                  <c:v>0</c:v>
                </c:pt>
              </c:numCache>
            </c:numRef>
          </c:xVal>
          <c:yVal>
            <c:numRef>
              <c:f>'Individual fits'!$AM$13:$AM$18</c:f>
              <c:numCache>
                <c:formatCode>General</c:formatCode>
                <c:ptCount val="6"/>
                <c:pt idx="0">
                  <c:v>5.7503143236584453</c:v>
                </c:pt>
                <c:pt idx="1">
                  <c:v>7.7506424236870286</c:v>
                </c:pt>
                <c:pt idx="2">
                  <c:v>7.6144286171226296</c:v>
                </c:pt>
                <c:pt idx="3">
                  <c:v>13.600714172809589</c:v>
                </c:pt>
                <c:pt idx="4">
                  <c:v>8.4196652774095391</c:v>
                </c:pt>
                <c:pt idx="5">
                  <c:v>6.5385541580062121</c:v>
                </c:pt>
              </c:numCache>
            </c:numRef>
          </c:yVal>
          <c:smooth val="0"/>
        </c:ser>
        <c:ser>
          <c:idx val="3"/>
          <c:order val="1"/>
          <c:tx>
            <c:v>15oC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'Individual fits'!$AU$13:$AU$17</c:f>
                <c:numCache>
                  <c:formatCode>General</c:formatCode>
                  <c:ptCount val="5"/>
                  <c:pt idx="0">
                    <c:v>0.5922543879913903</c:v>
                  </c:pt>
                  <c:pt idx="1">
                    <c:v>0.42273468269514597</c:v>
                  </c:pt>
                  <c:pt idx="2">
                    <c:v>0.3021952605156048</c:v>
                  </c:pt>
                  <c:pt idx="3">
                    <c:v>0.30878459437309624</c:v>
                  </c:pt>
                  <c:pt idx="4">
                    <c:v>0.42896153771497036</c:v>
                  </c:pt>
                </c:numCache>
              </c:numRef>
            </c:plus>
            <c:minus>
              <c:numRef>
                <c:f>'Individual fits'!$AU$13:$AU$17</c:f>
                <c:numCache>
                  <c:formatCode>General</c:formatCode>
                  <c:ptCount val="5"/>
                  <c:pt idx="0">
                    <c:v>0.5922543879913903</c:v>
                  </c:pt>
                  <c:pt idx="1">
                    <c:v>0.42273468269514597</c:v>
                  </c:pt>
                  <c:pt idx="2">
                    <c:v>0.3021952605156048</c:v>
                  </c:pt>
                  <c:pt idx="3">
                    <c:v>0.30878459437309624</c:v>
                  </c:pt>
                  <c:pt idx="4">
                    <c:v>0.42896153771497036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'Individual fits'!$AH$13:$AH$18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0.28999999999999998</c:v>
                </c:pt>
                <c:pt idx="3">
                  <c:v>1.48</c:v>
                </c:pt>
                <c:pt idx="4">
                  <c:v>0.56000000000000005</c:v>
                </c:pt>
                <c:pt idx="5">
                  <c:v>0</c:v>
                </c:pt>
              </c:numCache>
            </c:numRef>
          </c:xVal>
          <c:yVal>
            <c:numRef>
              <c:f>'Individual fits'!$AN$13:$AN$18</c:f>
              <c:numCache>
                <c:formatCode>General</c:formatCode>
                <c:ptCount val="6"/>
                <c:pt idx="0">
                  <c:v>6.4208856266864114</c:v>
                </c:pt>
                <c:pt idx="1">
                  <c:v>7.1760538936759017</c:v>
                </c:pt>
                <c:pt idx="2">
                  <c:v>7.3659891311841816</c:v>
                </c:pt>
                <c:pt idx="3">
                  <c:v>10.58949539239495</c:v>
                </c:pt>
                <c:pt idx="4">
                  <c:v>8.295456334146543</c:v>
                </c:pt>
                <c:pt idx="5">
                  <c:v>8.2070383835028657</c:v>
                </c:pt>
              </c:numCache>
            </c:numRef>
          </c:yVal>
          <c:smooth val="0"/>
        </c:ser>
        <c:ser>
          <c:idx val="1"/>
          <c:order val="2"/>
          <c:tx>
            <c:v>10oC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'Individual fits'!$AV$13:$AV$17</c:f>
                <c:numCache>
                  <c:formatCode>General</c:formatCode>
                  <c:ptCount val="5"/>
                  <c:pt idx="0">
                    <c:v>0.42666360125940772</c:v>
                  </c:pt>
                  <c:pt idx="1">
                    <c:v>0.7861716494633878</c:v>
                  </c:pt>
                  <c:pt idx="2">
                    <c:v>0.32506028610823334</c:v>
                  </c:pt>
                  <c:pt idx="3">
                    <c:v>0.54745259551090464</c:v>
                  </c:pt>
                  <c:pt idx="4">
                    <c:v>0.21117639118313841</c:v>
                  </c:pt>
                </c:numCache>
              </c:numRef>
            </c:plus>
            <c:minus>
              <c:numRef>
                <c:f>'Individual fits'!$AV$13:$AV$17</c:f>
                <c:numCache>
                  <c:formatCode>General</c:formatCode>
                  <c:ptCount val="5"/>
                  <c:pt idx="0">
                    <c:v>0.42666360125940772</c:v>
                  </c:pt>
                  <c:pt idx="1">
                    <c:v>0.7861716494633878</c:v>
                  </c:pt>
                  <c:pt idx="2">
                    <c:v>0.32506028610823334</c:v>
                  </c:pt>
                  <c:pt idx="3">
                    <c:v>0.54745259551090464</c:v>
                  </c:pt>
                  <c:pt idx="4">
                    <c:v>0.21117639118313841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'Individual fits'!$AH$13:$AH$18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0.28999999999999998</c:v>
                </c:pt>
                <c:pt idx="3">
                  <c:v>1.48</c:v>
                </c:pt>
                <c:pt idx="4">
                  <c:v>0.56000000000000005</c:v>
                </c:pt>
                <c:pt idx="5">
                  <c:v>0</c:v>
                </c:pt>
              </c:numCache>
            </c:numRef>
          </c:xVal>
          <c:yVal>
            <c:numRef>
              <c:f>'Individual fits'!$AO$13:$AO$18</c:f>
              <c:numCache>
                <c:formatCode>General</c:formatCode>
                <c:ptCount val="6"/>
                <c:pt idx="0">
                  <c:v>6.9200774404603171</c:v>
                </c:pt>
                <c:pt idx="1">
                  <c:v>7.2072767676111722</c:v>
                </c:pt>
                <c:pt idx="2">
                  <c:v>7.3656490861720441</c:v>
                </c:pt>
                <c:pt idx="3">
                  <c:v>9.6400112268568172</c:v>
                </c:pt>
                <c:pt idx="4">
                  <c:v>6.3900910156414144</c:v>
                </c:pt>
                <c:pt idx="5">
                  <c:v>9.2165561337625856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83216"/>
        <c:axId val="336683608"/>
      </c:scatterChart>
      <c:valAx>
        <c:axId val="336683216"/>
        <c:scaling>
          <c:orientation val="minMax"/>
          <c:max val="1.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>
                    <a:solidFill>
                      <a:sysClr val="windowText" lastClr="000000"/>
                    </a:solidFill>
                  </a:rPr>
                  <a:t>Rate of invassion (km</a:t>
                </a:r>
                <a:r>
                  <a:rPr lang="en-ZA" sz="1400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ZA" sz="1400">
                    <a:solidFill>
                      <a:sysClr val="windowText" lastClr="000000"/>
                    </a:solidFill>
                  </a:rPr>
                  <a:t> yr</a:t>
                </a:r>
                <a:r>
                  <a:rPr lang="en-ZA" sz="1400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ZA" sz="140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3608"/>
        <c:crosses val="autoZero"/>
        <c:crossBetween val="midCat"/>
      </c:valAx>
      <c:valAx>
        <c:axId val="336683608"/>
        <c:scaling>
          <c:orientation val="minMax"/>
          <c:max val="16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>
                    <a:solidFill>
                      <a:sysClr val="windowText" lastClr="000000"/>
                    </a:solidFill>
                  </a:rPr>
                  <a:t>A</a:t>
                </a:r>
                <a:r>
                  <a:rPr lang="en-ZA" sz="1400" baseline="-25000">
                    <a:solidFill>
                      <a:sysClr val="windowText" lastClr="000000"/>
                    </a:solidFill>
                  </a:rPr>
                  <a:t>sat</a:t>
                </a:r>
                <a:endParaRPr lang="en-ZA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3216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1342982862436313"/>
          <c:y val="5.9215444454985285E-2"/>
          <c:w val="0.14815398075240596"/>
          <c:h val="0.20686999968377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104776</xdr:rowOff>
    </xdr:from>
    <xdr:to>
      <xdr:col>6</xdr:col>
      <xdr:colOff>238125</xdr:colOff>
      <xdr:row>32</xdr:row>
      <xdr:rowOff>66676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228600</xdr:colOff>
      <xdr:row>15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238125</xdr:colOff>
      <xdr:row>15</xdr:row>
      <xdr:rowOff>142875</xdr:rowOff>
    </xdr:from>
    <xdr:to>
      <xdr:col>12</xdr:col>
      <xdr:colOff>38100</xdr:colOff>
      <xdr:row>32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447675</xdr:colOff>
      <xdr:row>15</xdr:row>
      <xdr:rowOff>133350</xdr:rowOff>
    </xdr:from>
    <xdr:to>
      <xdr:col>23</xdr:col>
      <xdr:colOff>247650</xdr:colOff>
      <xdr:row>32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38100</xdr:colOff>
      <xdr:row>15</xdr:row>
      <xdr:rowOff>142875</xdr:rowOff>
    </xdr:from>
    <xdr:to>
      <xdr:col>17</xdr:col>
      <xdr:colOff>447675</xdr:colOff>
      <xdr:row>32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238125</xdr:colOff>
      <xdr:row>0</xdr:row>
      <xdr:rowOff>0</xdr:rowOff>
    </xdr:from>
    <xdr:to>
      <xdr:col>12</xdr:col>
      <xdr:colOff>0</xdr:colOff>
      <xdr:row>15</xdr:row>
      <xdr:rowOff>123824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438150</xdr:colOff>
      <xdr:row>15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447675</xdr:colOff>
      <xdr:row>0</xdr:row>
      <xdr:rowOff>0</xdr:rowOff>
    </xdr:from>
    <xdr:to>
      <xdr:col>23</xdr:col>
      <xdr:colOff>228600</xdr:colOff>
      <xdr:row>15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32</xdr:row>
      <xdr:rowOff>76200</xdr:rowOff>
    </xdr:from>
    <xdr:to>
      <xdr:col>6</xdr:col>
      <xdr:colOff>238125</xdr:colOff>
      <xdr:row>49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12</xdr:col>
      <xdr:colOff>371475</xdr:colOff>
      <xdr:row>48</xdr:row>
      <xdr:rowOff>123824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104776</xdr:rowOff>
    </xdr:from>
    <xdr:to>
      <xdr:col>6</xdr:col>
      <xdr:colOff>238125</xdr:colOff>
      <xdr:row>32</xdr:row>
      <xdr:rowOff>66676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228600</xdr:colOff>
      <xdr:row>15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238125</xdr:colOff>
      <xdr:row>15</xdr:row>
      <xdr:rowOff>142875</xdr:rowOff>
    </xdr:from>
    <xdr:to>
      <xdr:col>12</xdr:col>
      <xdr:colOff>38100</xdr:colOff>
      <xdr:row>32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447675</xdr:colOff>
      <xdr:row>15</xdr:row>
      <xdr:rowOff>133350</xdr:rowOff>
    </xdr:from>
    <xdr:to>
      <xdr:col>23</xdr:col>
      <xdr:colOff>247650</xdr:colOff>
      <xdr:row>32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38100</xdr:colOff>
      <xdr:row>15</xdr:row>
      <xdr:rowOff>142875</xdr:rowOff>
    </xdr:from>
    <xdr:to>
      <xdr:col>17</xdr:col>
      <xdr:colOff>447675</xdr:colOff>
      <xdr:row>32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238125</xdr:colOff>
      <xdr:row>0</xdr:row>
      <xdr:rowOff>0</xdr:rowOff>
    </xdr:from>
    <xdr:to>
      <xdr:col>12</xdr:col>
      <xdr:colOff>0</xdr:colOff>
      <xdr:row>15</xdr:row>
      <xdr:rowOff>123824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438150</xdr:colOff>
      <xdr:row>15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447675</xdr:colOff>
      <xdr:row>0</xdr:row>
      <xdr:rowOff>0</xdr:rowOff>
    </xdr:from>
    <xdr:to>
      <xdr:col>23</xdr:col>
      <xdr:colOff>228600</xdr:colOff>
      <xdr:row>15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6</xdr:col>
      <xdr:colOff>228600</xdr:colOff>
      <xdr:row>49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600075</xdr:colOff>
      <xdr:row>33</xdr:row>
      <xdr:rowOff>114300</xdr:rowOff>
    </xdr:from>
    <xdr:to>
      <xdr:col>12</xdr:col>
      <xdr:colOff>361950</xdr:colOff>
      <xdr:row>49</xdr:row>
      <xdr:rowOff>47624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.%20cookii%20LR%20x%20Tem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.%20pratensis%20LR%20x%20Tem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.%20annua%20LR%20x%20Tem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.%20stolonifera%20LR%20x%20Tem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.%20repens%20LR%20x%20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oC"/>
      <sheetName val="15oC"/>
      <sheetName val="20oC"/>
      <sheetName val="Fitting1"/>
      <sheetName val="Fitting"/>
      <sheetName val="Graph"/>
    </sheetNames>
    <sheetDataSet>
      <sheetData sheetId="0"/>
      <sheetData sheetId="1"/>
      <sheetData sheetId="2"/>
      <sheetData sheetId="3">
        <row r="9">
          <cell r="C9">
            <v>98.30601939630094</v>
          </cell>
          <cell r="H9">
            <v>70.566178834011026</v>
          </cell>
          <cell r="M9">
            <v>124.51184132239139</v>
          </cell>
        </row>
        <row r="33">
          <cell r="C33">
            <v>110.40896306674007</v>
          </cell>
          <cell r="H33">
            <v>65.687660068819937</v>
          </cell>
          <cell r="M33">
            <v>77.516445975820929</v>
          </cell>
          <cell r="Q33">
            <v>142.82924556368798</v>
          </cell>
        </row>
        <row r="58">
          <cell r="C58">
            <v>117.78146592269927</v>
          </cell>
          <cell r="H58">
            <v>63.864290449533023</v>
          </cell>
          <cell r="M58">
            <v>86.885968213564723</v>
          </cell>
          <cell r="Q58">
            <v>176.85432920681063</v>
          </cell>
          <cell r="AA58">
            <v>194.78675060324352</v>
          </cell>
        </row>
      </sheetData>
      <sheetData sheetId="4">
        <row r="7">
          <cell r="C7">
            <v>20.10103833642939</v>
          </cell>
          <cell r="H7">
            <v>17.790894552933182</v>
          </cell>
          <cell r="N7">
            <v>11.548951787146541</v>
          </cell>
          <cell r="Z7">
            <v>22.699910151902802</v>
          </cell>
        </row>
        <row r="8">
          <cell r="C8">
            <v>3.3620544014554096E-2</v>
          </cell>
          <cell r="H8">
            <v>6.4637438658064414E-2</v>
          </cell>
          <cell r="N8">
            <v>1.6287866849208927E-2</v>
          </cell>
          <cell r="T8">
            <v>1.3675340559158058E-2</v>
          </cell>
          <cell r="Z8">
            <v>5.2549518042229564E-2</v>
          </cell>
        </row>
        <row r="9">
          <cell r="C9">
            <v>5.2383859019293242</v>
          </cell>
          <cell r="H9">
            <v>6.5622454957840519</v>
          </cell>
          <cell r="N9">
            <v>9.8211989051201378</v>
          </cell>
          <cell r="T9">
            <v>12.739458763366169</v>
          </cell>
          <cell r="Z9">
            <v>13.847027431316944</v>
          </cell>
        </row>
        <row r="34">
          <cell r="D34">
            <v>66.986945349128092</v>
          </cell>
          <cell r="I34">
            <v>34.047774282945078</v>
          </cell>
          <cell r="O34">
            <v>30.759284685158182</v>
          </cell>
          <cell r="U34">
            <v>18.736440271962891</v>
          </cell>
          <cell r="AA34">
            <v>5.356042667498234</v>
          </cell>
        </row>
        <row r="35">
          <cell r="D35">
            <v>6.1450872285082433E-2</v>
          </cell>
          <cell r="I35">
            <v>6.8861529681728859E-2</v>
          </cell>
          <cell r="O35">
            <v>2.9292153151449757E-2</v>
          </cell>
          <cell r="U35">
            <v>6.3859357736581801E-2</v>
          </cell>
          <cell r="AA35">
            <v>5.6219232195707042E-2</v>
          </cell>
        </row>
        <row r="36">
          <cell r="D36">
            <v>8.2865785877007703</v>
          </cell>
          <cell r="I36">
            <v>5.7941158632476357</v>
          </cell>
          <cell r="O36">
            <v>7.4474672300792966</v>
          </cell>
          <cell r="U36">
            <v>7.443542375115813</v>
          </cell>
          <cell r="AA36">
            <v>18.927572810651011</v>
          </cell>
        </row>
        <row r="60">
          <cell r="D60">
            <v>57.289758726229955</v>
          </cell>
          <cell r="I60">
            <v>10.187641259503</v>
          </cell>
          <cell r="O60">
            <v>43.554957880809781</v>
          </cell>
          <cell r="T60">
            <v>14.725420415923661</v>
          </cell>
          <cell r="Z60">
            <v>4.9631194959144391</v>
          </cell>
        </row>
        <row r="61">
          <cell r="D61">
            <v>6.1961483160382205E-2</v>
          </cell>
          <cell r="I61">
            <v>5.5036015268330733E-2</v>
          </cell>
          <cell r="O61">
            <v>2.8593975043618367E-2</v>
          </cell>
          <cell r="T61">
            <v>4.4577794819318048E-2</v>
          </cell>
          <cell r="Z61">
            <v>4.7591287290700619E-2</v>
          </cell>
        </row>
        <row r="62">
          <cell r="D62">
            <v>8.5923946936426709</v>
          </cell>
          <cell r="I62">
            <v>7.5595039485638251</v>
          </cell>
          <cell r="O62">
            <v>7.1000286288545862</v>
          </cell>
          <cell r="T62">
            <v>5.6242681519095283</v>
          </cell>
          <cell r="Z62">
            <v>18.6093728112962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oC"/>
      <sheetName val="15oC"/>
      <sheetName val="20oC"/>
      <sheetName val="Fitting1"/>
      <sheetName val="Fitting"/>
      <sheetName val="Graph"/>
    </sheetNames>
    <sheetDataSet>
      <sheetData sheetId="0"/>
      <sheetData sheetId="1"/>
      <sheetData sheetId="2"/>
      <sheetData sheetId="3">
        <row r="9">
          <cell r="C9">
            <v>48.175812358320094</v>
          </cell>
          <cell r="H9">
            <v>68.77311241339973</v>
          </cell>
          <cell r="M9">
            <v>81.14202560245387</v>
          </cell>
          <cell r="R9">
            <v>47.773377442945588</v>
          </cell>
        </row>
        <row r="33">
          <cell r="C33">
            <v>60.007350497235379</v>
          </cell>
          <cell r="H33">
            <v>81.122533568947262</v>
          </cell>
          <cell r="M33">
            <v>122.54081544390066</v>
          </cell>
          <cell r="Q33">
            <v>95.537090311275477</v>
          </cell>
          <cell r="V33">
            <v>64.018749851353803</v>
          </cell>
        </row>
        <row r="58">
          <cell r="C58">
            <v>56.832581098258004</v>
          </cell>
          <cell r="H58">
            <v>89.496820926621808</v>
          </cell>
          <cell r="M58">
            <v>134.32710389168469</v>
          </cell>
          <cell r="Q58">
            <v>110.66496485741534</v>
          </cell>
          <cell r="U58">
            <v>77.947200653686721</v>
          </cell>
        </row>
      </sheetData>
      <sheetData sheetId="4">
        <row r="7">
          <cell r="C7">
            <v>22.976435657632408</v>
          </cell>
          <cell r="I7">
            <v>9.9063164825775676</v>
          </cell>
          <cell r="O7">
            <v>23.572644188518488</v>
          </cell>
          <cell r="V7">
            <v>26.007187318791662</v>
          </cell>
        </row>
        <row r="8">
          <cell r="C8">
            <v>6.1692867576514814E-2</v>
          </cell>
          <cell r="I8">
            <v>7.5574566813003285E-2</v>
          </cell>
          <cell r="O8">
            <v>5.8358617246260062E-2</v>
          </cell>
          <cell r="V8">
            <v>6.7744727856311415E-2</v>
          </cell>
        </row>
        <row r="9">
          <cell r="C9">
            <v>6.7452251312513267</v>
          </cell>
          <cell r="I9">
            <v>9.0966172090547932</v>
          </cell>
          <cell r="O9">
            <v>8.6226391603380979</v>
          </cell>
          <cell r="V9">
            <v>4.9981148440439584</v>
          </cell>
        </row>
        <row r="32">
          <cell r="C32">
            <v>25.120153704349576</v>
          </cell>
          <cell r="I32">
            <v>33.390606151508187</v>
          </cell>
          <cell r="O32">
            <v>30.944613395480161</v>
          </cell>
          <cell r="U32">
            <v>18.466804626703677</v>
          </cell>
          <cell r="AA32">
            <v>14.628457431963025</v>
          </cell>
        </row>
        <row r="33">
          <cell r="C33">
            <v>4.8882096373533065E-2</v>
          </cell>
          <cell r="I33">
            <v>8.0137351812083243E-2</v>
          </cell>
          <cell r="O33">
            <v>4.9469470288012671E-2</v>
          </cell>
          <cell r="U33">
            <v>6.5805926702777101E-2</v>
          </cell>
          <cell r="AA33">
            <v>6.226291129255937E-2</v>
          </cell>
        </row>
        <row r="34">
          <cell r="C34">
            <v>5.7531037438547914</v>
          </cell>
          <cell r="I34">
            <v>8.4629283135635127</v>
          </cell>
          <cell r="O34">
            <v>6.5014024619808541</v>
          </cell>
          <cell r="U34">
            <v>9.4029324204485949</v>
          </cell>
          <cell r="AA34">
            <v>6.7095787160731577</v>
          </cell>
        </row>
        <row r="58">
          <cell r="C58">
            <v>15.212157063011194</v>
          </cell>
          <cell r="I58">
            <v>21.661374557112847</v>
          </cell>
          <cell r="O58">
            <v>39.37535153996398</v>
          </cell>
          <cell r="U58">
            <v>25.956212502696108</v>
          </cell>
          <cell r="AA58">
            <v>18.281711874162131</v>
          </cell>
        </row>
        <row r="59">
          <cell r="C59">
            <v>5.6824117579426715E-2</v>
          </cell>
          <cell r="I59">
            <v>7.0405106972573503E-2</v>
          </cell>
          <cell r="O59">
            <v>3.6442631879488291E-2</v>
          </cell>
          <cell r="U59">
            <v>6.5668862055223376E-2</v>
          </cell>
          <cell r="AA59">
            <v>8.2940530395701401E-2</v>
          </cell>
        </row>
        <row r="60">
          <cell r="C60">
            <v>5.1838594912217442</v>
          </cell>
          <cell r="I60">
            <v>9.3928871633705313</v>
          </cell>
          <cell r="O60">
            <v>4.9806205405706248</v>
          </cell>
          <cell r="U60">
            <v>10.033911204196329</v>
          </cell>
          <cell r="AA60">
            <v>8.4808646862539234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oC"/>
      <sheetName val="15oC"/>
      <sheetName val="20oC"/>
      <sheetName val="Fitting1"/>
      <sheetName val="Fitting"/>
      <sheetName val="Graph"/>
    </sheetNames>
    <sheetDataSet>
      <sheetData sheetId="0"/>
      <sheetData sheetId="1"/>
      <sheetData sheetId="2"/>
      <sheetData sheetId="3">
        <row r="9">
          <cell r="C9">
            <v>115.0826699762864</v>
          </cell>
          <cell r="H9">
            <v>115.62463138660279</v>
          </cell>
          <cell r="M9">
            <v>102.29747174691484</v>
          </cell>
          <cell r="Q9">
            <v>94.098830425814214</v>
          </cell>
          <cell r="V9">
            <v>103.61424312424748</v>
          </cell>
        </row>
        <row r="33">
          <cell r="C33">
            <v>127.37214638200879</v>
          </cell>
          <cell r="H33">
            <v>191.13122416937549</v>
          </cell>
          <cell r="M33">
            <v>121.54900031143289</v>
          </cell>
          <cell r="Q33">
            <v>113.4042847625287</v>
          </cell>
          <cell r="V33">
            <v>109.95658887422334</v>
          </cell>
        </row>
        <row r="58">
          <cell r="C58">
            <v>159.37921836386869</v>
          </cell>
          <cell r="H58">
            <v>227.73589851785138</v>
          </cell>
          <cell r="M58">
            <v>152.6218131068199</v>
          </cell>
          <cell r="Q58">
            <v>137.54294705178199</v>
          </cell>
          <cell r="V58">
            <v>150.34680300752629</v>
          </cell>
        </row>
      </sheetData>
      <sheetData sheetId="4">
        <row r="7">
          <cell r="C7">
            <v>40.158937766182099</v>
          </cell>
          <cell r="I7">
            <v>7.6322458840730558</v>
          </cell>
          <cell r="O7">
            <v>34.598057076042736</v>
          </cell>
          <cell r="T7">
            <v>23.893125104019081</v>
          </cell>
          <cell r="AF7">
            <v>14.432631679097463</v>
          </cell>
        </row>
        <row r="8">
          <cell r="C8">
            <v>7.3584512295029242E-2</v>
          </cell>
          <cell r="I8">
            <v>2.851930948879506E-2</v>
          </cell>
          <cell r="O8">
            <v>4.6001002839436915E-2</v>
          </cell>
          <cell r="T8">
            <v>4.4498548080679191E-2</v>
          </cell>
          <cell r="AF8">
            <v>5.6056275051814514E-2</v>
          </cell>
        </row>
        <row r="9">
          <cell r="C9">
            <v>9.7654357178675806</v>
          </cell>
          <cell r="I9">
            <v>6.9701319326593785</v>
          </cell>
          <cell r="O9">
            <v>7.4402629282220776</v>
          </cell>
          <cell r="T9">
            <v>10.177198124218101</v>
          </cell>
          <cell r="AF9">
            <v>9.5613728439787344</v>
          </cell>
        </row>
        <row r="33">
          <cell r="C33">
            <v>30.087548512694855</v>
          </cell>
          <cell r="I33">
            <v>8.561944341788557</v>
          </cell>
          <cell r="O33">
            <v>27.628860822150418</v>
          </cell>
          <cell r="U33">
            <v>26.5636226782016</v>
          </cell>
          <cell r="AA33">
            <v>44.605681149356528</v>
          </cell>
        </row>
        <row r="34">
          <cell r="C34">
            <v>9.2113635058329854E-2</v>
          </cell>
          <cell r="I34">
            <v>0.11384195602176177</v>
          </cell>
          <cell r="O34">
            <v>3.8402964747098971E-2</v>
          </cell>
          <cell r="U34">
            <v>4.9143214696237586E-2</v>
          </cell>
          <cell r="AA34">
            <v>7.1700650745223374E-2</v>
          </cell>
        </row>
        <row r="35">
          <cell r="C35">
            <v>10.60260974457708</v>
          </cell>
          <cell r="I35">
            <v>12.112535268505685</v>
          </cell>
          <cell r="O35">
            <v>9.0875950442010076</v>
          </cell>
          <cell r="U35">
            <v>10.555241512296028</v>
          </cell>
          <cell r="AA35">
            <v>9.5860149730680941</v>
          </cell>
        </row>
        <row r="59">
          <cell r="C59">
            <v>24.896406622331966</v>
          </cell>
          <cell r="I59">
            <v>34.716086031677563</v>
          </cell>
          <cell r="O59">
            <v>45.451307205789931</v>
          </cell>
          <cell r="T59">
            <v>28.238407499678186</v>
          </cell>
          <cell r="Z59">
            <v>22.19798077539831</v>
          </cell>
        </row>
        <row r="60">
          <cell r="C60">
            <v>8.7384144944043798E-2</v>
          </cell>
          <cell r="I60">
            <v>9.0484461299255137E-2</v>
          </cell>
          <cell r="O60">
            <v>5.4013904415214163E-2</v>
          </cell>
          <cell r="T60">
            <v>5.603430598580092E-2</v>
          </cell>
          <cell r="Z60">
            <v>4.5869704788520732E-2</v>
          </cell>
        </row>
        <row r="61">
          <cell r="C61">
            <v>12.244883598938877</v>
          </cell>
          <cell r="I61">
            <v>13.239902428624934</v>
          </cell>
          <cell r="O61">
            <v>10.269105133329466</v>
          </cell>
          <cell r="T61">
            <v>13.640306891858474</v>
          </cell>
          <cell r="Z61">
            <v>9.5079060351436553</v>
          </cell>
        </row>
      </sheetData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oC"/>
      <sheetName val="15oC"/>
      <sheetName val="20oC"/>
      <sheetName val="Fitting1"/>
      <sheetName val="Fitting"/>
      <sheetName val="Graph"/>
      <sheetName val="Summary paramters"/>
    </sheetNames>
    <sheetDataSet>
      <sheetData sheetId="0"/>
      <sheetData sheetId="1"/>
      <sheetData sheetId="2"/>
      <sheetData sheetId="3">
        <row r="9">
          <cell r="C9">
            <v>103.04755342918484</v>
          </cell>
          <cell r="H9">
            <v>69.649475674087384</v>
          </cell>
          <cell r="M9">
            <v>91.215719934341337</v>
          </cell>
          <cell r="Q9">
            <v>77.505494813552303</v>
          </cell>
        </row>
        <row r="33">
          <cell r="C33">
            <v>153.93785745880339</v>
          </cell>
          <cell r="H33">
            <v>94.01165883777594</v>
          </cell>
          <cell r="M33">
            <v>139.22481218799641</v>
          </cell>
          <cell r="Q33">
            <v>103.36954222691445</v>
          </cell>
        </row>
        <row r="58">
          <cell r="C58">
            <v>187.02167570311971</v>
          </cell>
          <cell r="H58">
            <v>121.13545095056364</v>
          </cell>
          <cell r="M58">
            <v>172.15295308315089</v>
          </cell>
          <cell r="Q58">
            <v>127.19035866302048</v>
          </cell>
        </row>
      </sheetData>
      <sheetData sheetId="4">
        <row r="7">
          <cell r="C7">
            <v>5.0316609338732441</v>
          </cell>
          <cell r="I7">
            <v>30.961860365800558</v>
          </cell>
          <cell r="N7">
            <v>33.624680251309819</v>
          </cell>
          <cell r="T7">
            <v>24.765080658416387</v>
          </cell>
        </row>
        <row r="8">
          <cell r="C8">
            <v>5.1960938277728387E-2</v>
          </cell>
          <cell r="I8">
            <v>6.8135217084448155E-2</v>
          </cell>
          <cell r="N8">
            <v>6.8694514018007566E-2</v>
          </cell>
          <cell r="T8">
            <v>6.775562534213006E-2</v>
          </cell>
        </row>
        <row r="9">
          <cell r="C9">
            <v>5.6514219800979246</v>
          </cell>
          <cell r="I9">
            <v>7.2493728778268585</v>
          </cell>
          <cell r="N9">
            <v>5.6781284492981916</v>
          </cell>
          <cell r="T9">
            <v>6.9814407553426827</v>
          </cell>
        </row>
        <row r="35">
          <cell r="C35">
            <v>14.921764384984638</v>
          </cell>
          <cell r="I35">
            <v>28.842735464522178</v>
          </cell>
          <cell r="O35">
            <v>11.079063415731921</v>
          </cell>
          <cell r="U35">
            <v>39.919100912069432</v>
          </cell>
        </row>
        <row r="36">
          <cell r="C36">
            <v>4.4617712465371009E-2</v>
          </cell>
          <cell r="I36">
            <v>7.5419162670177245E-2</v>
          </cell>
          <cell r="O36">
            <v>5.9279801474989145E-2</v>
          </cell>
          <cell r="U36">
            <v>7.4460003384522022E-2</v>
          </cell>
        </row>
        <row r="37">
          <cell r="C37">
            <v>7.4399146757797272</v>
          </cell>
          <cell r="I37">
            <v>7.9365500444544441</v>
          </cell>
          <cell r="O37">
            <v>10.804544771933637</v>
          </cell>
          <cell r="U37">
            <v>7.0008158444183595</v>
          </cell>
        </row>
        <row r="63">
          <cell r="I63">
            <v>44.479753626810862</v>
          </cell>
          <cell r="N63">
            <v>36.770169189788099</v>
          </cell>
          <cell r="T63">
            <v>21.960687834817222</v>
          </cell>
          <cell r="Z63">
            <v>7.7862615852207382</v>
          </cell>
        </row>
        <row r="64">
          <cell r="C64">
            <v>6.1694943270537268E-2</v>
          </cell>
          <cell r="I64">
            <v>8.1638528365264779E-2</v>
          </cell>
          <cell r="N64">
            <v>8.4294033625497047E-2</v>
          </cell>
          <cell r="T64">
            <v>5.4126396285984084E-2</v>
          </cell>
          <cell r="Z64">
            <v>2.9676589137857617E-2</v>
          </cell>
        </row>
        <row r="65">
          <cell r="C65">
            <v>5.6288982637343894</v>
          </cell>
          <cell r="I65">
            <v>9.2566291924687452</v>
          </cell>
          <cell r="N65">
            <v>9.2849637996029415</v>
          </cell>
          <cell r="T65">
            <v>9.5081698538320829</v>
          </cell>
          <cell r="Z65">
            <v>9.8475493756322816</v>
          </cell>
        </row>
      </sheetData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oC"/>
      <sheetName val="15oC"/>
      <sheetName val="20oC"/>
      <sheetName val="Fitting"/>
      <sheetName val="Summary paramters"/>
    </sheetNames>
    <sheetDataSet>
      <sheetData sheetId="0"/>
      <sheetData sheetId="1"/>
      <sheetData sheetId="2"/>
      <sheetData sheetId="3">
        <row r="7">
          <cell r="C7">
            <v>30.706344279527254</v>
          </cell>
          <cell r="I7">
            <v>42.613454808822894</v>
          </cell>
          <cell r="N7">
            <v>14.711659607349363</v>
          </cell>
        </row>
        <row r="8">
          <cell r="C8">
            <v>6.4988479870100688E-2</v>
          </cell>
          <cell r="I8">
            <v>4.2079451977548012E-2</v>
          </cell>
          <cell r="N8">
            <v>5.0299003746850188E-2</v>
          </cell>
        </row>
        <row r="9">
          <cell r="C9">
            <v>13.96143134857992</v>
          </cell>
          <cell r="I9">
            <v>3.3227475268785569</v>
          </cell>
          <cell r="N9">
            <v>10.365489525829277</v>
          </cell>
        </row>
        <row r="35">
          <cell r="C35">
            <v>28.433528147365543</v>
          </cell>
          <cell r="I35">
            <v>44.363054173588068</v>
          </cell>
          <cell r="O35">
            <v>18.983830988377211</v>
          </cell>
        </row>
        <row r="36">
          <cell r="C36">
            <v>9.3171952797021229E-2</v>
          </cell>
          <cell r="I36">
            <v>6.4031380453569972E-2</v>
          </cell>
          <cell r="O36">
            <v>6.3153233992545729E-2</v>
          </cell>
        </row>
        <row r="37">
          <cell r="C37">
            <v>12.887263036717913</v>
          </cell>
          <cell r="I37">
            <v>4.3973836776337771</v>
          </cell>
          <cell r="O37">
            <v>7.3364684361569061</v>
          </cell>
        </row>
        <row r="63">
          <cell r="C63">
            <v>35.634435648217718</v>
          </cell>
          <cell r="I63">
            <v>21.804873085109431</v>
          </cell>
          <cell r="N63">
            <v>30.290508539573022</v>
          </cell>
        </row>
        <row r="64">
          <cell r="C64">
            <v>6.7418675141447684E-2</v>
          </cell>
          <cell r="I64">
            <v>4.5007086585690907E-2</v>
          </cell>
          <cell r="N64">
            <v>5.7712052851605862E-2</v>
          </cell>
        </row>
        <row r="65">
          <cell r="C65">
            <v>16.644071111462058</v>
          </cell>
          <cell r="I65">
            <v>8.3179986999567319</v>
          </cell>
          <cell r="N65">
            <v>4.7591096160556923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81"/>
  <sheetViews>
    <sheetView topLeftCell="AE31" workbookViewId="0">
      <selection activeCell="B49" sqref="B49"/>
    </sheetView>
  </sheetViews>
  <sheetFormatPr defaultRowHeight="15" x14ac:dyDescent="0.25"/>
  <sheetData>
    <row r="1" spans="1:83" x14ac:dyDescent="0.25">
      <c r="A1" s="1" t="s">
        <v>0</v>
      </c>
      <c r="B1" s="1" t="s">
        <v>1</v>
      </c>
      <c r="AU1" t="s">
        <v>97</v>
      </c>
    </row>
    <row r="2" spans="1:83" x14ac:dyDescent="0.25">
      <c r="E2">
        <v>10</v>
      </c>
    </row>
    <row r="3" spans="1:83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1" t="s">
        <v>49</v>
      </c>
      <c r="AW3" s="1" t="s">
        <v>50</v>
      </c>
      <c r="AX3" s="1" t="s">
        <v>51</v>
      </c>
      <c r="AY3" s="1" t="s">
        <v>52</v>
      </c>
      <c r="AZ3" s="1" t="s">
        <v>53</v>
      </c>
      <c r="BA3" s="1" t="s">
        <v>54</v>
      </c>
      <c r="BB3" s="1" t="s">
        <v>55</v>
      </c>
      <c r="BC3" s="1" t="s">
        <v>56</v>
      </c>
      <c r="BD3" s="1" t="s">
        <v>57</v>
      </c>
      <c r="BE3" s="1" t="s">
        <v>58</v>
      </c>
      <c r="BF3" s="1" t="s">
        <v>59</v>
      </c>
      <c r="BG3" s="1" t="s">
        <v>60</v>
      </c>
      <c r="BH3" s="1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</row>
    <row r="4" spans="1:83" x14ac:dyDescent="0.25">
      <c r="A4" s="1" t="s">
        <v>85</v>
      </c>
      <c r="B4" s="1" t="s">
        <v>85</v>
      </c>
      <c r="C4" s="1" t="s">
        <v>85</v>
      </c>
      <c r="D4" s="1" t="s">
        <v>85</v>
      </c>
      <c r="E4" s="1" t="s">
        <v>86</v>
      </c>
      <c r="F4" s="1" t="s">
        <v>86</v>
      </c>
      <c r="G4" s="1" t="s">
        <v>86</v>
      </c>
      <c r="H4" s="1" t="s">
        <v>85</v>
      </c>
      <c r="I4" s="1" t="s">
        <v>85</v>
      </c>
      <c r="J4" s="1" t="s">
        <v>85</v>
      </c>
      <c r="K4" s="1" t="s">
        <v>85</v>
      </c>
      <c r="L4" s="1" t="s">
        <v>85</v>
      </c>
      <c r="M4" s="1" t="s">
        <v>85</v>
      </c>
      <c r="N4" s="1" t="s">
        <v>85</v>
      </c>
      <c r="O4" s="1" t="s">
        <v>86</v>
      </c>
      <c r="P4" s="1" t="s">
        <v>86</v>
      </c>
      <c r="Q4" s="1" t="s">
        <v>86</v>
      </c>
      <c r="R4" s="1" t="s">
        <v>85</v>
      </c>
      <c r="S4" s="1" t="s">
        <v>85</v>
      </c>
      <c r="T4" s="1" t="s">
        <v>85</v>
      </c>
      <c r="U4" s="1" t="s">
        <v>85</v>
      </c>
      <c r="V4" s="1" t="s">
        <v>86</v>
      </c>
      <c r="W4" s="1" t="s">
        <v>86</v>
      </c>
      <c r="X4" s="1" t="s">
        <v>86</v>
      </c>
      <c r="Y4" s="1" t="s">
        <v>86</v>
      </c>
      <c r="Z4" s="1" t="s">
        <v>86</v>
      </c>
      <c r="AA4" s="1" t="s">
        <v>85</v>
      </c>
      <c r="AB4" s="1" t="s">
        <v>85</v>
      </c>
      <c r="AC4" s="1" t="s">
        <v>86</v>
      </c>
      <c r="AD4" s="1" t="s">
        <v>86</v>
      </c>
      <c r="AE4" s="1" t="s">
        <v>86</v>
      </c>
      <c r="AF4" s="1" t="s">
        <v>86</v>
      </c>
      <c r="AG4" s="1" t="s">
        <v>85</v>
      </c>
      <c r="AH4" s="1" t="s">
        <v>86</v>
      </c>
      <c r="AI4" s="1" t="s">
        <v>85</v>
      </c>
      <c r="AJ4" s="1" t="s">
        <v>86</v>
      </c>
      <c r="AK4" s="1" t="s">
        <v>85</v>
      </c>
      <c r="AL4" s="1" t="s">
        <v>85</v>
      </c>
      <c r="AM4" s="1" t="s">
        <v>85</v>
      </c>
      <c r="AN4" s="1" t="s">
        <v>85</v>
      </c>
      <c r="AO4" s="1" t="s">
        <v>85</v>
      </c>
      <c r="AP4" s="1" t="s">
        <v>85</v>
      </c>
      <c r="AQ4" s="1" t="s">
        <v>85</v>
      </c>
      <c r="AR4" s="1" t="s">
        <v>85</v>
      </c>
      <c r="AS4" s="1" t="s">
        <v>85</v>
      </c>
      <c r="AT4" s="1" t="s">
        <v>85</v>
      </c>
      <c r="AU4" s="1" t="s">
        <v>85</v>
      </c>
      <c r="AV4" s="1" t="s">
        <v>85</v>
      </c>
      <c r="AW4" s="1" t="s">
        <v>85</v>
      </c>
      <c r="AX4" s="1" t="s">
        <v>85</v>
      </c>
      <c r="AY4" s="1" t="s">
        <v>85</v>
      </c>
      <c r="AZ4" s="1" t="s">
        <v>85</v>
      </c>
      <c r="BA4" s="1" t="s">
        <v>85</v>
      </c>
      <c r="BB4" s="1" t="s">
        <v>85</v>
      </c>
      <c r="BC4" s="1" t="s">
        <v>85</v>
      </c>
      <c r="BD4" s="1" t="s">
        <v>85</v>
      </c>
      <c r="BE4" s="1" t="s">
        <v>85</v>
      </c>
      <c r="BF4" s="1" t="s">
        <v>85</v>
      </c>
      <c r="BG4" s="1" t="s">
        <v>86</v>
      </c>
      <c r="BH4" s="1" t="s">
        <v>86</v>
      </c>
      <c r="BI4" s="1" t="s">
        <v>86</v>
      </c>
      <c r="BJ4" s="1" t="s">
        <v>86</v>
      </c>
      <c r="BK4" s="1" t="s">
        <v>86</v>
      </c>
      <c r="BL4" s="1" t="s">
        <v>86</v>
      </c>
      <c r="BM4" s="1" t="s">
        <v>86</v>
      </c>
      <c r="BN4" s="1" t="s">
        <v>86</v>
      </c>
      <c r="BO4" s="1" t="s">
        <v>86</v>
      </c>
      <c r="BP4" s="1" t="s">
        <v>86</v>
      </c>
      <c r="BQ4" s="1" t="s">
        <v>86</v>
      </c>
      <c r="BR4" s="1" t="s">
        <v>86</v>
      </c>
      <c r="BS4" s="1" t="s">
        <v>86</v>
      </c>
      <c r="BT4" s="1" t="s">
        <v>86</v>
      </c>
      <c r="BU4" s="1" t="s">
        <v>86</v>
      </c>
      <c r="BV4" s="1" t="s">
        <v>86</v>
      </c>
      <c r="BW4" s="1" t="s">
        <v>86</v>
      </c>
      <c r="BX4" s="1" t="s">
        <v>86</v>
      </c>
      <c r="BY4" s="1" t="s">
        <v>86</v>
      </c>
      <c r="BZ4" s="1" t="s">
        <v>86</v>
      </c>
      <c r="CA4" s="1" t="s">
        <v>86</v>
      </c>
      <c r="CB4" s="1" t="s">
        <v>86</v>
      </c>
      <c r="CC4" s="1" t="s">
        <v>86</v>
      </c>
      <c r="CD4" s="1" t="s">
        <v>86</v>
      </c>
      <c r="CE4" s="1" t="s">
        <v>86</v>
      </c>
    </row>
    <row r="5" spans="1:83" x14ac:dyDescent="0.25">
      <c r="A5" s="1"/>
      <c r="B5" s="1"/>
      <c r="C5" s="1"/>
      <c r="D5" s="1"/>
      <c r="H5" s="1"/>
      <c r="I5" s="1"/>
      <c r="J5" s="1"/>
      <c r="K5" s="1"/>
      <c r="L5" s="1"/>
      <c r="M5" s="1"/>
      <c r="N5" s="1"/>
      <c r="R5" s="1"/>
      <c r="S5" s="1"/>
      <c r="T5" s="1"/>
      <c r="U5" s="1"/>
      <c r="AA5" s="1"/>
      <c r="AB5" s="1"/>
      <c r="AG5" s="1"/>
      <c r="AI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83" x14ac:dyDescent="0.25">
      <c r="A6" s="1"/>
      <c r="B6" s="1"/>
      <c r="C6" s="1"/>
      <c r="D6" s="1"/>
      <c r="H6" s="1"/>
      <c r="I6" s="1"/>
      <c r="J6" s="1"/>
      <c r="K6" s="1"/>
      <c r="L6" s="1"/>
      <c r="M6" s="1"/>
      <c r="N6" s="1"/>
      <c r="R6" s="1"/>
      <c r="S6" s="1"/>
      <c r="T6" s="1"/>
      <c r="U6" s="1"/>
      <c r="AA6" s="1"/>
      <c r="AB6" s="1"/>
      <c r="AG6" s="1"/>
      <c r="AI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83" x14ac:dyDescent="0.25">
      <c r="A7" s="1">
        <v>3</v>
      </c>
      <c r="B7" s="1" t="s">
        <v>87</v>
      </c>
      <c r="C7" s="1">
        <v>222.49998976569623</v>
      </c>
      <c r="D7" s="1">
        <v>0</v>
      </c>
      <c r="E7">
        <f t="shared" ref="E7:E16" si="0">(AN7-AO7*(1000-AP7)/(1000-AQ7))*BG7</f>
        <v>6.154737185306649</v>
      </c>
      <c r="F7">
        <f t="shared" ref="F7:F16" si="1">IF(BR7&lt;&gt;0,1/(1/BR7-1/AJ7),0)</f>
        <v>9.6297596254412449E-2</v>
      </c>
      <c r="G7">
        <f t="shared" ref="G7:G16" si="2">((BU7-BH7/2)*AO7-E7)/(BU7+BH7/2)</f>
        <v>292.05088669435946</v>
      </c>
      <c r="H7" s="1">
        <v>37</v>
      </c>
      <c r="I7" s="1">
        <v>0</v>
      </c>
      <c r="J7" s="1">
        <v>0</v>
      </c>
      <c r="K7" s="1">
        <v>0</v>
      </c>
      <c r="L7" s="1">
        <v>0</v>
      </c>
      <c r="M7" s="1">
        <v>646.79876708984375</v>
      </c>
      <c r="N7" s="1">
        <v>436.47781372070312</v>
      </c>
      <c r="O7" t="e">
        <f t="shared" ref="O7:O16" si="3">CA7/K7</f>
        <v>#DIV/0!</v>
      </c>
      <c r="P7">
        <f>CC7/M7</f>
        <v>1</v>
      </c>
      <c r="Q7">
        <f>(M7-N7)/M7</f>
        <v>0.32517216183859227</v>
      </c>
      <c r="R7" s="1">
        <v>-1</v>
      </c>
      <c r="S7" s="1">
        <v>0.87</v>
      </c>
      <c r="T7" s="1">
        <v>0.92</v>
      </c>
      <c r="U7" s="1">
        <v>9.9087457656860352</v>
      </c>
      <c r="V7">
        <f t="shared" ref="V7:V16" si="4">(U7*T7+(100-U7)*S7)/100</f>
        <v>0.87495437288284295</v>
      </c>
      <c r="W7">
        <f t="shared" ref="W7:W16" si="5">(E7-R7)/CB7</f>
        <v>1.8099547872460774E-2</v>
      </c>
      <c r="X7">
        <f t="shared" ref="X7:X16" si="6">(M7-N7)/(M7-L7)</f>
        <v>0.32517216183859227</v>
      </c>
      <c r="Y7" t="e">
        <f t="shared" ref="Y7:Y16" si="7">(K7-M7)/(K7-L7)</f>
        <v>#DIV/0!</v>
      </c>
      <c r="Z7">
        <f t="shared" ref="Z7:Z16" si="8">(K7-M7)/M7</f>
        <v>-1</v>
      </c>
      <c r="AA7" s="1">
        <v>451.79409790039062</v>
      </c>
      <c r="AB7" s="1">
        <v>0.5</v>
      </c>
      <c r="AC7">
        <f t="shared" ref="AC7:AC16" si="9">Q7*AB7*V7*AA7</f>
        <v>64.270151230490896</v>
      </c>
      <c r="AD7">
        <f t="shared" ref="AD7:AD16" si="10">BH7*1000</f>
        <v>0.64826372811369681</v>
      </c>
      <c r="AE7">
        <f t="shared" ref="AE7:AE16" si="11">(BM7-BS7)</f>
        <v>0.67686288618605284</v>
      </c>
      <c r="AF7">
        <f t="shared" ref="AF7:AF16" si="12">(AL7+BL7*D7)</f>
        <v>10.729866981506348</v>
      </c>
      <c r="AG7" s="1">
        <v>1.8999999761581421</v>
      </c>
      <c r="AH7">
        <f t="shared" ref="AH7:AH16" si="13">(AG7*BA7+BB7)</f>
        <v>4.7803738440308621</v>
      </c>
      <c r="AI7" s="1">
        <v>1</v>
      </c>
      <c r="AJ7">
        <f t="shared" ref="AJ7:AJ16" si="14">AH7*(AI7+1)*(AI7+1)/(AI7*AI7+1)</f>
        <v>9.5607476880617241</v>
      </c>
      <c r="AK7" s="1">
        <v>6.4668049812316895</v>
      </c>
      <c r="AL7" s="1">
        <v>10.729866981506348</v>
      </c>
      <c r="AM7" s="1">
        <v>2.8914535045623779</v>
      </c>
      <c r="AN7" s="1">
        <v>407.09616088867187</v>
      </c>
      <c r="AO7" s="1">
        <v>398.9482421875</v>
      </c>
      <c r="AP7" s="1">
        <v>5.3226456642150879</v>
      </c>
      <c r="AQ7" s="1">
        <v>6.1411809921264648</v>
      </c>
      <c r="AR7" s="1">
        <v>55.171413421630859</v>
      </c>
      <c r="AS7" s="1">
        <v>63.655864715576172</v>
      </c>
      <c r="AT7" s="1">
        <v>149.5521240234375</v>
      </c>
      <c r="AU7" s="1">
        <v>451.79409790039062</v>
      </c>
      <c r="AV7" s="1">
        <v>5.1406736373901367</v>
      </c>
      <c r="AW7" s="1">
        <v>100.49890899658203</v>
      </c>
      <c r="AX7" s="1">
        <v>5.2117743492126465</v>
      </c>
      <c r="AY7" s="1">
        <v>9.3640729784965515E-2</v>
      </c>
      <c r="AZ7" s="1">
        <v>0.5</v>
      </c>
      <c r="BA7" s="1">
        <v>-1.355140209197998</v>
      </c>
      <c r="BB7" s="1">
        <v>7.355140209197998</v>
      </c>
      <c r="BC7" s="1">
        <v>1</v>
      </c>
      <c r="BD7" s="1">
        <v>0</v>
      </c>
      <c r="BE7" s="1">
        <v>0.15999999642372131</v>
      </c>
      <c r="BF7" s="1">
        <v>111115</v>
      </c>
      <c r="BG7">
        <f t="shared" ref="BG7:BG16" si="15">AT7*0.000001/(AG7*0.0001)</f>
        <v>0.78711645210562808</v>
      </c>
      <c r="BH7">
        <f t="shared" ref="BH7:BH16" si="16">(AQ7-AP7)/(1000-AQ7)*BG7</f>
        <v>6.4826372811369677E-4</v>
      </c>
      <c r="BI7">
        <f t="shared" ref="BI7:BI16" si="17">(AL7+273.15)</f>
        <v>283.87986698150632</v>
      </c>
      <c r="BJ7">
        <f t="shared" ref="BJ7:BJ16" si="18">(AK7+273.15)</f>
        <v>279.61680498123167</v>
      </c>
      <c r="BK7">
        <f t="shared" ref="BK7:BK16" si="19">(AU7*BC7+AV7*BD7)*BE7</f>
        <v>72.287054048320897</v>
      </c>
      <c r="BL7">
        <f t="shared" ref="BL7:BL16" si="20">((BK7+0.00000010773*(BJ7^4-BI7^4))-BH7*44100)/(AH7*51.4+0.00000043092*BI7^3)</f>
        <v>1.0210398544918432E-2</v>
      </c>
      <c r="BM7">
        <f t="shared" ref="BM7:BM16" si="21">0.61365*EXP(17.502*AF7/(240.97+AF7))</f>
        <v>1.2940448758453098</v>
      </c>
      <c r="BN7">
        <f t="shared" ref="BN7:BN16" si="22">BM7*1000/AW7</f>
        <v>12.876208197337947</v>
      </c>
      <c r="BO7">
        <f t="shared" ref="BO7:BO16" si="23">(BN7-AQ7)</f>
        <v>6.7350272052114821</v>
      </c>
      <c r="BP7">
        <f t="shared" ref="BP7:BP16" si="24">IF(D7,AL7,(AK7+AL7)/2)</f>
        <v>8.5983359813690186</v>
      </c>
      <c r="BQ7">
        <f t="shared" ref="BQ7:BQ16" si="25">0.61365*EXP(17.502*BP7/(240.97+BP7))</f>
        <v>1.1214953421968474</v>
      </c>
      <c r="BR7">
        <f t="shared" ref="BR7:BR16" si="26">IF(BO7&lt;&gt;0,(1000-(BN7+AQ7)/2)/BO7*BH7,0)</f>
        <v>9.5337341148284044E-2</v>
      </c>
      <c r="BS7">
        <f t="shared" ref="BS7:BS16" si="27">AQ7*AW7/1000</f>
        <v>0.61718198965925697</v>
      </c>
      <c r="BT7">
        <f t="shared" ref="BT7:BT16" si="28">(BQ7-BS7)</f>
        <v>0.50431335253759046</v>
      </c>
      <c r="BU7">
        <f t="shared" ref="BU7:BU16" si="29">1/(1.6/F7+1.37/AJ7)</f>
        <v>5.9671373455277794E-2</v>
      </c>
      <c r="BV7">
        <f t="shared" ref="BV7:BV16" si="30">G7*AW7*0.001</f>
        <v>29.350795484267522</v>
      </c>
      <c r="BW7">
        <f t="shared" ref="BW7:BW16" si="31">G7/AO7</f>
        <v>0.73205207044652099</v>
      </c>
      <c r="BX7">
        <f t="shared" ref="BX7:BX16" si="32">(1-BH7*AW7/BM7/F7)*100</f>
        <v>47.718470347379096</v>
      </c>
      <c r="BY7">
        <f t="shared" ref="BY7:BY16" si="33">(AO7-E7/(AJ7/1.35))</f>
        <v>398.07917885989656</v>
      </c>
      <c r="BZ7">
        <f t="shared" ref="BZ7:BZ16" si="34">E7*BX7/100/BY7</f>
        <v>7.3777946566839225E-3</v>
      </c>
      <c r="CA7">
        <f t="shared" ref="CA7:CA16" si="35">(K7-J7)</f>
        <v>0</v>
      </c>
      <c r="CB7">
        <f t="shared" ref="CB7:CB16" si="36">AU7*V7</f>
        <v>395.29922160060602</v>
      </c>
      <c r="CC7">
        <f t="shared" ref="CC7:CC16" si="37">(M7-L7)</f>
        <v>646.79876708984375</v>
      </c>
      <c r="CD7">
        <f t="shared" ref="CD7:CD16" si="38">(M7-N7)/(M7-J7)</f>
        <v>0.32517216183859227</v>
      </c>
      <c r="CE7" t="e">
        <f t="shared" ref="CE7:CE16" si="39">(K7-M7)/(K7-J7)</f>
        <v>#DIV/0!</v>
      </c>
    </row>
    <row r="8" spans="1:83" x14ac:dyDescent="0.25">
      <c r="A8" s="1">
        <v>4</v>
      </c>
      <c r="B8" s="1" t="s">
        <v>88</v>
      </c>
      <c r="C8" s="1">
        <v>284.49998549278826</v>
      </c>
      <c r="D8" s="1">
        <v>0</v>
      </c>
      <c r="E8">
        <f t="shared" si="0"/>
        <v>5.2224869193551235</v>
      </c>
      <c r="F8">
        <f t="shared" si="1"/>
        <v>0.10039028546575041</v>
      </c>
      <c r="G8">
        <f t="shared" si="2"/>
        <v>312.65517134958384</v>
      </c>
      <c r="H8" s="1">
        <v>38</v>
      </c>
      <c r="I8" s="1">
        <v>0</v>
      </c>
      <c r="J8" s="1">
        <v>0</v>
      </c>
      <c r="K8" s="1">
        <v>0</v>
      </c>
      <c r="L8" s="1">
        <v>0</v>
      </c>
      <c r="M8" s="1">
        <v>853.4293212890625</v>
      </c>
      <c r="N8" s="1">
        <v>490.91009521484375</v>
      </c>
      <c r="O8" t="e">
        <f t="shared" si="3"/>
        <v>#DIV/0!</v>
      </c>
      <c r="P8">
        <f t="shared" ref="P8:P16" si="40">CC8/M8</f>
        <v>1</v>
      </c>
      <c r="Q8">
        <f t="shared" ref="Q8:Q16" si="41">(M8-N8)/M8</f>
        <v>0.42477943636463239</v>
      </c>
      <c r="R8" s="1">
        <v>-1</v>
      </c>
      <c r="S8" s="1">
        <v>0.87</v>
      </c>
      <c r="T8" s="1">
        <v>0.92</v>
      </c>
      <c r="U8" s="1">
        <v>9.8018503189086914</v>
      </c>
      <c r="V8">
        <f t="shared" si="4"/>
        <v>0.87490092515945439</v>
      </c>
      <c r="W8">
        <f t="shared" si="5"/>
        <v>2.366087328970283E-2</v>
      </c>
      <c r="X8">
        <f t="shared" si="6"/>
        <v>0.42477943636463239</v>
      </c>
      <c r="Y8" t="e">
        <f t="shared" si="7"/>
        <v>#DIV/0!</v>
      </c>
      <c r="Z8">
        <f t="shared" si="8"/>
        <v>-1</v>
      </c>
      <c r="AA8" s="1">
        <v>300.58987426757812</v>
      </c>
      <c r="AB8" s="1">
        <v>0.5</v>
      </c>
      <c r="AC8">
        <f t="shared" si="9"/>
        <v>55.85559869297547</v>
      </c>
      <c r="AD8">
        <f t="shared" si="10"/>
        <v>0.628227920753052</v>
      </c>
      <c r="AE8">
        <f t="shared" si="11"/>
        <v>0.62961860718434925</v>
      </c>
      <c r="AF8">
        <f t="shared" si="12"/>
        <v>10.144797325134277</v>
      </c>
      <c r="AG8" s="1">
        <v>1.8999999761581421</v>
      </c>
      <c r="AH8">
        <f t="shared" si="13"/>
        <v>4.7803738440308621</v>
      </c>
      <c r="AI8" s="1">
        <v>1</v>
      </c>
      <c r="AJ8">
        <f t="shared" si="14"/>
        <v>9.5607476880617241</v>
      </c>
      <c r="AK8" s="1">
        <v>6.0405716896057129</v>
      </c>
      <c r="AL8" s="1">
        <v>10.144797325134277</v>
      </c>
      <c r="AM8" s="1">
        <v>2.3962798118591309</v>
      </c>
      <c r="AN8" s="1">
        <v>407.1951904296875</v>
      </c>
      <c r="AO8" s="1">
        <v>400.239501953125</v>
      </c>
      <c r="AP8" s="1">
        <v>5.3250164985656738</v>
      </c>
      <c r="AQ8" s="1">
        <v>6.1184177398681641</v>
      </c>
      <c r="AR8" s="1">
        <v>56.842262268066406</v>
      </c>
      <c r="AS8" s="1">
        <v>65.311477661132813</v>
      </c>
      <c r="AT8" s="1">
        <v>149.52458190917969</v>
      </c>
      <c r="AU8" s="1">
        <v>300.58987426757812</v>
      </c>
      <c r="AV8" s="1">
        <v>5.1292123794555664</v>
      </c>
      <c r="AW8" s="1">
        <v>100.49672698974609</v>
      </c>
      <c r="AX8" s="1">
        <v>5.2117743492126465</v>
      </c>
      <c r="AY8" s="1">
        <v>9.3640729784965515E-2</v>
      </c>
      <c r="AZ8" s="1">
        <v>0.75</v>
      </c>
      <c r="BA8" s="1">
        <v>-1.355140209197998</v>
      </c>
      <c r="BB8" s="1">
        <v>7.355140209197998</v>
      </c>
      <c r="BC8" s="1">
        <v>1</v>
      </c>
      <c r="BD8" s="1">
        <v>0</v>
      </c>
      <c r="BE8" s="1">
        <v>0.15999999642372131</v>
      </c>
      <c r="BF8" s="1">
        <v>111115</v>
      </c>
      <c r="BG8">
        <f t="shared" si="15"/>
        <v>0.78697149360771534</v>
      </c>
      <c r="BH8">
        <f t="shared" si="16"/>
        <v>6.2822792075305201E-4</v>
      </c>
      <c r="BI8">
        <f t="shared" si="17"/>
        <v>283.29479732513425</v>
      </c>
      <c r="BJ8">
        <f t="shared" si="18"/>
        <v>279.19057168960569</v>
      </c>
      <c r="BK8">
        <f t="shared" si="19"/>
        <v>48.094378807819339</v>
      </c>
      <c r="BL8">
        <f t="shared" si="20"/>
        <v>-7.4189032107163752E-2</v>
      </c>
      <c r="BM8">
        <f t="shared" si="21"/>
        <v>1.2444995643970995</v>
      </c>
      <c r="BN8">
        <f t="shared" si="22"/>
        <v>12.383483538962205</v>
      </c>
      <c r="BO8">
        <f t="shared" si="23"/>
        <v>6.2650657990940406</v>
      </c>
      <c r="BP8">
        <f t="shared" si="24"/>
        <v>8.0926845073699951</v>
      </c>
      <c r="BQ8">
        <f t="shared" si="25"/>
        <v>1.0836709002500517</v>
      </c>
      <c r="BR8">
        <f t="shared" si="26"/>
        <v>9.9347115453738338E-2</v>
      </c>
      <c r="BS8">
        <f t="shared" si="27"/>
        <v>0.61488095721275027</v>
      </c>
      <c r="BT8">
        <f t="shared" si="28"/>
        <v>0.46878994303730148</v>
      </c>
      <c r="BU8">
        <f t="shared" si="29"/>
        <v>6.2184834330370059E-2</v>
      </c>
      <c r="BV8">
        <f t="shared" si="30"/>
        <v>31.420821397051412</v>
      </c>
      <c r="BW8">
        <f t="shared" si="31"/>
        <v>0.78117019890305883</v>
      </c>
      <c r="BX8">
        <f t="shared" si="32"/>
        <v>49.466111966375934</v>
      </c>
      <c r="BY8">
        <f t="shared" si="33"/>
        <v>399.50207454983382</v>
      </c>
      <c r="BZ8">
        <f t="shared" si="34"/>
        <v>6.4664525956930792E-3</v>
      </c>
      <c r="CA8">
        <f t="shared" si="35"/>
        <v>0</v>
      </c>
      <c r="CB8">
        <f t="shared" si="36"/>
        <v>262.98635909026819</v>
      </c>
      <c r="CC8">
        <f t="shared" si="37"/>
        <v>853.4293212890625</v>
      </c>
      <c r="CD8">
        <f t="shared" si="38"/>
        <v>0.42477943636463239</v>
      </c>
      <c r="CE8" t="e">
        <f t="shared" si="39"/>
        <v>#DIV/0!</v>
      </c>
    </row>
    <row r="9" spans="1:83" x14ac:dyDescent="0.25">
      <c r="A9" s="1">
        <v>5</v>
      </c>
      <c r="B9" s="1" t="s">
        <v>89</v>
      </c>
      <c r="C9" s="1">
        <v>346.49998121988028</v>
      </c>
      <c r="D9" s="1">
        <v>0</v>
      </c>
      <c r="E9">
        <f t="shared" si="0"/>
        <v>4.8358535599606771</v>
      </c>
      <c r="F9">
        <f t="shared" si="1"/>
        <v>0.11044610315289854</v>
      </c>
      <c r="G9">
        <f t="shared" si="2"/>
        <v>326.60655502943854</v>
      </c>
      <c r="H9" s="1">
        <v>39</v>
      </c>
      <c r="I9" s="1">
        <v>0</v>
      </c>
      <c r="J9" s="1">
        <v>0</v>
      </c>
      <c r="K9" s="1">
        <v>0</v>
      </c>
      <c r="L9" s="1">
        <v>0</v>
      </c>
      <c r="M9" s="1">
        <v>1125.6544189453125</v>
      </c>
      <c r="N9" s="1">
        <v>550.29931640625</v>
      </c>
      <c r="O9" t="e">
        <f t="shared" si="3"/>
        <v>#DIV/0!</v>
      </c>
      <c r="P9">
        <f t="shared" si="40"/>
        <v>1</v>
      </c>
      <c r="Q9">
        <f t="shared" si="41"/>
        <v>0.51112943089420315</v>
      </c>
      <c r="R9" s="1">
        <v>-1</v>
      </c>
      <c r="S9" s="1">
        <v>0.87</v>
      </c>
      <c r="T9" s="1">
        <v>0.92</v>
      </c>
      <c r="U9" s="1">
        <v>9.0644702911376953</v>
      </c>
      <c r="V9">
        <f t="shared" si="4"/>
        <v>0.87453223514556877</v>
      </c>
      <c r="W9">
        <f t="shared" si="5"/>
        <v>3.3551763386803539E-2</v>
      </c>
      <c r="X9">
        <f t="shared" si="6"/>
        <v>0.51112943089420315</v>
      </c>
      <c r="Y9" t="e">
        <f t="shared" si="7"/>
        <v>#DIV/0!</v>
      </c>
      <c r="Z9">
        <f t="shared" si="8"/>
        <v>-1</v>
      </c>
      <c r="AA9" s="1">
        <v>198.89012145996094</v>
      </c>
      <c r="AB9" s="1">
        <v>0.5</v>
      </c>
      <c r="AC9">
        <f t="shared" si="9"/>
        <v>44.451858975284509</v>
      </c>
      <c r="AD9">
        <f t="shared" si="10"/>
        <v>0.64694550806438567</v>
      </c>
      <c r="AE9">
        <f t="shared" si="11"/>
        <v>0.59007889035243233</v>
      </c>
      <c r="AF9">
        <f t="shared" si="12"/>
        <v>9.6893253326416016</v>
      </c>
      <c r="AG9" s="1">
        <v>1.8999999761581421</v>
      </c>
      <c r="AH9">
        <f t="shared" si="13"/>
        <v>4.7803738440308621</v>
      </c>
      <c r="AI9" s="1">
        <v>1</v>
      </c>
      <c r="AJ9">
        <f t="shared" si="14"/>
        <v>9.5607476880617241</v>
      </c>
      <c r="AK9" s="1">
        <v>5.8321490287780762</v>
      </c>
      <c r="AL9" s="1">
        <v>9.6893253326416016</v>
      </c>
      <c r="AM9" s="1">
        <v>2.6135022640228271</v>
      </c>
      <c r="AN9" s="1">
        <v>407.26919555664062</v>
      </c>
      <c r="AO9" s="1">
        <v>400.79745483398437</v>
      </c>
      <c r="AP9" s="1">
        <v>5.3227906227111816</v>
      </c>
      <c r="AQ9" s="1">
        <v>6.1394810676574707</v>
      </c>
      <c r="AR9" s="1">
        <v>57.645278930664063</v>
      </c>
      <c r="AS9" s="1">
        <v>66.489952087402344</v>
      </c>
      <c r="AT9" s="1">
        <v>149.58541870117187</v>
      </c>
      <c r="AU9" s="1">
        <v>198.89012145996094</v>
      </c>
      <c r="AV9" s="1">
        <v>5.2648520469665527</v>
      </c>
      <c r="AW9" s="1">
        <v>100.49948883056641</v>
      </c>
      <c r="AX9" s="1">
        <v>5.2117743492126465</v>
      </c>
      <c r="AY9" s="1">
        <v>9.3640729784965515E-2</v>
      </c>
      <c r="AZ9" s="1">
        <v>0.75</v>
      </c>
      <c r="BA9" s="1">
        <v>-1.355140209197998</v>
      </c>
      <c r="BB9" s="1">
        <v>7.355140209197998</v>
      </c>
      <c r="BC9" s="1">
        <v>1</v>
      </c>
      <c r="BD9" s="1">
        <v>0</v>
      </c>
      <c r="BE9" s="1">
        <v>0.15999999642372131</v>
      </c>
      <c r="BF9" s="1">
        <v>111115</v>
      </c>
      <c r="BG9">
        <f t="shared" si="15"/>
        <v>0.78729168725379739</v>
      </c>
      <c r="BH9">
        <f t="shared" si="16"/>
        <v>6.4694550806438571E-4</v>
      </c>
      <c r="BI9">
        <f t="shared" si="17"/>
        <v>282.83932533264158</v>
      </c>
      <c r="BJ9">
        <f t="shared" si="18"/>
        <v>278.98214902877805</v>
      </c>
      <c r="BK9">
        <f t="shared" si="19"/>
        <v>31.822418722307248</v>
      </c>
      <c r="BL9">
        <f t="shared" si="20"/>
        <v>-0.13134656544786891</v>
      </c>
      <c r="BM9">
        <f t="shared" si="21"/>
        <v>1.2070935993369483</v>
      </c>
      <c r="BN9">
        <f t="shared" si="22"/>
        <v>12.010942676255851</v>
      </c>
      <c r="BO9">
        <f t="shared" si="23"/>
        <v>5.8714616085983806</v>
      </c>
      <c r="BP9">
        <f t="shared" si="24"/>
        <v>7.7607371807098389</v>
      </c>
      <c r="BQ9">
        <f t="shared" si="25"/>
        <v>1.0594560862264408</v>
      </c>
      <c r="BR9">
        <f t="shared" si="26"/>
        <v>0.10918479643472051</v>
      </c>
      <c r="BS9">
        <f t="shared" si="27"/>
        <v>0.61701470898451594</v>
      </c>
      <c r="BT9">
        <f t="shared" si="28"/>
        <v>0.44244137724192489</v>
      </c>
      <c r="BU9">
        <f t="shared" si="29"/>
        <v>6.8352708373736928E-2</v>
      </c>
      <c r="BV9">
        <f t="shared" si="30"/>
        <v>32.823791829170837</v>
      </c>
      <c r="BW9">
        <f t="shared" si="31"/>
        <v>0.81489178908265103</v>
      </c>
      <c r="BX9">
        <f t="shared" si="32"/>
        <v>51.231408793658417</v>
      </c>
      <c r="BY9">
        <f t="shared" si="33"/>
        <v>400.11462096795748</v>
      </c>
      <c r="BZ9">
        <f t="shared" si="34"/>
        <v>6.1919154565574916E-3</v>
      </c>
      <c r="CA9">
        <f t="shared" si="35"/>
        <v>0</v>
      </c>
      <c r="CB9">
        <f t="shared" si="36"/>
        <v>173.93582246875329</v>
      </c>
      <c r="CC9">
        <f t="shared" si="37"/>
        <v>1125.6544189453125</v>
      </c>
      <c r="CD9">
        <f t="shared" si="38"/>
        <v>0.51112943089420315</v>
      </c>
      <c r="CE9" t="e">
        <f t="shared" si="39"/>
        <v>#DIV/0!</v>
      </c>
    </row>
    <row r="10" spans="1:83" x14ac:dyDescent="0.25">
      <c r="A10" s="1">
        <v>6</v>
      </c>
      <c r="B10" s="1" t="s">
        <v>90</v>
      </c>
      <c r="C10" s="1">
        <v>408.49997694697231</v>
      </c>
      <c r="D10" s="1">
        <v>0</v>
      </c>
      <c r="E10">
        <f t="shared" si="0"/>
        <v>4.4476755207831538</v>
      </c>
      <c r="F10">
        <f t="shared" si="1"/>
        <v>0.11636084030109116</v>
      </c>
      <c r="G10">
        <f t="shared" si="2"/>
        <v>335.71207015445452</v>
      </c>
      <c r="H10" s="1">
        <v>40</v>
      </c>
      <c r="I10" s="1">
        <v>0</v>
      </c>
      <c r="J10" s="1">
        <v>0</v>
      </c>
      <c r="K10" s="1">
        <v>0</v>
      </c>
      <c r="L10" s="1">
        <v>0</v>
      </c>
      <c r="M10" s="1">
        <v>1233.4932861328125</v>
      </c>
      <c r="N10" s="1">
        <v>565.73779296875</v>
      </c>
      <c r="O10" t="e">
        <f t="shared" si="3"/>
        <v>#DIV/0!</v>
      </c>
      <c r="P10">
        <f t="shared" si="40"/>
        <v>1</v>
      </c>
      <c r="Q10">
        <f t="shared" si="41"/>
        <v>0.54135316395403876</v>
      </c>
      <c r="R10" s="1">
        <v>-1</v>
      </c>
      <c r="S10" s="1">
        <v>0.87</v>
      </c>
      <c r="T10" s="1">
        <v>0.92</v>
      </c>
      <c r="U10" s="1">
        <v>10.178630828857422</v>
      </c>
      <c r="V10">
        <f t="shared" si="4"/>
        <v>0.8750893154144288</v>
      </c>
      <c r="W10">
        <f t="shared" si="5"/>
        <v>3.5317878563786646E-2</v>
      </c>
      <c r="X10">
        <f t="shared" si="6"/>
        <v>0.54135316395403876</v>
      </c>
      <c r="Y10" t="e">
        <f t="shared" si="7"/>
        <v>#DIV/0!</v>
      </c>
      <c r="Z10">
        <f t="shared" si="8"/>
        <v>-1</v>
      </c>
      <c r="AA10" s="1">
        <v>176.26425170898437</v>
      </c>
      <c r="AB10" s="1">
        <v>0.5</v>
      </c>
      <c r="AC10">
        <f t="shared" si="9"/>
        <v>41.751040822633335</v>
      </c>
      <c r="AD10">
        <f t="shared" si="10"/>
        <v>0.67503334261215209</v>
      </c>
      <c r="AE10">
        <f t="shared" si="11"/>
        <v>0.58477111883118726</v>
      </c>
      <c r="AF10">
        <f t="shared" si="12"/>
        <v>9.6658115386962891</v>
      </c>
      <c r="AG10" s="1">
        <v>1.8999999761581421</v>
      </c>
      <c r="AH10">
        <f t="shared" si="13"/>
        <v>4.7803738440308621</v>
      </c>
      <c r="AI10" s="1">
        <v>1</v>
      </c>
      <c r="AJ10">
        <f t="shared" si="14"/>
        <v>9.5607476880617241</v>
      </c>
      <c r="AK10" s="1">
        <v>5.9571409225463867</v>
      </c>
      <c r="AL10" s="1">
        <v>9.6658115386962891</v>
      </c>
      <c r="AM10" s="1">
        <v>3.0711557865142822</v>
      </c>
      <c r="AN10" s="1">
        <v>406.95535278320312</v>
      </c>
      <c r="AO10" s="1">
        <v>400.96090698242187</v>
      </c>
      <c r="AP10" s="1">
        <v>5.3208675384521484</v>
      </c>
      <c r="AQ10" s="1">
        <v>6.1731743812561035</v>
      </c>
      <c r="AR10" s="1">
        <v>57.129779815673828</v>
      </c>
      <c r="AS10" s="1">
        <v>66.280937194824219</v>
      </c>
      <c r="AT10" s="1">
        <v>149.55245971679687</v>
      </c>
      <c r="AU10" s="1">
        <v>176.26425170898437</v>
      </c>
      <c r="AV10" s="1">
        <v>5.1292972564697266</v>
      </c>
      <c r="AW10" s="1">
        <v>100.50235748291016</v>
      </c>
      <c r="AX10" s="1">
        <v>5.2117743492126465</v>
      </c>
      <c r="AY10" s="1">
        <v>9.3640729784965515E-2</v>
      </c>
      <c r="AZ10" s="1">
        <v>1</v>
      </c>
      <c r="BA10" s="1">
        <v>-1.355140209197998</v>
      </c>
      <c r="BB10" s="1">
        <v>7.355140209197998</v>
      </c>
      <c r="BC10" s="1">
        <v>1</v>
      </c>
      <c r="BD10" s="1">
        <v>0</v>
      </c>
      <c r="BE10" s="1">
        <v>0.15999999642372131</v>
      </c>
      <c r="BF10" s="1">
        <v>111115</v>
      </c>
      <c r="BG10">
        <f t="shared" si="15"/>
        <v>0.78711821891280487</v>
      </c>
      <c r="BH10">
        <f t="shared" si="16"/>
        <v>6.750333426121521E-4</v>
      </c>
      <c r="BI10">
        <f t="shared" si="17"/>
        <v>282.81581153869627</v>
      </c>
      <c r="BJ10">
        <f t="shared" si="18"/>
        <v>279.10714092254636</v>
      </c>
      <c r="BK10">
        <f t="shared" si="19"/>
        <v>28.202279643067413</v>
      </c>
      <c r="BL10">
        <f t="shared" si="20"/>
        <v>-0.14488920060858704</v>
      </c>
      <c r="BM10">
        <f t="shared" si="21"/>
        <v>1.2051896973005309</v>
      </c>
      <c r="BN10">
        <f t="shared" si="22"/>
        <v>11.991655991805629</v>
      </c>
      <c r="BO10">
        <f t="shared" si="23"/>
        <v>5.8184816105495258</v>
      </c>
      <c r="BP10">
        <f t="shared" si="24"/>
        <v>7.8114762306213379</v>
      </c>
      <c r="BQ10">
        <f t="shared" si="25"/>
        <v>1.0631262005917888</v>
      </c>
      <c r="BR10">
        <f t="shared" si="26"/>
        <v>0.11496167802902489</v>
      </c>
      <c r="BS10">
        <f t="shared" si="27"/>
        <v>0.62041857846934367</v>
      </c>
      <c r="BT10">
        <f t="shared" si="28"/>
        <v>0.44270762212244508</v>
      </c>
      <c r="BU10">
        <f t="shared" si="29"/>
        <v>7.1975458263718262E-2</v>
      </c>
      <c r="BV10">
        <f t="shared" si="30"/>
        <v>33.739854485990797</v>
      </c>
      <c r="BW10">
        <f t="shared" si="31"/>
        <v>0.8372688317197271</v>
      </c>
      <c r="BX10">
        <f t="shared" si="32"/>
        <v>51.622968610116381</v>
      </c>
      <c r="BY10">
        <f t="shared" si="33"/>
        <v>400.33288476606793</v>
      </c>
      <c r="BZ10">
        <f t="shared" si="34"/>
        <v>5.7352823746052838E-3</v>
      </c>
      <c r="CA10">
        <f t="shared" si="35"/>
        <v>0</v>
      </c>
      <c r="CB10">
        <f t="shared" si="36"/>
        <v>154.24696336005169</v>
      </c>
      <c r="CC10">
        <f t="shared" si="37"/>
        <v>1233.4932861328125</v>
      </c>
      <c r="CD10">
        <f t="shared" si="38"/>
        <v>0.54135316395403876</v>
      </c>
      <c r="CE10" t="e">
        <f t="shared" si="39"/>
        <v>#DIV/0!</v>
      </c>
    </row>
    <row r="11" spans="1:83" x14ac:dyDescent="0.25">
      <c r="A11" s="1">
        <v>7</v>
      </c>
      <c r="B11" s="1" t="s">
        <v>91</v>
      </c>
      <c r="C11" s="1">
        <v>470.49997267406434</v>
      </c>
      <c r="D11" s="1">
        <v>0</v>
      </c>
      <c r="E11">
        <f t="shared" si="0"/>
        <v>3.7992437815990239</v>
      </c>
      <c r="F11">
        <f t="shared" si="1"/>
        <v>0.12027334707011683</v>
      </c>
      <c r="G11">
        <f t="shared" si="2"/>
        <v>345.47198983031961</v>
      </c>
      <c r="H11" s="1">
        <v>41</v>
      </c>
      <c r="I11" s="1">
        <v>0</v>
      </c>
      <c r="J11" s="1">
        <v>0</v>
      </c>
      <c r="K11" s="1">
        <v>0</v>
      </c>
      <c r="L11" s="1">
        <v>0</v>
      </c>
      <c r="M11" s="1">
        <v>1342.224365234375</v>
      </c>
      <c r="N11" s="1">
        <v>573.43768310546875</v>
      </c>
      <c r="O11" t="e">
        <f t="shared" si="3"/>
        <v>#DIV/0!</v>
      </c>
      <c r="P11">
        <f t="shared" si="40"/>
        <v>1</v>
      </c>
      <c r="Q11">
        <f t="shared" si="41"/>
        <v>0.5727706202045163</v>
      </c>
      <c r="R11" s="1">
        <v>-1</v>
      </c>
      <c r="S11" s="1">
        <v>0.87</v>
      </c>
      <c r="T11" s="1">
        <v>0.92</v>
      </c>
      <c r="U11" s="1">
        <v>9.3449592590332031</v>
      </c>
      <c r="V11">
        <f t="shared" si="4"/>
        <v>0.87467247962951655</v>
      </c>
      <c r="W11">
        <f t="shared" si="5"/>
        <v>3.6478906822639816E-2</v>
      </c>
      <c r="X11">
        <f t="shared" si="6"/>
        <v>0.5727706202045163</v>
      </c>
      <c r="Y11" t="e">
        <f t="shared" si="7"/>
        <v>#DIV/0!</v>
      </c>
      <c r="Z11">
        <f t="shared" si="8"/>
        <v>-1</v>
      </c>
      <c r="AA11" s="1">
        <v>150.41305541992187</v>
      </c>
      <c r="AB11" s="1">
        <v>0.5</v>
      </c>
      <c r="AC11">
        <f t="shared" si="9"/>
        <v>37.677470033081136</v>
      </c>
      <c r="AD11">
        <f t="shared" si="10"/>
        <v>0.69220858526550011</v>
      </c>
      <c r="AE11">
        <f t="shared" si="11"/>
        <v>0.58039789510327489</v>
      </c>
      <c r="AF11">
        <f t="shared" si="12"/>
        <v>9.6344718933105469</v>
      </c>
      <c r="AG11" s="1">
        <v>1.8999999761581421</v>
      </c>
      <c r="AH11">
        <f t="shared" si="13"/>
        <v>4.7803738440308621</v>
      </c>
      <c r="AI11" s="1">
        <v>1</v>
      </c>
      <c r="AJ11">
        <f t="shared" si="14"/>
        <v>9.5607476880617241</v>
      </c>
      <c r="AK11" s="1">
        <v>6.0718555450439453</v>
      </c>
      <c r="AL11" s="1">
        <v>9.6344718933105469</v>
      </c>
      <c r="AM11" s="1">
        <v>3.2669656276702881</v>
      </c>
      <c r="AN11" s="1">
        <v>405.20553588867187</v>
      </c>
      <c r="AO11" s="1">
        <v>400.02728271484375</v>
      </c>
      <c r="AP11" s="1">
        <v>5.3173642158508301</v>
      </c>
      <c r="AQ11" s="1">
        <v>6.1912875175476074</v>
      </c>
      <c r="AR11" s="1">
        <v>56.642925262451172</v>
      </c>
      <c r="AS11" s="1">
        <v>65.952339172363281</v>
      </c>
      <c r="AT11" s="1">
        <v>149.56158447265625</v>
      </c>
      <c r="AU11" s="1">
        <v>150.41305541992187</v>
      </c>
      <c r="AV11" s="1">
        <v>5.1270236968994141</v>
      </c>
      <c r="AW11" s="1">
        <v>100.50548553466797</v>
      </c>
      <c r="AX11" s="1">
        <v>5.2117743492126465</v>
      </c>
      <c r="AY11" s="1">
        <v>9.3640729784965515E-2</v>
      </c>
      <c r="AZ11" s="1">
        <v>0.5</v>
      </c>
      <c r="BA11" s="1">
        <v>-1.355140209197998</v>
      </c>
      <c r="BB11" s="1">
        <v>7.355140209197998</v>
      </c>
      <c r="BC11" s="1">
        <v>1</v>
      </c>
      <c r="BD11" s="1">
        <v>0</v>
      </c>
      <c r="BE11" s="1">
        <v>0.15999999642372131</v>
      </c>
      <c r="BF11" s="1">
        <v>111115</v>
      </c>
      <c r="BG11">
        <f t="shared" si="15"/>
        <v>0.78716624394424628</v>
      </c>
      <c r="BH11">
        <f t="shared" si="16"/>
        <v>6.9220858526550016E-4</v>
      </c>
      <c r="BI11">
        <f t="shared" si="17"/>
        <v>282.78447189331052</v>
      </c>
      <c r="BJ11">
        <f t="shared" si="18"/>
        <v>279.22185554504392</v>
      </c>
      <c r="BK11">
        <f t="shared" si="19"/>
        <v>24.066088329268496</v>
      </c>
      <c r="BL11">
        <f t="shared" si="20"/>
        <v>-0.15864180303530934</v>
      </c>
      <c r="BM11">
        <f t="shared" si="21"/>
        <v>1.2026562531391263</v>
      </c>
      <c r="BN11">
        <f t="shared" si="22"/>
        <v>11.96607574941058</v>
      </c>
      <c r="BO11">
        <f t="shared" si="23"/>
        <v>5.7747882318629724</v>
      </c>
      <c r="BP11">
        <f t="shared" si="24"/>
        <v>7.8531637191772461</v>
      </c>
      <c r="BQ11">
        <f t="shared" si="25"/>
        <v>1.0661499740315799</v>
      </c>
      <c r="BR11">
        <f t="shared" si="26"/>
        <v>0.11877911645508628</v>
      </c>
      <c r="BS11">
        <f t="shared" si="27"/>
        <v>0.62225835803585139</v>
      </c>
      <c r="BT11">
        <f t="shared" si="28"/>
        <v>0.44389161599572846</v>
      </c>
      <c r="BU11">
        <f t="shared" si="29"/>
        <v>7.4369764425413515E-2</v>
      </c>
      <c r="BV11">
        <f t="shared" si="30"/>
        <v>34.721830076524149</v>
      </c>
      <c r="BW11">
        <f t="shared" si="31"/>
        <v>0.86362106975735098</v>
      </c>
      <c r="BX11">
        <f t="shared" si="32"/>
        <v>51.903238321381991</v>
      </c>
      <c r="BY11">
        <f t="shared" si="33"/>
        <v>399.49082058107535</v>
      </c>
      <c r="BZ11">
        <f t="shared" si="34"/>
        <v>4.9361097997330083E-3</v>
      </c>
      <c r="CA11">
        <f t="shared" si="35"/>
        <v>0</v>
      </c>
      <c r="CB11">
        <f t="shared" si="36"/>
        <v>131.56216015279497</v>
      </c>
      <c r="CC11">
        <f t="shared" si="37"/>
        <v>1342.224365234375</v>
      </c>
      <c r="CD11">
        <f t="shared" si="38"/>
        <v>0.5727706202045163</v>
      </c>
      <c r="CE11" t="e">
        <f t="shared" si="39"/>
        <v>#DIV/0!</v>
      </c>
    </row>
    <row r="12" spans="1:83" x14ac:dyDescent="0.25">
      <c r="A12" s="1">
        <v>8</v>
      </c>
      <c r="B12" s="1" t="s">
        <v>92</v>
      </c>
      <c r="C12" s="1">
        <v>532.99996836669743</v>
      </c>
      <c r="D12" s="1">
        <v>0</v>
      </c>
      <c r="E12">
        <f t="shared" si="0"/>
        <v>3.5541674878757483</v>
      </c>
      <c r="F12">
        <f t="shared" si="1"/>
        <v>0.1199431550243248</v>
      </c>
      <c r="G12">
        <f t="shared" si="2"/>
        <v>349.02544632807212</v>
      </c>
      <c r="H12" s="1">
        <v>42</v>
      </c>
      <c r="I12" s="1">
        <v>0</v>
      </c>
      <c r="J12" s="1">
        <v>0</v>
      </c>
      <c r="K12" s="1">
        <v>0</v>
      </c>
      <c r="L12" s="1">
        <v>0</v>
      </c>
      <c r="M12" s="1">
        <v>1439.81591796875</v>
      </c>
      <c r="N12" s="1">
        <v>571.8900146484375</v>
      </c>
      <c r="O12" t="e">
        <f t="shared" si="3"/>
        <v>#DIV/0!</v>
      </c>
      <c r="P12">
        <f t="shared" si="40"/>
        <v>1</v>
      </c>
      <c r="Q12">
        <f t="shared" si="41"/>
        <v>0.60280338096605912</v>
      </c>
      <c r="R12" s="1">
        <v>-1</v>
      </c>
      <c r="S12" s="1">
        <v>0.87</v>
      </c>
      <c r="T12" s="1">
        <v>0.92</v>
      </c>
      <c r="U12" s="1">
        <v>11.292572975158691</v>
      </c>
      <c r="V12">
        <f t="shared" si="4"/>
        <v>0.87564628648757947</v>
      </c>
      <c r="W12">
        <f t="shared" si="5"/>
        <v>4.2157090814550519E-2</v>
      </c>
      <c r="X12">
        <f t="shared" si="6"/>
        <v>0.60280338096605912</v>
      </c>
      <c r="Y12" t="e">
        <f t="shared" si="7"/>
        <v>#DIV/0!</v>
      </c>
      <c r="Z12">
        <f t="shared" si="8"/>
        <v>-1</v>
      </c>
      <c r="AA12" s="1">
        <v>123.37002563476562</v>
      </c>
      <c r="AB12" s="1">
        <v>0.5</v>
      </c>
      <c r="AC12">
        <f t="shared" si="9"/>
        <v>32.559973970377435</v>
      </c>
      <c r="AD12">
        <f t="shared" si="10"/>
        <v>0.69676216221983855</v>
      </c>
      <c r="AE12">
        <f t="shared" si="11"/>
        <v>0.58579852574048752</v>
      </c>
      <c r="AF12">
        <f t="shared" si="12"/>
        <v>9.7056989669799805</v>
      </c>
      <c r="AG12" s="1">
        <v>1.8999999761581421</v>
      </c>
      <c r="AH12">
        <f t="shared" si="13"/>
        <v>4.7803738440308621</v>
      </c>
      <c r="AI12" s="1">
        <v>1</v>
      </c>
      <c r="AJ12">
        <f t="shared" si="14"/>
        <v>9.5607476880617241</v>
      </c>
      <c r="AK12" s="1">
        <v>6.197812557220459</v>
      </c>
      <c r="AL12" s="1">
        <v>9.7056989669799805</v>
      </c>
      <c r="AM12" s="1">
        <v>3.2489242553710938</v>
      </c>
      <c r="AN12" s="1">
        <v>405.33685302734375</v>
      </c>
      <c r="AO12" s="1">
        <v>400.46661376953125</v>
      </c>
      <c r="AP12" s="1">
        <v>5.3149991035461426</v>
      </c>
      <c r="AQ12" s="1">
        <v>6.1947808265686035</v>
      </c>
      <c r="AR12" s="1">
        <v>56.128459930419922</v>
      </c>
      <c r="AS12" s="1">
        <v>65.419303894042969</v>
      </c>
      <c r="AT12" s="1">
        <v>149.54244995117187</v>
      </c>
      <c r="AU12" s="1">
        <v>123.37002563476562</v>
      </c>
      <c r="AV12" s="1">
        <v>5.0739884376525879</v>
      </c>
      <c r="AW12" s="1">
        <v>100.50757598876953</v>
      </c>
      <c r="AX12" s="1">
        <v>5.2117743492126465</v>
      </c>
      <c r="AY12" s="1">
        <v>9.3640729784965515E-2</v>
      </c>
      <c r="AZ12" s="1">
        <v>0.75</v>
      </c>
      <c r="BA12" s="1">
        <v>-1.355140209197998</v>
      </c>
      <c r="BB12" s="1">
        <v>7.355140209197998</v>
      </c>
      <c r="BC12" s="1">
        <v>1</v>
      </c>
      <c r="BD12" s="1">
        <v>0</v>
      </c>
      <c r="BE12" s="1">
        <v>0.15999999642372131</v>
      </c>
      <c r="BF12" s="1">
        <v>111115</v>
      </c>
      <c r="BG12">
        <f t="shared" si="15"/>
        <v>0.78706553593517015</v>
      </c>
      <c r="BH12">
        <f t="shared" si="16"/>
        <v>6.9676216221983855E-4</v>
      </c>
      <c r="BI12">
        <f t="shared" si="17"/>
        <v>282.85569896697996</v>
      </c>
      <c r="BJ12">
        <f t="shared" si="18"/>
        <v>279.34781255722044</v>
      </c>
      <c r="BK12">
        <f t="shared" si="19"/>
        <v>19.739203660356907</v>
      </c>
      <c r="BL12">
        <f t="shared" si="20"/>
        <v>-0.17445026054069121</v>
      </c>
      <c r="BM12">
        <f t="shared" si="21"/>
        <v>1.2084209304006039</v>
      </c>
      <c r="BN12">
        <f t="shared" si="22"/>
        <v>12.02318251646652</v>
      </c>
      <c r="BO12">
        <f t="shared" si="23"/>
        <v>5.8284016898979161</v>
      </c>
      <c r="BP12">
        <f t="shared" si="24"/>
        <v>7.9517557621002197</v>
      </c>
      <c r="BQ12">
        <f t="shared" si="25"/>
        <v>1.0733314838695349</v>
      </c>
      <c r="BR12">
        <f t="shared" si="26"/>
        <v>0.11845706682355719</v>
      </c>
      <c r="BS12">
        <f t="shared" si="27"/>
        <v>0.62262240466011642</v>
      </c>
      <c r="BT12">
        <f t="shared" si="28"/>
        <v>0.4507090792094185</v>
      </c>
      <c r="BU12">
        <f t="shared" si="29"/>
        <v>7.416776352126335E-2</v>
      </c>
      <c r="BV12">
        <f t="shared" si="30"/>
        <v>35.07970156883291</v>
      </c>
      <c r="BW12">
        <f t="shared" si="31"/>
        <v>0.8715469263286364</v>
      </c>
      <c r="BX12">
        <f t="shared" si="32"/>
        <v>51.684147160870999</v>
      </c>
      <c r="BY12">
        <f t="shared" si="33"/>
        <v>399.96475698330693</v>
      </c>
      <c r="BZ12">
        <f t="shared" si="34"/>
        <v>4.5927575435207677E-3</v>
      </c>
      <c r="CA12">
        <f t="shared" si="35"/>
        <v>0</v>
      </c>
      <c r="CB12">
        <f t="shared" si="36"/>
        <v>108.02850481096</v>
      </c>
      <c r="CC12">
        <f t="shared" si="37"/>
        <v>1439.81591796875</v>
      </c>
      <c r="CD12">
        <f t="shared" si="38"/>
        <v>0.60280338096605912</v>
      </c>
      <c r="CE12" t="e">
        <f t="shared" si="39"/>
        <v>#DIV/0!</v>
      </c>
    </row>
    <row r="13" spans="1:83" x14ac:dyDescent="0.25">
      <c r="A13" s="1">
        <v>9</v>
      </c>
      <c r="B13" s="1" t="s">
        <v>93</v>
      </c>
      <c r="C13" s="1">
        <v>594.99996409378946</v>
      </c>
      <c r="D13" s="1">
        <v>0</v>
      </c>
      <c r="E13">
        <f t="shared" si="0"/>
        <v>3.0997230470888271</v>
      </c>
      <c r="F13">
        <f t="shared" si="1"/>
        <v>0.12025458278837439</v>
      </c>
      <c r="G13">
        <f t="shared" si="2"/>
        <v>355.84008333312408</v>
      </c>
      <c r="H13" s="1">
        <v>43</v>
      </c>
      <c r="I13" s="1">
        <v>0</v>
      </c>
      <c r="J13" s="1">
        <v>0</v>
      </c>
      <c r="K13" s="1">
        <v>0</v>
      </c>
      <c r="L13" s="1">
        <v>0</v>
      </c>
      <c r="M13" s="1">
        <v>1506.14453125</v>
      </c>
      <c r="N13" s="1">
        <v>562.179931640625</v>
      </c>
      <c r="O13" t="e">
        <f t="shared" si="3"/>
        <v>#DIV/0!</v>
      </c>
      <c r="P13">
        <f t="shared" si="40"/>
        <v>1</v>
      </c>
      <c r="Q13">
        <f t="shared" si="41"/>
        <v>0.62674237433637725</v>
      </c>
      <c r="R13" s="1">
        <v>-1</v>
      </c>
      <c r="S13" s="1">
        <v>0.87</v>
      </c>
      <c r="T13" s="1">
        <v>0.92</v>
      </c>
      <c r="U13" s="1">
        <v>9.8810501098632812</v>
      </c>
      <c r="V13">
        <f t="shared" si="4"/>
        <v>0.87494052505493158</v>
      </c>
      <c r="W13">
        <f t="shared" si="5"/>
        <v>4.5967768098347836E-2</v>
      </c>
      <c r="X13">
        <f t="shared" si="6"/>
        <v>0.62674237433637725</v>
      </c>
      <c r="Y13" t="e">
        <f t="shared" si="7"/>
        <v>#DIV/0!</v>
      </c>
      <c r="Z13">
        <f t="shared" si="8"/>
        <v>-1</v>
      </c>
      <c r="AA13" s="1">
        <v>101.93482208251953</v>
      </c>
      <c r="AB13" s="1">
        <v>0.5</v>
      </c>
      <c r="AC13">
        <f t="shared" si="9"/>
        <v>27.948606849441209</v>
      </c>
      <c r="AD13">
        <f t="shared" si="10"/>
        <v>0.69975771554174304</v>
      </c>
      <c r="AE13">
        <f t="shared" si="11"/>
        <v>0.58682284528943984</v>
      </c>
      <c r="AF13">
        <f t="shared" si="12"/>
        <v>9.7197809219360352</v>
      </c>
      <c r="AG13" s="1">
        <v>1.8999999761581421</v>
      </c>
      <c r="AH13">
        <f t="shared" si="13"/>
        <v>4.7803738440308621</v>
      </c>
      <c r="AI13" s="1">
        <v>1</v>
      </c>
      <c r="AJ13">
        <f t="shared" si="14"/>
        <v>9.5607476880617241</v>
      </c>
      <c r="AK13" s="1">
        <v>6.219088077545166</v>
      </c>
      <c r="AL13" s="1">
        <v>9.7197809219360352</v>
      </c>
      <c r="AM13" s="1">
        <v>3.2404217720031738</v>
      </c>
      <c r="AN13" s="1">
        <v>405.38272094726562</v>
      </c>
      <c r="AO13" s="1">
        <v>401.08798217773437</v>
      </c>
      <c r="AP13" s="1">
        <v>5.3122835159301758</v>
      </c>
      <c r="AQ13" s="1">
        <v>6.1958084106445313</v>
      </c>
      <c r="AR13" s="1">
        <v>56.018806457519531</v>
      </c>
      <c r="AS13" s="1">
        <v>65.335708618164063</v>
      </c>
      <c r="AT13" s="1">
        <v>149.54893493652344</v>
      </c>
      <c r="AU13" s="1">
        <v>101.93482208251953</v>
      </c>
      <c r="AV13" s="1">
        <v>5.2964529991149902</v>
      </c>
      <c r="AW13" s="1">
        <v>100.50999450683594</v>
      </c>
      <c r="AX13" s="1">
        <v>5.2117743492126465</v>
      </c>
      <c r="AY13" s="1">
        <v>9.3640729784965515E-2</v>
      </c>
      <c r="AZ13" s="1">
        <v>0.75</v>
      </c>
      <c r="BA13" s="1">
        <v>-1.355140209197998</v>
      </c>
      <c r="BB13" s="1">
        <v>7.355140209197998</v>
      </c>
      <c r="BC13" s="1">
        <v>1</v>
      </c>
      <c r="BD13" s="1">
        <v>0</v>
      </c>
      <c r="BE13" s="1">
        <v>0.15999999642372131</v>
      </c>
      <c r="BF13" s="1">
        <v>111115</v>
      </c>
      <c r="BG13">
        <f t="shared" si="15"/>
        <v>0.78709966743744875</v>
      </c>
      <c r="BH13">
        <f t="shared" si="16"/>
        <v>6.9975771554174301E-4</v>
      </c>
      <c r="BI13">
        <f t="shared" si="17"/>
        <v>282.86978092193601</v>
      </c>
      <c r="BJ13">
        <f t="shared" si="18"/>
        <v>279.36908807754514</v>
      </c>
      <c r="BK13">
        <f t="shared" si="19"/>
        <v>16.309571168655793</v>
      </c>
      <c r="BL13">
        <f t="shared" si="20"/>
        <v>-0.18814664749807114</v>
      </c>
      <c r="BM13">
        <f t="shared" si="21"/>
        <v>1.2095635146087296</v>
      </c>
      <c r="BN13">
        <f t="shared" si="22"/>
        <v>12.034261075663117</v>
      </c>
      <c r="BO13">
        <f t="shared" si="23"/>
        <v>5.8384526650185862</v>
      </c>
      <c r="BP13">
        <f t="shared" si="24"/>
        <v>7.9694344997406006</v>
      </c>
      <c r="BQ13">
        <f t="shared" si="25"/>
        <v>1.0746237159682075</v>
      </c>
      <c r="BR13">
        <f t="shared" si="26"/>
        <v>0.11876081548236424</v>
      </c>
      <c r="BS13">
        <f t="shared" si="27"/>
        <v>0.62274066931928973</v>
      </c>
      <c r="BT13">
        <f t="shared" si="28"/>
        <v>0.45188304664891776</v>
      </c>
      <c r="BU13">
        <f t="shared" si="29"/>
        <v>7.4358285356387263E-2</v>
      </c>
      <c r="BV13">
        <f t="shared" si="30"/>
        <v>35.765484821124346</v>
      </c>
      <c r="BW13">
        <f t="shared" si="31"/>
        <v>0.88718709895286874</v>
      </c>
      <c r="BX13">
        <f t="shared" si="32"/>
        <v>51.646643020391345</v>
      </c>
      <c r="BY13">
        <f t="shared" si="33"/>
        <v>400.65029401252997</v>
      </c>
      <c r="BZ13">
        <f t="shared" si="34"/>
        <v>3.9957611929287559E-3</v>
      </c>
      <c r="CA13">
        <f t="shared" si="35"/>
        <v>0</v>
      </c>
      <c r="CB13">
        <f t="shared" si="36"/>
        <v>89.186906754260676</v>
      </c>
      <c r="CC13">
        <f t="shared" si="37"/>
        <v>1506.14453125</v>
      </c>
      <c r="CD13">
        <f t="shared" si="38"/>
        <v>0.62674237433637725</v>
      </c>
      <c r="CE13" t="e">
        <f t="shared" si="39"/>
        <v>#DIV/0!</v>
      </c>
    </row>
    <row r="14" spans="1:83" x14ac:dyDescent="0.25">
      <c r="A14" s="1">
        <v>10</v>
      </c>
      <c r="B14" s="1" t="s">
        <v>94</v>
      </c>
      <c r="C14" s="1">
        <v>656.99995982088149</v>
      </c>
      <c r="D14" s="1">
        <v>0</v>
      </c>
      <c r="E14">
        <f t="shared" si="0"/>
        <v>1.8530923655555998</v>
      </c>
      <c r="F14">
        <f t="shared" si="1"/>
        <v>0.12221922863311978</v>
      </c>
      <c r="G14">
        <f t="shared" si="2"/>
        <v>372.59849287073718</v>
      </c>
      <c r="H14" s="1">
        <v>44</v>
      </c>
      <c r="I14" s="1">
        <v>0</v>
      </c>
      <c r="J14" s="1">
        <v>0</v>
      </c>
      <c r="K14" s="1">
        <v>0</v>
      </c>
      <c r="L14" s="1">
        <v>0</v>
      </c>
      <c r="M14" s="1">
        <v>1562.0450439453125</v>
      </c>
      <c r="N14" s="1">
        <v>544.59326171875</v>
      </c>
      <c r="O14" t="e">
        <f t="shared" si="3"/>
        <v>#DIV/0!</v>
      </c>
      <c r="P14">
        <f t="shared" si="40"/>
        <v>1</v>
      </c>
      <c r="Q14">
        <f t="shared" si="41"/>
        <v>0.65135879798750773</v>
      </c>
      <c r="R14" s="1">
        <v>-1</v>
      </c>
      <c r="S14" s="1">
        <v>0.87</v>
      </c>
      <c r="T14" s="1">
        <v>0.92</v>
      </c>
      <c r="U14" s="1">
        <v>8.1733760833740234</v>
      </c>
      <c r="V14">
        <f t="shared" si="4"/>
        <v>0.87408668804168699</v>
      </c>
      <c r="W14">
        <f t="shared" si="5"/>
        <v>4.2879905991972479E-2</v>
      </c>
      <c r="X14">
        <f t="shared" si="6"/>
        <v>0.65135879798750773</v>
      </c>
      <c r="Y14" t="e">
        <f t="shared" si="7"/>
        <v>#DIV/0!</v>
      </c>
      <c r="Z14">
        <f t="shared" si="8"/>
        <v>-1</v>
      </c>
      <c r="AA14" s="1">
        <v>76.121528625488281</v>
      </c>
      <c r="AB14" s="1">
        <v>0.5</v>
      </c>
      <c r="AC14">
        <f t="shared" si="9"/>
        <v>21.669669869653376</v>
      </c>
      <c r="AD14">
        <f t="shared" si="10"/>
        <v>0.70733000047238348</v>
      </c>
      <c r="AE14">
        <f t="shared" si="11"/>
        <v>0.58376681580297873</v>
      </c>
      <c r="AF14">
        <f t="shared" si="12"/>
        <v>9.6954879760742187</v>
      </c>
      <c r="AG14" s="1">
        <v>1.8999999761581421</v>
      </c>
      <c r="AH14">
        <f t="shared" si="13"/>
        <v>4.7803738440308621</v>
      </c>
      <c r="AI14" s="1">
        <v>1</v>
      </c>
      <c r="AJ14">
        <f t="shared" si="14"/>
        <v>9.5607476880617241</v>
      </c>
      <c r="AK14" s="1">
        <v>6.2579374313354492</v>
      </c>
      <c r="AL14" s="1">
        <v>9.6954879760742187</v>
      </c>
      <c r="AM14" s="1">
        <v>3.4871740341186523</v>
      </c>
      <c r="AN14" s="1">
        <v>403.4573974609375</v>
      </c>
      <c r="AO14" s="1">
        <v>400.74298095703125</v>
      </c>
      <c r="AP14" s="1">
        <v>5.3134636878967285</v>
      </c>
      <c r="AQ14" s="1">
        <v>6.2065258026123047</v>
      </c>
      <c r="AR14" s="1">
        <v>55.881977081298828</v>
      </c>
      <c r="AS14" s="1">
        <v>65.274360656738281</v>
      </c>
      <c r="AT14" s="1">
        <v>149.55128479003906</v>
      </c>
      <c r="AU14" s="1">
        <v>76.121528625488281</v>
      </c>
      <c r="AV14" s="1">
        <v>5.1371512413024902</v>
      </c>
      <c r="AW14" s="1">
        <v>100.51133728027344</v>
      </c>
      <c r="AX14" s="1">
        <v>5.2117743492126465</v>
      </c>
      <c r="AY14" s="1">
        <v>9.3640729784965515E-2</v>
      </c>
      <c r="AZ14" s="1">
        <v>0.5</v>
      </c>
      <c r="BA14" s="1">
        <v>-1.355140209197998</v>
      </c>
      <c r="BB14" s="1">
        <v>7.355140209197998</v>
      </c>
      <c r="BC14" s="1">
        <v>1</v>
      </c>
      <c r="BD14" s="1">
        <v>0</v>
      </c>
      <c r="BE14" s="1">
        <v>0.15999999642372131</v>
      </c>
      <c r="BF14" s="1">
        <v>111115</v>
      </c>
      <c r="BG14">
        <f t="shared" si="15"/>
        <v>0.78711203508768623</v>
      </c>
      <c r="BH14">
        <f t="shared" si="16"/>
        <v>7.0733000047238346E-4</v>
      </c>
      <c r="BI14">
        <f t="shared" si="17"/>
        <v>282.8454879760742</v>
      </c>
      <c r="BJ14">
        <f t="shared" si="18"/>
        <v>279.40793743133543</v>
      </c>
      <c r="BK14">
        <f t="shared" si="19"/>
        <v>12.179444307846325</v>
      </c>
      <c r="BL14">
        <f t="shared" si="20"/>
        <v>-0.2032664387132157</v>
      </c>
      <c r="BM14">
        <f t="shared" si="21"/>
        <v>1.2075930240880639</v>
      </c>
      <c r="BN14">
        <f t="shared" si="22"/>
        <v>12.014495645607818</v>
      </c>
      <c r="BO14">
        <f t="shared" si="23"/>
        <v>5.8079698429955133</v>
      </c>
      <c r="BP14">
        <f t="shared" si="24"/>
        <v>7.976712703704834</v>
      </c>
      <c r="BQ14">
        <f t="shared" si="25"/>
        <v>1.0751561168481629</v>
      </c>
      <c r="BR14">
        <f t="shared" si="26"/>
        <v>0.12067656717654489</v>
      </c>
      <c r="BS14">
        <f t="shared" si="27"/>
        <v>0.62382620828508517</v>
      </c>
      <c r="BT14">
        <f t="shared" si="28"/>
        <v>0.45132990856307775</v>
      </c>
      <c r="BU14">
        <f t="shared" si="29"/>
        <v>7.5559952327403451E-2</v>
      </c>
      <c r="BV14">
        <f t="shared" si="30"/>
        <v>37.450372787052224</v>
      </c>
      <c r="BW14">
        <f t="shared" si="31"/>
        <v>0.92976923009585588</v>
      </c>
      <c r="BX14">
        <f t="shared" si="32"/>
        <v>51.829961243432251</v>
      </c>
      <c r="BY14">
        <f t="shared" si="33"/>
        <v>400.48131996825481</v>
      </c>
      <c r="BZ14">
        <f t="shared" si="34"/>
        <v>2.3982568149460812E-3</v>
      </c>
      <c r="CA14">
        <f t="shared" si="35"/>
        <v>0</v>
      </c>
      <c r="CB14">
        <f t="shared" si="36"/>
        <v>66.536814844923526</v>
      </c>
      <c r="CC14">
        <f t="shared" si="37"/>
        <v>1562.0450439453125</v>
      </c>
      <c r="CD14">
        <f t="shared" si="38"/>
        <v>0.65135879798750773</v>
      </c>
      <c r="CE14" t="e">
        <f t="shared" si="39"/>
        <v>#DIV/0!</v>
      </c>
    </row>
    <row r="15" spans="1:83" x14ac:dyDescent="0.25">
      <c r="A15" s="1">
        <v>11</v>
      </c>
      <c r="B15" s="1" t="s">
        <v>95</v>
      </c>
      <c r="C15" s="1">
        <v>718.99995554797351</v>
      </c>
      <c r="D15" s="1">
        <v>0</v>
      </c>
      <c r="E15">
        <f t="shared" si="0"/>
        <v>0.70547575868910239</v>
      </c>
      <c r="F15">
        <f t="shared" si="1"/>
        <v>0.12218780315622442</v>
      </c>
      <c r="G15">
        <f t="shared" si="2"/>
        <v>387.73042879032607</v>
      </c>
      <c r="H15" s="1">
        <v>45</v>
      </c>
      <c r="I15" s="1">
        <v>0</v>
      </c>
      <c r="J15" s="1">
        <v>0</v>
      </c>
      <c r="K15" s="1">
        <v>0</v>
      </c>
      <c r="L15" s="1">
        <v>0</v>
      </c>
      <c r="M15" s="1">
        <v>1610.327880859375</v>
      </c>
      <c r="N15" s="1">
        <v>524.1536865234375</v>
      </c>
      <c r="O15" t="e">
        <f t="shared" si="3"/>
        <v>#DIV/0!</v>
      </c>
      <c r="P15">
        <f t="shared" si="40"/>
        <v>1</v>
      </c>
      <c r="Q15">
        <f t="shared" si="41"/>
        <v>0.67450499196243485</v>
      </c>
      <c r="R15" s="1">
        <v>-1</v>
      </c>
      <c r="S15" s="1">
        <v>0.87</v>
      </c>
      <c r="T15" s="1">
        <v>0.92</v>
      </c>
      <c r="U15" s="1">
        <v>12.256671905517578</v>
      </c>
      <c r="V15">
        <f t="shared" si="4"/>
        <v>0.87612833595275885</v>
      </c>
      <c r="W15">
        <f t="shared" si="5"/>
        <v>3.8079917398508384E-2</v>
      </c>
      <c r="X15">
        <f t="shared" si="6"/>
        <v>0.67450499196243485</v>
      </c>
      <c r="Y15" t="e">
        <f t="shared" si="7"/>
        <v>#DIV/0!</v>
      </c>
      <c r="Z15">
        <f t="shared" si="8"/>
        <v>-1</v>
      </c>
      <c r="AA15" s="1">
        <v>51.118938446044922</v>
      </c>
      <c r="AB15" s="1">
        <v>0.5</v>
      </c>
      <c r="AC15">
        <f t="shared" si="9"/>
        <v>15.104443385055513</v>
      </c>
      <c r="AD15">
        <f t="shared" si="10"/>
        <v>0.70407731293735365</v>
      </c>
      <c r="AE15">
        <f t="shared" si="11"/>
        <v>0.58126112288916187</v>
      </c>
      <c r="AF15">
        <f t="shared" si="12"/>
        <v>9.6553010940551758</v>
      </c>
      <c r="AG15" s="1">
        <v>1.8999999761581421</v>
      </c>
      <c r="AH15">
        <f t="shared" si="13"/>
        <v>4.7803738440308621</v>
      </c>
      <c r="AI15" s="1">
        <v>1</v>
      </c>
      <c r="AJ15">
        <f t="shared" si="14"/>
        <v>9.5607476880617241</v>
      </c>
      <c r="AK15" s="1">
        <v>6.3430767059326172</v>
      </c>
      <c r="AL15" s="1">
        <v>9.6553010940551758</v>
      </c>
      <c r="AM15" s="1">
        <v>3.4359569549560547</v>
      </c>
      <c r="AN15" s="1">
        <v>401.99871826171875</v>
      </c>
      <c r="AO15" s="1">
        <v>400.74392700195312</v>
      </c>
      <c r="AP15" s="1">
        <v>5.3098893165588379</v>
      </c>
      <c r="AQ15" s="1">
        <v>6.1988792419433594</v>
      </c>
      <c r="AR15" s="1">
        <v>55.519241333007813</v>
      </c>
      <c r="AS15" s="1">
        <v>64.814361572265625</v>
      </c>
      <c r="AT15" s="1">
        <v>149.54661560058594</v>
      </c>
      <c r="AU15" s="1">
        <v>51.118938446044922</v>
      </c>
      <c r="AV15" s="1">
        <v>5.0582842826843262</v>
      </c>
      <c r="AW15" s="1">
        <v>100.51468658447266</v>
      </c>
      <c r="AX15" s="1">
        <v>5.2117743492126465</v>
      </c>
      <c r="AY15" s="1">
        <v>9.3640729784965515E-2</v>
      </c>
      <c r="AZ15" s="1">
        <v>0.5</v>
      </c>
      <c r="BA15" s="1">
        <v>-1.355140209197998</v>
      </c>
      <c r="BB15" s="1">
        <v>7.355140209197998</v>
      </c>
      <c r="BC15" s="1">
        <v>1</v>
      </c>
      <c r="BD15" s="1">
        <v>0</v>
      </c>
      <c r="BE15" s="1">
        <v>0.15999999642372131</v>
      </c>
      <c r="BF15" s="1">
        <v>111115</v>
      </c>
      <c r="BG15">
        <f t="shared" si="15"/>
        <v>0.7870874604060456</v>
      </c>
      <c r="BH15">
        <f t="shared" si="16"/>
        <v>7.0407731293735366E-4</v>
      </c>
      <c r="BI15">
        <f t="shared" si="17"/>
        <v>282.80530109405515</v>
      </c>
      <c r="BJ15">
        <f t="shared" si="18"/>
        <v>279.49307670593259</v>
      </c>
      <c r="BK15">
        <f t="shared" si="19"/>
        <v>8.1790299685516175</v>
      </c>
      <c r="BL15">
        <f t="shared" si="20"/>
        <v>-0.21370022460294869</v>
      </c>
      <c r="BM15">
        <f t="shared" si="21"/>
        <v>1.2043395270680921</v>
      </c>
      <c r="BN15">
        <f t="shared" si="22"/>
        <v>11.981726929586193</v>
      </c>
      <c r="BO15">
        <f t="shared" si="23"/>
        <v>5.7828476876428336</v>
      </c>
      <c r="BP15">
        <f t="shared" si="24"/>
        <v>7.9991888999938965</v>
      </c>
      <c r="BQ15">
        <f t="shared" si="25"/>
        <v>1.0768017201525366</v>
      </c>
      <c r="BR15">
        <f t="shared" si="26"/>
        <v>0.12064592990366738</v>
      </c>
      <c r="BS15">
        <f t="shared" si="27"/>
        <v>0.62307840417893023</v>
      </c>
      <c r="BT15">
        <f t="shared" si="28"/>
        <v>0.45372331597360638</v>
      </c>
      <c r="BU15">
        <f t="shared" si="29"/>
        <v>7.5540734364868842E-2</v>
      </c>
      <c r="BV15">
        <f t="shared" si="30"/>
        <v>38.972602529122824</v>
      </c>
      <c r="BW15">
        <f t="shared" si="31"/>
        <v>0.96752664897760599</v>
      </c>
      <c r="BX15">
        <f t="shared" si="32"/>
        <v>51.907973649552531</v>
      </c>
      <c r="BY15">
        <f t="shared" si="33"/>
        <v>400.64431217000651</v>
      </c>
      <c r="BZ15">
        <f t="shared" si="34"/>
        <v>9.1402313673413684E-4</v>
      </c>
      <c r="CA15">
        <f t="shared" si="35"/>
        <v>0</v>
      </c>
      <c r="CB15">
        <f t="shared" si="36"/>
        <v>44.786750476404848</v>
      </c>
      <c r="CC15">
        <f t="shared" si="37"/>
        <v>1610.327880859375</v>
      </c>
      <c r="CD15">
        <f t="shared" si="38"/>
        <v>0.67450499196243485</v>
      </c>
      <c r="CE15" t="e">
        <f t="shared" si="39"/>
        <v>#DIV/0!</v>
      </c>
    </row>
    <row r="16" spans="1:83" x14ac:dyDescent="0.25">
      <c r="A16" s="1">
        <v>14</v>
      </c>
      <c r="B16" s="1" t="s">
        <v>96</v>
      </c>
      <c r="C16" s="1">
        <v>940.4999958993867</v>
      </c>
      <c r="D16" s="1">
        <v>0</v>
      </c>
      <c r="E16">
        <f t="shared" si="0"/>
        <v>-1.679317505043102</v>
      </c>
      <c r="F16">
        <f t="shared" si="1"/>
        <v>0.11420535000800999</v>
      </c>
      <c r="G16">
        <f t="shared" si="2"/>
        <v>420.21342763032595</v>
      </c>
      <c r="H16" s="1">
        <v>47</v>
      </c>
      <c r="I16" s="1">
        <v>0</v>
      </c>
      <c r="J16" s="1">
        <v>0</v>
      </c>
      <c r="K16" s="1">
        <v>0</v>
      </c>
      <c r="L16" s="1">
        <v>0</v>
      </c>
      <c r="M16" s="1">
        <v>1738.2056884765625</v>
      </c>
      <c r="N16" s="1">
        <v>453.96722412109375</v>
      </c>
      <c r="O16" t="e">
        <f t="shared" si="3"/>
        <v>#DIV/0!</v>
      </c>
      <c r="P16">
        <f t="shared" si="40"/>
        <v>1</v>
      </c>
      <c r="Q16">
        <f t="shared" si="41"/>
        <v>0.73882997442093867</v>
      </c>
      <c r="R16" s="1">
        <v>-1</v>
      </c>
      <c r="S16" s="1">
        <v>0.87</v>
      </c>
      <c r="T16" s="1">
        <v>0.92</v>
      </c>
      <c r="U16" s="1">
        <v>0</v>
      </c>
      <c r="V16">
        <f t="shared" si="4"/>
        <v>0.87</v>
      </c>
      <c r="W16">
        <f t="shared" si="5"/>
        <v>-1.4642775021710193</v>
      </c>
      <c r="X16">
        <f t="shared" si="6"/>
        <v>0.73882997442093867</v>
      </c>
      <c r="Y16" t="e">
        <f t="shared" si="7"/>
        <v>#DIV/0!</v>
      </c>
      <c r="Z16">
        <f t="shared" si="8"/>
        <v>-1</v>
      </c>
      <c r="AA16" s="1">
        <v>0.41172659397125244</v>
      </c>
      <c r="AB16" s="1">
        <v>0.5</v>
      </c>
      <c r="AC16">
        <f t="shared" si="9"/>
        <v>0.13232523776810728</v>
      </c>
      <c r="AD16">
        <f t="shared" si="10"/>
        <v>0.77992492100089894</v>
      </c>
      <c r="AE16">
        <f t="shared" si="11"/>
        <v>0.68790770339099061</v>
      </c>
      <c r="AF16">
        <f t="shared" si="12"/>
        <v>11.011991500854492</v>
      </c>
      <c r="AG16" s="1">
        <v>1.8999999761581421</v>
      </c>
      <c r="AH16">
        <f t="shared" si="13"/>
        <v>4.7803738440308621</v>
      </c>
      <c r="AI16" s="1">
        <v>1</v>
      </c>
      <c r="AJ16">
        <f t="shared" si="14"/>
        <v>9.5607476880617241</v>
      </c>
      <c r="AK16" s="1">
        <v>8.715571403503418</v>
      </c>
      <c r="AL16" s="1">
        <v>11.011991500854492</v>
      </c>
      <c r="AM16" s="1">
        <v>5.665217399597168</v>
      </c>
      <c r="AN16" s="1">
        <v>399.24227905273437</v>
      </c>
      <c r="AO16" s="1">
        <v>400.97811889648437</v>
      </c>
      <c r="AP16" s="1">
        <v>5.2895641326904297</v>
      </c>
      <c r="AQ16" s="1">
        <v>6.2740116119384766</v>
      </c>
      <c r="AR16" s="1">
        <v>47.034297943115234</v>
      </c>
      <c r="AS16" s="1">
        <v>55.787910461425781</v>
      </c>
      <c r="AT16" s="1">
        <v>149.5823974609375</v>
      </c>
      <c r="AU16" s="1">
        <v>0.5332491397857666</v>
      </c>
      <c r="AV16" s="1">
        <v>5.6554598808288574</v>
      </c>
      <c r="AW16" s="1">
        <v>100.51670074462891</v>
      </c>
      <c r="AX16" s="1">
        <v>5.2117743492126465</v>
      </c>
      <c r="AY16" s="1">
        <v>9.3640729784965515E-2</v>
      </c>
      <c r="AZ16" s="1">
        <v>0.75</v>
      </c>
      <c r="BA16" s="1">
        <v>-1.355140209197998</v>
      </c>
      <c r="BB16" s="1">
        <v>7.355140209197998</v>
      </c>
      <c r="BC16" s="1">
        <v>1</v>
      </c>
      <c r="BD16" s="1">
        <v>0</v>
      </c>
      <c r="BE16" s="1">
        <v>0.15999999642372131</v>
      </c>
      <c r="BF16" s="1">
        <v>111115</v>
      </c>
      <c r="BG16">
        <f t="shared" si="15"/>
        <v>0.78727578598920644</v>
      </c>
      <c r="BH16">
        <f t="shared" si="16"/>
        <v>7.799249210008989E-4</v>
      </c>
      <c r="BI16">
        <f t="shared" si="17"/>
        <v>284.16199150085447</v>
      </c>
      <c r="BJ16">
        <f t="shared" si="18"/>
        <v>281.8655714035034</v>
      </c>
      <c r="BK16">
        <f t="shared" si="19"/>
        <v>8.5319860458675123E-2</v>
      </c>
      <c r="BL16">
        <f t="shared" si="20"/>
        <v>-0.22199579164779049</v>
      </c>
      <c r="BM16">
        <f t="shared" si="21"/>
        <v>1.3185506510565372</v>
      </c>
      <c r="BN16">
        <f t="shared" si="22"/>
        <v>13.117727116874095</v>
      </c>
      <c r="BO16">
        <f t="shared" si="23"/>
        <v>6.8437155049356182</v>
      </c>
      <c r="BP16">
        <f t="shared" si="24"/>
        <v>9.8637814521789551</v>
      </c>
      <c r="BQ16">
        <f t="shared" si="25"/>
        <v>1.2213022061309489</v>
      </c>
      <c r="BR16">
        <f t="shared" si="26"/>
        <v>0.11285724403590551</v>
      </c>
      <c r="BS16">
        <f t="shared" si="27"/>
        <v>0.63064294766554663</v>
      </c>
      <c r="BT16">
        <f t="shared" si="28"/>
        <v>0.59065925846540224</v>
      </c>
      <c r="BU16">
        <f t="shared" si="29"/>
        <v>7.0655670144053245E-2</v>
      </c>
      <c r="BV16">
        <f t="shared" si="30"/>
        <v>42.238467353992249</v>
      </c>
      <c r="BW16">
        <f t="shared" si="31"/>
        <v>1.047970968557532</v>
      </c>
      <c r="BX16">
        <f t="shared" si="32"/>
        <v>47.939569355316117</v>
      </c>
      <c r="BY16">
        <f t="shared" si="33"/>
        <v>401.2152424673364</v>
      </c>
      <c r="BZ16">
        <f t="shared" si="34"/>
        <v>-2.0065478446812577E-3</v>
      </c>
      <c r="CA16">
        <f t="shared" si="35"/>
        <v>0</v>
      </c>
      <c r="CB16">
        <f t="shared" si="36"/>
        <v>0.46392675161361696</v>
      </c>
      <c r="CC16">
        <f t="shared" si="37"/>
        <v>1738.2056884765625</v>
      </c>
      <c r="CD16">
        <f t="shared" si="38"/>
        <v>0.73882997442093867</v>
      </c>
      <c r="CE16" t="e">
        <f t="shared" si="39"/>
        <v>#DIV/0!</v>
      </c>
    </row>
    <row r="17" spans="1:83" x14ac:dyDescent="0.25">
      <c r="A17" s="1"/>
      <c r="B17" s="1"/>
    </row>
    <row r="18" spans="1:83" x14ac:dyDescent="0.25">
      <c r="A18" s="1">
        <v>1</v>
      </c>
      <c r="B18" s="1" t="s">
        <v>137</v>
      </c>
      <c r="C18" s="1">
        <v>104.9999981392175</v>
      </c>
      <c r="D18" s="1">
        <v>0</v>
      </c>
      <c r="E18">
        <f t="shared" ref="E18:E30" si="42">(AN18-AO18*(1000-AP18)/(1000-AQ18))*BG18</f>
        <v>4.8335454621216192</v>
      </c>
      <c r="F18">
        <f t="shared" ref="F18:F30" si="43">IF(BR18&lt;&gt;0,1/(1/BR18-1/AJ18),0)</f>
        <v>0.11000878967930074</v>
      </c>
      <c r="G18">
        <f t="shared" ref="G18:G30" si="44">((BU18-BH18/2)*AO18-E18)/(BU18+BH18/2)</f>
        <v>325.3469561780808</v>
      </c>
      <c r="H18" s="1">
        <v>29</v>
      </c>
      <c r="I18" s="1">
        <v>28</v>
      </c>
      <c r="J18" s="1">
        <v>0</v>
      </c>
      <c r="K18" s="1">
        <v>0</v>
      </c>
      <c r="L18" s="1">
        <v>379.575927734375</v>
      </c>
      <c r="M18" s="1">
        <v>665.01641845703125</v>
      </c>
      <c r="N18" s="1">
        <v>490.67831420898437</v>
      </c>
      <c r="O18" t="e">
        <f t="shared" ref="O18:O30" si="45">CA18/K18</f>
        <v>#DIV/0!</v>
      </c>
      <c r="P18">
        <f t="shared" ref="P18:P30" si="46">CC18/M18</f>
        <v>0.42922322336782942</v>
      </c>
      <c r="Q18">
        <f t="shared" ref="Q18:Q30" si="47">(M18-N18)/M18</f>
        <v>0.26215609030006437</v>
      </c>
      <c r="R18" s="1">
        <v>-1</v>
      </c>
      <c r="S18" s="1">
        <v>0.87</v>
      </c>
      <c r="T18" s="1">
        <v>0.92</v>
      </c>
      <c r="U18" s="1">
        <v>10.068273544311523</v>
      </c>
      <c r="V18">
        <f t="shared" ref="V18:V30" si="48">(U18*T18+(100-U18)*S18)/100</f>
        <v>0.8750341367721558</v>
      </c>
      <c r="W18">
        <f t="shared" ref="W18:W30" si="49">(E18-R18)/CB18</f>
        <v>1.114985733661333E-2</v>
      </c>
      <c r="X18">
        <f t="shared" ref="X18:X30" si="50">(M18-N18)/(M18-L18)</f>
        <v>0.61076865376271983</v>
      </c>
      <c r="Y18">
        <f t="shared" ref="Y18:Y30" si="51">(K18-M18)/(K18-L18)</f>
        <v>1.7519984010219052</v>
      </c>
      <c r="Z18">
        <f t="shared" ref="Z18:Z30" si="52">(K18-M18)/M18</f>
        <v>-1</v>
      </c>
      <c r="AA18" s="1">
        <v>597.91339111328125</v>
      </c>
      <c r="AB18" s="1">
        <v>0.5</v>
      </c>
      <c r="AC18">
        <f t="shared" ref="AC18:AC30" si="53">Q18*AB18*V18*AA18</f>
        <v>68.579329078752011</v>
      </c>
      <c r="AD18">
        <f t="shared" ref="AD18:AD30" si="54">BH18*1000</f>
        <v>0.82859022167018104</v>
      </c>
      <c r="AE18">
        <f t="shared" ref="AE18:AE30" si="55">(BM18-BS18)</f>
        <v>0.76515852484680935</v>
      </c>
      <c r="AF18">
        <f t="shared" ref="AF18:AF30" si="56">(AL18+BL18*D18)</f>
        <v>11.045285224914551</v>
      </c>
      <c r="AG18" s="1">
        <v>1.8600000143051147</v>
      </c>
      <c r="AH18">
        <f t="shared" ref="AH18:AH30" si="57">(AG18*BA18+BB18)</f>
        <v>4.8345794007042855</v>
      </c>
      <c r="AI18" s="1">
        <v>1</v>
      </c>
      <c r="AJ18">
        <f t="shared" ref="AJ18:AJ30" si="58">AH18*(AI18+1)*(AI18+1)/(AI18*AI18+1)</f>
        <v>9.669158801408571</v>
      </c>
      <c r="AK18" s="1">
        <v>8.187896728515625</v>
      </c>
      <c r="AL18" s="1">
        <v>11.045285224914551</v>
      </c>
      <c r="AM18" s="1">
        <v>6.2868361473083496</v>
      </c>
      <c r="AN18" s="1">
        <v>407.17425537109375</v>
      </c>
      <c r="AO18" s="1">
        <v>400.7501220703125</v>
      </c>
      <c r="AP18" s="1">
        <v>4.4623928070068359</v>
      </c>
      <c r="AQ18" s="1">
        <v>5.4872035980224609</v>
      </c>
      <c r="AR18" s="1">
        <v>41.478839874267578</v>
      </c>
      <c r="AS18" s="1">
        <v>51.004661560058594</v>
      </c>
      <c r="AT18" s="1">
        <v>149.56137084960937</v>
      </c>
      <c r="AU18" s="1">
        <v>597.91339111328125</v>
      </c>
      <c r="AV18" s="1">
        <v>24.96757698059082</v>
      </c>
      <c r="AW18" s="1">
        <v>101.38330841064453</v>
      </c>
      <c r="AX18" s="1">
        <v>5.1689658164978027</v>
      </c>
      <c r="AY18" s="1">
        <v>0.11258729547262192</v>
      </c>
      <c r="AZ18" s="1">
        <v>0.5</v>
      </c>
      <c r="BA18" s="1">
        <v>-1.355140209197998</v>
      </c>
      <c r="BB18" s="1">
        <v>7.355140209197998</v>
      </c>
      <c r="BC18" s="1">
        <v>1</v>
      </c>
      <c r="BD18" s="1">
        <v>0</v>
      </c>
      <c r="BE18" s="1">
        <v>0.15999999642372131</v>
      </c>
      <c r="BF18" s="1">
        <v>111115</v>
      </c>
      <c r="BG18">
        <f t="shared" ref="BG18:BG30" si="59">AT18*0.000001/(AG18*0.0001)</f>
        <v>0.80409338548034692</v>
      </c>
      <c r="BH18">
        <f t="shared" ref="BH18:BH30" si="60">(AQ18-AP18)/(1000-AQ18)*BG18</f>
        <v>8.2859022167018105E-4</v>
      </c>
      <c r="BI18">
        <f t="shared" ref="BI18:BI30" si="61">(AL18+273.15)</f>
        <v>284.19528522491453</v>
      </c>
      <c r="BJ18">
        <f t="shared" ref="BJ18:BJ30" si="62">(AK18+273.15)</f>
        <v>281.3378967285156</v>
      </c>
      <c r="BK18">
        <f t="shared" ref="BK18:BK30" si="63">(AU18*BC18+AV18*BD18)*BE18</f>
        <v>95.666140439820083</v>
      </c>
      <c r="BL18">
        <f t="shared" ref="BL18:BL30" si="64">((BK18+0.00000010773*(BJ18^4-BI18^4))-BH18*44100)/(AH18*51.4+0.00000043092*BI18^3)</f>
        <v>0.12108051962350966</v>
      </c>
      <c r="BM18">
        <f t="shared" ref="BM18:BM30" si="65">0.61365*EXP(17.502*AF18/(240.97+AF18))</f>
        <v>1.3214693795371188</v>
      </c>
      <c r="BN18">
        <f t="shared" ref="BN18:BN30" si="66">BM18*1000/AW18</f>
        <v>13.034388009756189</v>
      </c>
      <c r="BO18">
        <f t="shared" ref="BO18:BO30" si="67">(BN18-AQ18)</f>
        <v>7.5471844117337277</v>
      </c>
      <c r="BP18">
        <f t="shared" ref="BP18:BP30" si="68">IF(D18,AL18,(AK18+AL18)/2)</f>
        <v>9.6165909767150879</v>
      </c>
      <c r="BQ18">
        <f t="shared" ref="BQ18:BQ30" si="69">0.61365*EXP(17.502*BP18/(240.97+BP18))</f>
        <v>1.2012128934706816</v>
      </c>
      <c r="BR18">
        <f t="shared" ref="BR18:BR30" si="70">IF(BO18&lt;&gt;0,(1000-(BN18+AQ18)/2)/BO18*BH18,0)</f>
        <v>0.1087712678049713</v>
      </c>
      <c r="BS18">
        <f t="shared" ref="BS18:BS30" si="71">AQ18*AW18/1000</f>
        <v>0.5563108546903095</v>
      </c>
      <c r="BT18">
        <f t="shared" ref="BT18:BT30" si="72">(BQ18-BS18)</f>
        <v>0.64490203878037211</v>
      </c>
      <c r="BU18">
        <f t="shared" ref="BU18:BU30" si="73">1/(1.6/F18+1.37/AJ18)</f>
        <v>6.809215330520399E-2</v>
      </c>
      <c r="BV18">
        <f t="shared" ref="BV18:BV30" si="74">G18*AW18*0.001</f>
        <v>32.984750798666823</v>
      </c>
      <c r="BW18">
        <f t="shared" ref="BW18:BW30" si="75">G18/AO18</f>
        <v>0.81184493343959097</v>
      </c>
      <c r="BX18">
        <f t="shared" ref="BX18:BX30" si="76">(1-BH18*AW18/BM18/F18)*100</f>
        <v>42.214114564104023</v>
      </c>
      <c r="BY18">
        <f t="shared" ref="BY18:BY30" si="77">(AO18-E18/(AJ18/1.35))</f>
        <v>400.07526642796711</v>
      </c>
      <c r="BZ18">
        <f t="shared" ref="BZ18:BZ30" si="78">E18*BX18/100/BY18</f>
        <v>5.1001363746025243E-3</v>
      </c>
      <c r="CA18">
        <f t="shared" ref="CA18:CA30" si="79">(K18-J18)</f>
        <v>0</v>
      </c>
      <c r="CB18">
        <f t="shared" ref="CB18:CB30" si="80">AU18*V18</f>
        <v>523.19462805732246</v>
      </c>
      <c r="CC18">
        <f t="shared" ref="CC18:CC30" si="81">(M18-L18)</f>
        <v>285.44049072265625</v>
      </c>
      <c r="CD18">
        <f t="shared" ref="CD18:CD30" si="82">(M18-N18)/(M18-J18)</f>
        <v>0.26215609030006437</v>
      </c>
      <c r="CE18" t="e">
        <f t="shared" ref="CE18:CE30" si="83">(K18-M18)/(K18-J18)</f>
        <v>#DIV/0!</v>
      </c>
    </row>
    <row r="19" spans="1:83" x14ac:dyDescent="0.25">
      <c r="A19" s="1">
        <v>2</v>
      </c>
      <c r="B19" s="1" t="s">
        <v>138</v>
      </c>
      <c r="C19" s="1">
        <v>178.99999303929508</v>
      </c>
      <c r="D19" s="1">
        <v>0</v>
      </c>
      <c r="E19">
        <f t="shared" si="42"/>
        <v>5.2423747536443495</v>
      </c>
      <c r="F19">
        <f t="shared" si="43"/>
        <v>9.8900872842696733E-2</v>
      </c>
      <c r="G19">
        <f t="shared" si="44"/>
        <v>310.45493853166772</v>
      </c>
      <c r="H19" s="1">
        <v>30</v>
      </c>
      <c r="I19" s="1">
        <v>29</v>
      </c>
      <c r="J19" s="1">
        <v>0</v>
      </c>
      <c r="K19" s="1">
        <v>0</v>
      </c>
      <c r="L19" s="1">
        <v>384.57958984375</v>
      </c>
      <c r="M19" s="1">
        <v>704.11962890625</v>
      </c>
      <c r="N19" s="1">
        <v>490.2901611328125</v>
      </c>
      <c r="O19" t="e">
        <f t="shared" si="45"/>
        <v>#DIV/0!</v>
      </c>
      <c r="P19">
        <f t="shared" si="46"/>
        <v>0.45381498532978004</v>
      </c>
      <c r="Q19">
        <f t="shared" si="47"/>
        <v>0.30368343530713843</v>
      </c>
      <c r="R19" s="1">
        <v>-1</v>
      </c>
      <c r="S19" s="1">
        <v>0.87</v>
      </c>
      <c r="T19" s="1">
        <v>0.92</v>
      </c>
      <c r="U19" s="1">
        <v>9.7887449264526367</v>
      </c>
      <c r="V19">
        <f t="shared" si="48"/>
        <v>0.87489437246322632</v>
      </c>
      <c r="W19">
        <f t="shared" si="49"/>
        <v>1.4319701099674677E-2</v>
      </c>
      <c r="X19">
        <f t="shared" si="50"/>
        <v>0.66917894984551163</v>
      </c>
      <c r="Y19">
        <f t="shared" si="51"/>
        <v>1.8308814287110899</v>
      </c>
      <c r="Z19">
        <f t="shared" si="52"/>
        <v>-1</v>
      </c>
      <c r="AA19" s="1">
        <v>498.26486206054687</v>
      </c>
      <c r="AB19" s="1">
        <v>0.5</v>
      </c>
      <c r="AC19">
        <f t="shared" si="53"/>
        <v>66.192226934971984</v>
      </c>
      <c r="AD19">
        <f t="shared" si="54"/>
        <v>0.73013770142197632</v>
      </c>
      <c r="AE19">
        <f t="shared" si="55"/>
        <v>0.74920769103458396</v>
      </c>
      <c r="AF19">
        <f t="shared" si="56"/>
        <v>10.729068756103516</v>
      </c>
      <c r="AG19" s="1">
        <v>1.8600000143051147</v>
      </c>
      <c r="AH19">
        <f t="shared" si="57"/>
        <v>4.8345794007042855</v>
      </c>
      <c r="AI19" s="1">
        <v>1</v>
      </c>
      <c r="AJ19">
        <f t="shared" si="58"/>
        <v>9.669158801408571</v>
      </c>
      <c r="AK19" s="1">
        <v>6.9914979934692383</v>
      </c>
      <c r="AL19" s="1">
        <v>10.729068756103516</v>
      </c>
      <c r="AM19" s="1">
        <v>4.363715648651123</v>
      </c>
      <c r="AN19" s="1">
        <v>407.125</v>
      </c>
      <c r="AO19" s="1">
        <v>400.24203491210937</v>
      </c>
      <c r="AP19" s="1">
        <v>4.4706125259399414</v>
      </c>
      <c r="AQ19" s="1">
        <v>5.3737492561340332</v>
      </c>
      <c r="AR19" s="1">
        <v>45.088226318359375</v>
      </c>
      <c r="AS19" s="1">
        <v>54.196784973144531</v>
      </c>
      <c r="AT19" s="1">
        <v>149.56298828125</v>
      </c>
      <c r="AU19" s="1">
        <v>498.26486206054687</v>
      </c>
      <c r="AV19" s="1">
        <v>24.831609725952148</v>
      </c>
      <c r="AW19" s="1">
        <v>101.3758544921875</v>
      </c>
      <c r="AX19" s="1">
        <v>5.1689658164978027</v>
      </c>
      <c r="AY19" s="1">
        <v>0.11258729547262192</v>
      </c>
      <c r="AZ19" s="1">
        <v>1</v>
      </c>
      <c r="BA19" s="1">
        <v>-1.355140209197998</v>
      </c>
      <c r="BB19" s="1">
        <v>7.355140209197998</v>
      </c>
      <c r="BC19" s="1">
        <v>1</v>
      </c>
      <c r="BD19" s="1">
        <v>0</v>
      </c>
      <c r="BE19" s="1">
        <v>0.15999999642372131</v>
      </c>
      <c r="BF19" s="1">
        <v>111115</v>
      </c>
      <c r="BG19">
        <f t="shared" si="59"/>
        <v>0.80410208134931571</v>
      </c>
      <c r="BH19">
        <f t="shared" si="60"/>
        <v>7.3013770142197633E-4</v>
      </c>
      <c r="BI19">
        <f t="shared" si="61"/>
        <v>283.87906875610349</v>
      </c>
      <c r="BJ19">
        <f t="shared" si="62"/>
        <v>280.14149799346922</v>
      </c>
      <c r="BK19">
        <f t="shared" si="63"/>
        <v>79.722376147753494</v>
      </c>
      <c r="BL19">
        <f t="shared" si="64"/>
        <v>4.4121204553989796E-2</v>
      </c>
      <c r="BM19">
        <f t="shared" si="65"/>
        <v>1.2939761137019286</v>
      </c>
      <c r="BN19">
        <f t="shared" si="66"/>
        <v>12.764145073634358</v>
      </c>
      <c r="BO19">
        <f t="shared" si="67"/>
        <v>7.390395817500325</v>
      </c>
      <c r="BP19">
        <f t="shared" si="68"/>
        <v>8.860283374786377</v>
      </c>
      <c r="BQ19">
        <f t="shared" si="69"/>
        <v>1.1415437958876877</v>
      </c>
      <c r="BR19">
        <f t="shared" si="70"/>
        <v>9.7899508910120517E-2</v>
      </c>
      <c r="BS19">
        <f t="shared" si="71"/>
        <v>0.5447684226673446</v>
      </c>
      <c r="BT19">
        <f t="shared" si="72"/>
        <v>0.59677537322034313</v>
      </c>
      <c r="BU19">
        <f t="shared" si="73"/>
        <v>6.1276378262987374E-2</v>
      </c>
      <c r="BV19">
        <f t="shared" si="74"/>
        <v>31.472634674967363</v>
      </c>
      <c r="BW19">
        <f t="shared" si="75"/>
        <v>0.77566799948896337</v>
      </c>
      <c r="BX19">
        <f t="shared" si="76"/>
        <v>42.162046442289004</v>
      </c>
      <c r="BY19">
        <f t="shared" si="77"/>
        <v>399.5100988603001</v>
      </c>
      <c r="BZ19">
        <f t="shared" si="78"/>
        <v>5.5325071496709647E-3</v>
      </c>
      <c r="CA19">
        <f t="shared" si="79"/>
        <v>0</v>
      </c>
      <c r="CB19">
        <f t="shared" si="80"/>
        <v>435.9291238129382</v>
      </c>
      <c r="CC19">
        <f t="shared" si="81"/>
        <v>319.5400390625</v>
      </c>
      <c r="CD19">
        <f t="shared" si="82"/>
        <v>0.30368343530713843</v>
      </c>
      <c r="CE19" t="e">
        <f t="shared" si="83"/>
        <v>#DIV/0!</v>
      </c>
    </row>
    <row r="20" spans="1:83" x14ac:dyDescent="0.25">
      <c r="A20" s="1">
        <v>3</v>
      </c>
      <c r="B20" s="1" t="s">
        <v>139</v>
      </c>
      <c r="C20" s="1">
        <v>253.49998790491372</v>
      </c>
      <c r="D20" s="1">
        <v>0</v>
      </c>
      <c r="E20">
        <f t="shared" si="42"/>
        <v>5.384949430051801</v>
      </c>
      <c r="F20">
        <f t="shared" si="43"/>
        <v>9.8408314269731192E-2</v>
      </c>
      <c r="G20">
        <f t="shared" si="44"/>
        <v>307.39446989165464</v>
      </c>
      <c r="H20" s="1">
        <v>31</v>
      </c>
      <c r="I20" s="1">
        <v>30</v>
      </c>
      <c r="J20" s="1">
        <v>0</v>
      </c>
      <c r="K20" s="1">
        <v>0</v>
      </c>
      <c r="L20" s="1">
        <v>393.07275390625</v>
      </c>
      <c r="M20" s="1">
        <v>741.88482666015625</v>
      </c>
      <c r="N20" s="1">
        <v>495.41787719726562</v>
      </c>
      <c r="O20" t="e">
        <f t="shared" si="45"/>
        <v>#DIV/0!</v>
      </c>
      <c r="P20">
        <f t="shared" si="46"/>
        <v>0.47017011295971772</v>
      </c>
      <c r="Q20">
        <f t="shared" si="47"/>
        <v>0.33221726689362874</v>
      </c>
      <c r="R20" s="1">
        <v>-1</v>
      </c>
      <c r="S20" s="1">
        <v>0.87</v>
      </c>
      <c r="T20" s="1">
        <v>0.92</v>
      </c>
      <c r="U20" s="1">
        <v>10.009519577026367</v>
      </c>
      <c r="V20">
        <f t="shared" si="48"/>
        <v>0.87500475978851311</v>
      </c>
      <c r="W20">
        <f t="shared" si="49"/>
        <v>1.6283845863013725E-2</v>
      </c>
      <c r="X20">
        <f t="shared" si="50"/>
        <v>0.70658950396128606</v>
      </c>
      <c r="Y20">
        <f t="shared" si="51"/>
        <v>1.8873982469848314</v>
      </c>
      <c r="Z20">
        <f t="shared" si="52"/>
        <v>-1</v>
      </c>
      <c r="AA20" s="1">
        <v>448.1156005859375</v>
      </c>
      <c r="AB20" s="1">
        <v>0.5</v>
      </c>
      <c r="AC20">
        <f t="shared" si="53"/>
        <v>65.131740583586677</v>
      </c>
      <c r="AD20">
        <f t="shared" si="54"/>
        <v>0.72855621526503533</v>
      </c>
      <c r="AE20">
        <f t="shared" si="55"/>
        <v>0.75121161985366691</v>
      </c>
      <c r="AF20">
        <f t="shared" si="56"/>
        <v>10.75226879119873</v>
      </c>
      <c r="AG20" s="1">
        <v>1.8600000143051147</v>
      </c>
      <c r="AH20">
        <f t="shared" si="57"/>
        <v>4.8345794007042855</v>
      </c>
      <c r="AI20" s="1">
        <v>1</v>
      </c>
      <c r="AJ20">
        <f t="shared" si="58"/>
        <v>9.669158801408571</v>
      </c>
      <c r="AK20" s="1">
        <v>7.01123046875</v>
      </c>
      <c r="AL20" s="1">
        <v>10.75226879119873</v>
      </c>
      <c r="AM20" s="1">
        <v>4.368095874786377</v>
      </c>
      <c r="AN20" s="1">
        <v>406.996826171875</v>
      </c>
      <c r="AO20" s="1">
        <v>399.93603515625</v>
      </c>
      <c r="AP20" s="1">
        <v>4.4728217124938965</v>
      </c>
      <c r="AQ20" s="1">
        <v>5.3742036819458008</v>
      </c>
      <c r="AR20" s="1">
        <v>45.045352935791016</v>
      </c>
      <c r="AS20" s="1">
        <v>54.123077392578125</v>
      </c>
      <c r="AT20" s="1">
        <v>149.52949523925781</v>
      </c>
      <c r="AU20" s="1">
        <v>448.1156005859375</v>
      </c>
      <c r="AV20" s="1">
        <v>25.051973342895508</v>
      </c>
      <c r="AW20" s="1">
        <v>101.36652374267578</v>
      </c>
      <c r="AX20" s="1">
        <v>5.1689658164978027</v>
      </c>
      <c r="AY20" s="1">
        <v>0.11258729547262192</v>
      </c>
      <c r="AZ20" s="1">
        <v>0.5</v>
      </c>
      <c r="BA20" s="1">
        <v>-1.355140209197998</v>
      </c>
      <c r="BB20" s="1">
        <v>7.355140209197998</v>
      </c>
      <c r="BC20" s="1">
        <v>1</v>
      </c>
      <c r="BD20" s="1">
        <v>0</v>
      </c>
      <c r="BE20" s="1">
        <v>0.15999999642372131</v>
      </c>
      <c r="BF20" s="1">
        <v>111115</v>
      </c>
      <c r="BG20">
        <f t="shared" si="59"/>
        <v>0.8039220112324631</v>
      </c>
      <c r="BH20">
        <f t="shared" si="60"/>
        <v>7.2855621526503528E-4</v>
      </c>
      <c r="BI20">
        <f t="shared" si="61"/>
        <v>283.90226879119871</v>
      </c>
      <c r="BJ20">
        <f t="shared" si="62"/>
        <v>280.16123046874998</v>
      </c>
      <c r="BK20">
        <f t="shared" si="63"/>
        <v>71.698494491163729</v>
      </c>
      <c r="BL20">
        <f t="shared" si="64"/>
        <v>1.3171823239809068E-2</v>
      </c>
      <c r="BM20">
        <f t="shared" si="65"/>
        <v>1.2959759649776015</v>
      </c>
      <c r="BN20">
        <f t="shared" si="66"/>
        <v>12.785048920761101</v>
      </c>
      <c r="BO20">
        <f t="shared" si="67"/>
        <v>7.4108452388153001</v>
      </c>
      <c r="BP20">
        <f t="shared" si="68"/>
        <v>8.8817496299743652</v>
      </c>
      <c r="BQ20">
        <f t="shared" si="69"/>
        <v>1.1432006605291318</v>
      </c>
      <c r="BR20">
        <f t="shared" si="70"/>
        <v>9.7416849742001904E-2</v>
      </c>
      <c r="BS20">
        <f t="shared" si="71"/>
        <v>0.54476434512393457</v>
      </c>
      <c r="BT20">
        <f t="shared" si="72"/>
        <v>0.59843631540519726</v>
      </c>
      <c r="BU20">
        <f t="shared" si="73"/>
        <v>6.0973838423502021E-2</v>
      </c>
      <c r="BV20">
        <f t="shared" si="74"/>
        <v>31.159508830639648</v>
      </c>
      <c r="BW20">
        <f t="shared" si="75"/>
        <v>0.76860908462914446</v>
      </c>
      <c r="BX20">
        <f t="shared" si="76"/>
        <v>42.093291341389957</v>
      </c>
      <c r="BY20">
        <f t="shared" si="77"/>
        <v>399.18419294537318</v>
      </c>
      <c r="BZ20">
        <f t="shared" si="78"/>
        <v>5.6783371993099248E-3</v>
      </c>
      <c r="CA20">
        <f t="shared" si="79"/>
        <v>0</v>
      </c>
      <c r="CB20">
        <f t="shared" si="80"/>
        <v>392.1032834481835</v>
      </c>
      <c r="CC20">
        <f t="shared" si="81"/>
        <v>348.81207275390625</v>
      </c>
      <c r="CD20">
        <f t="shared" si="82"/>
        <v>0.33221726689362874</v>
      </c>
      <c r="CE20" t="e">
        <f t="shared" si="83"/>
        <v>#DIV/0!</v>
      </c>
    </row>
    <row r="21" spans="1:83" x14ac:dyDescent="0.25">
      <c r="A21" s="1">
        <v>4</v>
      </c>
      <c r="B21" s="1" t="s">
        <v>140</v>
      </c>
      <c r="C21" s="1">
        <v>328.49998273607343</v>
      </c>
      <c r="D21" s="1">
        <v>0</v>
      </c>
      <c r="E21">
        <f t="shared" si="42"/>
        <v>5.0534674642071273</v>
      </c>
      <c r="F21">
        <f t="shared" si="43"/>
        <v>0.10173090748665985</v>
      </c>
      <c r="G21">
        <f t="shared" si="44"/>
        <v>315.95400723769353</v>
      </c>
      <c r="H21" s="1">
        <v>32</v>
      </c>
      <c r="I21" s="1">
        <v>31</v>
      </c>
      <c r="J21" s="1">
        <v>0</v>
      </c>
      <c r="K21" s="1">
        <v>0</v>
      </c>
      <c r="L21" s="1">
        <v>425.532470703125</v>
      </c>
      <c r="M21" s="1">
        <v>942.57427978515625</v>
      </c>
      <c r="N21" s="1">
        <v>547.13482666015625</v>
      </c>
      <c r="O21" t="e">
        <f t="shared" si="45"/>
        <v>#DIV/0!</v>
      </c>
      <c r="P21">
        <f t="shared" si="46"/>
        <v>0.5485422424213422</v>
      </c>
      <c r="Q21">
        <f t="shared" si="47"/>
        <v>0.4195313426281202</v>
      </c>
      <c r="R21" s="1">
        <v>-1</v>
      </c>
      <c r="S21" s="1">
        <v>0.87</v>
      </c>
      <c r="T21" s="1">
        <v>0.92</v>
      </c>
      <c r="U21" s="1">
        <v>9.8018503189086914</v>
      </c>
      <c r="V21">
        <f t="shared" si="48"/>
        <v>0.87490092515945439</v>
      </c>
      <c r="W21">
        <f t="shared" si="49"/>
        <v>2.293880068059231E-2</v>
      </c>
      <c r="X21">
        <f t="shared" si="50"/>
        <v>0.7648113676282251</v>
      </c>
      <c r="Y21">
        <f t="shared" si="51"/>
        <v>2.2150466643067253</v>
      </c>
      <c r="Z21">
        <f t="shared" si="52"/>
        <v>-1</v>
      </c>
      <c r="AA21" s="1">
        <v>301.63006591796875</v>
      </c>
      <c r="AB21" s="1">
        <v>0.5</v>
      </c>
      <c r="AC21">
        <f t="shared" si="53"/>
        <v>55.356410480586682</v>
      </c>
      <c r="AD21">
        <f t="shared" si="54"/>
        <v>0.72227776879049199</v>
      </c>
      <c r="AE21">
        <f t="shared" si="55"/>
        <v>0.72082003154158014</v>
      </c>
      <c r="AF21">
        <f t="shared" si="56"/>
        <v>10.380727767944336</v>
      </c>
      <c r="AG21" s="1">
        <v>1.8600000143051147</v>
      </c>
      <c r="AH21">
        <f t="shared" si="57"/>
        <v>4.8345794007042855</v>
      </c>
      <c r="AI21" s="1">
        <v>1</v>
      </c>
      <c r="AJ21">
        <f t="shared" si="58"/>
        <v>9.669158801408571</v>
      </c>
      <c r="AK21" s="1">
        <v>6.9939022064208984</v>
      </c>
      <c r="AL21" s="1">
        <v>10.380727767944336</v>
      </c>
      <c r="AM21" s="1">
        <v>4.369687557220459</v>
      </c>
      <c r="AN21" s="1">
        <v>406.89840698242187</v>
      </c>
      <c r="AO21" s="1">
        <v>400.25442504882812</v>
      </c>
      <c r="AP21" s="1">
        <v>4.4675602912902832</v>
      </c>
      <c r="AQ21" s="1">
        <v>5.3609657287597656</v>
      </c>
      <c r="AR21" s="1">
        <v>45.048480987548828</v>
      </c>
      <c r="AS21" s="1">
        <v>54.057102203369141</v>
      </c>
      <c r="AT21" s="1">
        <v>149.56642150878906</v>
      </c>
      <c r="AU21" s="1">
        <v>301.63006591796875</v>
      </c>
      <c r="AV21" s="1">
        <v>24.917705535888672</v>
      </c>
      <c r="AW21" s="1">
        <v>101.37240600585937</v>
      </c>
      <c r="AX21" s="1">
        <v>5.1689658164978027</v>
      </c>
      <c r="AY21" s="1">
        <v>0.11258729547262192</v>
      </c>
      <c r="AZ21" s="1">
        <v>0.5</v>
      </c>
      <c r="BA21" s="1">
        <v>-1.355140209197998</v>
      </c>
      <c r="BB21" s="1">
        <v>7.355140209197998</v>
      </c>
      <c r="BC21" s="1">
        <v>1</v>
      </c>
      <c r="BD21" s="1">
        <v>0</v>
      </c>
      <c r="BE21" s="1">
        <v>0.15999999642372131</v>
      </c>
      <c r="BF21" s="1">
        <v>111115</v>
      </c>
      <c r="BG21">
        <f t="shared" si="59"/>
        <v>0.80412053956174945</v>
      </c>
      <c r="BH21">
        <f t="shared" si="60"/>
        <v>7.22277768790492E-4</v>
      </c>
      <c r="BI21">
        <f t="shared" si="61"/>
        <v>283.53072776794431</v>
      </c>
      <c r="BJ21">
        <f t="shared" si="62"/>
        <v>280.14390220642088</v>
      </c>
      <c r="BK21">
        <f t="shared" si="63"/>
        <v>48.260809468161824</v>
      </c>
      <c r="BL21">
        <f t="shared" si="64"/>
        <v>-6.2966699128997786E-2</v>
      </c>
      <c r="BM21">
        <f t="shared" si="65"/>
        <v>1.2642740259809129</v>
      </c>
      <c r="BN21">
        <f t="shared" si="66"/>
        <v>12.471579552998252</v>
      </c>
      <c r="BO21">
        <f t="shared" si="67"/>
        <v>7.1106138242384862</v>
      </c>
      <c r="BP21">
        <f t="shared" si="68"/>
        <v>8.6873149871826172</v>
      </c>
      <c r="BQ21">
        <f t="shared" si="69"/>
        <v>1.1282703595259178</v>
      </c>
      <c r="BR21">
        <f t="shared" si="70"/>
        <v>0.10067172271982765</v>
      </c>
      <c r="BS21">
        <f t="shared" si="71"/>
        <v>0.54345399443933273</v>
      </c>
      <c r="BT21">
        <f t="shared" si="72"/>
        <v>0.58481636508658508</v>
      </c>
      <c r="BU21">
        <f t="shared" si="73"/>
        <v>6.3014138202004452E-2</v>
      </c>
      <c r="BV21">
        <f t="shared" si="74"/>
        <v>32.029017900877705</v>
      </c>
      <c r="BW21">
        <f t="shared" si="75"/>
        <v>0.78938292112360642</v>
      </c>
      <c r="BX21">
        <f t="shared" si="76"/>
        <v>43.071483347207632</v>
      </c>
      <c r="BY21">
        <f t="shared" si="77"/>
        <v>399.54886407741395</v>
      </c>
      <c r="BZ21">
        <f t="shared" si="78"/>
        <v>5.4476525726795816E-3</v>
      </c>
      <c r="CA21">
        <f t="shared" si="79"/>
        <v>0</v>
      </c>
      <c r="CB21">
        <f t="shared" si="80"/>
        <v>263.89642372753809</v>
      </c>
      <c r="CC21">
        <f t="shared" si="81"/>
        <v>517.04180908203125</v>
      </c>
      <c r="CD21">
        <f t="shared" si="82"/>
        <v>0.4195313426281202</v>
      </c>
      <c r="CE21" t="e">
        <f t="shared" si="83"/>
        <v>#DIV/0!</v>
      </c>
    </row>
    <row r="22" spans="1:83" x14ac:dyDescent="0.25">
      <c r="A22" s="1">
        <v>5</v>
      </c>
      <c r="B22" s="1" t="s">
        <v>141</v>
      </c>
      <c r="C22" s="1">
        <v>402.49997763615102</v>
      </c>
      <c r="D22" s="1">
        <v>0</v>
      </c>
      <c r="E22">
        <f t="shared" si="42"/>
        <v>4.8707873109612763</v>
      </c>
      <c r="F22">
        <f t="shared" si="43"/>
        <v>0.10335153135197042</v>
      </c>
      <c r="G22">
        <f t="shared" si="44"/>
        <v>320.73408564570383</v>
      </c>
      <c r="H22" s="1">
        <v>33</v>
      </c>
      <c r="I22" s="1">
        <v>32</v>
      </c>
      <c r="J22" s="1">
        <v>0</v>
      </c>
      <c r="K22" s="1">
        <v>0</v>
      </c>
      <c r="L22" s="1">
        <v>471.078125</v>
      </c>
      <c r="M22" s="1">
        <v>1228.910888671875</v>
      </c>
      <c r="N22" s="1">
        <v>619.55963134765625</v>
      </c>
      <c r="O22" t="e">
        <f t="shared" si="45"/>
        <v>#DIV/0!</v>
      </c>
      <c r="P22">
        <f t="shared" si="46"/>
        <v>0.61667023268944277</v>
      </c>
      <c r="Q22">
        <f t="shared" si="47"/>
        <v>0.49584657678699956</v>
      </c>
      <c r="R22" s="1">
        <v>-1</v>
      </c>
      <c r="S22" s="1">
        <v>0.87</v>
      </c>
      <c r="T22" s="1">
        <v>0.92</v>
      </c>
      <c r="U22" s="1">
        <v>9.0644702911376953</v>
      </c>
      <c r="V22">
        <f t="shared" si="48"/>
        <v>0.87453223514556877</v>
      </c>
      <c r="W22">
        <f t="shared" si="49"/>
        <v>3.3619499943072617E-2</v>
      </c>
      <c r="X22">
        <f t="shared" si="50"/>
        <v>0.80407088019231443</v>
      </c>
      <c r="Y22">
        <f t="shared" si="51"/>
        <v>2.6087199202295266</v>
      </c>
      <c r="Z22">
        <f t="shared" si="52"/>
        <v>-1</v>
      </c>
      <c r="AA22" s="1">
        <v>199.67756652832031</v>
      </c>
      <c r="AB22" s="1">
        <v>0.5</v>
      </c>
      <c r="AC22">
        <f t="shared" si="53"/>
        <v>43.293472480463294</v>
      </c>
      <c r="AD22">
        <f t="shared" si="54"/>
        <v>0.71383789741855252</v>
      </c>
      <c r="AE22">
        <f t="shared" si="55"/>
        <v>0.70146298606748003</v>
      </c>
      <c r="AF22">
        <f t="shared" si="56"/>
        <v>10.126750946044922</v>
      </c>
      <c r="AG22" s="1">
        <v>1.8600000143051147</v>
      </c>
      <c r="AH22">
        <f t="shared" si="57"/>
        <v>4.8345794007042855</v>
      </c>
      <c r="AI22" s="1">
        <v>1</v>
      </c>
      <c r="AJ22">
        <f t="shared" si="58"/>
        <v>9.669158801408571</v>
      </c>
      <c r="AK22" s="1">
        <v>6.9775166511535645</v>
      </c>
      <c r="AL22" s="1">
        <v>10.126750946044922</v>
      </c>
      <c r="AM22" s="1">
        <v>4.3622617721557617</v>
      </c>
      <c r="AN22" s="1">
        <v>407.26858520507812</v>
      </c>
      <c r="AO22" s="1">
        <v>400.85321044921875</v>
      </c>
      <c r="AP22" s="1">
        <v>4.4584493637084961</v>
      </c>
      <c r="AQ22" s="1">
        <v>5.3417410850524902</v>
      </c>
      <c r="AR22" s="1">
        <v>45.009677886962891</v>
      </c>
      <c r="AS22" s="1">
        <v>53.926834106445313</v>
      </c>
      <c r="AT22" s="1">
        <v>149.51414489746094</v>
      </c>
      <c r="AU22" s="1">
        <v>199.67756652832031</v>
      </c>
      <c r="AV22" s="1">
        <v>24.75813102722168</v>
      </c>
      <c r="AW22" s="1">
        <v>101.3780517578125</v>
      </c>
      <c r="AX22" s="1">
        <v>5.1689658164978027</v>
      </c>
      <c r="AY22" s="1">
        <v>0.11258729547262192</v>
      </c>
      <c r="AZ22" s="1">
        <v>0.75</v>
      </c>
      <c r="BA22" s="1">
        <v>-1.355140209197998</v>
      </c>
      <c r="BB22" s="1">
        <v>7.355140209197998</v>
      </c>
      <c r="BC22" s="1">
        <v>1</v>
      </c>
      <c r="BD22" s="1">
        <v>0</v>
      </c>
      <c r="BE22" s="1">
        <v>0.15999999642372131</v>
      </c>
      <c r="BF22" s="1">
        <v>111115</v>
      </c>
      <c r="BG22">
        <f t="shared" si="59"/>
        <v>0.8038394825137597</v>
      </c>
      <c r="BH22">
        <f t="shared" si="60"/>
        <v>7.1383789741855249E-4</v>
      </c>
      <c r="BI22">
        <f t="shared" si="61"/>
        <v>283.2767509460449</v>
      </c>
      <c r="BJ22">
        <f t="shared" si="62"/>
        <v>280.12751665115354</v>
      </c>
      <c r="BK22">
        <f t="shared" si="63"/>
        <v>31.948409930428625</v>
      </c>
      <c r="BL22">
        <f t="shared" si="64"/>
        <v>-0.11564290840316933</v>
      </c>
      <c r="BM22">
        <f t="shared" si="65"/>
        <v>1.2429982902647649</v>
      </c>
      <c r="BN22">
        <f t="shared" si="66"/>
        <v>12.261019705076112</v>
      </c>
      <c r="BO22">
        <f t="shared" si="67"/>
        <v>6.919278620023622</v>
      </c>
      <c r="BP22">
        <f t="shared" si="68"/>
        <v>8.5521337985992432</v>
      </c>
      <c r="BQ22">
        <f t="shared" si="69"/>
        <v>1.1179915949016013</v>
      </c>
      <c r="BR22">
        <f t="shared" si="70"/>
        <v>0.10225851239685205</v>
      </c>
      <c r="BS22">
        <f t="shared" si="71"/>
        <v>0.54153530419728491</v>
      </c>
      <c r="BT22">
        <f t="shared" si="72"/>
        <v>0.57645629070431637</v>
      </c>
      <c r="BU22">
        <f t="shared" si="73"/>
        <v>6.4008880559569714E-2</v>
      </c>
      <c r="BV22">
        <f t="shared" si="74"/>
        <v>32.515396735084828</v>
      </c>
      <c r="BW22">
        <f t="shared" si="75"/>
        <v>0.80012851908126448</v>
      </c>
      <c r="BX22">
        <f t="shared" si="76"/>
        <v>43.667880168129258</v>
      </c>
      <c r="BY22">
        <f t="shared" si="77"/>
        <v>400.17315513056582</v>
      </c>
      <c r="BZ22">
        <f t="shared" si="78"/>
        <v>5.3151230634174906E-3</v>
      </c>
      <c r="CA22">
        <f t="shared" si="79"/>
        <v>0</v>
      </c>
      <c r="CB22">
        <f t="shared" si="80"/>
        <v>174.62446856443998</v>
      </c>
      <c r="CC22">
        <f t="shared" si="81"/>
        <v>757.832763671875</v>
      </c>
      <c r="CD22">
        <f t="shared" si="82"/>
        <v>0.49584657678699956</v>
      </c>
      <c r="CE22" t="e">
        <f t="shared" si="83"/>
        <v>#DIV/0!</v>
      </c>
    </row>
    <row r="23" spans="1:83" x14ac:dyDescent="0.25">
      <c r="A23" s="1">
        <v>6</v>
      </c>
      <c r="B23" s="1" t="s">
        <v>142</v>
      </c>
      <c r="C23" s="1">
        <v>476.4999725362286</v>
      </c>
      <c r="D23" s="1">
        <v>0</v>
      </c>
      <c r="E23">
        <f t="shared" si="42"/>
        <v>4.1762198607182137</v>
      </c>
      <c r="F23">
        <f t="shared" si="43"/>
        <v>0.10389105628631339</v>
      </c>
      <c r="G23">
        <f t="shared" si="44"/>
        <v>330.63310316775488</v>
      </c>
      <c r="H23" s="1">
        <v>34</v>
      </c>
      <c r="I23" s="1">
        <v>33</v>
      </c>
      <c r="J23" s="1">
        <v>0</v>
      </c>
      <c r="K23" s="1">
        <v>0</v>
      </c>
      <c r="L23" s="1">
        <v>482.075439453125</v>
      </c>
      <c r="M23" s="1">
        <v>1329.34130859375</v>
      </c>
      <c r="N23" s="1">
        <v>637.6085205078125</v>
      </c>
      <c r="O23" t="e">
        <f t="shared" si="45"/>
        <v>#DIV/0!</v>
      </c>
      <c r="P23">
        <f t="shared" si="46"/>
        <v>0.63735766252303494</v>
      </c>
      <c r="Q23">
        <f t="shared" si="47"/>
        <v>0.52035755122790117</v>
      </c>
      <c r="R23" s="1">
        <v>-1</v>
      </c>
      <c r="S23" s="1">
        <v>0.87</v>
      </c>
      <c r="T23" s="1">
        <v>0.92</v>
      </c>
      <c r="U23" s="1">
        <v>10.178630828857422</v>
      </c>
      <c r="V23">
        <f t="shared" si="48"/>
        <v>0.8750893154144288</v>
      </c>
      <c r="W23">
        <f t="shared" si="49"/>
        <v>3.3462249653765007E-2</v>
      </c>
      <c r="X23">
        <f t="shared" si="50"/>
        <v>0.81642942703163124</v>
      </c>
      <c r="Y23">
        <f t="shared" si="51"/>
        <v>2.7575379282997252</v>
      </c>
      <c r="Z23">
        <f t="shared" si="52"/>
        <v>-1</v>
      </c>
      <c r="AA23" s="1">
        <v>176.76863098144531</v>
      </c>
      <c r="AB23" s="1">
        <v>0.5</v>
      </c>
      <c r="AC23">
        <f t="shared" si="53"/>
        <v>40.246622973800854</v>
      </c>
      <c r="AD23">
        <f t="shared" si="54"/>
        <v>0.70241029490455931</v>
      </c>
      <c r="AE23">
        <f t="shared" si="55"/>
        <v>0.68684872915664263</v>
      </c>
      <c r="AF23">
        <f t="shared" si="56"/>
        <v>9.9181098937988281</v>
      </c>
      <c r="AG23" s="1">
        <v>1.8600000143051147</v>
      </c>
      <c r="AH23">
        <f t="shared" si="57"/>
        <v>4.8345794007042855</v>
      </c>
      <c r="AI23" s="1">
        <v>1</v>
      </c>
      <c r="AJ23">
        <f t="shared" si="58"/>
        <v>9.669158801408571</v>
      </c>
      <c r="AK23" s="1">
        <v>6.7374610900878906</v>
      </c>
      <c r="AL23" s="1">
        <v>9.9181098937988281</v>
      </c>
      <c r="AM23" s="1">
        <v>4.1919541358947754</v>
      </c>
      <c r="AN23" s="1">
        <v>405.0697021484375</v>
      </c>
      <c r="AO23" s="1">
        <v>399.52737426757812</v>
      </c>
      <c r="AP23" s="1">
        <v>4.446265697479248</v>
      </c>
      <c r="AQ23" s="1">
        <v>5.3151068687438965</v>
      </c>
      <c r="AR23" s="1">
        <v>45.638912200927734</v>
      </c>
      <c r="AS23" s="1">
        <v>54.557174682617188</v>
      </c>
      <c r="AT23" s="1">
        <v>149.571533203125</v>
      </c>
      <c r="AU23" s="1">
        <v>176.76863098144531</v>
      </c>
      <c r="AV23" s="1">
        <v>25.297672271728516</v>
      </c>
      <c r="AW23" s="1">
        <v>101.39179992675781</v>
      </c>
      <c r="AX23" s="1">
        <v>5.1689658164978027</v>
      </c>
      <c r="AY23" s="1">
        <v>0.11258729547262192</v>
      </c>
      <c r="AZ23" s="1">
        <v>0.75</v>
      </c>
      <c r="BA23" s="1">
        <v>-1.355140209197998</v>
      </c>
      <c r="BB23" s="1">
        <v>7.355140209197998</v>
      </c>
      <c r="BC23" s="1">
        <v>1</v>
      </c>
      <c r="BD23" s="1">
        <v>0</v>
      </c>
      <c r="BE23" s="1">
        <v>0.15999999642372131</v>
      </c>
      <c r="BF23" s="1">
        <v>111115</v>
      </c>
      <c r="BG23">
        <f t="shared" si="59"/>
        <v>0.80414802178915057</v>
      </c>
      <c r="BH23">
        <f t="shared" si="60"/>
        <v>7.0241029490455931E-4</v>
      </c>
      <c r="BI23">
        <f t="shared" si="61"/>
        <v>283.06810989379881</v>
      </c>
      <c r="BJ23">
        <f t="shared" si="62"/>
        <v>279.88746109008787</v>
      </c>
      <c r="BK23">
        <f t="shared" si="63"/>
        <v>28.282980324857363</v>
      </c>
      <c r="BL23">
        <f t="shared" si="64"/>
        <v>-0.12878209533293414</v>
      </c>
      <c r="BM23">
        <f t="shared" si="65"/>
        <v>1.22575698138166</v>
      </c>
      <c r="BN23">
        <f t="shared" si="66"/>
        <v>12.089310795025904</v>
      </c>
      <c r="BO23">
        <f t="shared" si="67"/>
        <v>6.7742039262820075</v>
      </c>
      <c r="BP23">
        <f t="shared" si="68"/>
        <v>8.3277854919433594</v>
      </c>
      <c r="BQ23">
        <f t="shared" si="69"/>
        <v>1.101114964284001</v>
      </c>
      <c r="BR23">
        <f t="shared" si="70"/>
        <v>0.10278665676585175</v>
      </c>
      <c r="BS23">
        <f t="shared" si="71"/>
        <v>0.53890825222501737</v>
      </c>
      <c r="BT23">
        <f t="shared" si="72"/>
        <v>0.56220671205898365</v>
      </c>
      <c r="BU23">
        <f t="shared" si="73"/>
        <v>6.4339979334959371E-2</v>
      </c>
      <c r="BV23">
        <f t="shared" si="74"/>
        <v>33.523485445548076</v>
      </c>
      <c r="BW23">
        <f t="shared" si="75"/>
        <v>0.82756057397538363</v>
      </c>
      <c r="BX23">
        <f t="shared" si="76"/>
        <v>44.074334130846815</v>
      </c>
      <c r="BY23">
        <f t="shared" si="77"/>
        <v>398.94429388512043</v>
      </c>
      <c r="BZ23">
        <f t="shared" si="78"/>
        <v>4.6137797273063889E-3</v>
      </c>
      <c r="CA23">
        <f t="shared" si="79"/>
        <v>0</v>
      </c>
      <c r="CB23">
        <f t="shared" si="80"/>
        <v>154.68834027229877</v>
      </c>
      <c r="CC23">
        <f t="shared" si="81"/>
        <v>847.265869140625</v>
      </c>
      <c r="CD23">
        <f t="shared" si="82"/>
        <v>0.52035755122790117</v>
      </c>
      <c r="CE23" t="e">
        <f t="shared" si="83"/>
        <v>#DIV/0!</v>
      </c>
    </row>
    <row r="24" spans="1:83" x14ac:dyDescent="0.25">
      <c r="A24" s="1">
        <v>7</v>
      </c>
      <c r="B24" s="1" t="s">
        <v>143</v>
      </c>
      <c r="C24" s="1">
        <v>550.99996740184724</v>
      </c>
      <c r="D24" s="1">
        <v>0</v>
      </c>
      <c r="E24">
        <f t="shared" si="42"/>
        <v>4.2301003954119212</v>
      </c>
      <c r="F24">
        <f t="shared" si="43"/>
        <v>0.10501264447332333</v>
      </c>
      <c r="G24">
        <f t="shared" si="44"/>
        <v>330.74939300037994</v>
      </c>
      <c r="H24" s="1">
        <v>35</v>
      </c>
      <c r="I24" s="1">
        <v>34</v>
      </c>
      <c r="J24" s="1">
        <v>0</v>
      </c>
      <c r="K24" s="1">
        <v>0</v>
      </c>
      <c r="L24" s="1">
        <v>496.39794921875</v>
      </c>
      <c r="M24" s="1">
        <v>1435.9119873046875</v>
      </c>
      <c r="N24" s="1">
        <v>649.67132568359375</v>
      </c>
      <c r="O24" t="e">
        <f t="shared" si="45"/>
        <v>#DIV/0!</v>
      </c>
      <c r="P24">
        <f t="shared" si="46"/>
        <v>0.65429778871717237</v>
      </c>
      <c r="Q24">
        <f t="shared" si="47"/>
        <v>0.54755491184172456</v>
      </c>
      <c r="R24" s="1">
        <v>-1</v>
      </c>
      <c r="S24" s="1">
        <v>0.87</v>
      </c>
      <c r="T24" s="1">
        <v>0.92</v>
      </c>
      <c r="U24" s="1">
        <v>9.3449592590332031</v>
      </c>
      <c r="V24">
        <f t="shared" si="48"/>
        <v>0.87467247962951655</v>
      </c>
      <c r="W24">
        <f t="shared" si="49"/>
        <v>3.9637974659673489E-2</v>
      </c>
      <c r="X24">
        <f t="shared" si="50"/>
        <v>0.83685887570439499</v>
      </c>
      <c r="Y24">
        <f t="shared" si="51"/>
        <v>2.8926630127392357</v>
      </c>
      <c r="Z24">
        <f t="shared" si="52"/>
        <v>-1</v>
      </c>
      <c r="AA24" s="1">
        <v>150.85270690917969</v>
      </c>
      <c r="AB24" s="1">
        <v>0.5</v>
      </c>
      <c r="AC24">
        <f t="shared" si="53"/>
        <v>36.12403491249335</v>
      </c>
      <c r="AD24">
        <f t="shared" si="54"/>
        <v>0.7051955266604476</v>
      </c>
      <c r="AE24">
        <f t="shared" si="55"/>
        <v>0.6823160757833131</v>
      </c>
      <c r="AF24">
        <f t="shared" si="56"/>
        <v>9.8551836013793945</v>
      </c>
      <c r="AG24" s="1">
        <v>1.8600000143051147</v>
      </c>
      <c r="AH24">
        <f t="shared" si="57"/>
        <v>4.8345794007042855</v>
      </c>
      <c r="AI24" s="1">
        <v>1</v>
      </c>
      <c r="AJ24">
        <f t="shared" si="58"/>
        <v>9.669158801408571</v>
      </c>
      <c r="AK24" s="1">
        <v>6.8809232711791992</v>
      </c>
      <c r="AL24" s="1">
        <v>9.8551836013793945</v>
      </c>
      <c r="AM24" s="1">
        <v>4.357518196105957</v>
      </c>
      <c r="AN24" s="1">
        <v>405.37002563476562</v>
      </c>
      <c r="AO24" s="1">
        <v>399.76065063476562</v>
      </c>
      <c r="AP24" s="1">
        <v>4.4367990493774414</v>
      </c>
      <c r="AQ24" s="1">
        <v>5.3088507652282715</v>
      </c>
      <c r="AR24" s="1">
        <v>45.095840454101563</v>
      </c>
      <c r="AS24" s="1">
        <v>53.959419250488281</v>
      </c>
      <c r="AT24" s="1">
        <v>149.61271667480469</v>
      </c>
      <c r="AU24" s="1">
        <v>150.85270690917969</v>
      </c>
      <c r="AV24" s="1">
        <v>25.470357894897461</v>
      </c>
      <c r="AW24" s="1">
        <v>101.39340209960937</v>
      </c>
      <c r="AX24" s="1">
        <v>5.1689658164978027</v>
      </c>
      <c r="AY24" s="1">
        <v>0.11258729547262192</v>
      </c>
      <c r="AZ24" s="1">
        <v>0.75</v>
      </c>
      <c r="BA24" s="1">
        <v>-1.355140209197998</v>
      </c>
      <c r="BB24" s="1">
        <v>7.355140209197998</v>
      </c>
      <c r="BC24" s="1">
        <v>1</v>
      </c>
      <c r="BD24" s="1">
        <v>0</v>
      </c>
      <c r="BE24" s="1">
        <v>0.15999999642372131</v>
      </c>
      <c r="BF24" s="1">
        <v>111115</v>
      </c>
      <c r="BG24">
        <f t="shared" si="59"/>
        <v>0.80436943830185459</v>
      </c>
      <c r="BH24">
        <f t="shared" si="60"/>
        <v>7.0519552666044761E-4</v>
      </c>
      <c r="BI24">
        <f t="shared" si="61"/>
        <v>283.00518360137937</v>
      </c>
      <c r="BJ24">
        <f t="shared" si="62"/>
        <v>280.03092327117918</v>
      </c>
      <c r="BK24">
        <f t="shared" si="63"/>
        <v>24.136432565977429</v>
      </c>
      <c r="BL24">
        <f t="shared" si="64"/>
        <v>-0.13768337765693936</v>
      </c>
      <c r="BM24">
        <f t="shared" si="65"/>
        <v>1.2205985161089221</v>
      </c>
      <c r="BN24">
        <f t="shared" si="66"/>
        <v>12.038244016211232</v>
      </c>
      <c r="BO24">
        <f t="shared" si="67"/>
        <v>6.7293932509829606</v>
      </c>
      <c r="BP24">
        <f t="shared" si="68"/>
        <v>8.3680534362792969</v>
      </c>
      <c r="BQ24">
        <f t="shared" si="69"/>
        <v>1.1041274792157245</v>
      </c>
      <c r="BR24">
        <f t="shared" si="70"/>
        <v>0.10388439994023538</v>
      </c>
      <c r="BS24">
        <f t="shared" si="71"/>
        <v>0.53828244032560901</v>
      </c>
      <c r="BT24">
        <f t="shared" si="72"/>
        <v>0.5658450388901155</v>
      </c>
      <c r="BU24">
        <f t="shared" si="73"/>
        <v>6.5028181730337017E-2</v>
      </c>
      <c r="BV24">
        <f t="shared" si="74"/>
        <v>33.535806198689251</v>
      </c>
      <c r="BW24">
        <f t="shared" si="75"/>
        <v>0.82736855784878982</v>
      </c>
      <c r="BX24">
        <f t="shared" si="76"/>
        <v>44.216621802213538</v>
      </c>
      <c r="BY24">
        <f t="shared" si="77"/>
        <v>399.17004749636499</v>
      </c>
      <c r="BZ24">
        <f t="shared" si="78"/>
        <v>4.6857410906069085E-3</v>
      </c>
      <c r="CA24">
        <f t="shared" si="79"/>
        <v>0</v>
      </c>
      <c r="CB24">
        <f t="shared" si="80"/>
        <v>131.94671121107689</v>
      </c>
      <c r="CC24">
        <f t="shared" si="81"/>
        <v>939.5140380859375</v>
      </c>
      <c r="CD24">
        <f t="shared" si="82"/>
        <v>0.54755491184172456</v>
      </c>
      <c r="CE24" t="e">
        <f t="shared" si="83"/>
        <v>#DIV/0!</v>
      </c>
    </row>
    <row r="25" spans="1:83" x14ac:dyDescent="0.25">
      <c r="A25" s="1">
        <v>8</v>
      </c>
      <c r="B25" s="1" t="s">
        <v>144</v>
      </c>
      <c r="C25" s="1">
        <v>624.99996230192482</v>
      </c>
      <c r="D25" s="1">
        <v>0</v>
      </c>
      <c r="E25">
        <f t="shared" si="42"/>
        <v>3.7944490073507433</v>
      </c>
      <c r="F25">
        <f t="shared" si="43"/>
        <v>0.10479548263105609</v>
      </c>
      <c r="G25">
        <f t="shared" si="44"/>
        <v>338.01620947006222</v>
      </c>
      <c r="H25" s="1">
        <v>36</v>
      </c>
      <c r="I25" s="1">
        <v>35</v>
      </c>
      <c r="J25" s="1">
        <v>0</v>
      </c>
      <c r="K25" s="1">
        <v>0</v>
      </c>
      <c r="L25" s="1">
        <v>509.399169921875</v>
      </c>
      <c r="M25" s="1">
        <v>1548.35400390625</v>
      </c>
      <c r="N25" s="1">
        <v>657.93792724609375</v>
      </c>
      <c r="O25" t="e">
        <f t="shared" si="45"/>
        <v>#DIV/0!</v>
      </c>
      <c r="P25">
        <f t="shared" si="46"/>
        <v>0.6710060046754539</v>
      </c>
      <c r="Q25">
        <f t="shared" si="47"/>
        <v>0.57507267357062963</v>
      </c>
      <c r="R25" s="1">
        <v>-1</v>
      </c>
      <c r="S25" s="1">
        <v>0.87</v>
      </c>
      <c r="T25" s="1">
        <v>0.92</v>
      </c>
      <c r="U25" s="1">
        <v>11.292572975158691</v>
      </c>
      <c r="V25">
        <f t="shared" si="48"/>
        <v>0.87564628648757947</v>
      </c>
      <c r="W25">
        <f t="shared" si="49"/>
        <v>4.4178210243353312E-2</v>
      </c>
      <c r="X25">
        <f t="shared" si="50"/>
        <v>0.85703059222066946</v>
      </c>
      <c r="Y25">
        <f t="shared" si="51"/>
        <v>3.0395691538792975</v>
      </c>
      <c r="Z25">
        <f t="shared" si="52"/>
        <v>-1</v>
      </c>
      <c r="AA25" s="1">
        <v>123.937255859375</v>
      </c>
      <c r="AB25" s="1">
        <v>0.5</v>
      </c>
      <c r="AC25">
        <f t="shared" si="53"/>
        <v>31.204937838898331</v>
      </c>
      <c r="AD25">
        <f t="shared" si="54"/>
        <v>0.70213458479982438</v>
      </c>
      <c r="AE25">
        <f t="shared" si="55"/>
        <v>0.68070413410496344</v>
      </c>
      <c r="AF25">
        <f t="shared" si="56"/>
        <v>9.8170995712280273</v>
      </c>
      <c r="AG25" s="1">
        <v>1.8600000143051147</v>
      </c>
      <c r="AH25">
        <f t="shared" si="57"/>
        <v>4.8345794007042855</v>
      </c>
      <c r="AI25" s="1">
        <v>1</v>
      </c>
      <c r="AJ25">
        <f t="shared" si="58"/>
        <v>9.669158801408571</v>
      </c>
      <c r="AK25" s="1">
        <v>6.9182543754577637</v>
      </c>
      <c r="AL25" s="1">
        <v>9.8170995712280273</v>
      </c>
      <c r="AM25" s="1">
        <v>4.3695378303527832</v>
      </c>
      <c r="AN25" s="1">
        <v>405.55010986328125</v>
      </c>
      <c r="AO25" s="1">
        <v>400.48196411132812</v>
      </c>
      <c r="AP25" s="1">
        <v>4.4260048866271973</v>
      </c>
      <c r="AQ25" s="1">
        <v>5.2945013046264648</v>
      </c>
      <c r="AR25" s="1">
        <v>44.867168426513672</v>
      </c>
      <c r="AS25" s="1">
        <v>53.671268463134766</v>
      </c>
      <c r="AT25" s="1">
        <v>149.57527160644531</v>
      </c>
      <c r="AU25" s="1">
        <v>123.937255859375</v>
      </c>
      <c r="AV25" s="1">
        <v>25.539237976074219</v>
      </c>
      <c r="AW25" s="1">
        <v>101.38475036621094</v>
      </c>
      <c r="AX25" s="1">
        <v>5.1689658164978027</v>
      </c>
      <c r="AY25" s="1">
        <v>0.11258729547262192</v>
      </c>
      <c r="AZ25" s="1">
        <v>0.5</v>
      </c>
      <c r="BA25" s="1">
        <v>-1.355140209197998</v>
      </c>
      <c r="BB25" s="1">
        <v>7.355140209197998</v>
      </c>
      <c r="BC25" s="1">
        <v>1</v>
      </c>
      <c r="BD25" s="1">
        <v>0</v>
      </c>
      <c r="BE25" s="1">
        <v>0.15999999642372131</v>
      </c>
      <c r="BF25" s="1">
        <v>111115</v>
      </c>
      <c r="BG25">
        <f t="shared" si="59"/>
        <v>0.80416812073157828</v>
      </c>
      <c r="BH25">
        <f t="shared" si="60"/>
        <v>7.0213458479982433E-4</v>
      </c>
      <c r="BI25">
        <f t="shared" si="61"/>
        <v>282.967099571228</v>
      </c>
      <c r="BJ25">
        <f t="shared" si="62"/>
        <v>280.06825437545774</v>
      </c>
      <c r="BK25">
        <f t="shared" si="63"/>
        <v>19.829960494265833</v>
      </c>
      <c r="BL25">
        <f t="shared" si="64"/>
        <v>-0.15102955981332916</v>
      </c>
      <c r="BM25">
        <f t="shared" si="65"/>
        <v>1.2174858271880957</v>
      </c>
      <c r="BN25">
        <f t="shared" si="66"/>
        <v>12.008569560909567</v>
      </c>
      <c r="BO25">
        <f t="shared" si="67"/>
        <v>6.7140682562831024</v>
      </c>
      <c r="BP25">
        <f t="shared" si="68"/>
        <v>8.3676769733428955</v>
      </c>
      <c r="BQ25">
        <f t="shared" si="69"/>
        <v>1.104099281749704</v>
      </c>
      <c r="BR25">
        <f t="shared" si="70"/>
        <v>0.10367187463569139</v>
      </c>
      <c r="BS25">
        <f t="shared" si="71"/>
        <v>0.53678169308313228</v>
      </c>
      <c r="BT25">
        <f t="shared" si="72"/>
        <v>0.56731758866657167</v>
      </c>
      <c r="BU25">
        <f t="shared" si="73"/>
        <v>6.4894942594902888E-2</v>
      </c>
      <c r="BV25">
        <f t="shared" si="74"/>
        <v>34.269689016855125</v>
      </c>
      <c r="BW25">
        <f t="shared" si="75"/>
        <v>0.84402355102338311</v>
      </c>
      <c r="BX25">
        <f t="shared" si="76"/>
        <v>44.206124985841598</v>
      </c>
      <c r="BY25">
        <f t="shared" si="77"/>
        <v>399.95218626145174</v>
      </c>
      <c r="BZ25">
        <f t="shared" si="78"/>
        <v>4.1939484976761211E-3</v>
      </c>
      <c r="CA25">
        <f t="shared" si="79"/>
        <v>0</v>
      </c>
      <c r="CB25">
        <f t="shared" si="80"/>
        <v>108.52519785072272</v>
      </c>
      <c r="CC25">
        <f t="shared" si="81"/>
        <v>1038.954833984375</v>
      </c>
      <c r="CD25">
        <f t="shared" si="82"/>
        <v>0.57507267357062963</v>
      </c>
      <c r="CE25" t="e">
        <f t="shared" si="83"/>
        <v>#DIV/0!</v>
      </c>
    </row>
    <row r="26" spans="1:83" x14ac:dyDescent="0.25">
      <c r="A26" s="1">
        <v>9</v>
      </c>
      <c r="B26" s="1" t="s">
        <v>145</v>
      </c>
      <c r="C26" s="1">
        <v>698.99995720200241</v>
      </c>
      <c r="D26" s="1">
        <v>0</v>
      </c>
      <c r="E26">
        <f t="shared" si="42"/>
        <v>3.3291510203054822</v>
      </c>
      <c r="F26">
        <f t="shared" si="43"/>
        <v>0.1063893342986737</v>
      </c>
      <c r="G26">
        <f t="shared" si="44"/>
        <v>346.51582278547141</v>
      </c>
      <c r="H26" s="1">
        <v>37</v>
      </c>
      <c r="I26" s="1">
        <v>36</v>
      </c>
      <c r="J26" s="1">
        <v>0</v>
      </c>
      <c r="K26" s="1">
        <v>0</v>
      </c>
      <c r="L26" s="1">
        <v>517.8125</v>
      </c>
      <c r="M26" s="1">
        <v>1636.1087646484375</v>
      </c>
      <c r="N26" s="1">
        <v>653.6278076171875</v>
      </c>
      <c r="O26" t="e">
        <f t="shared" si="45"/>
        <v>#DIV/0!</v>
      </c>
      <c r="P26">
        <f t="shared" si="46"/>
        <v>0.68350973285613681</v>
      </c>
      <c r="Q26">
        <f t="shared" si="47"/>
        <v>0.60049855991228229</v>
      </c>
      <c r="R26" s="1">
        <v>-1</v>
      </c>
      <c r="S26" s="1">
        <v>0.87</v>
      </c>
      <c r="T26" s="1">
        <v>0.92</v>
      </c>
      <c r="U26" s="1">
        <v>10.31254768371582</v>
      </c>
      <c r="V26">
        <f t="shared" si="48"/>
        <v>0.8751562738418579</v>
      </c>
      <c r="W26">
        <f t="shared" si="49"/>
        <v>5.0371470685045099E-2</v>
      </c>
      <c r="X26">
        <f t="shared" si="50"/>
        <v>0.87855158609522477</v>
      </c>
      <c r="Y26">
        <f t="shared" si="51"/>
        <v>3.1596548261164754</v>
      </c>
      <c r="Z26">
        <f t="shared" si="52"/>
        <v>-1</v>
      </c>
      <c r="AA26" s="1">
        <v>98.204750061035156</v>
      </c>
      <c r="AB26" s="1">
        <v>0.5</v>
      </c>
      <c r="AC26">
        <f t="shared" si="53"/>
        <v>25.804775183068511</v>
      </c>
      <c r="AD26">
        <f t="shared" si="54"/>
        <v>0.70470093515510068</v>
      </c>
      <c r="AE26">
        <f t="shared" si="55"/>
        <v>0.67316876898044886</v>
      </c>
      <c r="AF26">
        <f t="shared" si="56"/>
        <v>9.7205677032470703</v>
      </c>
      <c r="AG26" s="1">
        <v>1.8600000143051147</v>
      </c>
      <c r="AH26">
        <f t="shared" si="57"/>
        <v>4.8345794007042855</v>
      </c>
      <c r="AI26" s="1">
        <v>1</v>
      </c>
      <c r="AJ26">
        <f t="shared" si="58"/>
        <v>9.669158801408571</v>
      </c>
      <c r="AK26" s="1">
        <v>7.180443286895752</v>
      </c>
      <c r="AL26" s="1">
        <v>9.7205677032470703</v>
      </c>
      <c r="AM26" s="1">
        <v>5.2282500267028809</v>
      </c>
      <c r="AN26" s="1">
        <v>405.54547119140625</v>
      </c>
      <c r="AO26" s="1">
        <v>401.05368041992187</v>
      </c>
      <c r="AP26" s="1">
        <v>4.4189672470092773</v>
      </c>
      <c r="AQ26" s="1">
        <v>5.2907333374023437</v>
      </c>
      <c r="AR26" s="1">
        <v>44.002605438232422</v>
      </c>
      <c r="AS26" s="1">
        <v>52.683361053466797</v>
      </c>
      <c r="AT26" s="1">
        <v>149.55949401855469</v>
      </c>
      <c r="AU26" s="1">
        <v>98.204750061035156</v>
      </c>
      <c r="AV26" s="1">
        <v>25.223691940307617</v>
      </c>
      <c r="AW26" s="1">
        <v>101.39588928222656</v>
      </c>
      <c r="AX26" s="1">
        <v>5.1689658164978027</v>
      </c>
      <c r="AY26" s="1">
        <v>0.11258729547262192</v>
      </c>
      <c r="AZ26" s="1">
        <v>1</v>
      </c>
      <c r="BA26" s="1">
        <v>-1.355140209197998</v>
      </c>
      <c r="BB26" s="1">
        <v>7.355140209197998</v>
      </c>
      <c r="BC26" s="1">
        <v>1</v>
      </c>
      <c r="BD26" s="1">
        <v>0</v>
      </c>
      <c r="BE26" s="1">
        <v>0.15999999642372131</v>
      </c>
      <c r="BF26" s="1">
        <v>111115</v>
      </c>
      <c r="BG26">
        <f t="shared" si="59"/>
        <v>0.80408329499088316</v>
      </c>
      <c r="BH26">
        <f t="shared" si="60"/>
        <v>7.0470093515510065E-4</v>
      </c>
      <c r="BI26">
        <f t="shared" si="61"/>
        <v>282.87056770324705</v>
      </c>
      <c r="BJ26">
        <f t="shared" si="62"/>
        <v>280.33044328689573</v>
      </c>
      <c r="BK26">
        <f t="shared" si="63"/>
        <v>15.71275965855807</v>
      </c>
      <c r="BL26">
        <f t="shared" si="64"/>
        <v>-0.15414431676519288</v>
      </c>
      <c r="BM26">
        <f t="shared" si="65"/>
        <v>1.2096273806814819</v>
      </c>
      <c r="BN26">
        <f t="shared" si="66"/>
        <v>11.929747736760712</v>
      </c>
      <c r="BO26">
        <f t="shared" si="67"/>
        <v>6.6390143993583681</v>
      </c>
      <c r="BP26">
        <f t="shared" si="68"/>
        <v>8.4505054950714111</v>
      </c>
      <c r="BQ26">
        <f t="shared" si="69"/>
        <v>1.1103185449269182</v>
      </c>
      <c r="BR26">
        <f t="shared" si="70"/>
        <v>0.1052314769288991</v>
      </c>
      <c r="BS26">
        <f t="shared" si="71"/>
        <v>0.53645861170103304</v>
      </c>
      <c r="BT26">
        <f t="shared" si="72"/>
        <v>0.57385993322588513</v>
      </c>
      <c r="BU26">
        <f t="shared" si="73"/>
        <v>6.587272841530302E-2</v>
      </c>
      <c r="BV26">
        <f t="shared" si="74"/>
        <v>35.1352800016953</v>
      </c>
      <c r="BW26">
        <f t="shared" si="75"/>
        <v>0.86401357150657043</v>
      </c>
      <c r="BX26">
        <f t="shared" si="76"/>
        <v>44.476671131089986</v>
      </c>
      <c r="BY26">
        <f t="shared" si="77"/>
        <v>400.58886709233877</v>
      </c>
      <c r="BZ26">
        <f t="shared" si="78"/>
        <v>3.6962973072771008E-3</v>
      </c>
      <c r="CA26">
        <f t="shared" si="79"/>
        <v>0</v>
      </c>
      <c r="CB26">
        <f t="shared" si="80"/>
        <v>85.944503136986498</v>
      </c>
      <c r="CC26">
        <f t="shared" si="81"/>
        <v>1118.2962646484375</v>
      </c>
      <c r="CD26">
        <f t="shared" si="82"/>
        <v>0.60049855991228229</v>
      </c>
      <c r="CE26" t="e">
        <f t="shared" si="83"/>
        <v>#DIV/0!</v>
      </c>
    </row>
    <row r="27" spans="1:83" x14ac:dyDescent="0.25">
      <c r="A27" s="1">
        <v>10</v>
      </c>
      <c r="B27" s="1" t="s">
        <v>146</v>
      </c>
      <c r="C27" s="1">
        <v>772.99995210207999</v>
      </c>
      <c r="D27" s="1">
        <v>0</v>
      </c>
      <c r="E27">
        <f t="shared" si="42"/>
        <v>2.2233824610575823</v>
      </c>
      <c r="F27">
        <f t="shared" si="43"/>
        <v>0.10205031122479177</v>
      </c>
      <c r="G27">
        <f t="shared" si="44"/>
        <v>361.67930557138982</v>
      </c>
      <c r="H27" s="1">
        <v>38</v>
      </c>
      <c r="I27" s="1">
        <v>37</v>
      </c>
      <c r="J27" s="1">
        <v>0</v>
      </c>
      <c r="K27" s="1">
        <v>0</v>
      </c>
      <c r="L27" s="1">
        <v>520.40771484375</v>
      </c>
      <c r="M27" s="1">
        <v>1700.354736328125</v>
      </c>
      <c r="N27" s="1">
        <v>641.1495361328125</v>
      </c>
      <c r="O27" t="e">
        <f t="shared" si="45"/>
        <v>#DIV/0!</v>
      </c>
      <c r="P27">
        <f t="shared" si="46"/>
        <v>0.69394167950650232</v>
      </c>
      <c r="Q27">
        <f t="shared" si="47"/>
        <v>0.62293189624809731</v>
      </c>
      <c r="R27" s="1">
        <v>-1</v>
      </c>
      <c r="S27" s="1">
        <v>0.87</v>
      </c>
      <c r="T27" s="1">
        <v>0.92</v>
      </c>
      <c r="U27" s="1">
        <v>8.1733760833740234</v>
      </c>
      <c r="V27">
        <f t="shared" si="48"/>
        <v>0.87408668804168699</v>
      </c>
      <c r="W27">
        <f t="shared" si="49"/>
        <v>4.817177906482021E-2</v>
      </c>
      <c r="X27">
        <f t="shared" si="50"/>
        <v>0.89767182840364379</v>
      </c>
      <c r="Y27">
        <f t="shared" si="51"/>
        <v>3.2673511322533884</v>
      </c>
      <c r="Z27">
        <f t="shared" si="52"/>
        <v>-1</v>
      </c>
      <c r="AA27" s="1">
        <v>76.553428649902344</v>
      </c>
      <c r="AB27" s="1">
        <v>0.5</v>
      </c>
      <c r="AC27">
        <f t="shared" si="53"/>
        <v>20.84153614191364</v>
      </c>
      <c r="AD27">
        <f t="shared" si="54"/>
        <v>0.68814487399691004</v>
      </c>
      <c r="AE27">
        <f t="shared" si="55"/>
        <v>0.68497821289079419</v>
      </c>
      <c r="AF27">
        <f t="shared" si="56"/>
        <v>9.8281002044677734</v>
      </c>
      <c r="AG27" s="1">
        <v>1.8600000143051147</v>
      </c>
      <c r="AH27">
        <f t="shared" si="57"/>
        <v>4.8345794007042855</v>
      </c>
      <c r="AI27" s="1">
        <v>1</v>
      </c>
      <c r="AJ27">
        <f t="shared" si="58"/>
        <v>9.669158801408571</v>
      </c>
      <c r="AK27" s="1">
        <v>7.272491455078125</v>
      </c>
      <c r="AL27" s="1">
        <v>9.8281002044677734</v>
      </c>
      <c r="AM27" s="1">
        <v>4.5461010932922363</v>
      </c>
      <c r="AN27" s="1">
        <v>404.11349487304687</v>
      </c>
      <c r="AO27" s="1">
        <v>401.0052490234375</v>
      </c>
      <c r="AP27" s="1">
        <v>4.4093418121337891</v>
      </c>
      <c r="AQ27" s="1">
        <v>5.2606377601623535</v>
      </c>
      <c r="AR27" s="1">
        <v>43.630844116210937</v>
      </c>
      <c r="AS27" s="1">
        <v>52.054500579833984</v>
      </c>
      <c r="AT27" s="1">
        <v>149.56210327148437</v>
      </c>
      <c r="AU27" s="1">
        <v>76.553428649902344</v>
      </c>
      <c r="AV27" s="1">
        <v>25.028289794921875</v>
      </c>
      <c r="AW27" s="1">
        <v>101.39569091796875</v>
      </c>
      <c r="AX27" s="1">
        <v>5.1689658164978027</v>
      </c>
      <c r="AY27" s="1">
        <v>0.11258729547262192</v>
      </c>
      <c r="AZ27" s="1">
        <v>0.5</v>
      </c>
      <c r="BA27" s="1">
        <v>-1.355140209197998</v>
      </c>
      <c r="BB27" s="1">
        <v>7.355140209197998</v>
      </c>
      <c r="BC27" s="1">
        <v>1</v>
      </c>
      <c r="BD27" s="1">
        <v>0</v>
      </c>
      <c r="BE27" s="1">
        <v>0.15999999642372131</v>
      </c>
      <c r="BF27" s="1">
        <v>111115</v>
      </c>
      <c r="BG27">
        <f t="shared" si="59"/>
        <v>0.80409732323233274</v>
      </c>
      <c r="BH27">
        <f t="shared" si="60"/>
        <v>6.8814487399691002E-4</v>
      </c>
      <c r="BI27">
        <f t="shared" si="61"/>
        <v>282.97810020446775</v>
      </c>
      <c r="BJ27">
        <f t="shared" si="62"/>
        <v>280.4224914550781</v>
      </c>
      <c r="BK27">
        <f t="shared" si="63"/>
        <v>12.24854831020798</v>
      </c>
      <c r="BL27">
        <f t="shared" si="64"/>
        <v>-0.16540240841573109</v>
      </c>
      <c r="BM27">
        <f t="shared" si="65"/>
        <v>1.2183842132516116</v>
      </c>
      <c r="BN27">
        <f t="shared" si="66"/>
        <v>12.016134041014721</v>
      </c>
      <c r="BO27">
        <f t="shared" si="67"/>
        <v>6.755496280852368</v>
      </c>
      <c r="BP27">
        <f t="shared" si="68"/>
        <v>8.5502958297729492</v>
      </c>
      <c r="BQ27">
        <f t="shared" si="69"/>
        <v>1.1178524121719522</v>
      </c>
      <c r="BR27">
        <f t="shared" si="70"/>
        <v>0.1009844998291875</v>
      </c>
      <c r="BS27">
        <f t="shared" si="71"/>
        <v>0.53340600036081742</v>
      </c>
      <c r="BT27">
        <f t="shared" si="72"/>
        <v>0.58444641181113477</v>
      </c>
      <c r="BU27">
        <f t="shared" si="73"/>
        <v>6.3210211280733244E-2</v>
      </c>
      <c r="BV27">
        <f t="shared" si="74"/>
        <v>36.672723079142216</v>
      </c>
      <c r="BW27">
        <f t="shared" si="75"/>
        <v>0.90193159928001543</v>
      </c>
      <c r="BX27">
        <f t="shared" si="76"/>
        <v>43.882181339783266</v>
      </c>
      <c r="BY27">
        <f t="shared" si="77"/>
        <v>400.69482219271976</v>
      </c>
      <c r="BZ27">
        <f t="shared" si="78"/>
        <v>2.4349421789357758E-3</v>
      </c>
      <c r="CA27">
        <f t="shared" si="79"/>
        <v>0</v>
      </c>
      <c r="CB27">
        <f t="shared" si="80"/>
        <v>66.914332906828733</v>
      </c>
      <c r="CC27">
        <f t="shared" si="81"/>
        <v>1179.947021484375</v>
      </c>
      <c r="CD27">
        <f t="shared" si="82"/>
        <v>0.62293189624809731</v>
      </c>
      <c r="CE27" t="e">
        <f t="shared" si="83"/>
        <v>#DIV/0!</v>
      </c>
    </row>
    <row r="28" spans="1:83" x14ac:dyDescent="0.25">
      <c r="A28" s="1">
        <v>11</v>
      </c>
      <c r="B28" s="1" t="s">
        <v>147</v>
      </c>
      <c r="C28" s="1">
        <v>847.49994696769863</v>
      </c>
      <c r="D28" s="1">
        <v>0</v>
      </c>
      <c r="E28">
        <f t="shared" si="42"/>
        <v>1.0218318198646152</v>
      </c>
      <c r="F28">
        <f t="shared" si="43"/>
        <v>9.862227519074139E-2</v>
      </c>
      <c r="G28">
        <f t="shared" si="44"/>
        <v>379.6128167013195</v>
      </c>
      <c r="H28" s="1">
        <v>39</v>
      </c>
      <c r="I28" s="1">
        <v>38</v>
      </c>
      <c r="J28" s="1">
        <v>0</v>
      </c>
      <c r="K28" s="1">
        <v>0</v>
      </c>
      <c r="L28" s="1">
        <v>522.46484375</v>
      </c>
      <c r="M28" s="1">
        <v>1768.161376953125</v>
      </c>
      <c r="N28" s="1">
        <v>621.64947509765625</v>
      </c>
      <c r="O28" t="e">
        <f t="shared" si="45"/>
        <v>#DIV/0!</v>
      </c>
      <c r="P28">
        <f t="shared" si="46"/>
        <v>0.70451518138558977</v>
      </c>
      <c r="Q28">
        <f t="shared" si="47"/>
        <v>0.64842039691598996</v>
      </c>
      <c r="R28" s="1">
        <v>-1</v>
      </c>
      <c r="S28" s="1">
        <v>0.87</v>
      </c>
      <c r="T28" s="1">
        <v>0.92</v>
      </c>
      <c r="U28" s="1">
        <v>12.256671905517578</v>
      </c>
      <c r="V28">
        <f t="shared" si="48"/>
        <v>0.87612833595275885</v>
      </c>
      <c r="W28">
        <f t="shared" si="49"/>
        <v>4.4845488830158965E-2</v>
      </c>
      <c r="X28">
        <f t="shared" si="50"/>
        <v>0.92037817501778096</v>
      </c>
      <c r="Y28">
        <f t="shared" si="51"/>
        <v>3.3842686222906746</v>
      </c>
      <c r="Z28">
        <f t="shared" si="52"/>
        <v>-1</v>
      </c>
      <c r="AA28" s="1">
        <v>51.458667755126953</v>
      </c>
      <c r="AB28" s="1">
        <v>0.5</v>
      </c>
      <c r="AC28">
        <f t="shared" si="53"/>
        <v>14.616821282727726</v>
      </c>
      <c r="AD28">
        <f t="shared" si="54"/>
        <v>0.6625400824011406</v>
      </c>
      <c r="AE28">
        <f t="shared" si="55"/>
        <v>0.68217773414147231</v>
      </c>
      <c r="AF28">
        <f t="shared" si="56"/>
        <v>9.7429561614990234</v>
      </c>
      <c r="AG28" s="1">
        <v>1.8600000143051147</v>
      </c>
      <c r="AH28">
        <f t="shared" si="57"/>
        <v>4.8345794007042855</v>
      </c>
      <c r="AI28" s="1">
        <v>1</v>
      </c>
      <c r="AJ28">
        <f t="shared" si="58"/>
        <v>9.669158801408571</v>
      </c>
      <c r="AK28" s="1">
        <v>7.0528697967529297</v>
      </c>
      <c r="AL28" s="1">
        <v>9.7429561614990234</v>
      </c>
      <c r="AM28" s="1">
        <v>4.565129280090332</v>
      </c>
      <c r="AN28" s="1">
        <v>402.16549682617187</v>
      </c>
      <c r="AO28" s="1">
        <v>400.56488037109375</v>
      </c>
      <c r="AP28" s="1">
        <v>4.4005508422851562</v>
      </c>
      <c r="AQ28" s="1">
        <v>5.2200961112976074</v>
      </c>
      <c r="AR28" s="1">
        <v>44.201618194580078</v>
      </c>
      <c r="AS28" s="1">
        <v>52.43359375</v>
      </c>
      <c r="AT28" s="1">
        <v>149.58193969726562</v>
      </c>
      <c r="AU28" s="1">
        <v>51.458667755126953</v>
      </c>
      <c r="AV28" s="1">
        <v>24.998380661010742</v>
      </c>
      <c r="AW28" s="1">
        <v>101.39051818847656</v>
      </c>
      <c r="AX28" s="1">
        <v>5.1689658164978027</v>
      </c>
      <c r="AY28" s="1">
        <v>0.11258729547262192</v>
      </c>
      <c r="AZ28" s="1">
        <v>0.75</v>
      </c>
      <c r="BA28" s="1">
        <v>-1.355140209197998</v>
      </c>
      <c r="BB28" s="1">
        <v>7.355140209197998</v>
      </c>
      <c r="BC28" s="1">
        <v>1</v>
      </c>
      <c r="BD28" s="1">
        <v>0</v>
      </c>
      <c r="BE28" s="1">
        <v>0.15999999642372131</v>
      </c>
      <c r="BF28" s="1">
        <v>111115</v>
      </c>
      <c r="BG28">
        <f t="shared" si="59"/>
        <v>0.80420397068194938</v>
      </c>
      <c r="BH28">
        <f t="shared" si="60"/>
        <v>6.6254008240114058E-4</v>
      </c>
      <c r="BI28">
        <f t="shared" si="61"/>
        <v>282.892956161499</v>
      </c>
      <c r="BJ28">
        <f t="shared" si="62"/>
        <v>280.20286979675291</v>
      </c>
      <c r="BK28">
        <f t="shared" si="63"/>
        <v>8.2333866567897758</v>
      </c>
      <c r="BL28">
        <f t="shared" si="64"/>
        <v>-0.18143673371162025</v>
      </c>
      <c r="BM28">
        <f t="shared" si="65"/>
        <v>1.2114459838595881</v>
      </c>
      <c r="BN28">
        <f t="shared" si="66"/>
        <v>11.948316326854258</v>
      </c>
      <c r="BO28">
        <f t="shared" si="67"/>
        <v>6.7282202155566502</v>
      </c>
      <c r="BP28">
        <f t="shared" si="68"/>
        <v>8.3979129791259766</v>
      </c>
      <c r="BQ28">
        <f t="shared" si="69"/>
        <v>1.1063660136170885</v>
      </c>
      <c r="BR28">
        <f t="shared" si="70"/>
        <v>9.7626516472612473E-2</v>
      </c>
      <c r="BS28">
        <f t="shared" si="71"/>
        <v>0.52926824971811581</v>
      </c>
      <c r="BT28">
        <f t="shared" si="72"/>
        <v>0.57709776389897272</v>
      </c>
      <c r="BU28">
        <f t="shared" si="73"/>
        <v>6.1105260937351573E-2</v>
      </c>
      <c r="BV28">
        <f t="shared" si="74"/>
        <v>38.489140196333956</v>
      </c>
      <c r="BW28">
        <f t="shared" si="75"/>
        <v>0.94769370781990747</v>
      </c>
      <c r="BX28">
        <f t="shared" si="76"/>
        <v>43.774875191464659</v>
      </c>
      <c r="BY28">
        <f t="shared" si="77"/>
        <v>400.422213052752</v>
      </c>
      <c r="BZ28">
        <f t="shared" si="78"/>
        <v>1.1170848899770675E-3</v>
      </c>
      <c r="CA28">
        <f t="shared" si="79"/>
        <v>0</v>
      </c>
      <c r="CB28">
        <f t="shared" si="80"/>
        <v>45.084396950645264</v>
      </c>
      <c r="CC28">
        <f t="shared" si="81"/>
        <v>1245.696533203125</v>
      </c>
      <c r="CD28">
        <f t="shared" si="82"/>
        <v>0.64842039691598996</v>
      </c>
      <c r="CE28" t="e">
        <f t="shared" si="83"/>
        <v>#DIV/0!</v>
      </c>
    </row>
    <row r="29" spans="1:83" x14ac:dyDescent="0.25">
      <c r="A29" s="1">
        <v>12</v>
      </c>
      <c r="B29" s="1" t="s">
        <v>148</v>
      </c>
      <c r="C29" s="1">
        <v>921.49994186777622</v>
      </c>
      <c r="D29" s="1">
        <v>0</v>
      </c>
      <c r="E29">
        <f t="shared" si="42"/>
        <v>0.42870755374750258</v>
      </c>
      <c r="F29">
        <f t="shared" si="43"/>
        <v>9.4336660521551763E-2</v>
      </c>
      <c r="G29">
        <f t="shared" si="44"/>
        <v>389.91036616855837</v>
      </c>
      <c r="H29" s="1">
        <v>40</v>
      </c>
      <c r="I29" s="1">
        <v>39</v>
      </c>
      <c r="J29" s="1">
        <v>0</v>
      </c>
      <c r="K29" s="1">
        <v>0</v>
      </c>
      <c r="L29" s="1">
        <v>520.89501953125</v>
      </c>
      <c r="M29" s="1">
        <v>1829.7125244140625</v>
      </c>
      <c r="N29" s="1">
        <v>583.84466552734375</v>
      </c>
      <c r="O29" t="e">
        <f t="shared" si="45"/>
        <v>#DIV/0!</v>
      </c>
      <c r="P29">
        <f t="shared" si="46"/>
        <v>0.71531319123584258</v>
      </c>
      <c r="Q29">
        <f t="shared" si="47"/>
        <v>0.68090907301718828</v>
      </c>
      <c r="R29" s="1">
        <v>-1</v>
      </c>
      <c r="S29" s="1">
        <v>0.87</v>
      </c>
      <c r="T29" s="1">
        <v>0.92</v>
      </c>
      <c r="U29" s="1">
        <v>14.168544769287109</v>
      </c>
      <c r="V29">
        <f t="shared" si="48"/>
        <v>0.8770842723846437</v>
      </c>
      <c r="W29">
        <f t="shared" si="49"/>
        <v>6.7686291709066371E-2</v>
      </c>
      <c r="X29">
        <f t="shared" si="50"/>
        <v>0.95190341987232963</v>
      </c>
      <c r="Y29">
        <f t="shared" si="51"/>
        <v>3.5126320195201881</v>
      </c>
      <c r="Z29">
        <f t="shared" si="52"/>
        <v>-1</v>
      </c>
      <c r="AA29" s="1">
        <v>24.065855026245117</v>
      </c>
      <c r="AB29" s="1">
        <v>0.5</v>
      </c>
      <c r="AC29">
        <f t="shared" si="53"/>
        <v>7.1862404592668838</v>
      </c>
      <c r="AD29">
        <f t="shared" si="54"/>
        <v>0.63259292776976672</v>
      </c>
      <c r="AE29">
        <f t="shared" si="55"/>
        <v>0.68070380326259972</v>
      </c>
      <c r="AF29">
        <f t="shared" si="56"/>
        <v>9.6694307327270508</v>
      </c>
      <c r="AG29" s="1">
        <v>1.8600000143051147</v>
      </c>
      <c r="AH29">
        <f t="shared" si="57"/>
        <v>4.8345794007042855</v>
      </c>
      <c r="AI29" s="1">
        <v>1</v>
      </c>
      <c r="AJ29">
        <f t="shared" si="58"/>
        <v>9.669158801408571</v>
      </c>
      <c r="AK29" s="1">
        <v>6.9337253570556641</v>
      </c>
      <c r="AL29" s="1">
        <v>9.6694307327270508</v>
      </c>
      <c r="AM29" s="1">
        <v>4.3695816993713379</v>
      </c>
      <c r="AN29" s="1">
        <v>402.37258911132812</v>
      </c>
      <c r="AO29" s="1">
        <v>401.52337646484375</v>
      </c>
      <c r="AP29" s="1">
        <v>4.3927555084228516</v>
      </c>
      <c r="AQ29" s="1">
        <v>5.1755576133728027</v>
      </c>
      <c r="AR29" s="1">
        <v>44.487617492675781</v>
      </c>
      <c r="AS29" s="1">
        <v>52.415443420410156</v>
      </c>
      <c r="AT29" s="1">
        <v>149.53117370605469</v>
      </c>
      <c r="AU29" s="1">
        <v>24.065855026245117</v>
      </c>
      <c r="AV29" s="1">
        <v>25.136222839355469</v>
      </c>
      <c r="AW29" s="1">
        <v>101.39559936523437</v>
      </c>
      <c r="AX29" s="1">
        <v>5.1689658164978027</v>
      </c>
      <c r="AY29" s="1">
        <v>0.11258729547262192</v>
      </c>
      <c r="AZ29" s="1">
        <v>0.5</v>
      </c>
      <c r="BA29" s="1">
        <v>-1.355140209197998</v>
      </c>
      <c r="BB29" s="1">
        <v>7.355140209197998</v>
      </c>
      <c r="BC29" s="1">
        <v>1</v>
      </c>
      <c r="BD29" s="1">
        <v>0</v>
      </c>
      <c r="BE29" s="1">
        <v>0.15999999642372131</v>
      </c>
      <c r="BF29" s="1">
        <v>111115</v>
      </c>
      <c r="BG29">
        <f t="shared" si="59"/>
        <v>0.80393103524743059</v>
      </c>
      <c r="BH29">
        <f t="shared" si="60"/>
        <v>6.3259292776976668E-4</v>
      </c>
      <c r="BI29">
        <f t="shared" si="61"/>
        <v>282.81943073272703</v>
      </c>
      <c r="BJ29">
        <f t="shared" si="62"/>
        <v>280.08372535705564</v>
      </c>
      <c r="BK29">
        <f t="shared" si="63"/>
        <v>3.8505367181330143</v>
      </c>
      <c r="BL29">
        <f t="shared" si="64"/>
        <v>-0.19489417592329303</v>
      </c>
      <c r="BM29">
        <f t="shared" si="65"/>
        <v>1.205482569519837</v>
      </c>
      <c r="BN29">
        <f t="shared" si="66"/>
        <v>11.888904223324332</v>
      </c>
      <c r="BO29">
        <f t="shared" si="67"/>
        <v>6.7133466099515289</v>
      </c>
      <c r="BP29">
        <f t="shared" si="68"/>
        <v>8.3015780448913574</v>
      </c>
      <c r="BQ29">
        <f t="shared" si="69"/>
        <v>1.0991582352498195</v>
      </c>
      <c r="BR29">
        <f t="shared" si="70"/>
        <v>9.3425162630959291E-2</v>
      </c>
      <c r="BS29">
        <f t="shared" si="71"/>
        <v>0.52477876625723729</v>
      </c>
      <c r="BT29">
        <f t="shared" si="72"/>
        <v>0.57437946899258219</v>
      </c>
      <c r="BU29">
        <f t="shared" si="73"/>
        <v>5.8471940575031543E-2</v>
      </c>
      <c r="BV29">
        <f t="shared" si="74"/>
        <v>39.535195276378985</v>
      </c>
      <c r="BW29">
        <f t="shared" si="75"/>
        <v>0.97107762342872661</v>
      </c>
      <c r="BX29">
        <f t="shared" si="76"/>
        <v>43.597025789846121</v>
      </c>
      <c r="BY29">
        <f t="shared" si="77"/>
        <v>401.46352066875579</v>
      </c>
      <c r="BZ29">
        <f t="shared" si="78"/>
        <v>4.6555597992807384E-4</v>
      </c>
      <c r="CA29">
        <f t="shared" si="79"/>
        <v>0</v>
      </c>
      <c r="CB29">
        <f t="shared" si="80"/>
        <v>21.10778294500852</v>
      </c>
      <c r="CC29">
        <f t="shared" si="81"/>
        <v>1308.8175048828125</v>
      </c>
      <c r="CD29">
        <f t="shared" si="82"/>
        <v>0.68090907301718828</v>
      </c>
      <c r="CE29" t="e">
        <f t="shared" si="83"/>
        <v>#DIV/0!</v>
      </c>
    </row>
    <row r="30" spans="1:83" x14ac:dyDescent="0.25">
      <c r="A30" s="1">
        <v>13</v>
      </c>
      <c r="B30" s="1" t="s">
        <v>149</v>
      </c>
      <c r="C30" s="1">
        <v>995.4999367678538</v>
      </c>
      <c r="D30" s="1">
        <v>0</v>
      </c>
      <c r="E30">
        <f t="shared" si="42"/>
        <v>-0.91499674392301467</v>
      </c>
      <c r="F30">
        <f t="shared" si="43"/>
        <v>9.0517753162151229E-2</v>
      </c>
      <c r="G30">
        <f t="shared" si="44"/>
        <v>413.14786393538645</v>
      </c>
      <c r="H30" s="1">
        <v>41</v>
      </c>
      <c r="I30" s="1">
        <v>40</v>
      </c>
      <c r="J30" s="1">
        <v>0</v>
      </c>
      <c r="K30" s="1">
        <v>0</v>
      </c>
      <c r="L30" s="1">
        <v>515.3046875</v>
      </c>
      <c r="M30" s="1">
        <v>1914.0858154296875</v>
      </c>
      <c r="N30" s="1">
        <v>509.38787841796875</v>
      </c>
      <c r="O30" t="e">
        <f t="shared" si="45"/>
        <v>#DIV/0!</v>
      </c>
      <c r="P30">
        <f t="shared" si="46"/>
        <v>0.7307828712035459</v>
      </c>
      <c r="Q30">
        <f t="shared" si="47"/>
        <v>0.73387406441668979</v>
      </c>
      <c r="R30" s="1">
        <v>-1</v>
      </c>
      <c r="S30" s="1">
        <v>0.87</v>
      </c>
      <c r="T30" s="1">
        <v>0.92</v>
      </c>
      <c r="U30" s="1">
        <v>0</v>
      </c>
      <c r="V30">
        <f t="shared" si="48"/>
        <v>0.87</v>
      </c>
      <c r="W30">
        <f t="shared" si="49"/>
        <v>0.18172792807293159</v>
      </c>
      <c r="X30">
        <f t="shared" si="50"/>
        <v>1.0042299749145089</v>
      </c>
      <c r="Y30">
        <f t="shared" si="51"/>
        <v>3.7144739061386618</v>
      </c>
      <c r="Z30">
        <f t="shared" si="52"/>
        <v>-1</v>
      </c>
      <c r="AA30" s="1">
        <v>0.53764379024505615</v>
      </c>
      <c r="AB30" s="1">
        <v>0.5</v>
      </c>
      <c r="AC30">
        <f t="shared" si="53"/>
        <v>0.1716348325966571</v>
      </c>
      <c r="AD30">
        <f t="shared" si="54"/>
        <v>0.6179419978195988</v>
      </c>
      <c r="AE30">
        <f t="shared" si="55"/>
        <v>0.6926896384862733</v>
      </c>
      <c r="AF30">
        <f t="shared" si="56"/>
        <v>9.7777824401855469</v>
      </c>
      <c r="AG30" s="1">
        <v>1.8600000143051147</v>
      </c>
      <c r="AH30">
        <f t="shared" si="57"/>
        <v>4.8345794007042855</v>
      </c>
      <c r="AI30" s="1">
        <v>1</v>
      </c>
      <c r="AJ30">
        <f t="shared" si="58"/>
        <v>9.669158801408571</v>
      </c>
      <c r="AK30" s="1">
        <v>7.0969691276550293</v>
      </c>
      <c r="AL30" s="1">
        <v>9.7777824401855469</v>
      </c>
      <c r="AM30" s="1">
        <v>4.7401719093322754</v>
      </c>
      <c r="AN30" s="1">
        <v>400.4990234375</v>
      </c>
      <c r="AO30" s="1">
        <v>401.3284912109375</v>
      </c>
      <c r="AP30" s="1">
        <v>4.3796901702880859</v>
      </c>
      <c r="AQ30" s="1">
        <v>5.1441984176635742</v>
      </c>
      <c r="AR30" s="1">
        <v>43.860736846923828</v>
      </c>
      <c r="AS30" s="1">
        <v>51.516963958740234</v>
      </c>
      <c r="AT30" s="1">
        <v>149.56797790527344</v>
      </c>
      <c r="AU30" s="1">
        <v>0.53764379024505615</v>
      </c>
      <c r="AV30" s="1">
        <v>25.232160568237305</v>
      </c>
      <c r="AW30" s="1">
        <v>101.39384460449219</v>
      </c>
      <c r="AX30" s="1">
        <v>5.1689658164978027</v>
      </c>
      <c r="AY30" s="1">
        <v>0.11258729547262192</v>
      </c>
      <c r="AZ30" s="1">
        <v>0.5</v>
      </c>
      <c r="BA30" s="1">
        <v>-1.355140209197998</v>
      </c>
      <c r="BB30" s="1">
        <v>7.355140209197998</v>
      </c>
      <c r="BC30" s="1">
        <v>1</v>
      </c>
      <c r="BD30" s="1">
        <v>0</v>
      </c>
      <c r="BE30" s="1">
        <v>0.15999999642372131</v>
      </c>
      <c r="BF30" s="1">
        <v>111115</v>
      </c>
      <c r="BG30">
        <f t="shared" si="59"/>
        <v>0.80412890728471931</v>
      </c>
      <c r="BH30">
        <f t="shared" si="60"/>
        <v>6.1794199781959875E-4</v>
      </c>
      <c r="BI30">
        <f t="shared" si="61"/>
        <v>282.92778244018552</v>
      </c>
      <c r="BJ30">
        <f t="shared" si="62"/>
        <v>280.24696912765501</v>
      </c>
      <c r="BK30">
        <f t="shared" si="63"/>
        <v>8.6023004516444956E-2</v>
      </c>
      <c r="BL30">
        <f t="shared" si="64"/>
        <v>-0.20506278920653834</v>
      </c>
      <c r="BM30">
        <f t="shared" si="65"/>
        <v>1.2142796934615283</v>
      </c>
      <c r="BN30">
        <f t="shared" si="66"/>
        <v>11.975871890429632</v>
      </c>
      <c r="BO30">
        <f t="shared" si="67"/>
        <v>6.8316734727660577</v>
      </c>
      <c r="BP30">
        <f t="shared" si="68"/>
        <v>8.4373757839202881</v>
      </c>
      <c r="BQ30">
        <f t="shared" si="69"/>
        <v>1.1093306319392557</v>
      </c>
      <c r="BR30">
        <f t="shared" si="70"/>
        <v>8.9678231115317933E-2</v>
      </c>
      <c r="BS30">
        <f t="shared" si="71"/>
        <v>0.52159005497525501</v>
      </c>
      <c r="BT30">
        <f t="shared" si="72"/>
        <v>0.58774057696400073</v>
      </c>
      <c r="BU30">
        <f t="shared" si="73"/>
        <v>5.6123720467235572E-2</v>
      </c>
      <c r="BV30">
        <f t="shared" si="74"/>
        <v>41.890650314542455</v>
      </c>
      <c r="BW30">
        <f t="shared" si="75"/>
        <v>1.0294506195879243</v>
      </c>
      <c r="BX30">
        <f t="shared" si="76"/>
        <v>42.995806488419404</v>
      </c>
      <c r="BY30">
        <f t="shared" si="77"/>
        <v>401.45624230383675</v>
      </c>
      <c r="BZ30">
        <f t="shared" si="78"/>
        <v>-9.7995793298620701E-4</v>
      </c>
      <c r="CA30">
        <f t="shared" si="79"/>
        <v>0</v>
      </c>
      <c r="CB30">
        <f t="shared" si="80"/>
        <v>0.46775009751319885</v>
      </c>
      <c r="CC30">
        <f t="shared" si="81"/>
        <v>1398.7811279296875</v>
      </c>
      <c r="CD30">
        <f t="shared" si="82"/>
        <v>0.73387406441668979</v>
      </c>
      <c r="CE30" t="e">
        <f t="shared" si="83"/>
        <v>#DIV/0!</v>
      </c>
    </row>
    <row r="31" spans="1:83" x14ac:dyDescent="0.25">
      <c r="A31" s="1"/>
      <c r="B31" s="1"/>
    </row>
    <row r="32" spans="1:83" x14ac:dyDescent="0.25">
      <c r="A32" s="1">
        <v>16</v>
      </c>
      <c r="B32" s="1" t="s">
        <v>222</v>
      </c>
      <c r="C32" s="1">
        <v>3620.9999862164259</v>
      </c>
      <c r="D32" s="1">
        <v>0</v>
      </c>
      <c r="E32">
        <f t="shared" ref="E32:E43" si="84">(AN32-AO32*(1000-AP32)/(1000-AQ32))*BG32</f>
        <v>8.4211559264145457</v>
      </c>
      <c r="F32">
        <f t="shared" ref="F32:F43" si="85">IF(BR32&lt;&gt;0,1/(1/BR32-1/AJ32),0)</f>
        <v>0.16174708066614937</v>
      </c>
      <c r="G32">
        <f t="shared" ref="G32:G43" si="86">((BU32-BH32/2)*AO32-E32)/(BU32+BH32/2)</f>
        <v>310.52788882881669</v>
      </c>
      <c r="H32" s="1">
        <v>71</v>
      </c>
      <c r="I32" s="1">
        <v>69</v>
      </c>
      <c r="J32" s="1">
        <v>567.294189453125</v>
      </c>
      <c r="K32" s="1">
        <v>2432.202880859375</v>
      </c>
      <c r="L32" s="1">
        <v>441.906005859375</v>
      </c>
      <c r="M32" s="1">
        <v>905.52423095703125</v>
      </c>
      <c r="N32" s="1">
        <v>591.76116943359375</v>
      </c>
      <c r="O32">
        <f t="shared" ref="O32:O43" si="87">CA32/K32</f>
        <v>0.76675704402887568</v>
      </c>
      <c r="P32">
        <f t="shared" ref="P32:P43" si="88">CC32/M32</f>
        <v>0.51198875662075549</v>
      </c>
      <c r="Q32">
        <f t="shared" ref="Q32:Q43" si="89">(M32-N32)/M32</f>
        <v>0.34649880234770453</v>
      </c>
      <c r="R32" s="1">
        <v>-1</v>
      </c>
      <c r="S32" s="1">
        <v>0.87</v>
      </c>
      <c r="T32" s="1">
        <v>0.92</v>
      </c>
      <c r="U32" s="1">
        <v>9.9087457656860352</v>
      </c>
      <c r="V32">
        <f t="shared" ref="V32:V43" si="90">(U32*T32+(100-U32)*S32)/100</f>
        <v>0.87495437288284295</v>
      </c>
      <c r="W32">
        <f t="shared" ref="W32:W43" si="91">(E32-R32)/CB32</f>
        <v>2.3886361574265873E-2</v>
      </c>
      <c r="X32">
        <f t="shared" ref="X32:X43" si="92">(M32-N32)/(M32-L32)</f>
        <v>0.67677033502586459</v>
      </c>
      <c r="Y32">
        <f t="shared" ref="Y32:Y43" si="93">(K32-M32)/(K32-L32)</f>
        <v>0.76706076820943803</v>
      </c>
      <c r="Z32">
        <f t="shared" ref="Z32:Z43" si="94">(K32-M32)/M32</f>
        <v>1.685961123634236</v>
      </c>
      <c r="AA32" s="1">
        <v>450.7843017578125</v>
      </c>
      <c r="AB32" s="1">
        <v>0.5</v>
      </c>
      <c r="AC32">
        <f t="shared" ref="AC32:AC43" si="95">Q32*AB32*V32*AA32</f>
        <v>68.332283154219724</v>
      </c>
      <c r="AD32">
        <f t="shared" ref="AD32:AD43" si="96">BH32*1000</f>
        <v>1.0442031026737173</v>
      </c>
      <c r="AE32">
        <f t="shared" ref="AE32:AE43" si="97">(BM32-BS32)</f>
        <v>0.66551768746161921</v>
      </c>
      <c r="AF32">
        <f t="shared" ref="AF32:AF43" si="98">(AL32+BL32*D32)</f>
        <v>10.941665649414063</v>
      </c>
      <c r="AG32" s="1">
        <v>2</v>
      </c>
      <c r="AH32">
        <f t="shared" ref="AH32:AH43" si="99">(AG32*BA32+BB32)</f>
        <v>4.644859790802002</v>
      </c>
      <c r="AI32" s="1">
        <v>1</v>
      </c>
      <c r="AJ32">
        <f t="shared" ref="AJ32:AJ43" si="100">AH32*(AI32+1)*(AI32+1)/(AI32*AI32+1)</f>
        <v>9.2897195816040039</v>
      </c>
      <c r="AK32" s="1">
        <v>6.4205055236816406</v>
      </c>
      <c r="AL32" s="1">
        <v>10.941665649414063</v>
      </c>
      <c r="AM32" s="1">
        <v>3.19024658203125</v>
      </c>
      <c r="AN32" s="1">
        <v>410.60879516601562</v>
      </c>
      <c r="AO32" s="1">
        <v>398.78973388671875</v>
      </c>
      <c r="AP32" s="1">
        <v>4.935518741607666</v>
      </c>
      <c r="AQ32" s="1">
        <v>6.3231692314147949</v>
      </c>
      <c r="AR32" s="1">
        <v>52.2440185546875</v>
      </c>
      <c r="AS32" s="1">
        <v>66.9327392578125</v>
      </c>
      <c r="AT32" s="1">
        <v>149.54780578613281</v>
      </c>
      <c r="AU32" s="1">
        <v>450.7843017578125</v>
      </c>
      <c r="AV32" s="1">
        <v>18.143730163574219</v>
      </c>
      <c r="AW32" s="1">
        <v>102.30414581298828</v>
      </c>
      <c r="AX32" s="1">
        <v>5.2311935424804687</v>
      </c>
      <c r="AY32" s="1">
        <v>7.0944122970104218E-2</v>
      </c>
      <c r="AZ32" s="1">
        <v>0.5</v>
      </c>
      <c r="BA32" s="1">
        <v>-1.355140209197998</v>
      </c>
      <c r="BB32" s="1">
        <v>7.355140209197998</v>
      </c>
      <c r="BC32" s="1">
        <v>1</v>
      </c>
      <c r="BD32" s="1">
        <v>0</v>
      </c>
      <c r="BE32" s="1">
        <v>0.15999999642372131</v>
      </c>
      <c r="BF32" s="1">
        <v>111115</v>
      </c>
      <c r="BG32">
        <f t="shared" ref="BG32:BG43" si="101">AT32*0.000001/(AG32*0.0001)</f>
        <v>0.74773902893066402</v>
      </c>
      <c r="BH32">
        <f t="shared" ref="BH32:BH43" si="102">(AQ32-AP32)/(1000-AQ32)*BG32</f>
        <v>1.0442031026737172E-3</v>
      </c>
      <c r="BI32">
        <f t="shared" ref="BI32:BI43" si="103">(AL32+273.15)</f>
        <v>284.09166564941404</v>
      </c>
      <c r="BJ32">
        <f t="shared" ref="BJ32:BJ43" si="104">(AK32+273.15)</f>
        <v>279.57050552368162</v>
      </c>
      <c r="BK32">
        <f t="shared" ref="BK32:BK43" si="105">(AU32*BC32+AV32*BD32)*BE32</f>
        <v>72.125486669119709</v>
      </c>
      <c r="BL32">
        <f t="shared" ref="BL32:BL43" si="106">((BK32+0.00000010773*(BJ32^4-BI32^4))-BH32*44100)/(AH32*51.4+0.00000043092*BI32^3)</f>
        <v>-7.0545280982321712E-2</v>
      </c>
      <c r="BM32">
        <f t="shared" ref="BM32:BM43" si="107">0.61365*EXP(17.502*AF32/(240.97+AF32))</f>
        <v>1.3124041145124794</v>
      </c>
      <c r="BN32">
        <f t="shared" ref="BN32:BN43" si="108">BM32*1000/AW32</f>
        <v>12.828454840056541</v>
      </c>
      <c r="BO32">
        <f t="shared" ref="BO32:BO43" si="109">(BN32-AQ32)</f>
        <v>6.5052856086417457</v>
      </c>
      <c r="BP32">
        <f t="shared" ref="BP32:BP43" si="110">IF(D32,AL32,(AK32+AL32)/2)</f>
        <v>8.6810855865478516</v>
      </c>
      <c r="BQ32">
        <f t="shared" ref="BQ32:BQ43" si="111">0.61365*EXP(17.502*BP32/(240.97+BP32))</f>
        <v>1.1277948701521519</v>
      </c>
      <c r="BR32">
        <f t="shared" ref="BR32:BR43" si="112">IF(BO32&lt;&gt;0,(1000-(BN32+AQ32)/2)/BO32*BH32,0)</f>
        <v>0.15897903216755391</v>
      </c>
      <c r="BS32">
        <f t="shared" ref="BS32:BS43" si="113">AQ32*AW32/1000</f>
        <v>0.64688642705086019</v>
      </c>
      <c r="BT32">
        <f t="shared" ref="BT32:BT43" si="114">(BQ32-BS32)</f>
        <v>0.48090844310129166</v>
      </c>
      <c r="BU32">
        <f t="shared" ref="BU32:BU43" si="115">1/(1.6/F32+1.37/AJ32)</f>
        <v>9.960693379860186E-2</v>
      </c>
      <c r="BV32">
        <f t="shared" ref="BV32:BV43" si="116">G32*AW32*0.001</f>
        <v>31.768290417742676</v>
      </c>
      <c r="BW32">
        <f t="shared" ref="BW32:BW43" si="117">G32/AO32</f>
        <v>0.77867573420790726</v>
      </c>
      <c r="BX32">
        <f t="shared" ref="BX32:BX43" si="118">(1-BH32*AW32/BM32/F32)*100</f>
        <v>49.676112976978303</v>
      </c>
      <c r="BY32">
        <f t="shared" ref="BY32:BY43" si="119">(AO32-E32/(AJ32/1.35))</f>
        <v>397.56595523540483</v>
      </c>
      <c r="BZ32">
        <f t="shared" ref="BZ32:BZ43" si="120">E32*BX32/100/BY32</f>
        <v>1.0522286621590111E-2</v>
      </c>
      <c r="CA32">
        <f t="shared" ref="CA32:CA43" si="121">(K32-J32)</f>
        <v>1864.90869140625</v>
      </c>
      <c r="CB32">
        <f t="shared" ref="CB32:CB43" si="122">AU32*V32</f>
        <v>394.41569604993708</v>
      </c>
      <c r="CC32">
        <f t="shared" ref="CC32:CC43" si="123">(M32-L32)</f>
        <v>463.61822509765625</v>
      </c>
      <c r="CD32">
        <f t="shared" ref="CD32:CD43" si="124">(M32-N32)/(M32-J32)</f>
        <v>0.92766171842193923</v>
      </c>
      <c r="CE32">
        <f t="shared" ref="CE32:CE43" si="125">(K32-M32)/(K32-J32)</f>
        <v>0.81863452990351981</v>
      </c>
    </row>
    <row r="33" spans="1:87" x14ac:dyDescent="0.25">
      <c r="A33" s="1">
        <v>17</v>
      </c>
      <c r="B33" s="1" t="s">
        <v>223</v>
      </c>
      <c r="C33" s="1">
        <v>3696.4999810131267</v>
      </c>
      <c r="D33" s="1">
        <v>0</v>
      </c>
      <c r="E33">
        <f t="shared" si="84"/>
        <v>7.4302987527161699</v>
      </c>
      <c r="F33">
        <f t="shared" si="85"/>
        <v>0.14851126119783714</v>
      </c>
      <c r="G33">
        <f t="shared" si="86"/>
        <v>315.25265112827685</v>
      </c>
      <c r="H33" s="1">
        <v>72</v>
      </c>
      <c r="I33" s="1">
        <v>70</v>
      </c>
      <c r="J33" s="1">
        <v>567.294189453125</v>
      </c>
      <c r="K33" s="1">
        <v>2432.202880859375</v>
      </c>
      <c r="L33" s="1">
        <v>466.571533203125</v>
      </c>
      <c r="M33" s="1">
        <v>1052.785400390625</v>
      </c>
      <c r="N33" s="1">
        <v>609.10076904296875</v>
      </c>
      <c r="O33">
        <f t="shared" si="87"/>
        <v>0.76675704402887568</v>
      </c>
      <c r="P33">
        <f t="shared" si="88"/>
        <v>0.5568218052510906</v>
      </c>
      <c r="Q33">
        <f t="shared" si="89"/>
        <v>0.42143881476987782</v>
      </c>
      <c r="R33" s="1">
        <v>-1</v>
      </c>
      <c r="S33" s="1">
        <v>0.87</v>
      </c>
      <c r="T33" s="1">
        <v>0.92</v>
      </c>
      <c r="U33" s="1">
        <v>9.8018503189086914</v>
      </c>
      <c r="V33">
        <f t="shared" si="90"/>
        <v>0.87490092515945439</v>
      </c>
      <c r="W33">
        <f t="shared" si="91"/>
        <v>3.2132082889052851E-2</v>
      </c>
      <c r="X33">
        <f t="shared" si="92"/>
        <v>0.75686478294404469</v>
      </c>
      <c r="Y33">
        <f t="shared" si="93"/>
        <v>0.70176815307383</v>
      </c>
      <c r="Z33">
        <f t="shared" si="94"/>
        <v>1.3102551383757142</v>
      </c>
      <c r="AA33" s="1">
        <v>299.87841796875</v>
      </c>
      <c r="AB33" s="1">
        <v>0.5</v>
      </c>
      <c r="AC33">
        <f t="shared" si="95"/>
        <v>55.285166647430614</v>
      </c>
      <c r="AD33">
        <f t="shared" si="96"/>
        <v>0.93624454536010804</v>
      </c>
      <c r="AE33">
        <f t="shared" si="97"/>
        <v>0.64911321315951065</v>
      </c>
      <c r="AF33">
        <f t="shared" si="98"/>
        <v>10.582547187805176</v>
      </c>
      <c r="AG33" s="1">
        <v>2</v>
      </c>
      <c r="AH33">
        <f t="shared" si="99"/>
        <v>4.644859790802002</v>
      </c>
      <c r="AI33" s="1">
        <v>1</v>
      </c>
      <c r="AJ33">
        <f t="shared" si="100"/>
        <v>9.2897195816040039</v>
      </c>
      <c r="AK33" s="1">
        <v>6.3836541175842285</v>
      </c>
      <c r="AL33" s="1">
        <v>10.582547187805176</v>
      </c>
      <c r="AM33" s="1">
        <v>3.189655065536499</v>
      </c>
      <c r="AN33" s="1">
        <v>410.494873046875</v>
      </c>
      <c r="AO33" s="1">
        <v>400.056396484375</v>
      </c>
      <c r="AP33" s="1">
        <v>4.936253547668457</v>
      </c>
      <c r="AQ33" s="1">
        <v>6.1806802749633789</v>
      </c>
      <c r="AR33" s="1">
        <v>52.383529663085937</v>
      </c>
      <c r="AS33" s="1">
        <v>65.589393615722656</v>
      </c>
      <c r="AT33" s="1">
        <v>149.54000854492188</v>
      </c>
      <c r="AU33" s="1">
        <v>299.87841796875</v>
      </c>
      <c r="AV33" s="1">
        <v>18.39958381652832</v>
      </c>
      <c r="AW33" s="1">
        <v>102.30190277099609</v>
      </c>
      <c r="AX33" s="1">
        <v>5.2311935424804687</v>
      </c>
      <c r="AY33" s="1">
        <v>7.0944122970104218E-2</v>
      </c>
      <c r="AZ33" s="1">
        <v>0.75</v>
      </c>
      <c r="BA33" s="1">
        <v>-1.355140209197998</v>
      </c>
      <c r="BB33" s="1">
        <v>7.355140209197998</v>
      </c>
      <c r="BC33" s="1">
        <v>1</v>
      </c>
      <c r="BD33" s="1">
        <v>0</v>
      </c>
      <c r="BE33" s="1">
        <v>0.15999999642372131</v>
      </c>
      <c r="BF33" s="1">
        <v>111115</v>
      </c>
      <c r="BG33">
        <f t="shared" si="101"/>
        <v>0.74770004272460922</v>
      </c>
      <c r="BH33">
        <f t="shared" si="102"/>
        <v>9.3624454536010801E-4</v>
      </c>
      <c r="BI33">
        <f t="shared" si="103"/>
        <v>283.73254718780515</v>
      </c>
      <c r="BJ33">
        <f t="shared" si="104"/>
        <v>279.53365411758421</v>
      </c>
      <c r="BK33">
        <f t="shared" si="105"/>
        <v>47.980545802551205</v>
      </c>
      <c r="BL33">
        <f t="shared" si="106"/>
        <v>-0.13568115690833094</v>
      </c>
      <c r="BM33">
        <f t="shared" si="107"/>
        <v>1.2814085657074277</v>
      </c>
      <c r="BN33">
        <f t="shared" si="108"/>
        <v>12.525754956639219</v>
      </c>
      <c r="BO33">
        <f t="shared" si="109"/>
        <v>6.3450746816758397</v>
      </c>
      <c r="BP33">
        <f t="shared" si="110"/>
        <v>8.4831006526947021</v>
      </c>
      <c r="BQ33">
        <f t="shared" si="111"/>
        <v>1.1127744418635825</v>
      </c>
      <c r="BR33">
        <f t="shared" si="112"/>
        <v>0.14617442550586071</v>
      </c>
      <c r="BS33">
        <f t="shared" si="113"/>
        <v>0.63229535254791702</v>
      </c>
      <c r="BT33">
        <f t="shared" si="114"/>
        <v>0.48047908931566552</v>
      </c>
      <c r="BU33">
        <f t="shared" si="115"/>
        <v>9.1566130919650837E-2</v>
      </c>
      <c r="BV33">
        <f t="shared" si="116"/>
        <v>32.250946064023729</v>
      </c>
      <c r="BW33">
        <f t="shared" si="117"/>
        <v>0.78802052385279053</v>
      </c>
      <c r="BX33">
        <f t="shared" si="118"/>
        <v>49.670107480585166</v>
      </c>
      <c r="BY33">
        <f t="shared" si="119"/>
        <v>398.97661111216308</v>
      </c>
      <c r="BZ33">
        <f t="shared" si="120"/>
        <v>9.2502599746759669E-3</v>
      </c>
      <c r="CA33">
        <f t="shared" si="121"/>
        <v>1864.90869140625</v>
      </c>
      <c r="CB33">
        <f t="shared" si="122"/>
        <v>262.36390531621294</v>
      </c>
      <c r="CC33">
        <f t="shared" si="123"/>
        <v>586.2138671875</v>
      </c>
      <c r="CD33">
        <f t="shared" si="124"/>
        <v>0.91388808149767775</v>
      </c>
      <c r="CE33">
        <f t="shared" si="125"/>
        <v>0.73967025132398767</v>
      </c>
    </row>
    <row r="34" spans="1:87" x14ac:dyDescent="0.25">
      <c r="A34" s="1">
        <v>18</v>
      </c>
      <c r="B34" s="1" t="s">
        <v>224</v>
      </c>
      <c r="C34" s="1">
        <v>3767.4999761199579</v>
      </c>
      <c r="D34" s="1">
        <v>0</v>
      </c>
      <c r="E34">
        <f t="shared" si="84"/>
        <v>5.7011428154892894</v>
      </c>
      <c r="F34">
        <f t="shared" si="85"/>
        <v>0.13947550123095703</v>
      </c>
      <c r="G34">
        <f t="shared" si="86"/>
        <v>330.69032800310038</v>
      </c>
      <c r="H34" s="1">
        <v>73</v>
      </c>
      <c r="I34" s="1">
        <v>71</v>
      </c>
      <c r="J34" s="1">
        <v>567.294189453125</v>
      </c>
      <c r="K34" s="1">
        <v>2432.202880859375</v>
      </c>
      <c r="L34" s="1">
        <v>504.265869140625</v>
      </c>
      <c r="M34" s="1">
        <v>1276.03173828125</v>
      </c>
      <c r="N34" s="1">
        <v>656.9066162109375</v>
      </c>
      <c r="O34">
        <f t="shared" si="87"/>
        <v>0.76675704402887568</v>
      </c>
      <c r="P34">
        <f t="shared" si="88"/>
        <v>0.60481714207215131</v>
      </c>
      <c r="Q34">
        <f t="shared" si="89"/>
        <v>0.48519570751762225</v>
      </c>
      <c r="R34" s="1">
        <v>-1</v>
      </c>
      <c r="S34" s="1">
        <v>0.87</v>
      </c>
      <c r="T34" s="1">
        <v>0.92</v>
      </c>
      <c r="U34" s="1">
        <v>9.0644702911376953</v>
      </c>
      <c r="V34">
        <f t="shared" si="90"/>
        <v>0.87453223514556877</v>
      </c>
      <c r="W34">
        <f t="shared" si="91"/>
        <v>3.8677639601385441E-2</v>
      </c>
      <c r="X34">
        <f t="shared" si="92"/>
        <v>0.80221884230216001</v>
      </c>
      <c r="Y34">
        <f t="shared" si="93"/>
        <v>0.59969342128423686</v>
      </c>
      <c r="Z34">
        <f t="shared" si="94"/>
        <v>0.90606770027164751</v>
      </c>
      <c r="AA34" s="1">
        <v>198.11305236816406</v>
      </c>
      <c r="AB34" s="1">
        <v>0.5</v>
      </c>
      <c r="AC34">
        <f t="shared" si="95"/>
        <v>42.031594521366451</v>
      </c>
      <c r="AD34">
        <f t="shared" si="96"/>
        <v>0.84040776299919151</v>
      </c>
      <c r="AE34">
        <f t="shared" si="97"/>
        <v>0.61989034058330172</v>
      </c>
      <c r="AF34">
        <f t="shared" si="98"/>
        <v>10.088860511779785</v>
      </c>
      <c r="AG34" s="1">
        <v>2</v>
      </c>
      <c r="AH34">
        <f t="shared" si="99"/>
        <v>4.644859790802002</v>
      </c>
      <c r="AI34" s="1">
        <v>1</v>
      </c>
      <c r="AJ34">
        <f t="shared" si="100"/>
        <v>9.2897195816040039</v>
      </c>
      <c r="AK34" s="1">
        <v>5.8134222030639648</v>
      </c>
      <c r="AL34" s="1">
        <v>10.088860511779785</v>
      </c>
      <c r="AM34" s="1">
        <v>2.0859670639038086</v>
      </c>
      <c r="AN34" s="1">
        <v>408.57577514648437</v>
      </c>
      <c r="AO34" s="1">
        <v>400.50198364257812</v>
      </c>
      <c r="AP34" s="1">
        <v>4.9440412521362305</v>
      </c>
      <c r="AQ34" s="1">
        <v>6.0610427856445313</v>
      </c>
      <c r="AR34" s="1">
        <v>54.566089630126953</v>
      </c>
      <c r="AS34" s="1">
        <v>66.894149780273438</v>
      </c>
      <c r="AT34" s="1">
        <v>149.56362915039062</v>
      </c>
      <c r="AU34" s="1">
        <v>198.11305236816406</v>
      </c>
      <c r="AV34" s="1">
        <v>18.667186737060547</v>
      </c>
      <c r="AW34" s="1">
        <v>102.28620147705078</v>
      </c>
      <c r="AX34" s="1">
        <v>5.2311935424804687</v>
      </c>
      <c r="AY34" s="1">
        <v>7.0944122970104218E-2</v>
      </c>
      <c r="AZ34" s="1">
        <v>0.5</v>
      </c>
      <c r="BA34" s="1">
        <v>-1.355140209197998</v>
      </c>
      <c r="BB34" s="1">
        <v>7.355140209197998</v>
      </c>
      <c r="BC34" s="1">
        <v>1</v>
      </c>
      <c r="BD34" s="1">
        <v>0</v>
      </c>
      <c r="BE34" s="1">
        <v>0.15999999642372131</v>
      </c>
      <c r="BF34" s="1">
        <v>111115</v>
      </c>
      <c r="BG34">
        <f t="shared" si="101"/>
        <v>0.74781814575195316</v>
      </c>
      <c r="BH34">
        <f t="shared" si="102"/>
        <v>8.4040776299919154E-4</v>
      </c>
      <c r="BI34">
        <f t="shared" si="103"/>
        <v>283.23886051177976</v>
      </c>
      <c r="BJ34">
        <f t="shared" si="104"/>
        <v>278.96342220306394</v>
      </c>
      <c r="BK34">
        <f t="shared" si="105"/>
        <v>31.698087670398763</v>
      </c>
      <c r="BL34">
        <f t="shared" si="106"/>
        <v>-0.18624575496801188</v>
      </c>
      <c r="BM34">
        <f t="shared" si="107"/>
        <v>1.2398513841167633</v>
      </c>
      <c r="BN34">
        <f t="shared" si="108"/>
        <v>12.12139434462174</v>
      </c>
      <c r="BO34">
        <f t="shared" si="109"/>
        <v>6.0603515589772083</v>
      </c>
      <c r="BP34">
        <f t="shared" si="110"/>
        <v>7.951141357421875</v>
      </c>
      <c r="BQ34">
        <f t="shared" si="111"/>
        <v>1.0732865984468276</v>
      </c>
      <c r="BR34">
        <f t="shared" si="112"/>
        <v>0.13741239666341659</v>
      </c>
      <c r="BS34">
        <f t="shared" si="113"/>
        <v>0.6199610435334616</v>
      </c>
      <c r="BT34">
        <f t="shared" si="114"/>
        <v>0.45332555491336601</v>
      </c>
      <c r="BU34">
        <f t="shared" si="115"/>
        <v>8.6065752314972821E-2</v>
      </c>
      <c r="BV34">
        <f t="shared" si="116"/>
        <v>33.825057516637138</v>
      </c>
      <c r="BW34">
        <f t="shared" si="117"/>
        <v>0.82568961330843227</v>
      </c>
      <c r="BX34">
        <f t="shared" si="118"/>
        <v>50.290482895791769</v>
      </c>
      <c r="BY34">
        <f t="shared" si="119"/>
        <v>399.67348255238898</v>
      </c>
      <c r="BZ34">
        <f t="shared" si="120"/>
        <v>7.1736864657076169E-3</v>
      </c>
      <c r="CA34">
        <f t="shared" si="121"/>
        <v>1864.90869140625</v>
      </c>
      <c r="CB34">
        <f t="shared" si="122"/>
        <v>173.25625049904164</v>
      </c>
      <c r="CC34">
        <f t="shared" si="123"/>
        <v>771.765869140625</v>
      </c>
      <c r="CD34">
        <f t="shared" si="124"/>
        <v>0.873560492306378</v>
      </c>
      <c r="CE34">
        <f t="shared" si="125"/>
        <v>0.61996126025146281</v>
      </c>
    </row>
    <row r="35" spans="1:87" x14ac:dyDescent="0.25">
      <c r="A35" s="1">
        <v>19</v>
      </c>
      <c r="B35" s="1" t="s">
        <v>225</v>
      </c>
      <c r="C35" s="1">
        <v>3842.4999709511176</v>
      </c>
      <c r="D35" s="1">
        <v>0</v>
      </c>
      <c r="E35">
        <f t="shared" si="84"/>
        <v>5.2523735328197976</v>
      </c>
      <c r="F35">
        <f t="shared" si="85"/>
        <v>0.14381622283211473</v>
      </c>
      <c r="G35">
        <f t="shared" si="86"/>
        <v>336.47772531159893</v>
      </c>
      <c r="H35" s="1">
        <v>74</v>
      </c>
      <c r="I35" s="1">
        <v>72</v>
      </c>
      <c r="J35" s="1">
        <v>567.294189453125</v>
      </c>
      <c r="K35" s="1">
        <v>2432.202880859375</v>
      </c>
      <c r="L35" s="1">
        <v>519.76123046875</v>
      </c>
      <c r="M35" s="1">
        <v>1390.9454345703125</v>
      </c>
      <c r="N35" s="1">
        <v>691.13690185546875</v>
      </c>
      <c r="O35">
        <f t="shared" si="87"/>
        <v>0.76675704402887568</v>
      </c>
      <c r="P35">
        <f t="shared" si="88"/>
        <v>0.62632521912743944</v>
      </c>
      <c r="Q35">
        <f t="shared" si="89"/>
        <v>0.50311717147339208</v>
      </c>
      <c r="R35" s="1">
        <v>-1</v>
      </c>
      <c r="S35" s="1">
        <v>0.87</v>
      </c>
      <c r="T35" s="1">
        <v>0.92</v>
      </c>
      <c r="U35" s="1">
        <v>10.178630828857422</v>
      </c>
      <c r="V35">
        <f t="shared" si="90"/>
        <v>0.8750893154144288</v>
      </c>
      <c r="W35">
        <f t="shared" si="91"/>
        <v>4.0697152575305623E-2</v>
      </c>
      <c r="X35">
        <f t="shared" si="92"/>
        <v>0.80328423015491246</v>
      </c>
      <c r="Y35">
        <f t="shared" si="93"/>
        <v>0.54446494933656187</v>
      </c>
      <c r="Z35">
        <f t="shared" si="94"/>
        <v>0.74859690424213166</v>
      </c>
      <c r="AA35" s="1">
        <v>175.56118774414062</v>
      </c>
      <c r="AB35" s="1">
        <v>0.5</v>
      </c>
      <c r="AC35">
        <f t="shared" si="95"/>
        <v>38.647378105957984</v>
      </c>
      <c r="AD35">
        <f t="shared" si="96"/>
        <v>0.85016990947098992</v>
      </c>
      <c r="AE35">
        <f t="shared" si="97"/>
        <v>0.60842818196358084</v>
      </c>
      <c r="AF35">
        <f t="shared" si="98"/>
        <v>9.9689788818359375</v>
      </c>
      <c r="AG35" s="1">
        <v>2</v>
      </c>
      <c r="AH35">
        <f t="shared" si="99"/>
        <v>4.644859790802002</v>
      </c>
      <c r="AI35" s="1">
        <v>1</v>
      </c>
      <c r="AJ35">
        <f t="shared" si="100"/>
        <v>9.2897195816040039</v>
      </c>
      <c r="AK35" s="1">
        <v>5.7986922264099121</v>
      </c>
      <c r="AL35" s="1">
        <v>9.9689788818359375</v>
      </c>
      <c r="AM35" s="1">
        <v>2.6323611736297607</v>
      </c>
      <c r="AN35" s="1">
        <v>406.68978881835937</v>
      </c>
      <c r="AO35" s="1">
        <v>399.21194458007813</v>
      </c>
      <c r="AP35" s="1">
        <v>4.9465985298156738</v>
      </c>
      <c r="AQ35" s="1">
        <v>6.0766172409057617</v>
      </c>
      <c r="AR35" s="1">
        <v>54.646404266357422</v>
      </c>
      <c r="AS35" s="1">
        <v>67.130027770996094</v>
      </c>
      <c r="AT35" s="1">
        <v>149.55570983886719</v>
      </c>
      <c r="AU35" s="1">
        <v>175.56118774414062</v>
      </c>
      <c r="AV35" s="1">
        <v>18.312532424926758</v>
      </c>
      <c r="AW35" s="1">
        <v>102.2794189453125</v>
      </c>
      <c r="AX35" s="1">
        <v>5.2311935424804687</v>
      </c>
      <c r="AY35" s="1">
        <v>7.0944122970104218E-2</v>
      </c>
      <c r="AZ35" s="1">
        <v>0.5</v>
      </c>
      <c r="BA35" s="1">
        <v>-1.355140209197998</v>
      </c>
      <c r="BB35" s="1">
        <v>7.355140209197998</v>
      </c>
      <c r="BC35" s="1">
        <v>1</v>
      </c>
      <c r="BD35" s="1">
        <v>0</v>
      </c>
      <c r="BE35" s="1">
        <v>0.15999999642372131</v>
      </c>
      <c r="BF35" s="1">
        <v>111115</v>
      </c>
      <c r="BG35">
        <f t="shared" si="101"/>
        <v>0.74777854919433584</v>
      </c>
      <c r="BH35">
        <f t="shared" si="102"/>
        <v>8.5016990947098996E-4</v>
      </c>
      <c r="BI35">
        <f t="shared" si="103"/>
        <v>283.11897888183591</v>
      </c>
      <c r="BJ35">
        <f t="shared" si="104"/>
        <v>278.94869222640989</v>
      </c>
      <c r="BK35">
        <f t="shared" si="105"/>
        <v>28.089789411206766</v>
      </c>
      <c r="BL35">
        <f t="shared" si="106"/>
        <v>-0.19834038474004342</v>
      </c>
      <c r="BM35">
        <f t="shared" si="107"/>
        <v>1.2299410625164902</v>
      </c>
      <c r="BN35">
        <f t="shared" si="108"/>
        <v>12.025303577194977</v>
      </c>
      <c r="BO35">
        <f t="shared" si="109"/>
        <v>5.9486863362892155</v>
      </c>
      <c r="BP35">
        <f t="shared" si="110"/>
        <v>7.8838355541229248</v>
      </c>
      <c r="BQ35">
        <f t="shared" si="111"/>
        <v>1.0683795757316827</v>
      </c>
      <c r="BR35">
        <f t="shared" si="112"/>
        <v>0.14162371448969976</v>
      </c>
      <c r="BS35">
        <f t="shared" si="113"/>
        <v>0.62151288055290932</v>
      </c>
      <c r="BT35">
        <f t="shared" si="114"/>
        <v>0.44686669517877342</v>
      </c>
      <c r="BU35">
        <f t="shared" si="115"/>
        <v>8.8709227718742803E-2</v>
      </c>
      <c r="BV35">
        <f t="shared" si="116"/>
        <v>34.414746232910808</v>
      </c>
      <c r="BW35">
        <f t="shared" si="117"/>
        <v>0.8428548541189872</v>
      </c>
      <c r="BX35">
        <f t="shared" si="118"/>
        <v>50.84114005889964</v>
      </c>
      <c r="BY35">
        <f t="shared" si="119"/>
        <v>398.4486595091974</v>
      </c>
      <c r="BZ35">
        <f t="shared" si="120"/>
        <v>6.7019088168769423E-3</v>
      </c>
      <c r="CA35">
        <f t="shared" si="121"/>
        <v>1864.90869140625</v>
      </c>
      <c r="CB35">
        <f t="shared" si="122"/>
        <v>153.63171959636404</v>
      </c>
      <c r="CC35">
        <f t="shared" si="123"/>
        <v>871.1842041015625</v>
      </c>
      <c r="CD35">
        <f t="shared" si="124"/>
        <v>0.84964180757752195</v>
      </c>
      <c r="CE35">
        <f t="shared" si="125"/>
        <v>0.5583423205046536</v>
      </c>
    </row>
    <row r="36" spans="1:87" x14ac:dyDescent="0.25">
      <c r="A36" s="1">
        <v>20</v>
      </c>
      <c r="B36" s="1" t="s">
        <v>226</v>
      </c>
      <c r="C36" s="1">
        <v>3917.4999657822773</v>
      </c>
      <c r="D36" s="1">
        <v>0</v>
      </c>
      <c r="E36">
        <f t="shared" si="84"/>
        <v>4.9996639846451441</v>
      </c>
      <c r="F36">
        <f t="shared" si="85"/>
        <v>0.14045564041283295</v>
      </c>
      <c r="G36">
        <f t="shared" si="86"/>
        <v>338.3710896441612</v>
      </c>
      <c r="H36" s="1">
        <v>75</v>
      </c>
      <c r="I36" s="1">
        <v>73</v>
      </c>
      <c r="J36" s="1">
        <v>567.294189453125</v>
      </c>
      <c r="K36" s="1">
        <v>2432.202880859375</v>
      </c>
      <c r="L36" s="1">
        <v>533.577880859375</v>
      </c>
      <c r="M36" s="1">
        <v>1502.8074951171875</v>
      </c>
      <c r="N36" s="1">
        <v>713.7510986328125</v>
      </c>
      <c r="O36">
        <f t="shared" si="87"/>
        <v>0.76675704402887568</v>
      </c>
      <c r="P36">
        <f t="shared" si="88"/>
        <v>0.64494595442660663</v>
      </c>
      <c r="Q36">
        <f t="shared" si="89"/>
        <v>0.5250548716639486</v>
      </c>
      <c r="R36" s="1">
        <v>-1</v>
      </c>
      <c r="S36" s="1">
        <v>0.87</v>
      </c>
      <c r="T36" s="1">
        <v>0.92</v>
      </c>
      <c r="U36" s="1">
        <v>9.3449592590332031</v>
      </c>
      <c r="V36">
        <f t="shared" si="90"/>
        <v>0.87467247962951655</v>
      </c>
      <c r="W36">
        <f t="shared" si="91"/>
        <v>4.5789488792985111E-2</v>
      </c>
      <c r="X36">
        <f t="shared" si="92"/>
        <v>0.81410677601777048</v>
      </c>
      <c r="Y36">
        <f t="shared" si="93"/>
        <v>0.48950971663292514</v>
      </c>
      <c r="Z36">
        <f t="shared" si="94"/>
        <v>0.61843941340584951</v>
      </c>
      <c r="AA36" s="1">
        <v>149.80133056640625</v>
      </c>
      <c r="AB36" s="1">
        <v>0.5</v>
      </c>
      <c r="AC36">
        <f t="shared" si="95"/>
        <v>34.398208917843057</v>
      </c>
      <c r="AD36">
        <f t="shared" si="96"/>
        <v>0.82402039152724949</v>
      </c>
      <c r="AE36">
        <f t="shared" si="97"/>
        <v>0.60370754929085912</v>
      </c>
      <c r="AF36">
        <f t="shared" si="98"/>
        <v>9.8722467422485352</v>
      </c>
      <c r="AG36" s="1">
        <v>2</v>
      </c>
      <c r="AH36">
        <f t="shared" si="99"/>
        <v>4.644859790802002</v>
      </c>
      <c r="AI36" s="1">
        <v>1</v>
      </c>
      <c r="AJ36">
        <f t="shared" si="100"/>
        <v>9.2897195816040039</v>
      </c>
      <c r="AK36" s="1">
        <v>5.7099528312683105</v>
      </c>
      <c r="AL36" s="1">
        <v>9.8722467422485352</v>
      </c>
      <c r="AM36" s="1">
        <v>2.6855533123016357</v>
      </c>
      <c r="AN36" s="1">
        <v>406.694091796875</v>
      </c>
      <c r="AO36" s="1">
        <v>399.57037353515625</v>
      </c>
      <c r="AP36" s="1">
        <v>4.9495396614074707</v>
      </c>
      <c r="AQ36" s="1">
        <v>6.0444350242614746</v>
      </c>
      <c r="AR36" s="1">
        <v>55.022029876708984</v>
      </c>
      <c r="AS36" s="1">
        <v>67.193534851074219</v>
      </c>
      <c r="AT36" s="1">
        <v>149.61058044433594</v>
      </c>
      <c r="AU36" s="1">
        <v>149.80133056640625</v>
      </c>
      <c r="AV36" s="1">
        <v>18.664588928222656</v>
      </c>
      <c r="AW36" s="1">
        <v>102.29042816162109</v>
      </c>
      <c r="AX36" s="1">
        <v>5.2311935424804687</v>
      </c>
      <c r="AY36" s="1">
        <v>7.0944122970104218E-2</v>
      </c>
      <c r="AZ36" s="1">
        <v>0.75</v>
      </c>
      <c r="BA36" s="1">
        <v>-1.355140209197998</v>
      </c>
      <c r="BB36" s="1">
        <v>7.355140209197998</v>
      </c>
      <c r="BC36" s="1">
        <v>1</v>
      </c>
      <c r="BD36" s="1">
        <v>0</v>
      </c>
      <c r="BE36" s="1">
        <v>0.15999999642372131</v>
      </c>
      <c r="BF36" s="1">
        <v>111115</v>
      </c>
      <c r="BG36">
        <f t="shared" si="101"/>
        <v>0.74805290222167964</v>
      </c>
      <c r="BH36">
        <f t="shared" si="102"/>
        <v>8.2402039152724949E-4</v>
      </c>
      <c r="BI36">
        <f t="shared" si="103"/>
        <v>283.02224674224851</v>
      </c>
      <c r="BJ36">
        <f t="shared" si="104"/>
        <v>278.85995283126829</v>
      </c>
      <c r="BK36">
        <f t="shared" si="105"/>
        <v>23.968212354893694</v>
      </c>
      <c r="BL36">
        <f t="shared" si="106"/>
        <v>-0.20982665906316822</v>
      </c>
      <c r="BM36">
        <f t="shared" si="107"/>
        <v>1.2219953959176639</v>
      </c>
      <c r="BN36">
        <f t="shared" si="108"/>
        <v>11.946331811094629</v>
      </c>
      <c r="BO36">
        <f t="shared" si="109"/>
        <v>5.901896786833154</v>
      </c>
      <c r="BP36">
        <f t="shared" si="110"/>
        <v>7.7910997867584229</v>
      </c>
      <c r="BQ36">
        <f t="shared" si="111"/>
        <v>1.0616509633566449</v>
      </c>
      <c r="BR36">
        <f t="shared" si="112"/>
        <v>0.13836365522068933</v>
      </c>
      <c r="BS36">
        <f t="shared" si="113"/>
        <v>0.6182878466268048</v>
      </c>
      <c r="BT36">
        <f t="shared" si="114"/>
        <v>0.44336311672984008</v>
      </c>
      <c r="BU36">
        <f t="shared" si="115"/>
        <v>8.6662834173001593E-2</v>
      </c>
      <c r="BV36">
        <f t="shared" si="116"/>
        <v>34.612123637215525</v>
      </c>
      <c r="BW36">
        <f t="shared" si="117"/>
        <v>0.84683728338129549</v>
      </c>
      <c r="BX36">
        <f t="shared" si="118"/>
        <v>50.890648229249535</v>
      </c>
      <c r="BY36">
        <f t="shared" si="119"/>
        <v>398.84381270412354</v>
      </c>
      <c r="BZ36">
        <f t="shared" si="120"/>
        <v>6.3793428154738313E-3</v>
      </c>
      <c r="CA36">
        <f t="shared" si="121"/>
        <v>1864.90869140625</v>
      </c>
      <c r="CB36">
        <f t="shared" si="122"/>
        <v>131.02710125831945</v>
      </c>
      <c r="CC36">
        <f t="shared" si="123"/>
        <v>969.2296142578125</v>
      </c>
      <c r="CD36">
        <f t="shared" si="124"/>
        <v>0.8434475401974888</v>
      </c>
      <c r="CE36">
        <f t="shared" si="125"/>
        <v>0.49835972668526152</v>
      </c>
    </row>
    <row r="37" spans="1:87" x14ac:dyDescent="0.25">
      <c r="A37" s="1">
        <v>21</v>
      </c>
      <c r="B37" s="1" t="s">
        <v>227</v>
      </c>
      <c r="C37" s="1">
        <v>3988.9999608546495</v>
      </c>
      <c r="D37" s="1">
        <v>0</v>
      </c>
      <c r="E37">
        <f t="shared" si="84"/>
        <v>4.2327198868550928</v>
      </c>
      <c r="F37">
        <f t="shared" si="85"/>
        <v>0.13221206494762855</v>
      </c>
      <c r="G37">
        <f t="shared" si="86"/>
        <v>345.31965004846626</v>
      </c>
      <c r="H37" s="1">
        <v>76</v>
      </c>
      <c r="I37" s="1">
        <v>74</v>
      </c>
      <c r="J37" s="1">
        <v>567.294189453125</v>
      </c>
      <c r="K37" s="1">
        <v>2432.202880859375</v>
      </c>
      <c r="L37" s="1">
        <v>546.4169921875</v>
      </c>
      <c r="M37" s="1">
        <v>1613.197998046875</v>
      </c>
      <c r="N37" s="1">
        <v>729.6346435546875</v>
      </c>
      <c r="O37">
        <f t="shared" si="87"/>
        <v>0.76675704402887568</v>
      </c>
      <c r="P37">
        <f t="shared" si="88"/>
        <v>0.66128336828519751</v>
      </c>
      <c r="Q37">
        <f t="shared" si="89"/>
        <v>0.54770918111845668</v>
      </c>
      <c r="R37" s="1">
        <v>-1</v>
      </c>
      <c r="S37" s="1">
        <v>0.87</v>
      </c>
      <c r="T37" s="1">
        <v>0.92</v>
      </c>
      <c r="U37" s="1">
        <v>11.292572975158691</v>
      </c>
      <c r="V37">
        <f t="shared" si="90"/>
        <v>0.87564628648757947</v>
      </c>
      <c r="W37">
        <f t="shared" si="91"/>
        <v>4.8583767204064543E-2</v>
      </c>
      <c r="X37">
        <f t="shared" si="92"/>
        <v>0.82825186204023993</v>
      </c>
      <c r="Y37">
        <f t="shared" si="93"/>
        <v>0.43430428010536781</v>
      </c>
      <c r="Z37">
        <f t="shared" si="94"/>
        <v>0.50769024248981376</v>
      </c>
      <c r="AA37" s="1">
        <v>123.00070190429687</v>
      </c>
      <c r="AB37" s="1">
        <v>0.5</v>
      </c>
      <c r="AC37">
        <f t="shared" si="95"/>
        <v>29.495538213552681</v>
      </c>
      <c r="AD37">
        <f t="shared" si="96"/>
        <v>0.76991860786595956</v>
      </c>
      <c r="AE37">
        <f t="shared" si="97"/>
        <v>0.59872739299598321</v>
      </c>
      <c r="AF37">
        <f t="shared" si="98"/>
        <v>9.730891227722168</v>
      </c>
      <c r="AG37" s="1">
        <v>2</v>
      </c>
      <c r="AH37">
        <f t="shared" si="99"/>
        <v>4.644859790802002</v>
      </c>
      <c r="AI37" s="1">
        <v>1</v>
      </c>
      <c r="AJ37">
        <f t="shared" si="100"/>
        <v>9.2897195816040039</v>
      </c>
      <c r="AK37" s="1">
        <v>5.5599236488342285</v>
      </c>
      <c r="AL37" s="1">
        <v>9.730891227722168</v>
      </c>
      <c r="AM37" s="1">
        <v>2.2586841583251953</v>
      </c>
      <c r="AN37" s="1">
        <v>406.7554931640625</v>
      </c>
      <c r="AO37" s="1">
        <v>400.68502807617187</v>
      </c>
      <c r="AP37" s="1">
        <v>4.9578008651733398</v>
      </c>
      <c r="AQ37" s="1">
        <v>5.9808335304260254</v>
      </c>
      <c r="AR37" s="1">
        <v>55.686313629150391</v>
      </c>
      <c r="AS37" s="1">
        <v>67.177070617675781</v>
      </c>
      <c r="AT37" s="1">
        <v>149.61669921875</v>
      </c>
      <c r="AU37" s="1">
        <v>123.00070190429687</v>
      </c>
      <c r="AV37" s="1">
        <v>18.5986328125</v>
      </c>
      <c r="AW37" s="1">
        <v>102.28311157226562</v>
      </c>
      <c r="AX37" s="1">
        <v>5.2311935424804687</v>
      </c>
      <c r="AY37" s="1">
        <v>7.0944122970104218E-2</v>
      </c>
      <c r="AZ37" s="1">
        <v>0.75</v>
      </c>
      <c r="BA37" s="1">
        <v>-1.355140209197998</v>
      </c>
      <c r="BB37" s="1">
        <v>7.355140209197998</v>
      </c>
      <c r="BC37" s="1">
        <v>1</v>
      </c>
      <c r="BD37" s="1">
        <v>0</v>
      </c>
      <c r="BE37" s="1">
        <v>0.15999999642372131</v>
      </c>
      <c r="BF37" s="1">
        <v>111115</v>
      </c>
      <c r="BG37">
        <f t="shared" si="101"/>
        <v>0.74808349609374991</v>
      </c>
      <c r="BH37">
        <f t="shared" si="102"/>
        <v>7.6991860786595958E-4</v>
      </c>
      <c r="BI37">
        <f t="shared" si="103"/>
        <v>282.88089122772215</v>
      </c>
      <c r="BJ37">
        <f t="shared" si="104"/>
        <v>278.70992364883421</v>
      </c>
      <c r="BK37">
        <f t="shared" si="105"/>
        <v>19.680111864802711</v>
      </c>
      <c r="BL37">
        <f t="shared" si="106"/>
        <v>-0.2175779607362246</v>
      </c>
      <c r="BM37">
        <f t="shared" si="107"/>
        <v>1.2104656562836957</v>
      </c>
      <c r="BN37">
        <f t="shared" si="108"/>
        <v>11.834462578198659</v>
      </c>
      <c r="BO37">
        <f t="shared" si="109"/>
        <v>5.8536290477726336</v>
      </c>
      <c r="BP37">
        <f t="shared" si="110"/>
        <v>7.6454074382781982</v>
      </c>
      <c r="BQ37">
        <f t="shared" si="111"/>
        <v>1.0511554657251756</v>
      </c>
      <c r="BR37">
        <f t="shared" si="112"/>
        <v>0.13035681585716061</v>
      </c>
      <c r="BS37">
        <f t="shared" si="113"/>
        <v>0.61173826328771252</v>
      </c>
      <c r="BT37">
        <f t="shared" si="114"/>
        <v>0.43941720243746307</v>
      </c>
      <c r="BU37">
        <f t="shared" si="115"/>
        <v>8.1637685670905791E-2</v>
      </c>
      <c r="BV37">
        <f t="shared" si="116"/>
        <v>35.320368294002996</v>
      </c>
      <c r="BW37">
        <f t="shared" si="117"/>
        <v>0.86182319241241923</v>
      </c>
      <c r="BX37">
        <f t="shared" si="118"/>
        <v>50.793192749376679</v>
      </c>
      <c r="BY37">
        <f t="shared" si="119"/>
        <v>400.06992104338588</v>
      </c>
      <c r="BZ37">
        <f t="shared" si="120"/>
        <v>5.3738945558927803E-3</v>
      </c>
      <c r="CA37">
        <f t="shared" si="121"/>
        <v>1864.90869140625</v>
      </c>
      <c r="CB37">
        <f t="shared" si="122"/>
        <v>107.7051078578633</v>
      </c>
      <c r="CC37">
        <f t="shared" si="123"/>
        <v>1066.781005859375</v>
      </c>
      <c r="CD37">
        <f t="shared" si="124"/>
        <v>0.84478452725032693</v>
      </c>
      <c r="CE37">
        <f t="shared" si="125"/>
        <v>0.43916621043517284</v>
      </c>
    </row>
    <row r="38" spans="1:87" x14ac:dyDescent="0.25">
      <c r="A38" s="1">
        <v>22</v>
      </c>
      <c r="B38" s="1" t="s">
        <v>228</v>
      </c>
      <c r="C38" s="1">
        <v>4063.9999556858093</v>
      </c>
      <c r="D38" s="1">
        <v>0</v>
      </c>
      <c r="E38">
        <f t="shared" si="84"/>
        <v>3.3200692810025112</v>
      </c>
      <c r="F38">
        <f t="shared" si="85"/>
        <v>0.12847381282299999</v>
      </c>
      <c r="G38">
        <f t="shared" si="86"/>
        <v>354.82499331007557</v>
      </c>
      <c r="H38" s="1">
        <v>77</v>
      </c>
      <c r="I38" s="1">
        <v>75</v>
      </c>
      <c r="J38" s="1">
        <v>567.294189453125</v>
      </c>
      <c r="K38" s="1">
        <v>2432.202880859375</v>
      </c>
      <c r="L38" s="1">
        <v>557.142822265625</v>
      </c>
      <c r="M38" s="1">
        <v>1712.2337646484375</v>
      </c>
      <c r="N38" s="1">
        <v>739.3243408203125</v>
      </c>
      <c r="O38">
        <f t="shared" si="87"/>
        <v>0.76675704402887568</v>
      </c>
      <c r="P38">
        <f t="shared" si="88"/>
        <v>0.67461053871927368</v>
      </c>
      <c r="Q38">
        <f t="shared" si="89"/>
        <v>0.56821062866254513</v>
      </c>
      <c r="R38" s="1">
        <v>-1</v>
      </c>
      <c r="S38" s="1">
        <v>0.87</v>
      </c>
      <c r="T38" s="1">
        <v>0.92</v>
      </c>
      <c r="U38" s="1">
        <v>9.8810501098632812</v>
      </c>
      <c r="V38">
        <f t="shared" si="90"/>
        <v>0.87494052505493158</v>
      </c>
      <c r="W38">
        <f t="shared" si="91"/>
        <v>4.8618563574780421E-2</v>
      </c>
      <c r="X38">
        <f t="shared" si="92"/>
        <v>0.84227950209801739</v>
      </c>
      <c r="Y38">
        <f t="shared" si="93"/>
        <v>0.38397122956738627</v>
      </c>
      <c r="Z38">
        <f t="shared" si="94"/>
        <v>0.42048529299897575</v>
      </c>
      <c r="AA38" s="1">
        <v>101.55704498291016</v>
      </c>
      <c r="AB38" s="1">
        <v>0.5</v>
      </c>
      <c r="AC38">
        <f t="shared" si="95"/>
        <v>25.244568139580956</v>
      </c>
      <c r="AD38">
        <f t="shared" si="96"/>
        <v>0.75736350630965887</v>
      </c>
      <c r="AE38">
        <f t="shared" si="97"/>
        <v>0.60588794337437579</v>
      </c>
      <c r="AF38">
        <f t="shared" si="98"/>
        <v>9.8065099716186523</v>
      </c>
      <c r="AG38" s="1">
        <v>2</v>
      </c>
      <c r="AH38">
        <f t="shared" si="99"/>
        <v>4.644859790802002</v>
      </c>
      <c r="AI38" s="1">
        <v>1</v>
      </c>
      <c r="AJ38">
        <f t="shared" si="100"/>
        <v>9.2897195816040039</v>
      </c>
      <c r="AK38" s="1">
        <v>5.9274592399597168</v>
      </c>
      <c r="AL38" s="1">
        <v>9.8065099716186523</v>
      </c>
      <c r="AM38" s="1">
        <v>2.7987527847290039</v>
      </c>
      <c r="AN38" s="1">
        <v>405.1099853515625</v>
      </c>
      <c r="AO38" s="1">
        <v>400.26565551757813</v>
      </c>
      <c r="AP38" s="1">
        <v>4.9640274047851563</v>
      </c>
      <c r="AQ38" s="1">
        <v>5.9705953598022461</v>
      </c>
      <c r="AR38" s="1">
        <v>54.358062744140625</v>
      </c>
      <c r="AS38" s="1">
        <v>65.380378723144531</v>
      </c>
      <c r="AT38" s="1">
        <v>149.58584594726562</v>
      </c>
      <c r="AU38" s="1">
        <v>101.55704498291016</v>
      </c>
      <c r="AV38" s="1">
        <v>18.180364608764648</v>
      </c>
      <c r="AW38" s="1">
        <v>102.29023742675781</v>
      </c>
      <c r="AX38" s="1">
        <v>5.2311935424804687</v>
      </c>
      <c r="AY38" s="1">
        <v>7.0944122970104218E-2</v>
      </c>
      <c r="AZ38" s="1">
        <v>0.5</v>
      </c>
      <c r="BA38" s="1">
        <v>-1.355140209197998</v>
      </c>
      <c r="BB38" s="1">
        <v>7.355140209197998</v>
      </c>
      <c r="BC38" s="1">
        <v>1</v>
      </c>
      <c r="BD38" s="1">
        <v>0</v>
      </c>
      <c r="BE38" s="1">
        <v>0.15999999642372131</v>
      </c>
      <c r="BF38" s="1">
        <v>111115</v>
      </c>
      <c r="BG38">
        <f t="shared" si="101"/>
        <v>0.74792922973632803</v>
      </c>
      <c r="BH38">
        <f t="shared" si="102"/>
        <v>7.5736350630965885E-4</v>
      </c>
      <c r="BI38">
        <f t="shared" si="103"/>
        <v>282.95650997161863</v>
      </c>
      <c r="BJ38">
        <f t="shared" si="104"/>
        <v>279.07745923995969</v>
      </c>
      <c r="BK38">
        <f t="shared" si="105"/>
        <v>16.24912683406933</v>
      </c>
      <c r="BL38">
        <f t="shared" si="106"/>
        <v>-0.21829362626233548</v>
      </c>
      <c r="BM38">
        <f t="shared" si="107"/>
        <v>1.216621560307646</v>
      </c>
      <c r="BN38">
        <f t="shared" si="108"/>
        <v>11.893818910908045</v>
      </c>
      <c r="BO38">
        <f t="shared" si="109"/>
        <v>5.9232235511057993</v>
      </c>
      <c r="BP38">
        <f t="shared" si="110"/>
        <v>7.8669846057891846</v>
      </c>
      <c r="BQ38">
        <f t="shared" si="111"/>
        <v>1.0671541355302208</v>
      </c>
      <c r="BR38">
        <f t="shared" si="112"/>
        <v>0.12672129831304674</v>
      </c>
      <c r="BS38">
        <f t="shared" si="113"/>
        <v>0.61073361693327022</v>
      </c>
      <c r="BT38">
        <f t="shared" si="114"/>
        <v>0.45642051859695054</v>
      </c>
      <c r="BU38">
        <f t="shared" si="115"/>
        <v>7.93564212428228E-2</v>
      </c>
      <c r="BV38">
        <f t="shared" si="116"/>
        <v>36.295132810635387</v>
      </c>
      <c r="BW38">
        <f t="shared" si="117"/>
        <v>0.88647374167352966</v>
      </c>
      <c r="BX38">
        <f t="shared" si="118"/>
        <v>50.435761325788732</v>
      </c>
      <c r="BY38">
        <f t="shared" si="119"/>
        <v>399.78317663433722</v>
      </c>
      <c r="BZ38">
        <f t="shared" si="120"/>
        <v>4.1885259717890644E-3</v>
      </c>
      <c r="CA38">
        <f t="shared" si="121"/>
        <v>1864.90869140625</v>
      </c>
      <c r="CB38">
        <f t="shared" si="122"/>
        <v>88.856374260374722</v>
      </c>
      <c r="CC38">
        <f t="shared" si="123"/>
        <v>1155.0909423828125</v>
      </c>
      <c r="CD38">
        <f t="shared" si="124"/>
        <v>0.84974739707303659</v>
      </c>
      <c r="CE38">
        <f t="shared" si="125"/>
        <v>0.38606132274928634</v>
      </c>
    </row>
    <row r="39" spans="1:87" x14ac:dyDescent="0.25">
      <c r="A39" s="1">
        <v>23</v>
      </c>
      <c r="B39" s="1" t="s">
        <v>229</v>
      </c>
      <c r="C39" s="1">
        <v>4138.999950516969</v>
      </c>
      <c r="D39" s="1">
        <v>0</v>
      </c>
      <c r="E39">
        <f t="shared" si="84"/>
        <v>2.5410772998847579</v>
      </c>
      <c r="F39">
        <f t="shared" si="85"/>
        <v>0.1219853811070916</v>
      </c>
      <c r="G39">
        <f t="shared" si="86"/>
        <v>363.67051175600722</v>
      </c>
      <c r="H39" s="1">
        <v>78</v>
      </c>
      <c r="I39" s="1">
        <v>76</v>
      </c>
      <c r="J39" s="1">
        <v>567.294189453125</v>
      </c>
      <c r="K39" s="1">
        <v>2432.202880859375</v>
      </c>
      <c r="L39" s="1">
        <v>565.91943359375</v>
      </c>
      <c r="M39" s="1">
        <v>1805.7135009765625</v>
      </c>
      <c r="N39" s="1">
        <v>733.8780517578125</v>
      </c>
      <c r="O39">
        <f t="shared" si="87"/>
        <v>0.76675704402887568</v>
      </c>
      <c r="P39">
        <f t="shared" si="88"/>
        <v>0.68659511418190622</v>
      </c>
      <c r="Q39">
        <f t="shared" si="89"/>
        <v>0.59358001623130252</v>
      </c>
      <c r="R39" s="1">
        <v>-1</v>
      </c>
      <c r="S39" s="1">
        <v>0.87</v>
      </c>
      <c r="T39" s="1">
        <v>0.92</v>
      </c>
      <c r="U39" s="1">
        <v>8.1733760833740234</v>
      </c>
      <c r="V39">
        <f t="shared" si="90"/>
        <v>0.87408668804168699</v>
      </c>
      <c r="W39">
        <f t="shared" si="91"/>
        <v>5.3366106752413364E-2</v>
      </c>
      <c r="X39">
        <f t="shared" si="92"/>
        <v>0.8645270028444153</v>
      </c>
      <c r="Y39">
        <f t="shared" si="93"/>
        <v>0.3356882261377338</v>
      </c>
      <c r="Z39">
        <f t="shared" si="94"/>
        <v>0.34694838330886696</v>
      </c>
      <c r="AA39" s="1">
        <v>75.912864685058594</v>
      </c>
      <c r="AB39" s="1">
        <v>0.5</v>
      </c>
      <c r="AC39">
        <f t="shared" si="95"/>
        <v>19.693330177649106</v>
      </c>
      <c r="AD39">
        <f t="shared" si="96"/>
        <v>0.73145942162640709</v>
      </c>
      <c r="AE39">
        <f t="shared" si="97"/>
        <v>0.61590252212459773</v>
      </c>
      <c r="AF39">
        <f t="shared" si="98"/>
        <v>9.8914060592651367</v>
      </c>
      <c r="AG39" s="1">
        <v>2</v>
      </c>
      <c r="AH39">
        <f t="shared" si="99"/>
        <v>4.644859790802002</v>
      </c>
      <c r="AI39" s="1">
        <v>1</v>
      </c>
      <c r="AJ39">
        <f t="shared" si="100"/>
        <v>9.2897195816040039</v>
      </c>
      <c r="AK39" s="1">
        <v>6.1611943244934082</v>
      </c>
      <c r="AL39" s="1">
        <v>9.8914060592651367</v>
      </c>
      <c r="AM39" s="1">
        <v>3.4745807647705078</v>
      </c>
      <c r="AN39" s="1">
        <v>404.873779296875</v>
      </c>
      <c r="AO39" s="1">
        <v>401.08465576171875</v>
      </c>
      <c r="AP39" s="1">
        <v>4.9680953025817871</v>
      </c>
      <c r="AQ39" s="1">
        <v>5.9401082992553711</v>
      </c>
      <c r="AR39" s="1">
        <v>53.53497314453125</v>
      </c>
      <c r="AS39" s="1">
        <v>64.009147644042969</v>
      </c>
      <c r="AT39" s="1">
        <v>149.61003112792969</v>
      </c>
      <c r="AU39" s="1">
        <v>75.912864685058594</v>
      </c>
      <c r="AV39" s="1">
        <v>19.587314605712891</v>
      </c>
      <c r="AW39" s="1">
        <v>102.29830932617187</v>
      </c>
      <c r="AX39" s="1">
        <v>5.2311935424804687</v>
      </c>
      <c r="AY39" s="1">
        <v>7.0944122970104218E-2</v>
      </c>
      <c r="AZ39" s="1">
        <v>0.75</v>
      </c>
      <c r="BA39" s="1">
        <v>-1.355140209197998</v>
      </c>
      <c r="BB39" s="1">
        <v>7.355140209197998</v>
      </c>
      <c r="BC39" s="1">
        <v>1</v>
      </c>
      <c r="BD39" s="1">
        <v>0</v>
      </c>
      <c r="BE39" s="1">
        <v>0.15999999642372131</v>
      </c>
      <c r="BF39" s="1">
        <v>111115</v>
      </c>
      <c r="BG39">
        <f t="shared" si="101"/>
        <v>0.74805015563964838</v>
      </c>
      <c r="BH39">
        <f t="shared" si="102"/>
        <v>7.3145942162640713E-4</v>
      </c>
      <c r="BI39">
        <f t="shared" si="103"/>
        <v>283.04140605926511</v>
      </c>
      <c r="BJ39">
        <f t="shared" si="104"/>
        <v>279.31119432449339</v>
      </c>
      <c r="BK39">
        <f t="shared" si="105"/>
        <v>12.146058078123815</v>
      </c>
      <c r="BL39">
        <f t="shared" si="106"/>
        <v>-0.22471548805904856</v>
      </c>
      <c r="BM39">
        <f t="shared" si="107"/>
        <v>1.2235655583527845</v>
      </c>
      <c r="BN39">
        <f t="shared" si="108"/>
        <v>11.960760313755731</v>
      </c>
      <c r="BO39">
        <f t="shared" si="109"/>
        <v>6.0206520145003601</v>
      </c>
      <c r="BP39">
        <f t="shared" si="110"/>
        <v>8.0263001918792725</v>
      </c>
      <c r="BQ39">
        <f t="shared" si="111"/>
        <v>1.0787896391621248</v>
      </c>
      <c r="BR39">
        <f t="shared" si="112"/>
        <v>0.1204043250430949</v>
      </c>
      <c r="BS39">
        <f t="shared" si="113"/>
        <v>0.60766303622818674</v>
      </c>
      <c r="BT39">
        <f t="shared" si="114"/>
        <v>0.47112660293393804</v>
      </c>
      <c r="BU39">
        <f t="shared" si="115"/>
        <v>7.5393171783198196E-2</v>
      </c>
      <c r="BV39">
        <f t="shared" si="116"/>
        <v>37.202878504423254</v>
      </c>
      <c r="BW39">
        <f t="shared" si="117"/>
        <v>0.90671758824915261</v>
      </c>
      <c r="BX39">
        <f t="shared" si="118"/>
        <v>49.867003522153119</v>
      </c>
      <c r="BY39">
        <f t="shared" si="119"/>
        <v>400.71538149840973</v>
      </c>
      <c r="BZ39">
        <f t="shared" si="120"/>
        <v>3.1622422426007984E-3</v>
      </c>
      <c r="CA39">
        <f t="shared" si="121"/>
        <v>1864.90869140625</v>
      </c>
      <c r="CB39">
        <f t="shared" si="122"/>
        <v>66.354424472319607</v>
      </c>
      <c r="CC39">
        <f t="shared" si="123"/>
        <v>1239.7940673828125</v>
      </c>
      <c r="CD39">
        <f t="shared" si="124"/>
        <v>0.86548670490307122</v>
      </c>
      <c r="CE39">
        <f t="shared" si="125"/>
        <v>0.33593568562887816</v>
      </c>
    </row>
    <row r="40" spans="1:87" x14ac:dyDescent="0.25">
      <c r="A40" s="1">
        <v>24</v>
      </c>
      <c r="B40" s="1" t="s">
        <v>230</v>
      </c>
      <c r="C40" s="1">
        <v>4213.9999453481287</v>
      </c>
      <c r="D40" s="1">
        <v>0</v>
      </c>
      <c r="E40">
        <f t="shared" si="84"/>
        <v>1.2153845384389326</v>
      </c>
      <c r="F40">
        <f t="shared" si="85"/>
        <v>0.11277788469972873</v>
      </c>
      <c r="G40">
        <f t="shared" si="86"/>
        <v>379.9471748587074</v>
      </c>
      <c r="H40" s="1">
        <v>79</v>
      </c>
      <c r="I40" s="1">
        <v>77</v>
      </c>
      <c r="J40" s="1">
        <v>567.294189453125</v>
      </c>
      <c r="K40" s="1">
        <v>2432.202880859375</v>
      </c>
      <c r="L40" s="1">
        <v>570.998291015625</v>
      </c>
      <c r="M40" s="1">
        <v>1897.899169921875</v>
      </c>
      <c r="N40" s="1">
        <v>719.056396484375</v>
      </c>
      <c r="O40">
        <f t="shared" si="87"/>
        <v>0.76675704402887568</v>
      </c>
      <c r="P40">
        <f t="shared" si="88"/>
        <v>0.69914192488996685</v>
      </c>
      <c r="Q40">
        <f t="shared" si="89"/>
        <v>0.62113034881933471</v>
      </c>
      <c r="R40" s="1">
        <v>-1</v>
      </c>
      <c r="S40" s="1">
        <v>0.87</v>
      </c>
      <c r="T40" s="1">
        <v>0.92</v>
      </c>
      <c r="U40" s="1">
        <v>12.256671905517578</v>
      </c>
      <c r="V40">
        <f t="shared" si="90"/>
        <v>0.87612833595275885</v>
      </c>
      <c r="W40">
        <f t="shared" si="91"/>
        <v>4.9583061653142697E-2</v>
      </c>
      <c r="X40">
        <f t="shared" si="92"/>
        <v>0.8884181118405825</v>
      </c>
      <c r="Y40">
        <f t="shared" si="93"/>
        <v>0.28707414211908605</v>
      </c>
      <c r="Z40">
        <f t="shared" si="94"/>
        <v>0.28152376027410037</v>
      </c>
      <c r="AA40" s="1">
        <v>50.997402191162109</v>
      </c>
      <c r="AB40" s="1">
        <v>0.5</v>
      </c>
      <c r="AC40">
        <f t="shared" si="95"/>
        <v>13.876135571816976</v>
      </c>
      <c r="AD40">
        <f t="shared" si="96"/>
        <v>0.6799970092758999</v>
      </c>
      <c r="AE40">
        <f t="shared" si="97"/>
        <v>0.61869313538434678</v>
      </c>
      <c r="AF40">
        <f t="shared" si="98"/>
        <v>9.8383417129516602</v>
      </c>
      <c r="AG40" s="1">
        <v>2</v>
      </c>
      <c r="AH40">
        <f t="shared" si="99"/>
        <v>4.644859790802002</v>
      </c>
      <c r="AI40" s="1">
        <v>1</v>
      </c>
      <c r="AJ40">
        <f t="shared" si="100"/>
        <v>9.2897195816040039</v>
      </c>
      <c r="AK40" s="1">
        <v>6.3929028511047363</v>
      </c>
      <c r="AL40" s="1">
        <v>9.8383417129516602</v>
      </c>
      <c r="AM40" s="1">
        <v>3.6193850040435791</v>
      </c>
      <c r="AN40" s="1">
        <v>403.16574096679687</v>
      </c>
      <c r="AO40" s="1">
        <v>401.17630004882812</v>
      </c>
      <c r="AP40" s="1">
        <v>4.9671535491943359</v>
      </c>
      <c r="AQ40" s="1">
        <v>5.8708539009094238</v>
      </c>
      <c r="AR40" s="1">
        <v>52.671577453613281</v>
      </c>
      <c r="AS40" s="1">
        <v>62.254390716552734</v>
      </c>
      <c r="AT40" s="1">
        <v>149.60818481445312</v>
      </c>
      <c r="AU40" s="1">
        <v>50.997402191162109</v>
      </c>
      <c r="AV40" s="1">
        <v>19.452905654907227</v>
      </c>
      <c r="AW40" s="1">
        <v>102.28971862792969</v>
      </c>
      <c r="AX40" s="1">
        <v>5.2311935424804687</v>
      </c>
      <c r="AY40" s="1">
        <v>7.0944122970104218E-2</v>
      </c>
      <c r="AZ40" s="1">
        <v>0.75</v>
      </c>
      <c r="BA40" s="1">
        <v>-1.355140209197998</v>
      </c>
      <c r="BB40" s="1">
        <v>7.355140209197998</v>
      </c>
      <c r="BC40" s="1">
        <v>1</v>
      </c>
      <c r="BD40" s="1">
        <v>0</v>
      </c>
      <c r="BE40" s="1">
        <v>0.15999999642372131</v>
      </c>
      <c r="BF40" s="1">
        <v>111115</v>
      </c>
      <c r="BG40">
        <f t="shared" si="101"/>
        <v>0.74804092407226563</v>
      </c>
      <c r="BH40">
        <f t="shared" si="102"/>
        <v>6.7999700927589993E-4</v>
      </c>
      <c r="BI40">
        <f t="shared" si="103"/>
        <v>282.98834171295164</v>
      </c>
      <c r="BJ40">
        <f t="shared" si="104"/>
        <v>279.54290285110471</v>
      </c>
      <c r="BK40">
        <f t="shared" si="105"/>
        <v>8.159584168205015</v>
      </c>
      <c r="BL40">
        <f t="shared" si="106"/>
        <v>-0.22077775823087994</v>
      </c>
      <c r="BM40">
        <f t="shared" si="107"/>
        <v>1.2192211290140551</v>
      </c>
      <c r="BN40">
        <f t="shared" si="108"/>
        <v>11.919293017599063</v>
      </c>
      <c r="BO40">
        <f t="shared" si="109"/>
        <v>6.0484391166896394</v>
      </c>
      <c r="BP40">
        <f t="shared" si="110"/>
        <v>8.1156222820281982</v>
      </c>
      <c r="BQ40">
        <f t="shared" si="111"/>
        <v>1.0853620446005052</v>
      </c>
      <c r="BR40">
        <f t="shared" si="112"/>
        <v>0.11142517481356003</v>
      </c>
      <c r="BS40">
        <f t="shared" si="113"/>
        <v>0.60052799362970832</v>
      </c>
      <c r="BT40">
        <f t="shared" si="114"/>
        <v>0.4848340509707969</v>
      </c>
      <c r="BU40">
        <f t="shared" si="115"/>
        <v>6.9761016461209871E-2</v>
      </c>
      <c r="BV40">
        <f t="shared" si="116"/>
        <v>38.864689609773983</v>
      </c>
      <c r="BW40">
        <f t="shared" si="117"/>
        <v>0.94708280327741978</v>
      </c>
      <c r="BX40">
        <f t="shared" si="118"/>
        <v>49.413741182821333</v>
      </c>
      <c r="BY40">
        <f t="shared" si="119"/>
        <v>400.99967801923083</v>
      </c>
      <c r="BZ40">
        <f t="shared" si="120"/>
        <v>1.4976744449441686E-3</v>
      </c>
      <c r="CA40">
        <f t="shared" si="121"/>
        <v>1864.90869140625</v>
      </c>
      <c r="CB40">
        <f t="shared" si="122"/>
        <v>44.680269119656437</v>
      </c>
      <c r="CC40">
        <f t="shared" si="123"/>
        <v>1326.90087890625</v>
      </c>
      <c r="CD40">
        <f t="shared" si="124"/>
        <v>0.88594495792599037</v>
      </c>
      <c r="CE40">
        <f t="shared" si="125"/>
        <v>0.28650395239168724</v>
      </c>
    </row>
    <row r="41" spans="1:87" x14ac:dyDescent="0.25">
      <c r="A41" s="1">
        <v>25</v>
      </c>
      <c r="B41" s="1" t="s">
        <v>231</v>
      </c>
      <c r="C41" s="1">
        <v>4287.4999402826652</v>
      </c>
      <c r="D41" s="1">
        <v>0</v>
      </c>
      <c r="E41">
        <f t="shared" si="84"/>
        <v>0.22225015437157147</v>
      </c>
      <c r="F41">
        <f t="shared" si="85"/>
        <v>0.10347376523148925</v>
      </c>
      <c r="G41">
        <f t="shared" si="86"/>
        <v>393.569526217651</v>
      </c>
      <c r="H41" s="1">
        <v>80</v>
      </c>
      <c r="I41" s="1">
        <v>78</v>
      </c>
      <c r="J41" s="1">
        <v>567.294189453125</v>
      </c>
      <c r="K41" s="1">
        <v>2432.202880859375</v>
      </c>
      <c r="L41" s="1">
        <v>574.68994140625</v>
      </c>
      <c r="M41" s="1">
        <v>1993.5584716796875</v>
      </c>
      <c r="N41" s="1">
        <v>673.1439208984375</v>
      </c>
      <c r="O41">
        <f t="shared" si="87"/>
        <v>0.76675704402887568</v>
      </c>
      <c r="P41">
        <f t="shared" si="88"/>
        <v>0.71172656856056959</v>
      </c>
      <c r="Q41">
        <f t="shared" si="89"/>
        <v>0.66234051799279547</v>
      </c>
      <c r="R41" s="1">
        <v>-1</v>
      </c>
      <c r="S41" s="1">
        <v>0.87</v>
      </c>
      <c r="T41" s="1">
        <v>0.92</v>
      </c>
      <c r="U41" s="1">
        <v>14.168544769287109</v>
      </c>
      <c r="V41">
        <f t="shared" si="90"/>
        <v>0.8770842723846437</v>
      </c>
      <c r="W41">
        <f t="shared" si="91"/>
        <v>5.9110074987757923E-2</v>
      </c>
      <c r="X41">
        <f t="shared" si="92"/>
        <v>0.93061092173690407</v>
      </c>
      <c r="Y41">
        <f t="shared" si="93"/>
        <v>0.23614608537199741</v>
      </c>
      <c r="Z41">
        <f t="shared" si="94"/>
        <v>0.22003087213695036</v>
      </c>
      <c r="AA41" s="1">
        <v>23.575302124023438</v>
      </c>
      <c r="AB41" s="1">
        <v>0.5</v>
      </c>
      <c r="AC41">
        <f t="shared" si="95"/>
        <v>6.8477818758553672</v>
      </c>
      <c r="AD41">
        <f t="shared" si="96"/>
        <v>0.63420820394369792</v>
      </c>
      <c r="AE41">
        <f t="shared" si="97"/>
        <v>0.62829083820616738</v>
      </c>
      <c r="AF41">
        <f t="shared" si="98"/>
        <v>9.8768863677978516</v>
      </c>
      <c r="AG41" s="1">
        <v>2</v>
      </c>
      <c r="AH41">
        <f t="shared" si="99"/>
        <v>4.644859790802002</v>
      </c>
      <c r="AI41" s="1">
        <v>1</v>
      </c>
      <c r="AJ41">
        <f t="shared" si="100"/>
        <v>9.2897195816040039</v>
      </c>
      <c r="AK41" s="1">
        <v>6.6069879531860352</v>
      </c>
      <c r="AL41" s="1">
        <v>9.8768863677978516</v>
      </c>
      <c r="AM41" s="1">
        <v>3.7812573909759521</v>
      </c>
      <c r="AN41" s="1">
        <v>401.60894775390625</v>
      </c>
      <c r="AO41" s="1">
        <v>400.97198486328125</v>
      </c>
      <c r="AP41" s="1">
        <v>4.9652299880981445</v>
      </c>
      <c r="AQ41" s="1">
        <v>5.8079977035522461</v>
      </c>
      <c r="AR41" s="1">
        <v>51.879413604736328</v>
      </c>
      <c r="AS41" s="1">
        <v>60.685108184814453</v>
      </c>
      <c r="AT41" s="1">
        <v>149.63191223144531</v>
      </c>
      <c r="AU41" s="1">
        <v>23.575302124023438</v>
      </c>
      <c r="AV41" s="1">
        <v>20.260419845581055</v>
      </c>
      <c r="AW41" s="1">
        <v>102.28733825683594</v>
      </c>
      <c r="AX41" s="1">
        <v>5.2311935424804687</v>
      </c>
      <c r="AY41" s="1">
        <v>7.0944122970104218E-2</v>
      </c>
      <c r="AZ41" s="1">
        <v>0.75</v>
      </c>
      <c r="BA41" s="1">
        <v>-1.355140209197998</v>
      </c>
      <c r="BB41" s="1">
        <v>7.355140209197998</v>
      </c>
      <c r="BC41" s="1">
        <v>1</v>
      </c>
      <c r="BD41" s="1">
        <v>0</v>
      </c>
      <c r="BE41" s="1">
        <v>0.15999999642372131</v>
      </c>
      <c r="BF41" s="1">
        <v>111115</v>
      </c>
      <c r="BG41">
        <f t="shared" si="101"/>
        <v>0.74815956115722648</v>
      </c>
      <c r="BH41">
        <f t="shared" si="102"/>
        <v>6.342082039436979E-4</v>
      </c>
      <c r="BI41">
        <f t="shared" si="103"/>
        <v>283.02688636779783</v>
      </c>
      <c r="BJ41">
        <f t="shared" si="104"/>
        <v>279.75698795318601</v>
      </c>
      <c r="BK41">
        <f t="shared" si="105"/>
        <v>3.7720482555318995</v>
      </c>
      <c r="BL41">
        <f t="shared" si="106"/>
        <v>-0.22370029557404381</v>
      </c>
      <c r="BM41">
        <f t="shared" si="107"/>
        <v>1.2223754639043423</v>
      </c>
      <c r="BN41">
        <f t="shared" si="108"/>
        <v>11.950408376401857</v>
      </c>
      <c r="BO41">
        <f t="shared" si="109"/>
        <v>6.1424106728496106</v>
      </c>
      <c r="BP41">
        <f t="shared" si="110"/>
        <v>8.2419371604919434</v>
      </c>
      <c r="BQ41">
        <f t="shared" si="111"/>
        <v>1.0947166868118237</v>
      </c>
      <c r="BR41">
        <f t="shared" si="112"/>
        <v>0.102333916439301</v>
      </c>
      <c r="BS41">
        <f t="shared" si="113"/>
        <v>0.59408462569817488</v>
      </c>
      <c r="BT41">
        <f t="shared" si="114"/>
        <v>0.50063206111364877</v>
      </c>
      <c r="BU41">
        <f t="shared" si="115"/>
        <v>6.4060138586815224E-2</v>
      </c>
      <c r="BV41">
        <f t="shared" si="116"/>
        <v>40.257179255807529</v>
      </c>
      <c r="BW41">
        <f t="shared" si="117"/>
        <v>0.98153871361323597</v>
      </c>
      <c r="BX41">
        <f t="shared" si="118"/>
        <v>48.711634770927738</v>
      </c>
      <c r="BY41">
        <f t="shared" si="119"/>
        <v>400.93968704139695</v>
      </c>
      <c r="BZ41">
        <f t="shared" si="120"/>
        <v>2.7001987324872878E-4</v>
      </c>
      <c r="CA41">
        <f t="shared" si="121"/>
        <v>1864.90869140625</v>
      </c>
      <c r="CB41">
        <f t="shared" si="122"/>
        <v>20.677526709697243</v>
      </c>
      <c r="CC41">
        <f t="shared" si="123"/>
        <v>1418.8685302734375</v>
      </c>
      <c r="CD41">
        <f t="shared" si="124"/>
        <v>0.9257853311168468</v>
      </c>
      <c r="CE41">
        <f t="shared" si="125"/>
        <v>0.23520959026091728</v>
      </c>
    </row>
    <row r="42" spans="1:87" x14ac:dyDescent="0.25">
      <c r="A42" s="1">
        <v>26</v>
      </c>
      <c r="B42" s="1" t="s">
        <v>232</v>
      </c>
      <c r="C42" s="1">
        <v>4362.4999351138249</v>
      </c>
      <c r="D42" s="1">
        <v>0</v>
      </c>
      <c r="E42">
        <f t="shared" si="84"/>
        <v>-1.2243857257737967</v>
      </c>
      <c r="F42">
        <f t="shared" si="85"/>
        <v>9.2830788928709732E-2</v>
      </c>
      <c r="G42">
        <f t="shared" si="86"/>
        <v>418.17918456834212</v>
      </c>
      <c r="H42" s="1">
        <v>81</v>
      </c>
      <c r="I42" s="1">
        <v>79</v>
      </c>
      <c r="J42" s="1">
        <v>567.294189453125</v>
      </c>
      <c r="K42" s="1">
        <v>2432.202880859375</v>
      </c>
      <c r="L42" s="1">
        <v>570.137939453125</v>
      </c>
      <c r="M42" s="1">
        <v>2092.209228515625</v>
      </c>
      <c r="N42" s="1">
        <v>561.02838134765625</v>
      </c>
      <c r="O42">
        <f t="shared" si="87"/>
        <v>0.76675704402887568</v>
      </c>
      <c r="P42">
        <f t="shared" si="88"/>
        <v>0.72749477839860932</v>
      </c>
      <c r="Q42">
        <f t="shared" si="89"/>
        <v>0.73184881621725129</v>
      </c>
      <c r="R42" s="1">
        <v>-1</v>
      </c>
      <c r="S42" s="1">
        <v>0.87</v>
      </c>
      <c r="T42" s="1">
        <v>0.92</v>
      </c>
      <c r="U42" s="1">
        <v>0</v>
      </c>
      <c r="V42">
        <f t="shared" si="90"/>
        <v>0.87</v>
      </c>
      <c r="W42">
        <f t="shared" si="91"/>
        <v>-0.56486291257653776</v>
      </c>
      <c r="X42">
        <f t="shared" si="92"/>
        <v>1.0059849746663836</v>
      </c>
      <c r="Y42">
        <f t="shared" si="93"/>
        <v>0.18258957825981267</v>
      </c>
      <c r="Z42">
        <f t="shared" si="94"/>
        <v>0.16250461364467253</v>
      </c>
      <c r="AA42" s="1">
        <v>0.45659685134887695</v>
      </c>
      <c r="AB42" s="1">
        <v>0.5</v>
      </c>
      <c r="AC42">
        <f t="shared" si="95"/>
        <v>0.14535954133946694</v>
      </c>
      <c r="AD42">
        <f t="shared" si="96"/>
        <v>0.58388727965864751</v>
      </c>
      <c r="AE42">
        <f t="shared" si="97"/>
        <v>0.64400232948565272</v>
      </c>
      <c r="AF42">
        <f t="shared" si="98"/>
        <v>9.9814567565917969</v>
      </c>
      <c r="AG42" s="1">
        <v>2</v>
      </c>
      <c r="AH42">
        <f t="shared" si="99"/>
        <v>4.644859790802002</v>
      </c>
      <c r="AI42" s="1">
        <v>1</v>
      </c>
      <c r="AJ42">
        <f t="shared" si="100"/>
        <v>9.2897195816040039</v>
      </c>
      <c r="AK42" s="1">
        <v>6.7741379737854004</v>
      </c>
      <c r="AL42" s="1">
        <v>9.9814567565917969</v>
      </c>
      <c r="AM42" s="1">
        <v>3.9757263660430908</v>
      </c>
      <c r="AN42" s="1">
        <v>399.72940063476562</v>
      </c>
      <c r="AO42" s="1">
        <v>401.05303955078125</v>
      </c>
      <c r="AP42" s="1">
        <v>4.9625716209411621</v>
      </c>
      <c r="AQ42" s="1">
        <v>5.7385849952697754</v>
      </c>
      <c r="AR42" s="1">
        <v>51.257564544677734</v>
      </c>
      <c r="AS42" s="1">
        <v>59.272884368896484</v>
      </c>
      <c r="AT42" s="1">
        <v>149.62025451660156</v>
      </c>
      <c r="AU42" s="1">
        <v>0.45659685134887695</v>
      </c>
      <c r="AV42" s="1">
        <v>20.556953430175781</v>
      </c>
      <c r="AW42" s="1">
        <v>102.28427124023437</v>
      </c>
      <c r="AX42" s="1">
        <v>5.2311935424804687</v>
      </c>
      <c r="AY42" s="1">
        <v>7.0944122970104218E-2</v>
      </c>
      <c r="AZ42" s="1">
        <v>0.5</v>
      </c>
      <c r="BA42" s="1">
        <v>-1.355140209197998</v>
      </c>
      <c r="BB42" s="1">
        <v>7.355140209197998</v>
      </c>
      <c r="BC42" s="1">
        <v>1</v>
      </c>
      <c r="BD42" s="1">
        <v>0</v>
      </c>
      <c r="BE42" s="1">
        <v>0.15999999642372131</v>
      </c>
      <c r="BF42" s="1">
        <v>111115</v>
      </c>
      <c r="BG42">
        <f t="shared" si="101"/>
        <v>0.74810127258300774</v>
      </c>
      <c r="BH42">
        <f t="shared" si="102"/>
        <v>5.8388727965864753E-4</v>
      </c>
      <c r="BI42">
        <f t="shared" si="103"/>
        <v>283.13145675659177</v>
      </c>
      <c r="BJ42">
        <f t="shared" si="104"/>
        <v>279.92413797378538</v>
      </c>
      <c r="BK42">
        <f t="shared" si="105"/>
        <v>7.3055494582902725E-2</v>
      </c>
      <c r="BL42">
        <f t="shared" si="106"/>
        <v>-0.22740668501105424</v>
      </c>
      <c r="BM42">
        <f t="shared" si="107"/>
        <v>1.2309693136769655</v>
      </c>
      <c r="BN42">
        <f t="shared" si="108"/>
        <v>12.03478598176445</v>
      </c>
      <c r="BO42">
        <f t="shared" si="109"/>
        <v>6.2962009864946751</v>
      </c>
      <c r="BP42">
        <f t="shared" si="110"/>
        <v>8.3777973651885986</v>
      </c>
      <c r="BQ42">
        <f t="shared" si="111"/>
        <v>1.1048575305857908</v>
      </c>
      <c r="BR42">
        <f t="shared" si="112"/>
        <v>9.1912322729989254E-2</v>
      </c>
      <c r="BS42">
        <f t="shared" si="113"/>
        <v>0.58696698419131277</v>
      </c>
      <c r="BT42">
        <f t="shared" si="114"/>
        <v>0.51789054639447807</v>
      </c>
      <c r="BU42">
        <f t="shared" si="115"/>
        <v>5.7527020084716191E-2</v>
      </c>
      <c r="BV42">
        <f t="shared" si="116"/>
        <v>42.773153141408336</v>
      </c>
      <c r="BW42">
        <f t="shared" si="117"/>
        <v>1.0427029428245795</v>
      </c>
      <c r="BX42">
        <f t="shared" si="118"/>
        <v>47.736486666576205</v>
      </c>
      <c r="BY42">
        <f t="shared" si="119"/>
        <v>401.23096965031493</v>
      </c>
      <c r="BZ42">
        <f t="shared" si="120"/>
        <v>-1.4567138953427794E-3</v>
      </c>
      <c r="CA42">
        <f t="shared" si="121"/>
        <v>1864.90869140625</v>
      </c>
      <c r="CB42">
        <f t="shared" si="122"/>
        <v>0.39723926067352294</v>
      </c>
      <c r="CC42">
        <f t="shared" si="123"/>
        <v>1522.0712890625</v>
      </c>
      <c r="CD42">
        <f t="shared" si="124"/>
        <v>1.0041089555450387</v>
      </c>
      <c r="CE42">
        <f t="shared" si="125"/>
        <v>0.18231115223522013</v>
      </c>
    </row>
    <row r="43" spans="1:87" x14ac:dyDescent="0.25">
      <c r="A43" s="1">
        <v>27</v>
      </c>
      <c r="B43" s="1" t="s">
        <v>233</v>
      </c>
      <c r="C43" s="1">
        <v>6314.4998670918867</v>
      </c>
      <c r="D43" s="1">
        <v>0</v>
      </c>
      <c r="E43">
        <f t="shared" si="84"/>
        <v>-0.93416244359057898</v>
      </c>
      <c r="F43">
        <f t="shared" si="85"/>
        <v>2.2192789285389026E-2</v>
      </c>
      <c r="G43">
        <f t="shared" si="86"/>
        <v>463.34992187692393</v>
      </c>
      <c r="H43" s="1">
        <v>82</v>
      </c>
      <c r="I43" s="1">
        <v>79</v>
      </c>
      <c r="J43" s="1">
        <v>567.294189453125</v>
      </c>
      <c r="K43" s="1">
        <v>2432.202880859375</v>
      </c>
      <c r="L43" s="1">
        <v>0</v>
      </c>
      <c r="M43" s="1">
        <v>0</v>
      </c>
      <c r="N43" s="1">
        <v>0</v>
      </c>
      <c r="O43">
        <f t="shared" si="87"/>
        <v>0.76675704402887568</v>
      </c>
      <c r="P43" t="e">
        <f t="shared" si="88"/>
        <v>#DIV/0!</v>
      </c>
      <c r="Q43" t="e">
        <f t="shared" si="89"/>
        <v>#DIV/0!</v>
      </c>
      <c r="R43" s="1">
        <v>-1</v>
      </c>
      <c r="S43" s="1">
        <v>0.87</v>
      </c>
      <c r="T43" s="1">
        <v>0.92</v>
      </c>
      <c r="U43" s="1">
        <v>0</v>
      </c>
      <c r="V43">
        <f t="shared" si="90"/>
        <v>0.87</v>
      </c>
      <c r="W43">
        <f t="shared" si="91"/>
        <v>0.15364623772804639</v>
      </c>
      <c r="X43" t="e">
        <f t="shared" si="92"/>
        <v>#DIV/0!</v>
      </c>
      <c r="Y43">
        <f t="shared" si="93"/>
        <v>1</v>
      </c>
      <c r="Z43" t="e">
        <f t="shared" si="94"/>
        <v>#DIV/0!</v>
      </c>
      <c r="AA43" s="1">
        <v>0.45659685134887695</v>
      </c>
      <c r="AB43" s="1">
        <v>0.5</v>
      </c>
      <c r="AC43" t="e">
        <f t="shared" si="95"/>
        <v>#DIV/0!</v>
      </c>
      <c r="AD43">
        <f t="shared" si="96"/>
        <v>0.12809883676854078</v>
      </c>
      <c r="AE43">
        <f t="shared" si="97"/>
        <v>0.58604609738378011</v>
      </c>
      <c r="AF43">
        <f t="shared" si="98"/>
        <v>9.9154396057128906</v>
      </c>
      <c r="AG43" s="1">
        <v>2</v>
      </c>
      <c r="AH43">
        <f t="shared" si="99"/>
        <v>4.644859790802002</v>
      </c>
      <c r="AI43" s="1">
        <v>1</v>
      </c>
      <c r="AJ43">
        <f t="shared" si="100"/>
        <v>9.2897195816040039</v>
      </c>
      <c r="AK43" s="1">
        <v>6.7103424072265625</v>
      </c>
      <c r="AL43" s="1">
        <v>9.9154396057128906</v>
      </c>
      <c r="AM43" s="1">
        <v>3.9769244194030762</v>
      </c>
      <c r="AN43" s="1">
        <v>398.67706298828125</v>
      </c>
      <c r="AO43" s="1">
        <v>399.857421875</v>
      </c>
      <c r="AP43" s="1">
        <v>6.0857629776000977</v>
      </c>
      <c r="AQ43" s="1">
        <v>6.2559404373168945</v>
      </c>
      <c r="AR43" s="1">
        <v>63.096305847167969</v>
      </c>
      <c r="AS43" s="1">
        <v>64.860679626464844</v>
      </c>
      <c r="AT43" s="1">
        <v>149.60554504394531</v>
      </c>
      <c r="AU43" s="1">
        <v>0.49252980947494507</v>
      </c>
      <c r="AV43" s="1">
        <v>0.63902246952056885</v>
      </c>
      <c r="AW43" s="1">
        <v>102.22149658203125</v>
      </c>
      <c r="AX43" s="1">
        <v>5.2311935424804687</v>
      </c>
      <c r="AY43" s="1">
        <v>7.0944122970104218E-2</v>
      </c>
      <c r="AZ43" s="1">
        <v>0.75</v>
      </c>
      <c r="BA43" s="1">
        <v>-1.355140209197998</v>
      </c>
      <c r="BB43" s="1">
        <v>7.355140209197998</v>
      </c>
      <c r="BC43" s="1">
        <v>1</v>
      </c>
      <c r="BD43" s="1">
        <v>0</v>
      </c>
      <c r="BE43" s="1">
        <v>0.15999999642372131</v>
      </c>
      <c r="BF43" s="1">
        <v>111115</v>
      </c>
      <c r="BG43">
        <f t="shared" si="101"/>
        <v>0.74802772521972649</v>
      </c>
      <c r="BH43">
        <f t="shared" si="102"/>
        <v>1.2809883676854079E-4</v>
      </c>
      <c r="BI43">
        <f t="shared" si="103"/>
        <v>283.06543960571287</v>
      </c>
      <c r="BJ43">
        <f t="shared" si="104"/>
        <v>279.86034240722654</v>
      </c>
      <c r="BK43">
        <f t="shared" si="105"/>
        <v>7.8804767754567351E-2</v>
      </c>
      <c r="BL43">
        <f t="shared" si="106"/>
        <v>-0.14633802976212484</v>
      </c>
      <c r="BM43">
        <f t="shared" si="107"/>
        <v>1.2255376914143601</v>
      </c>
      <c r="BN43">
        <f t="shared" si="108"/>
        <v>11.989040782932424</v>
      </c>
      <c r="BO43">
        <f t="shared" si="109"/>
        <v>5.7331003456155294</v>
      </c>
      <c r="BP43">
        <f t="shared" si="110"/>
        <v>8.3128910064697266</v>
      </c>
      <c r="BQ43">
        <f t="shared" si="111"/>
        <v>1.1000025195107708</v>
      </c>
      <c r="BR43">
        <f t="shared" si="112"/>
        <v>2.2139897905332082E-2</v>
      </c>
      <c r="BS43">
        <f t="shared" si="113"/>
        <v>0.63949159403057998</v>
      </c>
      <c r="BT43">
        <f t="shared" si="114"/>
        <v>0.46051092548019079</v>
      </c>
      <c r="BU43">
        <f t="shared" si="115"/>
        <v>1.3842178450235956E-2</v>
      </c>
      <c r="BV43">
        <f t="shared" si="116"/>
        <v>47.364322455426425</v>
      </c>
      <c r="BW43">
        <f t="shared" si="117"/>
        <v>1.1587878491893353</v>
      </c>
      <c r="BX43">
        <f t="shared" si="118"/>
        <v>51.855258540961756</v>
      </c>
      <c r="BY43">
        <f t="shared" si="119"/>
        <v>399.99317616637222</v>
      </c>
      <c r="BZ43">
        <f t="shared" si="120"/>
        <v>-1.2110515358266397E-3</v>
      </c>
      <c r="CA43">
        <f t="shared" si="121"/>
        <v>1864.90869140625</v>
      </c>
      <c r="CB43">
        <f t="shared" si="122"/>
        <v>0.42850093424320218</v>
      </c>
      <c r="CC43">
        <f t="shared" si="123"/>
        <v>0</v>
      </c>
      <c r="CD43">
        <f t="shared" si="124"/>
        <v>0</v>
      </c>
      <c r="CE43">
        <f t="shared" si="125"/>
        <v>1.3041940831029921</v>
      </c>
    </row>
    <row r="44" spans="1:87" x14ac:dyDescent="0.25">
      <c r="A44" s="1"/>
      <c r="B44" s="1"/>
    </row>
    <row r="45" spans="1:87" x14ac:dyDescent="0.25">
      <c r="A45" s="1">
        <v>1</v>
      </c>
      <c r="B45" s="1" t="s">
        <v>269</v>
      </c>
      <c r="C45" s="1">
        <v>319.99997932463884</v>
      </c>
      <c r="D45" s="1">
        <v>0</v>
      </c>
      <c r="E45">
        <f t="shared" ref="E45:E54" si="126">(AN45-AO45*(1000-AP45)/(1000-AQ45))*BK45</f>
        <v>8.0054899453392778</v>
      </c>
      <c r="F45">
        <f t="shared" ref="F45:F54" si="127">IF(BV45&lt;&gt;0,1/(1/BV45-1/AJ45),0)</f>
        <v>8.4504462004007089E-2</v>
      </c>
      <c r="G45">
        <f t="shared" ref="G45:G54" si="128">((BY45-BL45/2)*AO45-E45)/(BY45+BL45/2)</f>
        <v>244.17770542000054</v>
      </c>
      <c r="H45" s="1">
        <v>108</v>
      </c>
      <c r="I45" s="1">
        <v>0</v>
      </c>
      <c r="J45" s="1">
        <v>0</v>
      </c>
      <c r="K45" s="1">
        <v>0</v>
      </c>
      <c r="L45" s="1">
        <v>0</v>
      </c>
      <c r="M45" s="1">
        <v>359.32879638671875</v>
      </c>
      <c r="N45" s="1">
        <v>226.60025024414062</v>
      </c>
      <c r="O45" t="e">
        <f t="shared" ref="O45:O54" si="129">CE45/K45</f>
        <v>#DIV/0!</v>
      </c>
      <c r="P45">
        <f t="shared" ref="P45:P54" si="130">CG45/M45</f>
        <v>1</v>
      </c>
      <c r="Q45">
        <f t="shared" ref="Q45:Q54" si="131">(M45-N45)/M45</f>
        <v>0.36937909646331907</v>
      </c>
      <c r="R45" s="1">
        <v>-1</v>
      </c>
      <c r="S45" s="1">
        <v>0.87</v>
      </c>
      <c r="T45" s="1">
        <v>0.92</v>
      </c>
      <c r="U45" s="1">
        <v>10.151803970336914</v>
      </c>
      <c r="V45">
        <f t="shared" ref="V45:V54" si="132">(U45*T45+(100-U45)*S45)/100</f>
        <v>0.87507590198516849</v>
      </c>
      <c r="W45">
        <f t="shared" ref="W45:W54" si="133">(E45-R45)/CF45</f>
        <v>1.7190763675806388E-2</v>
      </c>
      <c r="X45">
        <f t="shared" ref="X45:X54" si="134">(M45-N45)/(M45-L45)</f>
        <v>0.36937909646331907</v>
      </c>
      <c r="Y45" t="e">
        <f t="shared" ref="Y45:Y54" si="135">(K45-M45)/(K45-L45)</f>
        <v>#DIV/0!</v>
      </c>
      <c r="Z45">
        <f t="shared" ref="Z45:Z54" si="136">(K45-M45)/M45</f>
        <v>-1</v>
      </c>
      <c r="AA45" s="1">
        <v>598.6409912109375</v>
      </c>
      <c r="AB45" s="1">
        <v>0.5</v>
      </c>
      <c r="AC45">
        <f t="shared" ref="AC45:AC54" si="137">Q45*AB45*V45*AA45</f>
        <v>96.750784373251236</v>
      </c>
      <c r="AD45">
        <f t="shared" ref="AD45:AD54" si="138">BL45*1000</f>
        <v>0.55687281595212612</v>
      </c>
      <c r="AE45">
        <f t="shared" ref="AE45:AE54" si="139">(BQ45-BW45)</f>
        <v>0.66354496369017979</v>
      </c>
      <c r="AF45">
        <f t="shared" ref="AF45:AF54" si="140">(AL45+BP45*D45)</f>
        <v>10.8238525390625</v>
      </c>
      <c r="AG45" s="1">
        <v>1.4930000305175781</v>
      </c>
      <c r="AH45">
        <f t="shared" ref="AH45:AH54" si="141">(AG45*BE45+BF45)</f>
        <v>5.3319158355097898</v>
      </c>
      <c r="AI45" s="1">
        <v>1</v>
      </c>
      <c r="AJ45">
        <f t="shared" ref="AJ45:AJ54" si="142">AH45*(AI45+1)*(AI45+1)/(AI45*AI45+1)</f>
        <v>10.66383167101958</v>
      </c>
      <c r="AK45" s="1">
        <v>6.3081860542297363</v>
      </c>
      <c r="AL45" s="1">
        <v>10.8238525390625</v>
      </c>
      <c r="AM45" s="1">
        <v>3.6871640682220459</v>
      </c>
      <c r="AN45" s="1">
        <v>408.40765380859375</v>
      </c>
      <c r="AO45" s="1">
        <v>400.20156860351562</v>
      </c>
      <c r="AP45" s="1">
        <v>5.7792243957519531</v>
      </c>
      <c r="AQ45" s="1">
        <v>6.3310742378234863</v>
      </c>
      <c r="AR45" s="1">
        <v>60.786521911621094</v>
      </c>
      <c r="AS45" s="1">
        <v>66.5909423828125</v>
      </c>
      <c r="AT45" s="1">
        <v>149.70510864257812</v>
      </c>
      <c r="AU45" s="1">
        <v>598.6409912109375</v>
      </c>
      <c r="AV45" s="1">
        <v>6.2397894859313965</v>
      </c>
      <c r="AW45" s="1">
        <v>100.87051391601562</v>
      </c>
      <c r="AX45" s="1">
        <v>1.9178208112716675</v>
      </c>
      <c r="AY45" s="1">
        <v>0.2799343466758728</v>
      </c>
      <c r="AZ45" s="1">
        <v>5.6453056633472443E-2</v>
      </c>
      <c r="BA45" s="1">
        <v>1.0761903831735253E-3</v>
      </c>
      <c r="BB45" s="1">
        <v>7.190839946269989E-2</v>
      </c>
      <c r="BC45" s="1">
        <v>5.6609422899782658E-3</v>
      </c>
      <c r="BD45" s="1">
        <v>0.75</v>
      </c>
      <c r="BE45" s="1">
        <v>-1.355140209197998</v>
      </c>
      <c r="BF45" s="1">
        <v>7.355140209197998</v>
      </c>
      <c r="BG45" s="1">
        <v>1</v>
      </c>
      <c r="BH45" s="1">
        <v>0</v>
      </c>
      <c r="BI45" s="1">
        <v>0.15999999642372131</v>
      </c>
      <c r="BJ45" s="1">
        <v>111115</v>
      </c>
      <c r="BK45">
        <f t="shared" ref="BK45:BK54" si="143">AT45*0.000001/(AG45*0.0001)</f>
        <v>1.002713366259476</v>
      </c>
      <c r="BL45">
        <f t="shared" ref="BL45:BL54" si="144">(AQ45-AP45)/(1000-AQ45)*BK45</f>
        <v>5.568728159521261E-4</v>
      </c>
      <c r="BM45">
        <f t="shared" ref="BM45:BM54" si="145">(AL45+273.15)</f>
        <v>283.97385253906248</v>
      </c>
      <c r="BN45">
        <f t="shared" ref="BN45:BN54" si="146">(AK45+273.15)</f>
        <v>279.45818605422971</v>
      </c>
      <c r="BO45">
        <f t="shared" ref="BO45:BO54" si="147">(AU45*BG45+AV45*BH45)*BI45</f>
        <v>95.782556452842982</v>
      </c>
      <c r="BP45">
        <f t="shared" ref="BP45:BP54" si="148">((BO45+0.00000010773*(BN45^4-BM45^4))-BL45*44100)/(AH45*0.92*2*29.3+0.00000043092*BM45^3)</f>
        <v>9.3216254511782573E-2</v>
      </c>
      <c r="BQ45">
        <f t="shared" ref="BQ45:BQ54" si="149">0.61365*EXP(17.502*AF45/(240.97+AF45))</f>
        <v>1.3021636756998818</v>
      </c>
      <c r="BR45">
        <f t="shared" ref="BR45:BR54" si="150">BQ45*1000/AW45</f>
        <v>12.909259853519314</v>
      </c>
      <c r="BS45">
        <f t="shared" ref="BS45:BS54" si="151">(BR45-AQ45)</f>
        <v>6.578185615695828</v>
      </c>
      <c r="BT45">
        <f t="shared" ref="BT45:BT54" si="152">IF(D45,AL45,(AK45+AL45)/2)</f>
        <v>8.5660192966461182</v>
      </c>
      <c r="BU45">
        <f t="shared" ref="BU45:BU54" si="153">0.61365*EXP(17.502*BT45/(240.97+BT45))</f>
        <v>1.1190435872648206</v>
      </c>
      <c r="BV45">
        <f t="shared" ref="BV45:BV54" si="154">IF(BS45&lt;&gt;0,(1000-(BR45+AQ45)/2)/BS45*BL45,0)</f>
        <v>8.3840079720999924E-2</v>
      </c>
      <c r="BW45">
        <f t="shared" ref="BW45:BW54" si="155">AQ45*AW45/1000</f>
        <v>0.63861871200970199</v>
      </c>
      <c r="BX45">
        <f t="shared" ref="BX45:BX54" si="156">(BU45-BW45)</f>
        <v>0.48042487525511857</v>
      </c>
      <c r="BY45">
        <f t="shared" ref="BY45:BY54" si="157">1/(1.6/F45+1.37/AJ45)</f>
        <v>5.245933813435659E-2</v>
      </c>
      <c r="BZ45">
        <f t="shared" ref="BZ45:BZ54" si="158">G45*AW45*0.001</f>
        <v>24.63033063254893</v>
      </c>
      <c r="CA45">
        <f t="shared" ref="CA45:CA54" si="159">G45/AO45</f>
        <v>0.61013680249192193</v>
      </c>
      <c r="CB45">
        <f t="shared" ref="CB45:CB54" si="160">(1-BL45*AW45/BQ45/F45)*100</f>
        <v>48.952434623063979</v>
      </c>
      <c r="CC45">
        <f t="shared" ref="CC45:CC54" si="161">(AO45-E45/(AJ45/1.35))</f>
        <v>399.18810442294546</v>
      </c>
      <c r="CD45">
        <f t="shared" ref="CD45:CD54" si="162">E45*CB45/100/CC45</f>
        <v>9.8171317940778588E-3</v>
      </c>
      <c r="CE45">
        <f t="shared" ref="CE45:CE54" si="163">(K45-J45)</f>
        <v>0</v>
      </c>
      <c r="CF45">
        <f t="shared" ref="CF45:CF54" si="164">AU45*V45</f>
        <v>523.85630534920642</v>
      </c>
      <c r="CG45">
        <f t="shared" ref="CG45:CG54" si="165">(M45-L45)</f>
        <v>359.32879638671875</v>
      </c>
      <c r="CH45">
        <f t="shared" ref="CH45:CH54" si="166">(M45-N45)/(M45-J45)</f>
        <v>0.36937909646331907</v>
      </c>
      <c r="CI45" t="e">
        <f t="shared" ref="CI45:CI54" si="167">(K45-M45)/(K45-J45)</f>
        <v>#DIV/0!</v>
      </c>
    </row>
    <row r="46" spans="1:87" x14ac:dyDescent="0.25">
      <c r="A46" s="1">
        <v>2</v>
      </c>
      <c r="B46" s="1" t="s">
        <v>270</v>
      </c>
      <c r="C46" s="1">
        <v>524.49996523093432</v>
      </c>
      <c r="D46" s="1">
        <v>0</v>
      </c>
      <c r="E46">
        <f t="shared" si="126"/>
        <v>8.3147283428269088</v>
      </c>
      <c r="F46">
        <f t="shared" si="127"/>
        <v>9.0288437292347395E-2</v>
      </c>
      <c r="G46">
        <f t="shared" si="128"/>
        <v>247.77175268471993</v>
      </c>
      <c r="H46" s="1">
        <v>109</v>
      </c>
      <c r="I46" s="1">
        <v>0</v>
      </c>
      <c r="J46" s="1">
        <v>0</v>
      </c>
      <c r="K46" s="1">
        <v>0</v>
      </c>
      <c r="L46" s="1">
        <v>0</v>
      </c>
      <c r="M46" s="1">
        <v>391.00564575195312</v>
      </c>
      <c r="N46" s="1">
        <v>227.4578857421875</v>
      </c>
      <c r="O46" t="e">
        <f t="shared" si="129"/>
        <v>#DIV/0!</v>
      </c>
      <c r="P46">
        <f t="shared" si="130"/>
        <v>1</v>
      </c>
      <c r="Q46">
        <f t="shared" si="131"/>
        <v>0.41827467655931838</v>
      </c>
      <c r="R46" s="1">
        <v>-1</v>
      </c>
      <c r="S46" s="1">
        <v>0.87</v>
      </c>
      <c r="T46" s="1">
        <v>0.92</v>
      </c>
      <c r="U46" s="1">
        <v>10.322778701782227</v>
      </c>
      <c r="V46">
        <f t="shared" si="132"/>
        <v>0.87516138935089116</v>
      </c>
      <c r="W46">
        <f t="shared" si="133"/>
        <v>2.1259407905715667E-2</v>
      </c>
      <c r="X46">
        <f t="shared" si="134"/>
        <v>0.41827467655931838</v>
      </c>
      <c r="Y46" t="e">
        <f t="shared" si="135"/>
        <v>#DIV/0!</v>
      </c>
      <c r="Z46">
        <f t="shared" si="136"/>
        <v>-1</v>
      </c>
      <c r="AA46" s="1">
        <v>500.64614868164062</v>
      </c>
      <c r="AB46" s="1">
        <v>0.5</v>
      </c>
      <c r="AC46">
        <f t="shared" si="137"/>
        <v>91.632725664630499</v>
      </c>
      <c r="AD46">
        <f t="shared" si="138"/>
        <v>0.56626294612506289</v>
      </c>
      <c r="AE46">
        <f t="shared" si="139"/>
        <v>0.63200880826694383</v>
      </c>
      <c r="AF46">
        <f t="shared" si="140"/>
        <v>10.431694030761719</v>
      </c>
      <c r="AG46" s="1">
        <v>1.4930000305175781</v>
      </c>
      <c r="AH46">
        <f t="shared" si="141"/>
        <v>5.3319158355097898</v>
      </c>
      <c r="AI46" s="1">
        <v>1</v>
      </c>
      <c r="AJ46">
        <f t="shared" si="142"/>
        <v>10.66383167101958</v>
      </c>
      <c r="AK46" s="1">
        <v>5.7733063697814941</v>
      </c>
      <c r="AL46" s="1">
        <v>10.431694030761719</v>
      </c>
      <c r="AM46" s="1">
        <v>3.0907142162322998</v>
      </c>
      <c r="AN46" s="1">
        <v>407.9744873046875</v>
      </c>
      <c r="AO46" s="1">
        <v>399.4560546875</v>
      </c>
      <c r="AP46" s="1">
        <v>5.7491254806518555</v>
      </c>
      <c r="AQ46" s="1">
        <v>6.310333251953125</v>
      </c>
      <c r="AR46" s="1">
        <v>62.7520751953125</v>
      </c>
      <c r="AS46" s="1">
        <v>68.877693176269531</v>
      </c>
      <c r="AT46" s="1">
        <v>149.69422912597656</v>
      </c>
      <c r="AU46" s="1">
        <v>500.64614868164062</v>
      </c>
      <c r="AV46" s="1">
        <v>6.3370199203491211</v>
      </c>
      <c r="AW46" s="1">
        <v>100.87789154052734</v>
      </c>
      <c r="AX46" s="1">
        <v>1.9178208112716675</v>
      </c>
      <c r="AY46" s="1">
        <v>0.2799343466758728</v>
      </c>
      <c r="AZ46" s="1">
        <v>5.6453056633472443E-2</v>
      </c>
      <c r="BA46" s="1">
        <v>1.0761903831735253E-3</v>
      </c>
      <c r="BB46" s="1">
        <v>7.190839946269989E-2</v>
      </c>
      <c r="BC46" s="1">
        <v>5.6609422899782658E-3</v>
      </c>
      <c r="BD46" s="1">
        <v>0.75</v>
      </c>
      <c r="BE46" s="1">
        <v>-1.355140209197998</v>
      </c>
      <c r="BF46" s="1">
        <v>7.355140209197998</v>
      </c>
      <c r="BG46" s="1">
        <v>1</v>
      </c>
      <c r="BH46" s="1">
        <v>0</v>
      </c>
      <c r="BI46" s="1">
        <v>0.15999999642372131</v>
      </c>
      <c r="BJ46" s="1">
        <v>111115</v>
      </c>
      <c r="BK46">
        <f t="shared" si="143"/>
        <v>1.0026404960894884</v>
      </c>
      <c r="BL46">
        <f t="shared" si="144"/>
        <v>5.6626294612506295E-4</v>
      </c>
      <c r="BM46">
        <f t="shared" si="145"/>
        <v>283.5816940307617</v>
      </c>
      <c r="BN46">
        <f t="shared" si="146"/>
        <v>278.92330636978147</v>
      </c>
      <c r="BO46">
        <f t="shared" si="147"/>
        <v>80.103381998612349</v>
      </c>
      <c r="BP46">
        <f t="shared" si="148"/>
        <v>3.5211887232315775E-2</v>
      </c>
      <c r="BQ46">
        <f t="shared" si="149"/>
        <v>1.2685819216420544</v>
      </c>
      <c r="BR46">
        <f t="shared" si="150"/>
        <v>12.575420662241003</v>
      </c>
      <c r="BS46">
        <f t="shared" si="151"/>
        <v>6.2650874102878777</v>
      </c>
      <c r="BT46">
        <f t="shared" si="152"/>
        <v>8.1025002002716064</v>
      </c>
      <c r="BU46">
        <f t="shared" si="153"/>
        <v>1.084394301911221</v>
      </c>
      <c r="BV46">
        <f t="shared" si="154"/>
        <v>8.9530402062445752E-2</v>
      </c>
      <c r="BW46">
        <f t="shared" si="155"/>
        <v>0.63657311337511058</v>
      </c>
      <c r="BX46">
        <f t="shared" si="156"/>
        <v>0.44782118853611041</v>
      </c>
      <c r="BY46">
        <f t="shared" si="157"/>
        <v>5.6024115832233504E-2</v>
      </c>
      <c r="BZ46">
        <f t="shared" si="158"/>
        <v>24.99469199413554</v>
      </c>
      <c r="CA46">
        <f t="shared" si="159"/>
        <v>0.62027286800936143</v>
      </c>
      <c r="CB46">
        <f t="shared" si="160"/>
        <v>50.127230459093276</v>
      </c>
      <c r="CC46">
        <f t="shared" si="161"/>
        <v>398.40344211735589</v>
      </c>
      <c r="CD46">
        <f t="shared" si="162"/>
        <v>1.0461614026990911E-2</v>
      </c>
      <c r="CE46">
        <f t="shared" si="163"/>
        <v>0</v>
      </c>
      <c r="CF46">
        <f t="shared" si="164"/>
        <v>438.14617905339742</v>
      </c>
      <c r="CG46">
        <f t="shared" si="165"/>
        <v>391.00564575195312</v>
      </c>
      <c r="CH46">
        <f t="shared" si="166"/>
        <v>0.41827467655931838</v>
      </c>
      <c r="CI46" t="e">
        <f t="shared" si="167"/>
        <v>#DIV/0!</v>
      </c>
    </row>
    <row r="47" spans="1:87" x14ac:dyDescent="0.25">
      <c r="A47" s="1">
        <v>4</v>
      </c>
      <c r="B47" s="1" t="s">
        <v>271</v>
      </c>
      <c r="C47" s="1">
        <v>882.99994052387774</v>
      </c>
      <c r="D47" s="1">
        <v>0</v>
      </c>
      <c r="E47">
        <f t="shared" si="126"/>
        <v>7.8381984682762766</v>
      </c>
      <c r="F47">
        <f t="shared" si="127"/>
        <v>0.10639123682676979</v>
      </c>
      <c r="G47">
        <f t="shared" si="128"/>
        <v>277.38530284714255</v>
      </c>
      <c r="H47" s="1">
        <v>111</v>
      </c>
      <c r="I47" s="1">
        <v>0</v>
      </c>
      <c r="J47" s="1">
        <v>0</v>
      </c>
      <c r="K47" s="1">
        <v>0</v>
      </c>
      <c r="L47" s="1">
        <v>0</v>
      </c>
      <c r="M47" s="1">
        <v>533.77679443359375</v>
      </c>
      <c r="N47" s="1">
        <v>251.06246948242187</v>
      </c>
      <c r="O47" t="e">
        <f t="shared" si="129"/>
        <v>#DIV/0!</v>
      </c>
      <c r="P47">
        <f t="shared" si="130"/>
        <v>1</v>
      </c>
      <c r="Q47">
        <f t="shared" si="131"/>
        <v>0.5296489616997464</v>
      </c>
      <c r="R47" s="1">
        <v>-1</v>
      </c>
      <c r="S47" s="1">
        <v>0.87</v>
      </c>
      <c r="T47" s="1">
        <v>0.92</v>
      </c>
      <c r="U47" s="1">
        <v>9.6677665710449219</v>
      </c>
      <c r="V47">
        <f t="shared" si="132"/>
        <v>0.87483388328552247</v>
      </c>
      <c r="W47">
        <f t="shared" si="133"/>
        <v>3.3577591419514115E-2</v>
      </c>
      <c r="X47">
        <f t="shared" si="134"/>
        <v>0.5296489616997464</v>
      </c>
      <c r="Y47" t="e">
        <f t="shared" si="135"/>
        <v>#DIV/0!</v>
      </c>
      <c r="Z47">
        <f t="shared" si="136"/>
        <v>-1</v>
      </c>
      <c r="AA47" s="1">
        <v>300.87673950195313</v>
      </c>
      <c r="AB47" s="1">
        <v>0.5</v>
      </c>
      <c r="AC47">
        <f t="shared" si="137"/>
        <v>69.706349444979907</v>
      </c>
      <c r="AD47">
        <f t="shared" si="138"/>
        <v>0.69920872940712797</v>
      </c>
      <c r="AE47">
        <f t="shared" si="139"/>
        <v>0.66343949923427448</v>
      </c>
      <c r="AF47">
        <f t="shared" si="140"/>
        <v>10.120835304260254</v>
      </c>
      <c r="AG47" s="1">
        <v>1.4930000305175781</v>
      </c>
      <c r="AH47">
        <f t="shared" si="141"/>
        <v>5.3319158355097898</v>
      </c>
      <c r="AI47" s="1">
        <v>1</v>
      </c>
      <c r="AJ47">
        <f t="shared" si="142"/>
        <v>10.66383167101958</v>
      </c>
      <c r="AK47" s="1">
        <v>5.5968990325927734</v>
      </c>
      <c r="AL47" s="1">
        <v>10.120835304260254</v>
      </c>
      <c r="AM47" s="1">
        <v>2.8994925022125244</v>
      </c>
      <c r="AN47" s="1">
        <v>407.95675659179687</v>
      </c>
      <c r="AO47" s="1">
        <v>399.86077880859375</v>
      </c>
      <c r="AP47" s="1">
        <v>5.0478429794311523</v>
      </c>
      <c r="AQ47" s="1">
        <v>5.7411699295043945</v>
      </c>
      <c r="AR47" s="1">
        <v>55.766777038574219</v>
      </c>
      <c r="AS47" s="1">
        <v>63.426403045654297</v>
      </c>
      <c r="AT47" s="1">
        <v>149.7021484375</v>
      </c>
      <c r="AU47" s="1">
        <v>300.87673950195313</v>
      </c>
      <c r="AV47" s="1">
        <v>5.9459819793701172</v>
      </c>
      <c r="AW47" s="1">
        <v>100.86219787597656</v>
      </c>
      <c r="AX47" s="1">
        <v>1.9178208112716675</v>
      </c>
      <c r="AY47" s="1">
        <v>0.2799343466758728</v>
      </c>
      <c r="AZ47" s="1">
        <v>5.6453056633472443E-2</v>
      </c>
      <c r="BA47" s="1">
        <v>1.0761903831735253E-3</v>
      </c>
      <c r="BB47" s="1">
        <v>7.190839946269989E-2</v>
      </c>
      <c r="BC47" s="1">
        <v>5.6609422899782658E-3</v>
      </c>
      <c r="BD47" s="1">
        <v>1</v>
      </c>
      <c r="BE47" s="1">
        <v>-1.355140209197998</v>
      </c>
      <c r="BF47" s="1">
        <v>7.355140209197998</v>
      </c>
      <c r="BG47" s="1">
        <v>1</v>
      </c>
      <c r="BH47" s="1">
        <v>0</v>
      </c>
      <c r="BI47" s="1">
        <v>0.15999999642372131</v>
      </c>
      <c r="BJ47" s="1">
        <v>111115</v>
      </c>
      <c r="BK47">
        <f t="shared" si="143"/>
        <v>1.0026935390322984</v>
      </c>
      <c r="BL47">
        <f t="shared" si="144"/>
        <v>6.99208729407128E-4</v>
      </c>
      <c r="BM47">
        <f t="shared" si="145"/>
        <v>283.27083530426023</v>
      </c>
      <c r="BN47">
        <f t="shared" si="146"/>
        <v>278.74689903259275</v>
      </c>
      <c r="BO47">
        <f t="shared" si="147"/>
        <v>48.140277244293429</v>
      </c>
      <c r="BP47">
        <f t="shared" si="148"/>
        <v>-8.7321697756634023E-2</v>
      </c>
      <c r="BQ47">
        <f t="shared" si="149"/>
        <v>1.2425065167035532</v>
      </c>
      <c r="BR47">
        <f t="shared" si="150"/>
        <v>12.318852284295644</v>
      </c>
      <c r="BS47">
        <f t="shared" si="151"/>
        <v>6.57768235479125</v>
      </c>
      <c r="BT47">
        <f t="shared" si="152"/>
        <v>7.8588671684265137</v>
      </c>
      <c r="BU47">
        <f t="shared" si="153"/>
        <v>1.0665642591514004</v>
      </c>
      <c r="BV47">
        <f t="shared" si="154"/>
        <v>0.10534027480208566</v>
      </c>
      <c r="BW47">
        <f t="shared" si="155"/>
        <v>0.57906701746927869</v>
      </c>
      <c r="BX47">
        <f t="shared" si="156"/>
        <v>0.48749724168212172</v>
      </c>
      <c r="BY47">
        <f t="shared" si="157"/>
        <v>6.5931294334737531E-2</v>
      </c>
      <c r="BZ47">
        <f t="shared" si="158"/>
        <v>27.977691303656179</v>
      </c>
      <c r="CA47">
        <f t="shared" si="159"/>
        <v>0.69370470310598276</v>
      </c>
      <c r="CB47">
        <f t="shared" si="160"/>
        <v>46.650452968115033</v>
      </c>
      <c r="CC47">
        <f t="shared" si="161"/>
        <v>398.86849308441737</v>
      </c>
      <c r="CD47">
        <f t="shared" si="162"/>
        <v>9.1673199397498076E-3</v>
      </c>
      <c r="CE47">
        <f t="shared" si="163"/>
        <v>0</v>
      </c>
      <c r="CF47">
        <f t="shared" si="164"/>
        <v>263.2171664087802</v>
      </c>
      <c r="CG47">
        <f t="shared" si="165"/>
        <v>533.77679443359375</v>
      </c>
      <c r="CH47">
        <f t="shared" si="166"/>
        <v>0.5296489616997464</v>
      </c>
      <c r="CI47" t="e">
        <f t="shared" si="167"/>
        <v>#DIV/0!</v>
      </c>
    </row>
    <row r="48" spans="1:87" x14ac:dyDescent="0.25">
      <c r="A48" s="1">
        <v>5</v>
      </c>
      <c r="B48" s="1" t="s">
        <v>272</v>
      </c>
      <c r="C48" s="1">
        <v>1033.9999301172793</v>
      </c>
      <c r="D48" s="1">
        <v>0</v>
      </c>
      <c r="E48">
        <f t="shared" si="126"/>
        <v>7.0373052558653963</v>
      </c>
      <c r="F48">
        <f t="shared" si="127"/>
        <v>0.10514205596203705</v>
      </c>
      <c r="G48">
        <f t="shared" si="128"/>
        <v>288.78680127619481</v>
      </c>
      <c r="H48" s="1">
        <v>112</v>
      </c>
      <c r="I48" s="1">
        <v>0</v>
      </c>
      <c r="J48" s="1">
        <v>0</v>
      </c>
      <c r="K48" s="1">
        <v>0</v>
      </c>
      <c r="L48" s="1">
        <v>0</v>
      </c>
      <c r="M48" s="1">
        <v>695.6732177734375</v>
      </c>
      <c r="N48" s="1">
        <v>287.40798950195312</v>
      </c>
      <c r="O48" t="e">
        <f t="shared" si="129"/>
        <v>#DIV/0!</v>
      </c>
      <c r="P48">
        <f t="shared" si="130"/>
        <v>1</v>
      </c>
      <c r="Q48">
        <f t="shared" si="131"/>
        <v>0.58686351269662596</v>
      </c>
      <c r="R48" s="1">
        <v>-1</v>
      </c>
      <c r="S48" s="1">
        <v>0.87</v>
      </c>
      <c r="T48" s="1">
        <v>0.92</v>
      </c>
      <c r="U48" s="1">
        <v>9.5020523071289062</v>
      </c>
      <c r="V48">
        <f t="shared" si="132"/>
        <v>0.87475102615356448</v>
      </c>
      <c r="W48">
        <f t="shared" si="133"/>
        <v>4.5717672983135699E-2</v>
      </c>
      <c r="X48">
        <f t="shared" si="134"/>
        <v>0.58686351269662596</v>
      </c>
      <c r="Y48" t="e">
        <f t="shared" si="135"/>
        <v>#DIV/0!</v>
      </c>
      <c r="Z48">
        <f t="shared" si="136"/>
        <v>-1</v>
      </c>
      <c r="AA48" s="1">
        <v>200.97492980957031</v>
      </c>
      <c r="AB48" s="1">
        <v>0.5</v>
      </c>
      <c r="AC48">
        <f t="shared" si="137"/>
        <v>51.586190714607795</v>
      </c>
      <c r="AD48">
        <f t="shared" si="138"/>
        <v>0.67620702521544285</v>
      </c>
      <c r="AE48">
        <f t="shared" si="139"/>
        <v>0.64924894827595392</v>
      </c>
      <c r="AF48">
        <f t="shared" si="140"/>
        <v>9.9135017395019531</v>
      </c>
      <c r="AG48" s="1">
        <v>1.4930000305175781</v>
      </c>
      <c r="AH48">
        <f t="shared" si="141"/>
        <v>5.3319158355097898</v>
      </c>
      <c r="AI48" s="1">
        <v>1</v>
      </c>
      <c r="AJ48">
        <f t="shared" si="142"/>
        <v>10.66383167101958</v>
      </c>
      <c r="AK48" s="1">
        <v>5.4403495788574219</v>
      </c>
      <c r="AL48" s="1">
        <v>9.9135017395019531</v>
      </c>
      <c r="AM48" s="1">
        <v>2.7352840900421143</v>
      </c>
      <c r="AN48" s="1">
        <v>407.6451416015625</v>
      </c>
      <c r="AO48" s="1">
        <v>400.35678100585937</v>
      </c>
      <c r="AP48" s="1">
        <v>5.041323184967041</v>
      </c>
      <c r="AQ48" s="1">
        <v>5.7118582725524902</v>
      </c>
      <c r="AR48" s="1">
        <v>56.305145263671875</v>
      </c>
      <c r="AS48" s="1">
        <v>63.794166564941406</v>
      </c>
      <c r="AT48" s="1">
        <v>149.70291137695312</v>
      </c>
      <c r="AU48" s="1">
        <v>200.97492980957031</v>
      </c>
      <c r="AV48" s="1">
        <v>6.0758056640625</v>
      </c>
      <c r="AW48" s="1">
        <v>100.86553192138672</v>
      </c>
      <c r="AX48" s="1">
        <v>1.9178208112716675</v>
      </c>
      <c r="AY48" s="1">
        <v>0.2799343466758728</v>
      </c>
      <c r="AZ48" s="1">
        <v>5.6453056633472443E-2</v>
      </c>
      <c r="BA48" s="1">
        <v>1.0761903831735253E-3</v>
      </c>
      <c r="BB48" s="1">
        <v>7.190839946269989E-2</v>
      </c>
      <c r="BC48" s="1">
        <v>5.6609422899782658E-3</v>
      </c>
      <c r="BD48" s="1">
        <v>1</v>
      </c>
      <c r="BE48" s="1">
        <v>-1.355140209197998</v>
      </c>
      <c r="BF48" s="1">
        <v>7.355140209197998</v>
      </c>
      <c r="BG48" s="1">
        <v>1</v>
      </c>
      <c r="BH48" s="1">
        <v>0</v>
      </c>
      <c r="BI48" s="1">
        <v>0.15999999642372131</v>
      </c>
      <c r="BJ48" s="1">
        <v>111115</v>
      </c>
      <c r="BK48">
        <f t="shared" si="143"/>
        <v>1.0026986491423957</v>
      </c>
      <c r="BL48">
        <f t="shared" si="144"/>
        <v>6.7620702521544286E-4</v>
      </c>
      <c r="BM48">
        <f t="shared" si="145"/>
        <v>283.06350173950193</v>
      </c>
      <c r="BN48">
        <f t="shared" si="146"/>
        <v>278.5903495788574</v>
      </c>
      <c r="BO48">
        <f t="shared" si="147"/>
        <v>32.155988050788892</v>
      </c>
      <c r="BP48">
        <f t="shared" si="148"/>
        <v>-0.13577970237874887</v>
      </c>
      <c r="BQ48">
        <f t="shared" si="149"/>
        <v>1.2253785711965339</v>
      </c>
      <c r="BR48">
        <f t="shared" si="150"/>
        <v>12.148635394612088</v>
      </c>
      <c r="BS48">
        <f t="shared" si="151"/>
        <v>6.4367771220595973</v>
      </c>
      <c r="BT48">
        <f t="shared" si="152"/>
        <v>7.6769256591796875</v>
      </c>
      <c r="BU48">
        <f t="shared" si="153"/>
        <v>1.0534182085126131</v>
      </c>
      <c r="BV48">
        <f t="shared" si="154"/>
        <v>0.10411550949510436</v>
      </c>
      <c r="BW48">
        <f t="shared" si="155"/>
        <v>0.57612962292058001</v>
      </c>
      <c r="BX48">
        <f t="shared" si="156"/>
        <v>0.47728858559203313</v>
      </c>
      <c r="BY48">
        <f t="shared" si="157"/>
        <v>6.5163650108587198E-2</v>
      </c>
      <c r="BZ48">
        <f t="shared" si="158"/>
        <v>29.128634322599193</v>
      </c>
      <c r="CA48">
        <f t="shared" si="159"/>
        <v>0.72132361677662782</v>
      </c>
      <c r="CB48">
        <f t="shared" si="160"/>
        <v>47.061002215166589</v>
      </c>
      <c r="CC48">
        <f t="shared" si="161"/>
        <v>399.46588527639688</v>
      </c>
      <c r="CD48">
        <f t="shared" si="162"/>
        <v>8.2906363332111398E-3</v>
      </c>
      <c r="CE48">
        <f t="shared" si="163"/>
        <v>0</v>
      </c>
      <c r="CF48">
        <f t="shared" si="164"/>
        <v>175.80302608206222</v>
      </c>
      <c r="CG48">
        <f t="shared" si="165"/>
        <v>695.6732177734375</v>
      </c>
      <c r="CH48">
        <f t="shared" si="166"/>
        <v>0.58686351269662596</v>
      </c>
      <c r="CI48" t="e">
        <f t="shared" si="167"/>
        <v>#DIV/0!</v>
      </c>
    </row>
    <row r="49" spans="1:87" x14ac:dyDescent="0.25">
      <c r="A49" s="1">
        <v>8</v>
      </c>
      <c r="B49" s="1" t="s">
        <v>273</v>
      </c>
      <c r="C49" s="1">
        <v>1510.9998972434551</v>
      </c>
      <c r="D49" s="1">
        <v>0</v>
      </c>
      <c r="E49">
        <f t="shared" si="126"/>
        <v>5.6006161554758833</v>
      </c>
      <c r="F49">
        <f t="shared" si="127"/>
        <v>9.5537082186755204E-2</v>
      </c>
      <c r="G49">
        <f t="shared" si="128"/>
        <v>301.755930486745</v>
      </c>
      <c r="H49" s="1">
        <v>115</v>
      </c>
      <c r="I49" s="1">
        <v>0</v>
      </c>
      <c r="J49" s="1">
        <v>0</v>
      </c>
      <c r="K49" s="1">
        <v>0</v>
      </c>
      <c r="L49" s="1">
        <v>0</v>
      </c>
      <c r="M49" s="1">
        <v>921.285400390625</v>
      </c>
      <c r="N49" s="1">
        <v>313.70892333984375</v>
      </c>
      <c r="O49" t="e">
        <f t="shared" si="129"/>
        <v>#DIV/0!</v>
      </c>
      <c r="P49">
        <f t="shared" si="130"/>
        <v>1</v>
      </c>
      <c r="Q49">
        <f t="shared" si="131"/>
        <v>0.65948779476280517</v>
      </c>
      <c r="R49" s="1">
        <v>-1</v>
      </c>
      <c r="S49" s="1">
        <v>0.87</v>
      </c>
      <c r="T49" s="1">
        <v>0.92</v>
      </c>
      <c r="U49" s="1">
        <v>9.5533571243286133</v>
      </c>
      <c r="V49">
        <f t="shared" si="132"/>
        <v>0.87477667856216446</v>
      </c>
      <c r="W49">
        <f t="shared" si="133"/>
        <v>6.0535520134282726E-2</v>
      </c>
      <c r="X49">
        <f t="shared" si="134"/>
        <v>0.65948779476280517</v>
      </c>
      <c r="Y49" t="e">
        <f t="shared" si="135"/>
        <v>#DIV/0!</v>
      </c>
      <c r="Z49">
        <f t="shared" si="136"/>
        <v>-1</v>
      </c>
      <c r="AA49" s="1">
        <v>124.64561462402344</v>
      </c>
      <c r="AB49" s="1">
        <v>0.5</v>
      </c>
      <c r="AC49">
        <f t="shared" si="137"/>
        <v>35.95431064930515</v>
      </c>
      <c r="AD49">
        <f t="shared" si="138"/>
        <v>0.62314716213001053</v>
      </c>
      <c r="AE49">
        <f t="shared" si="139"/>
        <v>0.65776139577598836</v>
      </c>
      <c r="AF49">
        <f t="shared" si="140"/>
        <v>9.9121284484863281</v>
      </c>
      <c r="AG49" s="1">
        <v>1.4930000305175781</v>
      </c>
      <c r="AH49">
        <f t="shared" si="141"/>
        <v>5.3319158355097898</v>
      </c>
      <c r="AI49" s="1">
        <v>1</v>
      </c>
      <c r="AJ49">
        <f t="shared" si="142"/>
        <v>10.66383167101958</v>
      </c>
      <c r="AK49" s="1">
        <v>5.8884649276733398</v>
      </c>
      <c r="AL49" s="1">
        <v>9.9121284484863281</v>
      </c>
      <c r="AM49" s="1">
        <v>3.3543460369110107</v>
      </c>
      <c r="AN49" s="1">
        <v>405.794677734375</v>
      </c>
      <c r="AO49" s="1">
        <v>399.96102905273437</v>
      </c>
      <c r="AP49" s="1">
        <v>5.0095748901367188</v>
      </c>
      <c r="AQ49" s="1">
        <v>5.6274991035461426</v>
      </c>
      <c r="AR49" s="1">
        <v>54.227825164794922</v>
      </c>
      <c r="AS49" s="1">
        <v>60.916755676269531</v>
      </c>
      <c r="AT49" s="1">
        <v>149.71466064453125</v>
      </c>
      <c r="AU49" s="1">
        <v>124.64561462402344</v>
      </c>
      <c r="AV49" s="1">
        <v>6.0199508666992187</v>
      </c>
      <c r="AW49" s="1">
        <v>100.84487152099609</v>
      </c>
      <c r="AX49" s="1">
        <v>1.9178208112716675</v>
      </c>
      <c r="AY49" s="1">
        <v>0.2799343466758728</v>
      </c>
      <c r="AZ49" s="1">
        <v>5.6453056633472443E-2</v>
      </c>
      <c r="BA49" s="1">
        <v>1.0761903831735253E-3</v>
      </c>
      <c r="BB49" s="1">
        <v>7.190839946269989E-2</v>
      </c>
      <c r="BC49" s="1">
        <v>5.6609422899782658E-3</v>
      </c>
      <c r="BD49" s="1">
        <v>1</v>
      </c>
      <c r="BE49" s="1">
        <v>-1.355140209197998</v>
      </c>
      <c r="BF49" s="1">
        <v>7.355140209197998</v>
      </c>
      <c r="BG49" s="1">
        <v>1</v>
      </c>
      <c r="BH49" s="1">
        <v>0</v>
      </c>
      <c r="BI49" s="1">
        <v>0.15999999642372131</v>
      </c>
      <c r="BJ49" s="1">
        <v>111115</v>
      </c>
      <c r="BK49">
        <f t="shared" si="143"/>
        <v>1.0027773448378945</v>
      </c>
      <c r="BL49">
        <f t="shared" si="144"/>
        <v>6.2314716213001048E-4</v>
      </c>
      <c r="BM49">
        <f t="shared" si="145"/>
        <v>283.06212844848631</v>
      </c>
      <c r="BN49">
        <f t="shared" si="146"/>
        <v>279.03846492767332</v>
      </c>
      <c r="BO49">
        <f t="shared" si="147"/>
        <v>19.943297894076295</v>
      </c>
      <c r="BP49">
        <f t="shared" si="148"/>
        <v>-0.1548694258589712</v>
      </c>
      <c r="BQ49">
        <f t="shared" si="149"/>
        <v>1.2252658198576198</v>
      </c>
      <c r="BR49">
        <f t="shared" si="150"/>
        <v>12.150006255920681</v>
      </c>
      <c r="BS49">
        <f t="shared" si="151"/>
        <v>6.5225071523745388</v>
      </c>
      <c r="BT49">
        <f t="shared" si="152"/>
        <v>7.900296688079834</v>
      </c>
      <c r="BU49">
        <f t="shared" si="153"/>
        <v>1.0695778659567299</v>
      </c>
      <c r="BV49">
        <f t="shared" si="154"/>
        <v>9.4688767171058882E-2</v>
      </c>
      <c r="BW49">
        <f t="shared" si="155"/>
        <v>0.56750442408163149</v>
      </c>
      <c r="BX49">
        <f t="shared" si="156"/>
        <v>0.50207344187509839</v>
      </c>
      <c r="BY49">
        <f t="shared" si="157"/>
        <v>5.9256115073733892E-2</v>
      </c>
      <c r="BZ49">
        <f t="shared" si="158"/>
        <v>30.430538040634428</v>
      </c>
      <c r="CA49">
        <f t="shared" si="159"/>
        <v>0.75446333159363599</v>
      </c>
      <c r="CB49">
        <f t="shared" si="160"/>
        <v>46.316336345494378</v>
      </c>
      <c r="CC49">
        <f t="shared" si="161"/>
        <v>399.25201262757457</v>
      </c>
      <c r="CD49">
        <f t="shared" si="162"/>
        <v>6.4971500053777071E-3</v>
      </c>
      <c r="CE49">
        <f t="shared" si="163"/>
        <v>0</v>
      </c>
      <c r="CF49">
        <f t="shared" si="164"/>
        <v>109.03707675814277</v>
      </c>
      <c r="CG49">
        <f t="shared" si="165"/>
        <v>921.285400390625</v>
      </c>
      <c r="CH49">
        <f t="shared" si="166"/>
        <v>0.65948779476280517</v>
      </c>
      <c r="CI49" t="e">
        <f t="shared" si="167"/>
        <v>#DIV/0!</v>
      </c>
    </row>
    <row r="50" spans="1:87" x14ac:dyDescent="0.25">
      <c r="A50" s="1">
        <v>9</v>
      </c>
      <c r="B50" s="1" t="s">
        <v>274</v>
      </c>
      <c r="C50" s="1">
        <v>1667.4998864578083</v>
      </c>
      <c r="D50" s="1">
        <v>0</v>
      </c>
      <c r="E50">
        <f t="shared" si="126"/>
        <v>4.8968137547192896</v>
      </c>
      <c r="F50">
        <f t="shared" si="127"/>
        <v>8.3342607134277116E-2</v>
      </c>
      <c r="G50">
        <f t="shared" si="128"/>
        <v>301.40560468409933</v>
      </c>
      <c r="H50" s="1">
        <v>116</v>
      </c>
      <c r="I50" s="1">
        <v>0</v>
      </c>
      <c r="J50" s="1">
        <v>0</v>
      </c>
      <c r="K50" s="1">
        <v>0</v>
      </c>
      <c r="L50" s="1">
        <v>0</v>
      </c>
      <c r="M50" s="1">
        <v>994.25213623046875</v>
      </c>
      <c r="N50" s="1">
        <v>318.2999267578125</v>
      </c>
      <c r="O50" t="e">
        <f t="shared" si="129"/>
        <v>#DIV/0!</v>
      </c>
      <c r="P50">
        <f t="shared" si="130"/>
        <v>1</v>
      </c>
      <c r="Q50">
        <f t="shared" si="131"/>
        <v>0.67985995185829784</v>
      </c>
      <c r="R50" s="1">
        <v>-1</v>
      </c>
      <c r="S50" s="1">
        <v>0.87</v>
      </c>
      <c r="T50" s="1">
        <v>0.92</v>
      </c>
      <c r="U50" s="1">
        <v>8.4312143325805664</v>
      </c>
      <c r="V50">
        <f t="shared" si="132"/>
        <v>0.87421560716629032</v>
      </c>
      <c r="W50">
        <f t="shared" si="133"/>
        <v>6.799401659896924E-2</v>
      </c>
      <c r="X50">
        <f t="shared" si="134"/>
        <v>0.67985995185829784</v>
      </c>
      <c r="Y50" t="e">
        <f t="shared" si="135"/>
        <v>#DIV/0!</v>
      </c>
      <c r="Z50">
        <f t="shared" si="136"/>
        <v>-1</v>
      </c>
      <c r="AA50" s="1">
        <v>99.203765869140625</v>
      </c>
      <c r="AB50" s="1">
        <v>0.5</v>
      </c>
      <c r="AC50">
        <f t="shared" si="137"/>
        <v>29.480590469055919</v>
      </c>
      <c r="AD50">
        <f t="shared" si="138"/>
        <v>0.55498443942992226</v>
      </c>
      <c r="AE50">
        <f t="shared" si="139"/>
        <v>0.67064488961239554</v>
      </c>
      <c r="AF50">
        <f t="shared" si="140"/>
        <v>9.9677152633666992</v>
      </c>
      <c r="AG50" s="1">
        <v>1.4930000305175781</v>
      </c>
      <c r="AH50">
        <f t="shared" si="141"/>
        <v>5.3319158355097898</v>
      </c>
      <c r="AI50" s="1">
        <v>1</v>
      </c>
      <c r="AJ50">
        <f t="shared" si="142"/>
        <v>10.66383167101958</v>
      </c>
      <c r="AK50" s="1">
        <v>5.5882134437561035</v>
      </c>
      <c r="AL50" s="1">
        <v>9.9677152633666992</v>
      </c>
      <c r="AM50" s="1">
        <v>2.8957788944244385</v>
      </c>
      <c r="AN50" s="1">
        <v>404.90786743164062</v>
      </c>
      <c r="AO50" s="1">
        <v>399.8035888671875</v>
      </c>
      <c r="AP50" s="1">
        <v>4.9958148002624512</v>
      </c>
      <c r="AQ50" s="1">
        <v>5.5461664199829102</v>
      </c>
      <c r="AR50" s="1">
        <v>55.204872131347656</v>
      </c>
      <c r="AS50" s="1">
        <v>61.286380767822266</v>
      </c>
      <c r="AT50" s="1">
        <v>149.72178649902344</v>
      </c>
      <c r="AU50" s="1">
        <v>99.203765869140625</v>
      </c>
      <c r="AV50" s="1">
        <v>6.0868010520935059</v>
      </c>
      <c r="AW50" s="1">
        <v>100.82497406005859</v>
      </c>
      <c r="AX50" s="1">
        <v>1.9178208112716675</v>
      </c>
      <c r="AY50" s="1">
        <v>0.2799343466758728</v>
      </c>
      <c r="AZ50" s="1">
        <v>5.6453056633472443E-2</v>
      </c>
      <c r="BA50" s="1">
        <v>1.0761903831735253E-3</v>
      </c>
      <c r="BB50" s="1">
        <v>7.190839946269989E-2</v>
      </c>
      <c r="BC50" s="1">
        <v>5.6609422899782658E-3</v>
      </c>
      <c r="BD50" s="1">
        <v>1</v>
      </c>
      <c r="BE50" s="1">
        <v>-1.355140209197998</v>
      </c>
      <c r="BF50" s="1">
        <v>7.355140209197998</v>
      </c>
      <c r="BG50" s="1">
        <v>1</v>
      </c>
      <c r="BH50" s="1">
        <v>0</v>
      </c>
      <c r="BI50" s="1">
        <v>0.15999999642372131</v>
      </c>
      <c r="BJ50" s="1">
        <v>111115</v>
      </c>
      <c r="BK50">
        <f t="shared" si="143"/>
        <v>1.0028250732662034</v>
      </c>
      <c r="BL50">
        <f t="shared" si="144"/>
        <v>5.5498443942992226E-4</v>
      </c>
      <c r="BM50">
        <f t="shared" si="145"/>
        <v>283.11771526336668</v>
      </c>
      <c r="BN50">
        <f t="shared" si="146"/>
        <v>278.73821344375608</v>
      </c>
      <c r="BO50">
        <f t="shared" si="147"/>
        <v>15.872602184282186</v>
      </c>
      <c r="BP50">
        <f t="shared" si="148"/>
        <v>-0.16971906235749259</v>
      </c>
      <c r="BQ50">
        <f t="shared" si="149"/>
        <v>1.2298369750399405</v>
      </c>
      <c r="BR50">
        <f t="shared" si="150"/>
        <v>12.197741546725926</v>
      </c>
      <c r="BS50">
        <f t="shared" si="151"/>
        <v>6.6515751267430154</v>
      </c>
      <c r="BT50">
        <f t="shared" si="152"/>
        <v>7.7779643535614014</v>
      </c>
      <c r="BU50">
        <f t="shared" si="153"/>
        <v>1.0607009265714298</v>
      </c>
      <c r="BV50">
        <f t="shared" si="154"/>
        <v>8.2696298627113723E-2</v>
      </c>
      <c r="BW50">
        <f t="shared" si="155"/>
        <v>0.55919208542754495</v>
      </c>
      <c r="BX50">
        <f t="shared" si="156"/>
        <v>0.50150884114388483</v>
      </c>
      <c r="BY50">
        <f t="shared" si="157"/>
        <v>5.174286742347145E-2</v>
      </c>
      <c r="BZ50">
        <f t="shared" si="158"/>
        <v>30.389212273830591</v>
      </c>
      <c r="CA50">
        <f t="shared" si="159"/>
        <v>0.75388418982958294</v>
      </c>
      <c r="CB50">
        <f t="shared" si="160"/>
        <v>45.40733472071107</v>
      </c>
      <c r="CC50">
        <f t="shared" si="161"/>
        <v>399.1836711140935</v>
      </c>
      <c r="CD50">
        <f t="shared" si="162"/>
        <v>5.5701492148953393E-3</v>
      </c>
      <c r="CE50">
        <f t="shared" si="163"/>
        <v>0</v>
      </c>
      <c r="CF50">
        <f t="shared" si="164"/>
        <v>86.725480412473274</v>
      </c>
      <c r="CG50">
        <f t="shared" si="165"/>
        <v>994.25213623046875</v>
      </c>
      <c r="CH50">
        <f t="shared" si="166"/>
        <v>0.67985995185829784</v>
      </c>
      <c r="CI50" t="e">
        <f t="shared" si="167"/>
        <v>#DIV/0!</v>
      </c>
    </row>
    <row r="51" spans="1:87" x14ac:dyDescent="0.25">
      <c r="A51" s="1">
        <v>10</v>
      </c>
      <c r="B51" s="1" t="s">
        <v>275</v>
      </c>
      <c r="C51" s="1">
        <v>1878.4998719161376</v>
      </c>
      <c r="D51" s="1">
        <v>0</v>
      </c>
      <c r="E51">
        <f t="shared" si="126"/>
        <v>3.2524179555033954</v>
      </c>
      <c r="F51">
        <f t="shared" si="127"/>
        <v>0.14487839607187777</v>
      </c>
      <c r="G51">
        <f t="shared" si="128"/>
        <v>360.42233282559812</v>
      </c>
      <c r="H51" s="1">
        <v>117</v>
      </c>
      <c r="I51" s="1">
        <v>0</v>
      </c>
      <c r="J51" s="1">
        <v>0</v>
      </c>
      <c r="K51" s="1">
        <v>0</v>
      </c>
      <c r="L51" s="1">
        <v>0</v>
      </c>
      <c r="M51" s="1">
        <v>1064.556396484375</v>
      </c>
      <c r="N51" s="1">
        <v>314.13674926757812</v>
      </c>
      <c r="O51" t="e">
        <f t="shared" si="129"/>
        <v>#DIV/0!</v>
      </c>
      <c r="P51">
        <f t="shared" si="130"/>
        <v>1</v>
      </c>
      <c r="Q51">
        <f t="shared" si="131"/>
        <v>0.70491300385306654</v>
      </c>
      <c r="R51" s="1">
        <v>-1</v>
      </c>
      <c r="S51" s="1">
        <v>0.87</v>
      </c>
      <c r="T51" s="1">
        <v>0.92</v>
      </c>
      <c r="U51" s="1">
        <v>11.166031837463379</v>
      </c>
      <c r="V51">
        <f t="shared" si="132"/>
        <v>0.87558301591873178</v>
      </c>
      <c r="W51">
        <f t="shared" si="133"/>
        <v>6.603038754790197E-2</v>
      </c>
      <c r="X51">
        <f t="shared" si="134"/>
        <v>0.70491300385306654</v>
      </c>
      <c r="Y51" t="e">
        <f t="shared" si="135"/>
        <v>#DIV/0!</v>
      </c>
      <c r="Z51">
        <f t="shared" si="136"/>
        <v>-1</v>
      </c>
      <c r="AA51" s="1">
        <v>73.552047729492187</v>
      </c>
      <c r="AB51" s="1">
        <v>0.5</v>
      </c>
      <c r="AC51">
        <f t="shared" si="137"/>
        <v>22.698524315626695</v>
      </c>
      <c r="AD51">
        <f t="shared" si="138"/>
        <v>0.79381988934814607</v>
      </c>
      <c r="AE51">
        <f t="shared" si="139"/>
        <v>0.55463954153488171</v>
      </c>
      <c r="AF51">
        <f t="shared" si="140"/>
        <v>9.9185638427734375</v>
      </c>
      <c r="AG51" s="1">
        <v>1.4930000305175781</v>
      </c>
      <c r="AH51">
        <f t="shared" si="141"/>
        <v>5.3319158355097898</v>
      </c>
      <c r="AI51" s="1">
        <v>1</v>
      </c>
      <c r="AJ51">
        <f t="shared" si="142"/>
        <v>10.66383167101958</v>
      </c>
      <c r="AK51" s="1">
        <v>5.7771296501159668</v>
      </c>
      <c r="AL51" s="1">
        <v>9.9185638427734375</v>
      </c>
      <c r="AM51" s="1">
        <v>3.1530599594116211</v>
      </c>
      <c r="AN51" s="1">
        <v>403.69186401367187</v>
      </c>
      <c r="AO51" s="1">
        <v>400.13162231445312</v>
      </c>
      <c r="AP51" s="1">
        <v>5.8707399368286133</v>
      </c>
      <c r="AQ51" s="1">
        <v>6.6571087837219238</v>
      </c>
      <c r="AR51" s="1">
        <v>64.024345397949219</v>
      </c>
      <c r="AS51" s="1">
        <v>72.600227355957031</v>
      </c>
      <c r="AT51" s="1">
        <v>149.71133422851562</v>
      </c>
      <c r="AU51" s="1">
        <v>73.552047729492187</v>
      </c>
      <c r="AV51" s="1">
        <v>6.0624041557312012</v>
      </c>
      <c r="AW51" s="1">
        <v>100.8177490234375</v>
      </c>
      <c r="AX51" s="1">
        <v>1.9178208112716675</v>
      </c>
      <c r="AY51" s="1">
        <v>0.2799343466758728</v>
      </c>
      <c r="AZ51" s="1">
        <v>5.6453056633472443E-2</v>
      </c>
      <c r="BA51" s="1">
        <v>1.0761903831735253E-3</v>
      </c>
      <c r="BB51" s="1">
        <v>7.190839946269989E-2</v>
      </c>
      <c r="BC51" s="1">
        <v>5.6609422899782658E-3</v>
      </c>
      <c r="BD51" s="1">
        <v>1</v>
      </c>
      <c r="BE51" s="1">
        <v>-1.355140209197998</v>
      </c>
      <c r="BF51" s="1">
        <v>7.355140209197998</v>
      </c>
      <c r="BG51" s="1">
        <v>1</v>
      </c>
      <c r="BH51" s="1">
        <v>0</v>
      </c>
      <c r="BI51" s="1">
        <v>0.15999999642372131</v>
      </c>
      <c r="BJ51" s="1">
        <v>111115</v>
      </c>
      <c r="BK51">
        <f t="shared" si="143"/>
        <v>1.0027550647578702</v>
      </c>
      <c r="BL51">
        <f t="shared" si="144"/>
        <v>7.938198893481461E-4</v>
      </c>
      <c r="BM51">
        <f t="shared" si="145"/>
        <v>283.06856384277341</v>
      </c>
      <c r="BN51">
        <f t="shared" si="146"/>
        <v>278.92712965011594</v>
      </c>
      <c r="BO51">
        <f t="shared" si="147"/>
        <v>11.768327373676129</v>
      </c>
      <c r="BP51">
        <f t="shared" si="148"/>
        <v>-0.21141243197548978</v>
      </c>
      <c r="BQ51">
        <f t="shared" si="149"/>
        <v>1.2257942641138799</v>
      </c>
      <c r="BR51">
        <f t="shared" si="150"/>
        <v>12.158516491266976</v>
      </c>
      <c r="BS51">
        <f t="shared" si="151"/>
        <v>5.5014077075450523</v>
      </c>
      <c r="BT51">
        <f t="shared" si="152"/>
        <v>7.8478467464447021</v>
      </c>
      <c r="BU51">
        <f t="shared" si="153"/>
        <v>1.0657638894942731</v>
      </c>
      <c r="BV51">
        <f t="shared" si="154"/>
        <v>0.14293646687606504</v>
      </c>
      <c r="BW51">
        <f t="shared" si="155"/>
        <v>0.67115472257899822</v>
      </c>
      <c r="BX51">
        <f t="shared" si="156"/>
        <v>0.39460916691527492</v>
      </c>
      <c r="BY51">
        <f t="shared" si="157"/>
        <v>8.9507755729481012E-2</v>
      </c>
      <c r="BZ51">
        <f t="shared" si="158"/>
        <v>36.336968293253015</v>
      </c>
      <c r="CA51">
        <f t="shared" si="159"/>
        <v>0.90075943196099484</v>
      </c>
      <c r="CB51">
        <f t="shared" si="160"/>
        <v>54.935167772977024</v>
      </c>
      <c r="CC51">
        <f t="shared" si="161"/>
        <v>399.71987873340413</v>
      </c>
      <c r="CD51">
        <f t="shared" si="162"/>
        <v>4.4699334598915091E-3</v>
      </c>
      <c r="CE51">
        <f t="shared" si="163"/>
        <v>0</v>
      </c>
      <c r="CF51">
        <f t="shared" si="164"/>
        <v>64.400923777987273</v>
      </c>
      <c r="CG51">
        <f t="shared" si="165"/>
        <v>1064.556396484375</v>
      </c>
      <c r="CH51">
        <f t="shared" si="166"/>
        <v>0.70491300385306654</v>
      </c>
      <c r="CI51" t="e">
        <f t="shared" si="167"/>
        <v>#DIV/0!</v>
      </c>
    </row>
    <row r="52" spans="1:87" x14ac:dyDescent="0.25">
      <c r="A52" s="1">
        <v>11</v>
      </c>
      <c r="B52" s="1" t="s">
        <v>276</v>
      </c>
      <c r="C52" s="1">
        <v>2017.9998623020947</v>
      </c>
      <c r="D52" s="1">
        <v>0</v>
      </c>
      <c r="E52">
        <f t="shared" si="126"/>
        <v>2.2966330511189978</v>
      </c>
      <c r="F52">
        <f t="shared" si="127"/>
        <v>6.2140428027369854E-2</v>
      </c>
      <c r="G52">
        <f t="shared" si="128"/>
        <v>337.10640651796263</v>
      </c>
      <c r="H52" s="1">
        <v>118</v>
      </c>
      <c r="I52" s="1">
        <v>0</v>
      </c>
      <c r="J52" s="1">
        <v>0</v>
      </c>
      <c r="K52" s="1">
        <v>0</v>
      </c>
      <c r="L52" s="1">
        <v>0</v>
      </c>
      <c r="M52" s="1">
        <v>1094.3731689453125</v>
      </c>
      <c r="N52" s="1">
        <v>297.43881225585937</v>
      </c>
      <c r="O52" t="e">
        <f t="shared" si="129"/>
        <v>#DIV/0!</v>
      </c>
      <c r="P52">
        <f t="shared" si="130"/>
        <v>1</v>
      </c>
      <c r="Q52">
        <f t="shared" si="131"/>
        <v>0.72821079619257112</v>
      </c>
      <c r="R52" s="1">
        <v>-1</v>
      </c>
      <c r="S52" s="1">
        <v>0.87</v>
      </c>
      <c r="T52" s="1">
        <v>0.92</v>
      </c>
      <c r="U52" s="1">
        <v>9.727325439453125</v>
      </c>
      <c r="V52">
        <f t="shared" si="132"/>
        <v>0.8748636627197266</v>
      </c>
      <c r="W52">
        <f t="shared" si="133"/>
        <v>7.7504126478693508E-2</v>
      </c>
      <c r="X52">
        <f t="shared" si="134"/>
        <v>0.72821079619257112</v>
      </c>
      <c r="Y52" t="e">
        <f t="shared" si="135"/>
        <v>#DIV/0!</v>
      </c>
      <c r="Z52">
        <f t="shared" si="136"/>
        <v>-1</v>
      </c>
      <c r="AA52" s="1">
        <v>48.618930816650391</v>
      </c>
      <c r="AB52" s="1">
        <v>0.5</v>
      </c>
      <c r="AC52">
        <f t="shared" si="137"/>
        <v>15.487199765873539</v>
      </c>
      <c r="AD52">
        <f t="shared" si="138"/>
        <v>0.38169301078354839</v>
      </c>
      <c r="AE52">
        <f t="shared" si="139"/>
        <v>0.61715385398916744</v>
      </c>
      <c r="AF52">
        <f t="shared" si="140"/>
        <v>10.109376907348633</v>
      </c>
      <c r="AG52" s="1">
        <v>1.4930000305175781</v>
      </c>
      <c r="AH52">
        <f t="shared" si="141"/>
        <v>5.3319158355097898</v>
      </c>
      <c r="AI52" s="1">
        <v>1</v>
      </c>
      <c r="AJ52">
        <f t="shared" si="142"/>
        <v>10.66383167101958</v>
      </c>
      <c r="AK52" s="1">
        <v>5.8171634674072266</v>
      </c>
      <c r="AL52" s="1">
        <v>10.109376907348633</v>
      </c>
      <c r="AM52" s="1">
        <v>3.139812707901001</v>
      </c>
      <c r="AN52" s="1">
        <v>402.61932373046875</v>
      </c>
      <c r="AO52" s="1">
        <v>400.176513671875</v>
      </c>
      <c r="AP52" s="1">
        <v>5.8146123886108398</v>
      </c>
      <c r="AQ52" s="1">
        <v>6.1929244995117187</v>
      </c>
      <c r="AR52" s="1">
        <v>63.241107940673828</v>
      </c>
      <c r="AS52" s="1">
        <v>67.355720520019531</v>
      </c>
      <c r="AT52" s="1">
        <v>149.70140075683594</v>
      </c>
      <c r="AU52" s="1">
        <v>48.618930816650391</v>
      </c>
      <c r="AV52" s="1">
        <v>6.0209107398986816</v>
      </c>
      <c r="AW52" s="1">
        <v>100.82483673095703</v>
      </c>
      <c r="AX52" s="1">
        <v>1.9178208112716675</v>
      </c>
      <c r="AY52" s="1">
        <v>0.2799343466758728</v>
      </c>
      <c r="AZ52" s="1">
        <v>5.6453056633472443E-2</v>
      </c>
      <c r="BA52" s="1">
        <v>1.0761903831735253E-3</v>
      </c>
      <c r="BB52" s="1">
        <v>7.190839946269989E-2</v>
      </c>
      <c r="BC52" s="1">
        <v>5.6609422899782658E-3</v>
      </c>
      <c r="BD52" s="1">
        <v>1</v>
      </c>
      <c r="BE52" s="1">
        <v>-1.355140209197998</v>
      </c>
      <c r="BF52" s="1">
        <v>7.355140209197998</v>
      </c>
      <c r="BG52" s="1">
        <v>1</v>
      </c>
      <c r="BH52" s="1">
        <v>0</v>
      </c>
      <c r="BI52" s="1">
        <v>0.15999999642372131</v>
      </c>
      <c r="BJ52" s="1">
        <v>111115</v>
      </c>
      <c r="BK52">
        <f t="shared" si="143"/>
        <v>1.0026885311244031</v>
      </c>
      <c r="BL52">
        <f t="shared" si="144"/>
        <v>3.8169301078354838E-4</v>
      </c>
      <c r="BM52">
        <f t="shared" si="145"/>
        <v>283.25937690734861</v>
      </c>
      <c r="BN52">
        <f t="shared" si="146"/>
        <v>278.9671634674072</v>
      </c>
      <c r="BO52">
        <f t="shared" si="147"/>
        <v>7.7790287567892165</v>
      </c>
      <c r="BP52">
        <f t="shared" si="148"/>
        <v>-0.1686964714683275</v>
      </c>
      <c r="BQ52">
        <f t="shared" si="149"/>
        <v>1.2415544555395803</v>
      </c>
      <c r="BR52">
        <f t="shared" si="150"/>
        <v>12.313974371737082</v>
      </c>
      <c r="BS52">
        <f t="shared" si="151"/>
        <v>6.1210498722253632</v>
      </c>
      <c r="BT52">
        <f t="shared" si="152"/>
        <v>7.9632701873779297</v>
      </c>
      <c r="BU52">
        <f t="shared" si="153"/>
        <v>1.0741729781722154</v>
      </c>
      <c r="BV52">
        <f t="shared" si="154"/>
        <v>6.1780420304082206E-2</v>
      </c>
      <c r="BW52">
        <f t="shared" si="155"/>
        <v>0.62440060155041288</v>
      </c>
      <c r="BX52">
        <f t="shared" si="156"/>
        <v>0.44977237662180247</v>
      </c>
      <c r="BY52">
        <f t="shared" si="157"/>
        <v>3.8644946550896703E-2</v>
      </c>
      <c r="BZ52">
        <f t="shared" si="158"/>
        <v>33.988698398133209</v>
      </c>
      <c r="CA52">
        <f t="shared" si="159"/>
        <v>0.84239428102563074</v>
      </c>
      <c r="CB52">
        <f t="shared" si="160"/>
        <v>50.118245355855493</v>
      </c>
      <c r="CC52">
        <f t="shared" si="161"/>
        <v>399.8857687769198</v>
      </c>
      <c r="CD52">
        <f t="shared" si="162"/>
        <v>2.8784024772974706E-3</v>
      </c>
      <c r="CE52">
        <f t="shared" si="163"/>
        <v>0</v>
      </c>
      <c r="CF52">
        <f t="shared" si="164"/>
        <v>42.534935891771752</v>
      </c>
      <c r="CG52">
        <f t="shared" si="165"/>
        <v>1094.3731689453125</v>
      </c>
      <c r="CH52">
        <f t="shared" si="166"/>
        <v>0.72821079619257112</v>
      </c>
      <c r="CI52" t="e">
        <f t="shared" si="167"/>
        <v>#DIV/0!</v>
      </c>
    </row>
    <row r="53" spans="1:87" x14ac:dyDescent="0.25">
      <c r="A53" s="1">
        <v>12</v>
      </c>
      <c r="B53" s="1" t="s">
        <v>277</v>
      </c>
      <c r="C53" s="1">
        <v>2221.9998482428491</v>
      </c>
      <c r="D53" s="1">
        <v>0</v>
      </c>
      <c r="E53">
        <f t="shared" si="126"/>
        <v>0.94705894758433184</v>
      </c>
      <c r="F53">
        <f t="shared" si="127"/>
        <v>4.9557408885368574E-2</v>
      </c>
      <c r="G53">
        <f t="shared" si="128"/>
        <v>365.55006121664974</v>
      </c>
      <c r="H53" s="1">
        <v>119</v>
      </c>
      <c r="I53" s="1">
        <v>0</v>
      </c>
      <c r="J53" s="1">
        <v>0</v>
      </c>
      <c r="K53" s="1">
        <v>0</v>
      </c>
      <c r="L53" s="1">
        <v>0</v>
      </c>
      <c r="M53" s="1">
        <v>1136.6534423828125</v>
      </c>
      <c r="N53" s="1">
        <v>268.44140625</v>
      </c>
      <c r="O53" t="e">
        <f t="shared" si="129"/>
        <v>#DIV/0!</v>
      </c>
      <c r="P53">
        <f t="shared" si="130"/>
        <v>1</v>
      </c>
      <c r="Q53">
        <f t="shared" si="131"/>
        <v>0.76383179231195086</v>
      </c>
      <c r="R53" s="1">
        <v>-1</v>
      </c>
      <c r="S53" s="1">
        <v>0.87</v>
      </c>
      <c r="T53" s="1">
        <v>0.92</v>
      </c>
      <c r="U53" s="1">
        <v>0</v>
      </c>
      <c r="V53">
        <f t="shared" si="132"/>
        <v>0.87</v>
      </c>
      <c r="W53">
        <f t="shared" si="133"/>
        <v>8.4357908220759656E-2</v>
      </c>
      <c r="X53">
        <f t="shared" si="134"/>
        <v>0.76383179231195086</v>
      </c>
      <c r="Y53" t="e">
        <f t="shared" si="135"/>
        <v>#DIV/0!</v>
      </c>
      <c r="Z53">
        <f t="shared" si="136"/>
        <v>-1</v>
      </c>
      <c r="AA53" s="1">
        <v>26.529804229736328</v>
      </c>
      <c r="AB53" s="1">
        <v>0.5</v>
      </c>
      <c r="AC53">
        <f t="shared" si="137"/>
        <v>8.8149739428008331</v>
      </c>
      <c r="AD53">
        <f t="shared" si="138"/>
        <v>0.29992367307161572</v>
      </c>
      <c r="AE53">
        <f t="shared" si="139"/>
        <v>0.60739234686767185</v>
      </c>
      <c r="AF53">
        <f t="shared" si="140"/>
        <v>9.8641777038574219</v>
      </c>
      <c r="AG53" s="1">
        <v>1.4930000305175781</v>
      </c>
      <c r="AH53">
        <f t="shared" si="141"/>
        <v>5.3319158355097898</v>
      </c>
      <c r="AI53" s="1">
        <v>1</v>
      </c>
      <c r="AJ53">
        <f t="shared" si="142"/>
        <v>10.66383167101958</v>
      </c>
      <c r="AK53" s="1">
        <v>5.7560081481933594</v>
      </c>
      <c r="AL53" s="1">
        <v>9.8641777038574219</v>
      </c>
      <c r="AM53" s="1">
        <v>3.1567831039428711</v>
      </c>
      <c r="AN53" s="1">
        <v>401.03350830078125</v>
      </c>
      <c r="AO53" s="1">
        <v>399.96939086914062</v>
      </c>
      <c r="AP53" s="1">
        <v>5.792510986328125</v>
      </c>
      <c r="AQ53" s="1">
        <v>6.0897974967956543</v>
      </c>
      <c r="AR53" s="1">
        <v>63.261920928955078</v>
      </c>
      <c r="AS53" s="1">
        <v>66.508682250976562</v>
      </c>
      <c r="AT53" s="1">
        <v>149.70713806152344</v>
      </c>
      <c r="AU53" s="1">
        <v>26.529804229736328</v>
      </c>
      <c r="AV53" s="1">
        <v>5.9723410606384277</v>
      </c>
      <c r="AW53" s="1">
        <v>100.81489562988281</v>
      </c>
      <c r="AX53" s="1">
        <v>1.9178208112716675</v>
      </c>
      <c r="AY53" s="1">
        <v>0.2799343466758728</v>
      </c>
      <c r="AZ53" s="1">
        <v>5.6453056633472443E-2</v>
      </c>
      <c r="BA53" s="1">
        <v>1.0761903831735253E-3</v>
      </c>
      <c r="BB53" s="1">
        <v>7.190839946269989E-2</v>
      </c>
      <c r="BC53" s="1">
        <v>5.6609422899782658E-3</v>
      </c>
      <c r="BD53" s="1">
        <v>0.5</v>
      </c>
      <c r="BE53" s="1">
        <v>-1.355140209197998</v>
      </c>
      <c r="BF53" s="1">
        <v>7.355140209197998</v>
      </c>
      <c r="BG53" s="1">
        <v>1</v>
      </c>
      <c r="BH53" s="1">
        <v>0</v>
      </c>
      <c r="BI53" s="1">
        <v>0.15999999642372131</v>
      </c>
      <c r="BJ53" s="1">
        <v>111115</v>
      </c>
      <c r="BK53">
        <f t="shared" si="143"/>
        <v>1.0027269591523349</v>
      </c>
      <c r="BL53">
        <f t="shared" si="144"/>
        <v>2.999236730716157E-4</v>
      </c>
      <c r="BM53">
        <f t="shared" si="145"/>
        <v>283.0141777038574</v>
      </c>
      <c r="BN53">
        <f t="shared" si="146"/>
        <v>278.90600814819334</v>
      </c>
      <c r="BO53">
        <f t="shared" si="147"/>
        <v>4.2447685818798391</v>
      </c>
      <c r="BP53">
        <f t="shared" si="148"/>
        <v>-0.16232464373649103</v>
      </c>
      <c r="BQ53">
        <f t="shared" si="149"/>
        <v>1.2213346459142473</v>
      </c>
      <c r="BR53">
        <f t="shared" si="150"/>
        <v>12.114624910172781</v>
      </c>
      <c r="BS53">
        <f t="shared" si="151"/>
        <v>6.0248274133771265</v>
      </c>
      <c r="BT53">
        <f t="shared" si="152"/>
        <v>7.8100929260253906</v>
      </c>
      <c r="BU53">
        <f t="shared" si="153"/>
        <v>1.0630259933372173</v>
      </c>
      <c r="BV53">
        <f t="shared" si="154"/>
        <v>4.9328168935515719E-2</v>
      </c>
      <c r="BW53">
        <f t="shared" si="155"/>
        <v>0.61394229904657549</v>
      </c>
      <c r="BX53">
        <f t="shared" si="156"/>
        <v>0.44908369429064177</v>
      </c>
      <c r="BY53">
        <f t="shared" si="157"/>
        <v>3.0850619731525055E-2</v>
      </c>
      <c r="BZ53">
        <f t="shared" si="158"/>
        <v>36.852891269053814</v>
      </c>
      <c r="CA53">
        <f t="shared" si="159"/>
        <v>0.91394509070382346</v>
      </c>
      <c r="CB53">
        <f t="shared" si="160"/>
        <v>50.043479398311796</v>
      </c>
      <c r="CC53">
        <f t="shared" si="161"/>
        <v>399.84949685555512</v>
      </c>
      <c r="CD53">
        <f t="shared" si="162"/>
        <v>1.1852991014152606E-3</v>
      </c>
      <c r="CE53">
        <f t="shared" si="163"/>
        <v>0</v>
      </c>
      <c r="CF53">
        <f t="shared" si="164"/>
        <v>23.080929679870604</v>
      </c>
      <c r="CG53">
        <f t="shared" si="165"/>
        <v>1136.6534423828125</v>
      </c>
      <c r="CH53">
        <f t="shared" si="166"/>
        <v>0.76383179231195086</v>
      </c>
      <c r="CI53" t="e">
        <f t="shared" si="167"/>
        <v>#DIV/0!</v>
      </c>
    </row>
    <row r="54" spans="1:87" x14ac:dyDescent="0.25">
      <c r="A54" s="1">
        <v>14</v>
      </c>
      <c r="B54" s="1" t="s">
        <v>278</v>
      </c>
      <c r="C54" s="1">
        <v>3704.499907408841</v>
      </c>
      <c r="D54" s="1">
        <v>0</v>
      </c>
      <c r="E54">
        <f t="shared" si="126"/>
        <v>0.25504667616233606</v>
      </c>
      <c r="F54">
        <f t="shared" si="127"/>
        <v>2.5497720786702208E-2</v>
      </c>
      <c r="G54">
        <f t="shared" si="128"/>
        <v>378.97001631852049</v>
      </c>
      <c r="H54" s="1">
        <v>121</v>
      </c>
      <c r="I54" s="1">
        <v>0</v>
      </c>
      <c r="J54" s="1">
        <v>205.77732849121094</v>
      </c>
      <c r="K54" s="1">
        <v>1278.6136474609375</v>
      </c>
      <c r="L54" s="1">
        <v>0</v>
      </c>
      <c r="M54" s="1">
        <v>0</v>
      </c>
      <c r="N54" s="1">
        <v>0</v>
      </c>
      <c r="O54">
        <f t="shared" si="129"/>
        <v>0.83906215227731828</v>
      </c>
      <c r="P54" t="e">
        <f t="shared" si="130"/>
        <v>#DIV/0!</v>
      </c>
      <c r="Q54" t="e">
        <f t="shared" si="131"/>
        <v>#DIV/0!</v>
      </c>
      <c r="R54" s="1">
        <v>-1</v>
      </c>
      <c r="S54" s="1">
        <v>0.87</v>
      </c>
      <c r="T54" s="1">
        <v>0.92</v>
      </c>
      <c r="U54" s="1">
        <v>0</v>
      </c>
      <c r="V54">
        <f t="shared" si="132"/>
        <v>0.87</v>
      </c>
      <c r="W54">
        <f t="shared" si="133"/>
        <v>32.349588233818814</v>
      </c>
      <c r="X54" t="e">
        <f t="shared" si="134"/>
        <v>#DIV/0!</v>
      </c>
      <c r="Y54">
        <f t="shared" si="135"/>
        <v>1</v>
      </c>
      <c r="Z54" t="e">
        <f t="shared" si="136"/>
        <v>#DIV/0!</v>
      </c>
      <c r="AA54" s="1">
        <v>6.5210402011871338E-2</v>
      </c>
      <c r="AB54" s="1">
        <v>0.5</v>
      </c>
      <c r="AC54" t="e">
        <f t="shared" si="137"/>
        <v>#DIV/0!</v>
      </c>
      <c r="AD54">
        <f t="shared" si="138"/>
        <v>0.21674279830569781</v>
      </c>
      <c r="AE54">
        <f t="shared" si="139"/>
        <v>0.84992287568654667</v>
      </c>
      <c r="AF54">
        <f t="shared" si="140"/>
        <v>12.763317108154297</v>
      </c>
      <c r="AG54" s="1">
        <v>1.4930000305175781</v>
      </c>
      <c r="AH54">
        <f t="shared" si="141"/>
        <v>5.3319158355097898</v>
      </c>
      <c r="AI54" s="1">
        <v>1</v>
      </c>
      <c r="AJ54">
        <f t="shared" si="142"/>
        <v>10.66383167101958</v>
      </c>
      <c r="AK54" s="1">
        <v>10.345807075500488</v>
      </c>
      <c r="AL54" s="1">
        <v>12.763317108154297</v>
      </c>
      <c r="AM54" s="1">
        <v>8.8178224563598633</v>
      </c>
      <c r="AN54" s="1">
        <v>400.65835571289062</v>
      </c>
      <c r="AO54" s="1">
        <v>400.31744384765625</v>
      </c>
      <c r="AP54" s="1">
        <v>6.0360431671142578</v>
      </c>
      <c r="AQ54" s="1">
        <v>6.2508635520935059</v>
      </c>
      <c r="AR54" s="1">
        <v>48.238334655761719</v>
      </c>
      <c r="AS54" s="1">
        <v>49.955116271972656</v>
      </c>
      <c r="AT54" s="1">
        <v>149.69447326660156</v>
      </c>
      <c r="AU54" s="1">
        <v>4.4593531638383865E-2</v>
      </c>
      <c r="AV54" s="1">
        <v>0.11750071495771408</v>
      </c>
      <c r="AW54" s="1">
        <v>100.80187225341797</v>
      </c>
      <c r="AX54" s="1">
        <v>1.9178208112716675</v>
      </c>
      <c r="AY54" s="1">
        <v>0.2799343466758728</v>
      </c>
      <c r="AZ54" s="1">
        <v>5.6453056633472443E-2</v>
      </c>
      <c r="BA54" s="1">
        <v>1.0761903831735253E-3</v>
      </c>
      <c r="BB54" s="1">
        <v>7.190839946269989E-2</v>
      </c>
      <c r="BC54" s="1">
        <v>5.6609422899782658E-3</v>
      </c>
      <c r="BD54" s="1">
        <v>0.5</v>
      </c>
      <c r="BE54" s="1">
        <v>-1.355140209197998</v>
      </c>
      <c r="BF54" s="1">
        <v>7.355140209197998</v>
      </c>
      <c r="BG54" s="1">
        <v>1</v>
      </c>
      <c r="BH54" s="1">
        <v>0</v>
      </c>
      <c r="BI54" s="1">
        <v>0.15999999642372131</v>
      </c>
      <c r="BJ54" s="1">
        <v>111115</v>
      </c>
      <c r="BK54">
        <f t="shared" si="143"/>
        <v>1.0026421313247194</v>
      </c>
      <c r="BL54">
        <f t="shared" si="144"/>
        <v>2.1674279830569783E-4</v>
      </c>
      <c r="BM54">
        <f t="shared" si="145"/>
        <v>285.91331710815427</v>
      </c>
      <c r="BN54">
        <f t="shared" si="146"/>
        <v>283.49580707550047</v>
      </c>
      <c r="BO54">
        <f t="shared" si="147"/>
        <v>7.1349649026625217E-3</v>
      </c>
      <c r="BP54">
        <f t="shared" si="148"/>
        <v>-0.11290586656891929</v>
      </c>
      <c r="BQ54">
        <f t="shared" si="149"/>
        <v>1.4800216249382228</v>
      </c>
      <c r="BR54">
        <f t="shared" si="150"/>
        <v>14.682481504087722</v>
      </c>
      <c r="BS54">
        <f t="shared" si="151"/>
        <v>8.431617951994216</v>
      </c>
      <c r="BT54">
        <f t="shared" si="152"/>
        <v>11.554562091827393</v>
      </c>
      <c r="BU54">
        <f t="shared" si="153"/>
        <v>1.3668301621181635</v>
      </c>
      <c r="BV54">
        <f t="shared" si="154"/>
        <v>2.5436899967969186E-2</v>
      </c>
      <c r="BW54">
        <f t="shared" si="155"/>
        <v>0.63009874925167608</v>
      </c>
      <c r="BX54">
        <f t="shared" si="156"/>
        <v>0.73673141286648747</v>
      </c>
      <c r="BY54">
        <f t="shared" si="157"/>
        <v>1.5903515685880817E-2</v>
      </c>
      <c r="BZ54">
        <f t="shared" si="158"/>
        <v>38.200887172815222</v>
      </c>
      <c r="CA54">
        <f t="shared" si="159"/>
        <v>0.94667375140100141</v>
      </c>
      <c r="CB54">
        <f t="shared" si="160"/>
        <v>42.104627486287683</v>
      </c>
      <c r="CC54">
        <f t="shared" si="161"/>
        <v>400.2851559211922</v>
      </c>
      <c r="CD54">
        <f t="shared" si="162"/>
        <v>2.682748818581028E-4</v>
      </c>
      <c r="CE54">
        <f t="shared" si="163"/>
        <v>1072.8363189697266</v>
      </c>
      <c r="CF54">
        <f t="shared" si="164"/>
        <v>3.879637252539396E-2</v>
      </c>
      <c r="CG54">
        <f t="shared" si="165"/>
        <v>0</v>
      </c>
      <c r="CH54">
        <f t="shared" si="166"/>
        <v>0</v>
      </c>
      <c r="CI54">
        <f t="shared" si="167"/>
        <v>1.1918068253774485</v>
      </c>
    </row>
    <row r="55" spans="1:87" x14ac:dyDescent="0.25">
      <c r="A55" s="1"/>
      <c r="B55" s="1"/>
    </row>
    <row r="56" spans="1:87" x14ac:dyDescent="0.25">
      <c r="A56" s="1"/>
      <c r="B56" s="1"/>
    </row>
    <row r="57" spans="1:87" x14ac:dyDescent="0.25">
      <c r="A57" s="1"/>
      <c r="B57" s="1"/>
    </row>
    <row r="58" spans="1:87" x14ac:dyDescent="0.25">
      <c r="A58" s="1"/>
      <c r="B58" s="1"/>
    </row>
    <row r="59" spans="1:87" x14ac:dyDescent="0.25">
      <c r="A59" s="1"/>
      <c r="B59" s="1"/>
    </row>
    <row r="60" spans="1:87" x14ac:dyDescent="0.25">
      <c r="A60" s="1"/>
      <c r="B60" s="1"/>
    </row>
    <row r="61" spans="1:87" x14ac:dyDescent="0.25">
      <c r="A61" s="1"/>
      <c r="B61" s="1"/>
    </row>
    <row r="62" spans="1:87" x14ac:dyDescent="0.25">
      <c r="A62" s="1"/>
      <c r="B62" s="1"/>
    </row>
    <row r="63" spans="1:87" x14ac:dyDescent="0.25">
      <c r="A63" s="1"/>
      <c r="B63" s="1"/>
    </row>
    <row r="64" spans="1:87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</sheetData>
  <sortState ref="A13:CE91">
    <sortCondition ref="A13:A91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2"/>
  <sheetViews>
    <sheetView workbookViewId="0">
      <selection activeCell="P39" sqref="P39"/>
    </sheetView>
  </sheetViews>
  <sheetFormatPr defaultRowHeight="15" x14ac:dyDescent="0.25"/>
  <sheetData>
    <row r="12" spans="12:12" x14ac:dyDescent="0.25">
      <c r="L12" t="s">
        <v>136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8"/>
  <sheetViews>
    <sheetView workbookViewId="0">
      <selection activeCell="G23" sqref="G23"/>
    </sheetView>
  </sheetViews>
  <sheetFormatPr defaultRowHeight="15" x14ac:dyDescent="0.25"/>
  <cols>
    <col min="3" max="3" width="18.7109375" customWidth="1"/>
  </cols>
  <sheetData>
    <row r="2" spans="3:4" x14ac:dyDescent="0.25">
      <c r="D2" t="s">
        <v>252</v>
      </c>
    </row>
    <row r="3" spans="3:4" x14ac:dyDescent="0.25">
      <c r="D3" t="s">
        <v>253</v>
      </c>
    </row>
    <row r="4" spans="3:4" x14ac:dyDescent="0.25">
      <c r="C4" s="17" t="s">
        <v>176</v>
      </c>
      <c r="D4">
        <v>0</v>
      </c>
    </row>
    <row r="5" spans="3:4" x14ac:dyDescent="0.25">
      <c r="C5" s="20" t="s">
        <v>177</v>
      </c>
      <c r="D5">
        <v>0</v>
      </c>
    </row>
    <row r="6" spans="3:4" x14ac:dyDescent="0.25">
      <c r="C6" s="22" t="s">
        <v>178</v>
      </c>
      <c r="D6">
        <v>0.28999999999999998</v>
      </c>
    </row>
    <row r="7" spans="3:4" x14ac:dyDescent="0.25">
      <c r="C7" s="28" t="s">
        <v>247</v>
      </c>
      <c r="D7">
        <v>1.48</v>
      </c>
    </row>
    <row r="8" spans="3:4" x14ac:dyDescent="0.25">
      <c r="C8" s="33" t="s">
        <v>248</v>
      </c>
      <c r="D8">
        <v>0.56000000000000005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63"/>
  <sheetViews>
    <sheetView topLeftCell="A4" workbookViewId="0">
      <selection activeCell="I66" sqref="I66"/>
    </sheetView>
  </sheetViews>
  <sheetFormatPr defaultRowHeight="15" x14ac:dyDescent="0.25"/>
  <sheetData>
    <row r="2" spans="1:83" x14ac:dyDescent="0.25">
      <c r="E2">
        <v>15</v>
      </c>
    </row>
    <row r="4" spans="1:83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 t="s">
        <v>38</v>
      </c>
      <c r="AL4" s="1" t="s">
        <v>39</v>
      </c>
      <c r="AM4" s="1" t="s">
        <v>40</v>
      </c>
      <c r="AN4" s="1" t="s">
        <v>41</v>
      </c>
      <c r="AO4" s="1" t="s">
        <v>42</v>
      </c>
      <c r="AP4" s="1" t="s">
        <v>43</v>
      </c>
      <c r="AQ4" s="1" t="s">
        <v>44</v>
      </c>
      <c r="AR4" s="1" t="s">
        <v>45</v>
      </c>
      <c r="AS4" s="1" t="s">
        <v>46</v>
      </c>
      <c r="AT4" s="1" t="s">
        <v>47</v>
      </c>
      <c r="AU4" s="1" t="s">
        <v>48</v>
      </c>
      <c r="AV4" s="1" t="s">
        <v>49</v>
      </c>
      <c r="AW4" s="1" t="s">
        <v>50</v>
      </c>
      <c r="AX4" s="1" t="s">
        <v>51</v>
      </c>
      <c r="AY4" s="1" t="s">
        <v>52</v>
      </c>
      <c r="AZ4" s="1" t="s">
        <v>53</v>
      </c>
      <c r="BA4" s="1" t="s">
        <v>54</v>
      </c>
      <c r="BB4" s="1" t="s">
        <v>55</v>
      </c>
      <c r="BC4" s="1" t="s">
        <v>56</v>
      </c>
      <c r="BD4" s="1" t="s">
        <v>57</v>
      </c>
      <c r="BE4" s="1" t="s">
        <v>58</v>
      </c>
      <c r="BF4" s="1" t="s">
        <v>59</v>
      </c>
      <c r="BG4" s="1" t="s">
        <v>60</v>
      </c>
      <c r="BH4" s="1" t="s">
        <v>61</v>
      </c>
      <c r="BI4" s="1" t="s">
        <v>62</v>
      </c>
      <c r="BJ4" s="1" t="s">
        <v>63</v>
      </c>
      <c r="BK4" s="1" t="s">
        <v>64</v>
      </c>
      <c r="BL4" s="1" t="s">
        <v>65</v>
      </c>
      <c r="BM4" s="1" t="s">
        <v>66</v>
      </c>
      <c r="BN4" s="1" t="s">
        <v>67</v>
      </c>
      <c r="BO4" s="1" t="s">
        <v>68</v>
      </c>
      <c r="BP4" s="1" t="s">
        <v>69</v>
      </c>
      <c r="BQ4" s="1" t="s">
        <v>70</v>
      </c>
      <c r="BR4" s="1" t="s">
        <v>71</v>
      </c>
      <c r="BS4" s="1" t="s">
        <v>72</v>
      </c>
      <c r="BT4" s="1" t="s">
        <v>73</v>
      </c>
      <c r="BU4" s="1" t="s">
        <v>74</v>
      </c>
      <c r="BV4" s="1" t="s">
        <v>75</v>
      </c>
      <c r="BW4" s="1" t="s">
        <v>76</v>
      </c>
      <c r="BX4" s="1" t="s">
        <v>77</v>
      </c>
      <c r="BY4" s="1" t="s">
        <v>78</v>
      </c>
      <c r="BZ4" s="1" t="s">
        <v>79</v>
      </c>
      <c r="CA4" s="1" t="s">
        <v>80</v>
      </c>
      <c r="CB4" s="1" t="s">
        <v>81</v>
      </c>
      <c r="CC4" s="1" t="s">
        <v>82</v>
      </c>
      <c r="CD4" s="1" t="s">
        <v>83</v>
      </c>
      <c r="CE4" s="1" t="s">
        <v>84</v>
      </c>
    </row>
    <row r="5" spans="1:83" x14ac:dyDescent="0.25">
      <c r="A5" s="1" t="s">
        <v>85</v>
      </c>
      <c r="B5" s="1" t="s">
        <v>85</v>
      </c>
      <c r="C5" s="1" t="s">
        <v>85</v>
      </c>
      <c r="D5" s="1" t="s">
        <v>85</v>
      </c>
      <c r="E5" s="1" t="s">
        <v>86</v>
      </c>
      <c r="F5" s="1" t="s">
        <v>86</v>
      </c>
      <c r="G5" s="1" t="s">
        <v>86</v>
      </c>
      <c r="H5" s="1" t="s">
        <v>85</v>
      </c>
      <c r="I5" s="1" t="s">
        <v>85</v>
      </c>
      <c r="J5" s="1" t="s">
        <v>85</v>
      </c>
      <c r="K5" s="1" t="s">
        <v>85</v>
      </c>
      <c r="L5" s="1" t="s">
        <v>85</v>
      </c>
      <c r="M5" s="1" t="s">
        <v>85</v>
      </c>
      <c r="N5" s="1" t="s">
        <v>85</v>
      </c>
      <c r="O5" s="1" t="s">
        <v>86</v>
      </c>
      <c r="P5" s="1" t="s">
        <v>86</v>
      </c>
      <c r="Q5" s="1" t="s">
        <v>86</v>
      </c>
      <c r="R5" s="1" t="s">
        <v>85</v>
      </c>
      <c r="S5" s="1" t="s">
        <v>85</v>
      </c>
      <c r="T5" s="1" t="s">
        <v>85</v>
      </c>
      <c r="U5" s="1" t="s">
        <v>85</v>
      </c>
      <c r="V5" s="1" t="s">
        <v>86</v>
      </c>
      <c r="W5" s="1" t="s">
        <v>86</v>
      </c>
      <c r="X5" s="1" t="s">
        <v>86</v>
      </c>
      <c r="Y5" s="1" t="s">
        <v>86</v>
      </c>
      <c r="Z5" s="1" t="s">
        <v>86</v>
      </c>
      <c r="AA5" s="1" t="s">
        <v>85</v>
      </c>
      <c r="AB5" s="1" t="s">
        <v>85</v>
      </c>
      <c r="AC5" s="1" t="s">
        <v>86</v>
      </c>
      <c r="AD5" s="1" t="s">
        <v>86</v>
      </c>
      <c r="AE5" s="1" t="s">
        <v>86</v>
      </c>
      <c r="AF5" s="1" t="s">
        <v>86</v>
      </c>
      <c r="AG5" s="1" t="s">
        <v>85</v>
      </c>
      <c r="AH5" s="1" t="s">
        <v>86</v>
      </c>
      <c r="AI5" s="1" t="s">
        <v>85</v>
      </c>
      <c r="AJ5" s="1" t="s">
        <v>86</v>
      </c>
      <c r="AK5" s="1" t="s">
        <v>85</v>
      </c>
      <c r="AL5" s="1" t="s">
        <v>85</v>
      </c>
      <c r="AM5" s="1" t="s">
        <v>85</v>
      </c>
      <c r="AN5" s="1" t="s">
        <v>85</v>
      </c>
      <c r="AO5" s="1" t="s">
        <v>85</v>
      </c>
      <c r="AP5" s="1" t="s">
        <v>85</v>
      </c>
      <c r="AQ5" s="1" t="s">
        <v>85</v>
      </c>
      <c r="AR5" s="1" t="s">
        <v>85</v>
      </c>
      <c r="AS5" s="1" t="s">
        <v>85</v>
      </c>
      <c r="AT5" s="1" t="s">
        <v>85</v>
      </c>
      <c r="AU5" s="1" t="s">
        <v>85</v>
      </c>
      <c r="AV5" s="1" t="s">
        <v>85</v>
      </c>
      <c r="AW5" s="1" t="s">
        <v>85</v>
      </c>
      <c r="AX5" s="1" t="s">
        <v>85</v>
      </c>
      <c r="AY5" s="1" t="s">
        <v>85</v>
      </c>
      <c r="AZ5" s="1" t="s">
        <v>85</v>
      </c>
      <c r="BA5" s="1" t="s">
        <v>85</v>
      </c>
      <c r="BB5" s="1" t="s">
        <v>85</v>
      </c>
      <c r="BC5" s="1" t="s">
        <v>85</v>
      </c>
      <c r="BD5" s="1" t="s">
        <v>85</v>
      </c>
      <c r="BE5" s="1" t="s">
        <v>85</v>
      </c>
      <c r="BF5" s="1" t="s">
        <v>85</v>
      </c>
      <c r="BG5" s="1" t="s">
        <v>86</v>
      </c>
      <c r="BH5" s="1" t="s">
        <v>86</v>
      </c>
      <c r="BI5" s="1" t="s">
        <v>86</v>
      </c>
      <c r="BJ5" s="1" t="s">
        <v>86</v>
      </c>
      <c r="BK5" s="1" t="s">
        <v>86</v>
      </c>
      <c r="BL5" s="1" t="s">
        <v>86</v>
      </c>
      <c r="BM5" s="1" t="s">
        <v>86</v>
      </c>
      <c r="BN5" s="1" t="s">
        <v>86</v>
      </c>
      <c r="BO5" s="1" t="s">
        <v>86</v>
      </c>
      <c r="BP5" s="1" t="s">
        <v>86</v>
      </c>
      <c r="BQ5" s="1" t="s">
        <v>86</v>
      </c>
      <c r="BR5" s="1" t="s">
        <v>86</v>
      </c>
      <c r="BS5" s="1" t="s">
        <v>86</v>
      </c>
      <c r="BT5" s="1" t="s">
        <v>86</v>
      </c>
      <c r="BU5" s="1" t="s">
        <v>86</v>
      </c>
      <c r="BV5" s="1" t="s">
        <v>86</v>
      </c>
      <c r="BW5" s="1" t="s">
        <v>86</v>
      </c>
      <c r="BX5" s="1" t="s">
        <v>86</v>
      </c>
      <c r="BY5" s="1" t="s">
        <v>86</v>
      </c>
      <c r="BZ5" s="1" t="s">
        <v>86</v>
      </c>
      <c r="CA5" s="1" t="s">
        <v>86</v>
      </c>
      <c r="CB5" s="1" t="s">
        <v>86</v>
      </c>
      <c r="CC5" s="1" t="s">
        <v>86</v>
      </c>
      <c r="CD5" s="1" t="s">
        <v>86</v>
      </c>
      <c r="CE5" s="1" t="s">
        <v>86</v>
      </c>
    </row>
    <row r="6" spans="1:83" x14ac:dyDescent="0.25">
      <c r="A6" s="1"/>
      <c r="B6" s="1"/>
      <c r="C6" s="1"/>
      <c r="D6" s="1"/>
      <c r="H6" s="1"/>
      <c r="I6" s="1"/>
      <c r="J6" s="1"/>
      <c r="K6" s="1"/>
      <c r="L6" s="1"/>
      <c r="M6" s="1"/>
      <c r="N6" s="1"/>
      <c r="R6" s="1"/>
      <c r="S6" s="1"/>
      <c r="T6" s="1"/>
      <c r="U6" s="1"/>
      <c r="AA6" s="1"/>
      <c r="AB6" s="1"/>
      <c r="AG6" s="1"/>
      <c r="AI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83" x14ac:dyDescent="0.25">
      <c r="A7" s="1">
        <v>26</v>
      </c>
      <c r="B7" s="1" t="s">
        <v>110</v>
      </c>
      <c r="C7" s="1">
        <v>7326.0000029634684</v>
      </c>
      <c r="D7" s="1">
        <v>0</v>
      </c>
      <c r="E7">
        <f t="shared" ref="E7:E15" si="0">(AN7-AO7*(1000-AP7)/(1000-AQ7))*BG7</f>
        <v>5.029989169166309</v>
      </c>
      <c r="F7">
        <f t="shared" ref="F7:F15" si="1">IF(BR7&lt;&gt;0,1/(1/BR7-1/AJ7),0)</f>
        <v>6.6735447293126152E-2</v>
      </c>
      <c r="G7">
        <f t="shared" ref="G7:G15" si="2">((BU7-BH7/2)*AO7-E7)/(BU7+BH7/2)</f>
        <v>274.61210128389217</v>
      </c>
      <c r="H7" s="1">
        <v>24</v>
      </c>
      <c r="I7" s="1">
        <v>0</v>
      </c>
      <c r="J7" s="1">
        <v>0</v>
      </c>
      <c r="K7" s="1">
        <v>0</v>
      </c>
      <c r="L7" s="1">
        <v>0</v>
      </c>
      <c r="M7" s="1">
        <v>635.92767333984375</v>
      </c>
      <c r="N7" s="1">
        <v>417.33834838867187</v>
      </c>
      <c r="O7" t="e">
        <f t="shared" ref="O7:O15" si="3">CA7/K7</f>
        <v>#DIV/0!</v>
      </c>
      <c r="P7">
        <f t="shared" ref="P7:P15" si="4">CC7/M7</f>
        <v>1</v>
      </c>
      <c r="Q7">
        <f t="shared" ref="Q7:Q15" si="5">(M7-N7)/M7</f>
        <v>0.34373299687236031</v>
      </c>
      <c r="R7" s="1">
        <v>-1</v>
      </c>
      <c r="S7" s="1">
        <v>0.87</v>
      </c>
      <c r="T7" s="1">
        <v>0.92</v>
      </c>
      <c r="U7" s="1">
        <v>9.9087457656860352</v>
      </c>
      <c r="V7">
        <f t="shared" ref="V7:V15" si="6">(U7*T7+(100-U7)*S7)/100</f>
        <v>0.87495437288284295</v>
      </c>
      <c r="W7">
        <f t="shared" ref="W7:W15" si="7">(E7-R7)/CB7</f>
        <v>1.5289030749145279E-2</v>
      </c>
      <c r="X7">
        <f t="shared" ref="X7:X15" si="8">(M7-N7)/(M7-L7)</f>
        <v>0.34373299687236031</v>
      </c>
      <c r="Y7" t="e">
        <f t="shared" ref="Y7:Y15" si="9">(K7-M7)/(K7-L7)</f>
        <v>#DIV/0!</v>
      </c>
      <c r="Z7">
        <f t="shared" ref="Z7:Z15" si="10">(K7-M7)/M7</f>
        <v>-1</v>
      </c>
      <c r="AA7" s="1">
        <v>450.76602172851562</v>
      </c>
      <c r="AB7" s="1">
        <v>0.5</v>
      </c>
      <c r="AC7">
        <f t="shared" ref="AC7:AC15" si="11">Q7*AB7*V7*AA7</f>
        <v>67.784095742671013</v>
      </c>
      <c r="AD7">
        <f t="shared" ref="AD7:AD15" si="12">BH7*1000</f>
        <v>0.51353102219417412</v>
      </c>
      <c r="AE7">
        <f t="shared" ref="AE7:AE15" si="13">(BM7-BS7)</f>
        <v>0.76780588185314991</v>
      </c>
      <c r="AF7">
        <f t="shared" ref="AF7:AF15" si="14">(AL7+BL7*D7)</f>
        <v>15.237717628479004</v>
      </c>
      <c r="AG7" s="1">
        <v>1.8999999761581421</v>
      </c>
      <c r="AH7">
        <f t="shared" ref="AH7:AH15" si="15">(AG7*BA7+BB7)</f>
        <v>4.7803738440308621</v>
      </c>
      <c r="AI7" s="1">
        <v>1</v>
      </c>
      <c r="AJ7">
        <f t="shared" ref="AJ7:AJ15" si="16">AH7*(AI7+1)*(AI7+1)/(AI7*AI7+1)</f>
        <v>9.5607476880617241</v>
      </c>
      <c r="AK7" s="1">
        <v>12.451371192932129</v>
      </c>
      <c r="AL7" s="1">
        <v>15.237717628479004</v>
      </c>
      <c r="AM7" s="1">
        <v>10.276045799255371</v>
      </c>
      <c r="AN7" s="1">
        <v>406.75848388671875</v>
      </c>
      <c r="AO7" s="1">
        <v>400.10659790039062</v>
      </c>
      <c r="AP7" s="1">
        <v>9.0105133056640625</v>
      </c>
      <c r="AQ7" s="1">
        <v>9.65667724609375</v>
      </c>
      <c r="AR7" s="1">
        <v>62.413883209228516</v>
      </c>
      <c r="AS7" s="1">
        <v>66.889724731445313</v>
      </c>
      <c r="AT7" s="1">
        <v>149.54205322265625</v>
      </c>
      <c r="AU7" s="1">
        <v>450.76602172851562</v>
      </c>
      <c r="AV7" s="1">
        <v>6.6423459053039551</v>
      </c>
      <c r="AW7" s="1">
        <v>100.44168853759766</v>
      </c>
      <c r="AX7" s="1">
        <v>3.3840460777282715</v>
      </c>
      <c r="AY7" s="1">
        <v>7.3870867490768433E-3</v>
      </c>
      <c r="AZ7" s="1">
        <v>0.75</v>
      </c>
      <c r="BA7" s="1">
        <v>-1.355140209197998</v>
      </c>
      <c r="BB7" s="1">
        <v>7.355140209197998</v>
      </c>
      <c r="BC7" s="1">
        <v>1</v>
      </c>
      <c r="BD7" s="1">
        <v>0</v>
      </c>
      <c r="BE7" s="1">
        <v>0.15999999642372131</v>
      </c>
      <c r="BF7" s="1">
        <v>111115</v>
      </c>
      <c r="BG7">
        <f t="shared" ref="BG7:BG15" si="17">AT7*0.000001/(AG7*0.0001)</f>
        <v>0.7870634478903249</v>
      </c>
      <c r="BH7">
        <f t="shared" ref="BH7:BH15" si="18">(AQ7-AP7)/(1000-AQ7)*BG7</f>
        <v>5.1353102219417414E-4</v>
      </c>
      <c r="BI7">
        <f t="shared" ref="BI7:BI15" si="19">(AL7+273.15)</f>
        <v>288.38771762847898</v>
      </c>
      <c r="BJ7">
        <f t="shared" ref="BJ7:BJ15" si="20">(AK7+273.15)</f>
        <v>285.60137119293211</v>
      </c>
      <c r="BK7">
        <f t="shared" ref="BK7:BK15" si="21">(AU7*BC7+AV7*BD7)*BE7</f>
        <v>72.122561864497584</v>
      </c>
      <c r="BL7">
        <f t="shared" ref="BL7:BL15" si="22">((BK7+0.00000010773*(BJ7^4-BI7^4))-BH7*44100)/(AH7*51.4+0.00000043092*BI7^3)</f>
        <v>8.2377742972370271E-2</v>
      </c>
      <c r="BM7">
        <f t="shared" ref="BM7:BM15" si="23">0.61365*EXP(17.502*AF7/(240.97+AF7))</f>
        <v>1.7377388501134046</v>
      </c>
      <c r="BN7">
        <f t="shared" ref="BN7:BN15" si="24">BM7*1000/AW7</f>
        <v>17.300972090517263</v>
      </c>
      <c r="BO7">
        <f t="shared" ref="BO7:BO15" si="25">(BN7-AQ7)</f>
        <v>7.6442948444235128</v>
      </c>
      <c r="BP7">
        <f t="shared" ref="BP7:BP15" si="26">IF(D7,AL7,(AK7+AL7)/2)</f>
        <v>13.844544410705566</v>
      </c>
      <c r="BQ7">
        <f t="shared" ref="BQ7:BQ15" si="27">0.61365*EXP(17.502*BP7/(240.97+BP7))</f>
        <v>1.5881747657191703</v>
      </c>
      <c r="BR7">
        <f t="shared" ref="BR7:BR15" si="28">IF(BO7&lt;&gt;0,(1000-(BN7+AQ7)/2)/BO7*BH7,0)</f>
        <v>6.6272852878490537E-2</v>
      </c>
      <c r="BS7">
        <f t="shared" ref="BS7:BS15" si="29">AQ7*AW7/1000</f>
        <v>0.96993296826025466</v>
      </c>
      <c r="BT7">
        <f t="shared" ref="BT7:BT15" si="30">(BQ7-BS7)</f>
        <v>0.61824179745891561</v>
      </c>
      <c r="BU7">
        <f t="shared" ref="BU7:BU15" si="31">1/(1.6/F7+1.37/AJ7)</f>
        <v>4.1461847340683033E-2</v>
      </c>
      <c r="BV7">
        <f t="shared" ref="BV7:BV15" si="32">G7*AW7*0.001</f>
        <v>27.58250314581192</v>
      </c>
      <c r="BW7">
        <f t="shared" ref="BW7:BW15" si="33">G7/AO7</f>
        <v>0.68634734524487595</v>
      </c>
      <c r="BX7">
        <f t="shared" ref="BX7:BX15" si="34">(1-BH7*AW7/BM7/F7)*100</f>
        <v>55.522578374742217</v>
      </c>
      <c r="BY7">
        <f t="shared" ref="BY7:BY15" si="35">(AO7-E7/(AJ7/1.35))</f>
        <v>399.39635163096403</v>
      </c>
      <c r="BZ7">
        <f t="shared" ref="BZ7:BZ15" si="36">E7*BX7/100/BY7</f>
        <v>6.9925017273865667E-3</v>
      </c>
      <c r="CA7">
        <f t="shared" ref="CA7:CA15" si="37">(K7-J7)</f>
        <v>0</v>
      </c>
      <c r="CB7">
        <f t="shared" ref="CB7:CB15" si="38">AU7*V7</f>
        <v>394.39970185836734</v>
      </c>
      <c r="CC7">
        <f t="shared" ref="CC7:CC15" si="39">(M7-L7)</f>
        <v>635.92767333984375</v>
      </c>
      <c r="CD7">
        <f t="shared" ref="CD7:CD15" si="40">(M7-N7)/(M7-J7)</f>
        <v>0.34373299687236031</v>
      </c>
      <c r="CE7" t="e">
        <f t="shared" ref="CE7:CE15" si="41">(K7-M7)/(K7-J7)</f>
        <v>#DIV/0!</v>
      </c>
    </row>
    <row r="8" spans="1:83" x14ac:dyDescent="0.25">
      <c r="A8" s="1">
        <v>27</v>
      </c>
      <c r="B8" s="1" t="s">
        <v>111</v>
      </c>
      <c r="C8" s="1">
        <v>7387.9999986905605</v>
      </c>
      <c r="D8" s="1">
        <v>0</v>
      </c>
      <c r="E8">
        <f t="shared" si="0"/>
        <v>4.6058301386457297</v>
      </c>
      <c r="F8">
        <f t="shared" si="1"/>
        <v>6.7557377289807888E-2</v>
      </c>
      <c r="G8">
        <f t="shared" si="2"/>
        <v>286.97948597196319</v>
      </c>
      <c r="H8" s="1">
        <v>25</v>
      </c>
      <c r="I8" s="1">
        <v>0</v>
      </c>
      <c r="J8" s="1">
        <v>0</v>
      </c>
      <c r="K8" s="1">
        <v>0</v>
      </c>
      <c r="L8" s="1">
        <v>0</v>
      </c>
      <c r="M8" s="1">
        <v>843.3072509765625</v>
      </c>
      <c r="N8" s="1">
        <v>465.518310546875</v>
      </c>
      <c r="O8" t="e">
        <f t="shared" si="3"/>
        <v>#DIV/0!</v>
      </c>
      <c r="P8">
        <f t="shared" si="4"/>
        <v>1</v>
      </c>
      <c r="Q8">
        <f t="shared" si="5"/>
        <v>0.44798493074997542</v>
      </c>
      <c r="R8" s="1">
        <v>-1</v>
      </c>
      <c r="S8" s="1">
        <v>0.87</v>
      </c>
      <c r="T8" s="1">
        <v>0.92</v>
      </c>
      <c r="U8" s="1">
        <v>9.8018503189086914</v>
      </c>
      <c r="V8">
        <f t="shared" si="6"/>
        <v>0.87490092515945439</v>
      </c>
      <c r="W8">
        <f t="shared" si="7"/>
        <v>2.1364525114798871E-2</v>
      </c>
      <c r="X8">
        <f t="shared" si="8"/>
        <v>0.44798493074997542</v>
      </c>
      <c r="Y8" t="e">
        <f t="shared" si="9"/>
        <v>#DIV/0!</v>
      </c>
      <c r="Z8">
        <f t="shared" si="10"/>
        <v>-1</v>
      </c>
      <c r="AA8" s="1">
        <v>299.9078369140625</v>
      </c>
      <c r="AB8" s="1">
        <v>0.5</v>
      </c>
      <c r="AC8">
        <f t="shared" si="11"/>
        <v>58.773303243650737</v>
      </c>
      <c r="AD8">
        <f t="shared" si="12"/>
        <v>0.49706724619454795</v>
      </c>
      <c r="AE8">
        <f t="shared" si="13"/>
        <v>0.73437080504633367</v>
      </c>
      <c r="AF8">
        <f t="shared" si="14"/>
        <v>14.921069145202637</v>
      </c>
      <c r="AG8" s="1">
        <v>1.8999999761581421</v>
      </c>
      <c r="AH8">
        <f t="shared" si="15"/>
        <v>4.7803738440308621</v>
      </c>
      <c r="AI8" s="1">
        <v>1</v>
      </c>
      <c r="AJ8">
        <f t="shared" si="16"/>
        <v>9.5607476880617241</v>
      </c>
      <c r="AK8" s="1">
        <v>12.555512428283691</v>
      </c>
      <c r="AL8" s="1">
        <v>14.921069145202637</v>
      </c>
      <c r="AM8" s="1">
        <v>10.054522514343262</v>
      </c>
      <c r="AN8" s="1">
        <v>406.89944458007812</v>
      </c>
      <c r="AO8" s="1">
        <v>400.79483032226562</v>
      </c>
      <c r="AP8" s="1">
        <v>9.0149812698364258</v>
      </c>
      <c r="AQ8" s="1">
        <v>9.6403961181640625</v>
      </c>
      <c r="AR8" s="1">
        <v>62.021434783935547</v>
      </c>
      <c r="AS8" s="1">
        <v>66.324172973632812</v>
      </c>
      <c r="AT8" s="1">
        <v>149.55242919921875</v>
      </c>
      <c r="AU8" s="1">
        <v>299.9078369140625</v>
      </c>
      <c r="AV8" s="1">
        <v>6.7992587089538574</v>
      </c>
      <c r="AW8" s="1">
        <v>100.44496154785156</v>
      </c>
      <c r="AX8" s="1">
        <v>3.3840460777282715</v>
      </c>
      <c r="AY8" s="1">
        <v>7.3870867490768433E-3</v>
      </c>
      <c r="AZ8" s="1">
        <v>0.75</v>
      </c>
      <c r="BA8" s="1">
        <v>-1.355140209197998</v>
      </c>
      <c r="BB8" s="1">
        <v>7.355140209197998</v>
      </c>
      <c r="BC8" s="1">
        <v>1</v>
      </c>
      <c r="BD8" s="1">
        <v>0</v>
      </c>
      <c r="BE8" s="1">
        <v>0.15999999642372131</v>
      </c>
      <c r="BF8" s="1">
        <v>111115</v>
      </c>
      <c r="BG8">
        <f t="shared" si="17"/>
        <v>0.78711805829397063</v>
      </c>
      <c r="BH8">
        <f t="shared" si="18"/>
        <v>4.9706724619454795E-4</v>
      </c>
      <c r="BI8">
        <f t="shared" si="19"/>
        <v>288.07106914520261</v>
      </c>
      <c r="BJ8">
        <f t="shared" si="20"/>
        <v>285.70551242828367</v>
      </c>
      <c r="BK8">
        <f t="shared" si="21"/>
        <v>47.985252833695995</v>
      </c>
      <c r="BL8">
        <f t="shared" si="22"/>
        <v>7.7910213398835549E-3</v>
      </c>
      <c r="BM8">
        <f t="shared" si="23"/>
        <v>1.7027000224413804</v>
      </c>
      <c r="BN8">
        <f t="shared" si="24"/>
        <v>16.951572246162105</v>
      </c>
      <c r="BO8">
        <f t="shared" si="25"/>
        <v>7.3111761279980421</v>
      </c>
      <c r="BP8">
        <f t="shared" si="26"/>
        <v>13.738290786743164</v>
      </c>
      <c r="BQ8">
        <f t="shared" si="27"/>
        <v>1.5772471102936825</v>
      </c>
      <c r="BR8">
        <f t="shared" si="28"/>
        <v>6.7083358322263795E-2</v>
      </c>
      <c r="BS8">
        <f t="shared" si="29"/>
        <v>0.96832921739504674</v>
      </c>
      <c r="BT8">
        <f t="shared" si="30"/>
        <v>0.60891789289863574</v>
      </c>
      <c r="BU8">
        <f t="shared" si="31"/>
        <v>4.1969430471919429E-2</v>
      </c>
      <c r="BV8">
        <f t="shared" si="32"/>
        <v>28.825643433476049</v>
      </c>
      <c r="BW8">
        <f t="shared" si="33"/>
        <v>0.71602591715370345</v>
      </c>
      <c r="BX8">
        <f t="shared" si="34"/>
        <v>56.595737567743953</v>
      </c>
      <c r="BY8">
        <f t="shared" si="35"/>
        <v>400.14447630288953</v>
      </c>
      <c r="BZ8">
        <f t="shared" si="36"/>
        <v>6.5144059020093769E-3</v>
      </c>
      <c r="CA8">
        <f t="shared" si="37"/>
        <v>0</v>
      </c>
      <c r="CB8">
        <f t="shared" si="38"/>
        <v>262.38964397868403</v>
      </c>
      <c r="CC8">
        <f t="shared" si="39"/>
        <v>843.3072509765625</v>
      </c>
      <c r="CD8">
        <f t="shared" si="40"/>
        <v>0.44798493074997542</v>
      </c>
      <c r="CE8" t="e">
        <f t="shared" si="41"/>
        <v>#DIV/0!</v>
      </c>
    </row>
    <row r="9" spans="1:83" x14ac:dyDescent="0.25">
      <c r="A9" s="1">
        <v>28</v>
      </c>
      <c r="B9" s="1" t="s">
        <v>112</v>
      </c>
      <c r="C9" s="1">
        <v>7449.9999944176525</v>
      </c>
      <c r="D9" s="1">
        <v>0</v>
      </c>
      <c r="E9">
        <f t="shared" si="0"/>
        <v>4.2321836231761019</v>
      </c>
      <c r="F9">
        <f t="shared" si="1"/>
        <v>7.2833821657317693E-2</v>
      </c>
      <c r="G9">
        <f t="shared" si="2"/>
        <v>303.27657498983689</v>
      </c>
      <c r="H9" s="1">
        <v>26</v>
      </c>
      <c r="I9" s="1">
        <v>0</v>
      </c>
      <c r="J9" s="1">
        <v>0</v>
      </c>
      <c r="K9" s="1">
        <v>0</v>
      </c>
      <c r="L9" s="1">
        <v>0</v>
      </c>
      <c r="M9" s="1">
        <v>1163.7076416015625</v>
      </c>
      <c r="N9" s="1">
        <v>529.6171875</v>
      </c>
      <c r="O9" t="e">
        <f t="shared" si="3"/>
        <v>#DIV/0!</v>
      </c>
      <c r="P9">
        <f t="shared" si="4"/>
        <v>1</v>
      </c>
      <c r="Q9">
        <f t="shared" si="5"/>
        <v>0.54488810714423952</v>
      </c>
      <c r="R9" s="1">
        <v>-1</v>
      </c>
      <c r="S9" s="1">
        <v>0.87</v>
      </c>
      <c r="T9" s="1">
        <v>0.92</v>
      </c>
      <c r="U9" s="1">
        <v>9.0644702911376953</v>
      </c>
      <c r="V9">
        <f t="shared" si="6"/>
        <v>0.87453223514556877</v>
      </c>
      <c r="W9">
        <f t="shared" si="7"/>
        <v>3.0147023387254428E-2</v>
      </c>
      <c r="X9">
        <f t="shared" si="8"/>
        <v>0.54488810714423952</v>
      </c>
      <c r="Y9" t="e">
        <f t="shared" si="9"/>
        <v>#DIV/0!</v>
      </c>
      <c r="Z9">
        <f t="shared" si="10"/>
        <v>-1</v>
      </c>
      <c r="AA9" s="1">
        <v>198.45530700683594</v>
      </c>
      <c r="AB9" s="1">
        <v>0.5</v>
      </c>
      <c r="AC9">
        <f t="shared" si="11"/>
        <v>47.284181161793285</v>
      </c>
      <c r="AD9">
        <f t="shared" si="12"/>
        <v>0.52657480525653433</v>
      </c>
      <c r="AE9">
        <f t="shared" si="13"/>
        <v>0.72206466264684432</v>
      </c>
      <c r="AF9">
        <f t="shared" si="14"/>
        <v>14.843368530273438</v>
      </c>
      <c r="AG9" s="1">
        <v>1.8999999761581421</v>
      </c>
      <c r="AH9">
        <f t="shared" si="15"/>
        <v>4.7803738440308621</v>
      </c>
      <c r="AI9" s="1">
        <v>1</v>
      </c>
      <c r="AJ9">
        <f t="shared" si="16"/>
        <v>9.5607476880617241</v>
      </c>
      <c r="AK9" s="1">
        <v>12.96080207824707</v>
      </c>
      <c r="AL9" s="1">
        <v>14.843368530273438</v>
      </c>
      <c r="AM9" s="1">
        <v>11.374560356140137</v>
      </c>
      <c r="AN9" s="1">
        <v>406.60098266601562</v>
      </c>
      <c r="AO9" s="1">
        <v>400.95458984375</v>
      </c>
      <c r="AP9" s="1">
        <v>9.0149765014648437</v>
      </c>
      <c r="AQ9" s="1">
        <v>9.6776514053344727</v>
      </c>
      <c r="AR9" s="1">
        <v>60.400165557861328</v>
      </c>
      <c r="AS9" s="1">
        <v>64.840072631835938</v>
      </c>
      <c r="AT9" s="1">
        <v>149.51670837402344</v>
      </c>
      <c r="AU9" s="1">
        <v>198.45530700683594</v>
      </c>
      <c r="AV9" s="1">
        <v>6.4436306953430176</v>
      </c>
      <c r="AW9" s="1">
        <v>100.45131683349609</v>
      </c>
      <c r="AX9" s="1">
        <v>3.3840460777282715</v>
      </c>
      <c r="AY9" s="1">
        <v>7.3870867490768433E-3</v>
      </c>
      <c r="AZ9" s="1">
        <v>0.75</v>
      </c>
      <c r="BA9" s="1">
        <v>-1.355140209197998</v>
      </c>
      <c r="BB9" s="1">
        <v>7.355140209197998</v>
      </c>
      <c r="BC9" s="1">
        <v>1</v>
      </c>
      <c r="BD9" s="1">
        <v>0</v>
      </c>
      <c r="BE9" s="1">
        <v>0.15999999642372131</v>
      </c>
      <c r="BF9" s="1">
        <v>111115</v>
      </c>
      <c r="BG9">
        <f t="shared" si="17"/>
        <v>0.78693005394847826</v>
      </c>
      <c r="BH9">
        <f t="shared" si="18"/>
        <v>5.2657480525653434E-4</v>
      </c>
      <c r="BI9">
        <f t="shared" si="19"/>
        <v>287.99336853027341</v>
      </c>
      <c r="BJ9">
        <f t="shared" si="20"/>
        <v>286.11080207824705</v>
      </c>
      <c r="BK9">
        <f t="shared" si="21"/>
        <v>31.752848411362265</v>
      </c>
      <c r="BL9">
        <f t="shared" si="22"/>
        <v>-4.1629303152718421E-2</v>
      </c>
      <c r="BM9">
        <f t="shared" si="23"/>
        <v>1.6941974901682262</v>
      </c>
      <c r="BN9">
        <f t="shared" si="24"/>
        <v>16.865856452399299</v>
      </c>
      <c r="BO9">
        <f t="shared" si="25"/>
        <v>7.1882050470648267</v>
      </c>
      <c r="BP9">
        <f t="shared" si="26"/>
        <v>13.902085304260254</v>
      </c>
      <c r="BQ9">
        <f t="shared" si="27"/>
        <v>1.5941202976736841</v>
      </c>
      <c r="BR9">
        <f t="shared" si="28"/>
        <v>7.2283168136417067E-2</v>
      </c>
      <c r="BS9">
        <f t="shared" si="29"/>
        <v>0.97213282752138186</v>
      </c>
      <c r="BT9">
        <f t="shared" si="30"/>
        <v>0.62198747015230227</v>
      </c>
      <c r="BU9">
        <f t="shared" si="31"/>
        <v>4.5226132247076896E-2</v>
      </c>
      <c r="BV9">
        <f t="shared" si="32"/>
        <v>30.464531322481644</v>
      </c>
      <c r="BW9">
        <f t="shared" si="33"/>
        <v>0.75638634067768684</v>
      </c>
      <c r="BX9">
        <f t="shared" si="34"/>
        <v>57.133445471576792</v>
      </c>
      <c r="BY9">
        <f t="shared" si="35"/>
        <v>400.35699558881299</v>
      </c>
      <c r="BZ9">
        <f t="shared" si="36"/>
        <v>6.0395905385595477E-3</v>
      </c>
      <c r="CA9">
        <f t="shared" si="37"/>
        <v>0</v>
      </c>
      <c r="CB9">
        <f t="shared" si="38"/>
        <v>173.55556321318829</v>
      </c>
      <c r="CC9">
        <f t="shared" si="39"/>
        <v>1163.7076416015625</v>
      </c>
      <c r="CD9">
        <f t="shared" si="40"/>
        <v>0.54488810714423952</v>
      </c>
      <c r="CE9" t="e">
        <f t="shared" si="41"/>
        <v>#DIV/0!</v>
      </c>
    </row>
    <row r="10" spans="1:83" x14ac:dyDescent="0.25">
      <c r="A10" s="1">
        <v>29</v>
      </c>
      <c r="B10" s="1" t="s">
        <v>113</v>
      </c>
      <c r="C10" s="1">
        <v>7512.4999901102856</v>
      </c>
      <c r="D10" s="1">
        <v>0</v>
      </c>
      <c r="E10">
        <f t="shared" si="0"/>
        <v>4.0100685625292858</v>
      </c>
      <c r="F10">
        <f t="shared" si="1"/>
        <v>7.4463149802368941E-2</v>
      </c>
      <c r="G10">
        <f t="shared" si="2"/>
        <v>310.18654587155788</v>
      </c>
      <c r="H10" s="1">
        <v>27</v>
      </c>
      <c r="I10" s="1">
        <v>0</v>
      </c>
      <c r="J10" s="1">
        <v>0</v>
      </c>
      <c r="K10" s="1">
        <v>0</v>
      </c>
      <c r="L10" s="1">
        <v>0</v>
      </c>
      <c r="M10" s="1">
        <v>1282.7008056640625</v>
      </c>
      <c r="N10" s="1">
        <v>540.6435546875</v>
      </c>
      <c r="O10" t="e">
        <f t="shared" si="3"/>
        <v>#DIV/0!</v>
      </c>
      <c r="P10">
        <f t="shared" si="4"/>
        <v>1</v>
      </c>
      <c r="Q10">
        <f t="shared" si="5"/>
        <v>0.57851156536258252</v>
      </c>
      <c r="R10" s="1">
        <v>-1</v>
      </c>
      <c r="S10" s="1">
        <v>0.87</v>
      </c>
      <c r="T10" s="1">
        <v>0.92</v>
      </c>
      <c r="U10" s="1">
        <v>10.178630828857422</v>
      </c>
      <c r="V10">
        <f t="shared" si="6"/>
        <v>0.8750893154144288</v>
      </c>
      <c r="W10">
        <f t="shared" si="7"/>
        <v>3.2560294169892534E-2</v>
      </c>
      <c r="X10">
        <f t="shared" si="8"/>
        <v>0.57851156536258252</v>
      </c>
      <c r="Y10" t="e">
        <f t="shared" si="9"/>
        <v>#DIV/0!</v>
      </c>
      <c r="Z10">
        <f t="shared" si="10"/>
        <v>-1</v>
      </c>
      <c r="AA10" s="1">
        <v>175.83404541015625</v>
      </c>
      <c r="AB10" s="1">
        <v>0.5</v>
      </c>
      <c r="AC10">
        <f t="shared" si="11"/>
        <v>44.507930296322733</v>
      </c>
      <c r="AD10">
        <f t="shared" si="12"/>
        <v>0.54968188990947819</v>
      </c>
      <c r="AE10">
        <f t="shared" si="13"/>
        <v>0.73730711308718866</v>
      </c>
      <c r="AF10">
        <f t="shared" si="14"/>
        <v>15.002449989318848</v>
      </c>
      <c r="AG10" s="1">
        <v>1.8999999761581421</v>
      </c>
      <c r="AH10">
        <f t="shared" si="15"/>
        <v>4.7803738440308621</v>
      </c>
      <c r="AI10" s="1">
        <v>1</v>
      </c>
      <c r="AJ10">
        <f t="shared" si="16"/>
        <v>9.5607476880617241</v>
      </c>
      <c r="AK10" s="1">
        <v>13.48272705078125</v>
      </c>
      <c r="AL10" s="1">
        <v>15.002449989318848</v>
      </c>
      <c r="AM10" s="1">
        <v>12.158306121826172</v>
      </c>
      <c r="AN10" s="1">
        <v>406.53018188476562</v>
      </c>
      <c r="AO10" s="1">
        <v>401.15493774414062</v>
      </c>
      <c r="AP10" s="1">
        <v>9.0079965591430664</v>
      </c>
      <c r="AQ10" s="1">
        <v>9.6996316909790039</v>
      </c>
      <c r="AR10" s="1">
        <v>58.331813812255859</v>
      </c>
      <c r="AS10" s="1">
        <v>62.810539245605469</v>
      </c>
      <c r="AT10" s="1">
        <v>149.53915405273438</v>
      </c>
      <c r="AU10" s="1">
        <v>175.83404541015625</v>
      </c>
      <c r="AV10" s="1">
        <v>6.0631618499755859</v>
      </c>
      <c r="AW10" s="1">
        <v>100.45106506347656</v>
      </c>
      <c r="AX10" s="1">
        <v>3.3840460777282715</v>
      </c>
      <c r="AY10" s="1">
        <v>7.3870867490768433E-3</v>
      </c>
      <c r="AZ10" s="1">
        <v>0.75</v>
      </c>
      <c r="BA10" s="1">
        <v>-1.355140209197998</v>
      </c>
      <c r="BB10" s="1">
        <v>7.355140209197998</v>
      </c>
      <c r="BC10" s="1">
        <v>1</v>
      </c>
      <c r="BD10" s="1">
        <v>0</v>
      </c>
      <c r="BE10" s="1">
        <v>0.15999999642372131</v>
      </c>
      <c r="BF10" s="1">
        <v>111115</v>
      </c>
      <c r="BG10">
        <f t="shared" si="17"/>
        <v>0.78704818910107088</v>
      </c>
      <c r="BH10">
        <f t="shared" si="18"/>
        <v>5.4968188990947825E-4</v>
      </c>
      <c r="BI10">
        <f t="shared" si="19"/>
        <v>288.15244998931882</v>
      </c>
      <c r="BJ10">
        <f t="shared" si="20"/>
        <v>286.63272705078123</v>
      </c>
      <c r="BK10">
        <f t="shared" si="21"/>
        <v>28.133446636793451</v>
      </c>
      <c r="BL10">
        <f t="shared" si="22"/>
        <v>-4.551389194114689E-2</v>
      </c>
      <c r="BM10">
        <f t="shared" si="23"/>
        <v>1.7116454471694798</v>
      </c>
      <c r="BN10">
        <f t="shared" si="24"/>
        <v>17.039594812537477</v>
      </c>
      <c r="BO10">
        <f t="shared" si="25"/>
        <v>7.3399631215584726</v>
      </c>
      <c r="BP10">
        <f t="shared" si="26"/>
        <v>14.242588520050049</v>
      </c>
      <c r="BQ10">
        <f t="shared" si="27"/>
        <v>1.6297056658729021</v>
      </c>
      <c r="BR10">
        <f t="shared" si="28"/>
        <v>7.3887681265998109E-2</v>
      </c>
      <c r="BS10">
        <f t="shared" si="29"/>
        <v>0.97433833408229109</v>
      </c>
      <c r="BT10">
        <f t="shared" si="30"/>
        <v>0.65536733179061102</v>
      </c>
      <c r="BU10">
        <f t="shared" si="31"/>
        <v>4.6231160532796675E-2</v>
      </c>
      <c r="BV10">
        <f t="shared" si="32"/>
        <v>31.158568901158919</v>
      </c>
      <c r="BW10">
        <f t="shared" si="33"/>
        <v>0.7732337725066144</v>
      </c>
      <c r="BX10">
        <f t="shared" si="34"/>
        <v>56.677774127798926</v>
      </c>
      <c r="BY10">
        <f t="shared" si="35"/>
        <v>400.58870665677762</v>
      </c>
      <c r="BZ10">
        <f t="shared" si="36"/>
        <v>5.6736936525461279E-3</v>
      </c>
      <c r="CA10">
        <f t="shared" si="37"/>
        <v>0</v>
      </c>
      <c r="CB10">
        <f t="shared" si="38"/>
        <v>153.87049442452323</v>
      </c>
      <c r="CC10">
        <f t="shared" si="39"/>
        <v>1282.7008056640625</v>
      </c>
      <c r="CD10">
        <f t="shared" si="40"/>
        <v>0.57851156536258252</v>
      </c>
      <c r="CE10" t="e">
        <f t="shared" si="41"/>
        <v>#DIV/0!</v>
      </c>
    </row>
    <row r="11" spans="1:83" x14ac:dyDescent="0.25">
      <c r="A11" s="1">
        <v>31</v>
      </c>
      <c r="B11" s="1" t="s">
        <v>114</v>
      </c>
      <c r="C11" s="1">
        <v>7636.4999815644696</v>
      </c>
      <c r="D11" s="1">
        <v>0</v>
      </c>
      <c r="E11">
        <f t="shared" si="0"/>
        <v>3.2122911639984211</v>
      </c>
      <c r="F11">
        <f t="shared" si="1"/>
        <v>6.7071971555556859E-2</v>
      </c>
      <c r="G11">
        <f t="shared" si="2"/>
        <v>319.16720230519309</v>
      </c>
      <c r="H11" s="1">
        <v>29</v>
      </c>
      <c r="I11" s="1">
        <v>0</v>
      </c>
      <c r="J11" s="1">
        <v>0</v>
      </c>
      <c r="K11" s="1">
        <v>0</v>
      </c>
      <c r="L11" s="1">
        <v>0</v>
      </c>
      <c r="M11" s="1">
        <v>1529.1005859375</v>
      </c>
      <c r="N11" s="1">
        <v>546.9730224609375</v>
      </c>
      <c r="O11" t="e">
        <f t="shared" si="3"/>
        <v>#DIV/0!</v>
      </c>
      <c r="P11">
        <f t="shared" si="4"/>
        <v>1</v>
      </c>
      <c r="Q11">
        <f t="shared" si="5"/>
        <v>0.64229101244795783</v>
      </c>
      <c r="R11" s="1">
        <v>-1</v>
      </c>
      <c r="S11" s="1">
        <v>0.87</v>
      </c>
      <c r="T11" s="1">
        <v>0.92</v>
      </c>
      <c r="U11" s="1">
        <v>11.292572975158691</v>
      </c>
      <c r="V11">
        <f t="shared" si="6"/>
        <v>0.87564628648757947</v>
      </c>
      <c r="W11">
        <f t="shared" si="7"/>
        <v>3.9090602734064311E-2</v>
      </c>
      <c r="X11">
        <f t="shared" si="8"/>
        <v>0.64229101244795783</v>
      </c>
      <c r="Y11" t="e">
        <f t="shared" si="9"/>
        <v>#DIV/0!</v>
      </c>
      <c r="Z11">
        <f t="shared" si="10"/>
        <v>-1</v>
      </c>
      <c r="AA11" s="1">
        <v>123.06011199951172</v>
      </c>
      <c r="AB11" s="1">
        <v>0.5</v>
      </c>
      <c r="AC11">
        <f t="shared" si="11"/>
        <v>34.605718091070678</v>
      </c>
      <c r="AD11">
        <f t="shared" si="12"/>
        <v>0.50965897616671052</v>
      </c>
      <c r="AE11">
        <f t="shared" si="13"/>
        <v>0.7583849069012718</v>
      </c>
      <c r="AF11">
        <f t="shared" si="14"/>
        <v>15.149631500244141</v>
      </c>
      <c r="AG11" s="1">
        <v>1.8999999761581421</v>
      </c>
      <c r="AH11">
        <f t="shared" si="15"/>
        <v>4.7803738440308621</v>
      </c>
      <c r="AI11" s="1">
        <v>1</v>
      </c>
      <c r="AJ11">
        <f t="shared" si="16"/>
        <v>9.5607476880617241</v>
      </c>
      <c r="AK11" s="1">
        <v>13.495240211486816</v>
      </c>
      <c r="AL11" s="1">
        <v>15.149631500244141</v>
      </c>
      <c r="AM11" s="1">
        <v>11.461687088012695</v>
      </c>
      <c r="AN11" s="1">
        <v>404.99850463867187</v>
      </c>
      <c r="AO11" s="1">
        <v>400.65869140625</v>
      </c>
      <c r="AP11" s="1">
        <v>9.0100698471069336</v>
      </c>
      <c r="AQ11" s="1">
        <v>9.6512184143066406</v>
      </c>
      <c r="AR11" s="1">
        <v>58.301822662353516</v>
      </c>
      <c r="AS11" s="1">
        <v>62.450527191162109</v>
      </c>
      <c r="AT11" s="1">
        <v>149.5762939453125</v>
      </c>
      <c r="AU11" s="1">
        <v>123.06011199951172</v>
      </c>
      <c r="AV11" s="1">
        <v>5.8473820686340332</v>
      </c>
      <c r="AW11" s="1">
        <v>100.45816802978516</v>
      </c>
      <c r="AX11" s="1">
        <v>3.3840460777282715</v>
      </c>
      <c r="AY11" s="1">
        <v>7.3870867490768433E-3</v>
      </c>
      <c r="AZ11" s="1">
        <v>0.75</v>
      </c>
      <c r="BA11" s="1">
        <v>-1.355140209197998</v>
      </c>
      <c r="BB11" s="1">
        <v>7.355140209197998</v>
      </c>
      <c r="BC11" s="1">
        <v>1</v>
      </c>
      <c r="BD11" s="1">
        <v>0</v>
      </c>
      <c r="BE11" s="1">
        <v>0.15999999642372131</v>
      </c>
      <c r="BF11" s="1">
        <v>111115</v>
      </c>
      <c r="BG11">
        <f t="shared" si="17"/>
        <v>0.78724366222235598</v>
      </c>
      <c r="BH11">
        <f t="shared" si="18"/>
        <v>5.0965897616671047E-4</v>
      </c>
      <c r="BI11">
        <f t="shared" si="19"/>
        <v>288.29963150024412</v>
      </c>
      <c r="BJ11">
        <f t="shared" si="20"/>
        <v>286.64524021148679</v>
      </c>
      <c r="BK11">
        <f t="shared" si="21"/>
        <v>19.689617479824619</v>
      </c>
      <c r="BL11">
        <f t="shared" si="22"/>
        <v>-7.7031705840615583E-2</v>
      </c>
      <c r="BM11">
        <f t="shared" si="23"/>
        <v>1.727928628057845</v>
      </c>
      <c r="BN11">
        <f t="shared" si="24"/>
        <v>17.200479183987568</v>
      </c>
      <c r="BO11">
        <f t="shared" si="25"/>
        <v>7.5492607696809273</v>
      </c>
      <c r="BP11">
        <f t="shared" si="26"/>
        <v>14.322435855865479</v>
      </c>
      <c r="BQ11">
        <f t="shared" si="27"/>
        <v>1.6381507318894162</v>
      </c>
      <c r="BR11">
        <f t="shared" si="28"/>
        <v>6.6604716296589095E-2</v>
      </c>
      <c r="BS11">
        <f t="shared" si="29"/>
        <v>0.96954372115657317</v>
      </c>
      <c r="BT11">
        <f t="shared" si="30"/>
        <v>0.66860701073284301</v>
      </c>
      <c r="BU11">
        <f t="shared" si="31"/>
        <v>4.1669676986648821E-2</v>
      </c>
      <c r="BV11">
        <f t="shared" si="32"/>
        <v>32.062952438771525</v>
      </c>
      <c r="BW11">
        <f t="shared" si="33"/>
        <v>0.79660621159861922</v>
      </c>
      <c r="BX11">
        <f t="shared" si="34"/>
        <v>55.822812951177802</v>
      </c>
      <c r="BY11">
        <f t="shared" si="35"/>
        <v>400.20510835888928</v>
      </c>
      <c r="BZ11">
        <f t="shared" si="36"/>
        <v>4.4806806571743773E-3</v>
      </c>
      <c r="CA11">
        <f t="shared" si="37"/>
        <v>0</v>
      </c>
      <c r="CB11">
        <f t="shared" si="38"/>
        <v>107.75713008711806</v>
      </c>
      <c r="CC11">
        <f t="shared" si="39"/>
        <v>1529.1005859375</v>
      </c>
      <c r="CD11">
        <f t="shared" si="40"/>
        <v>0.64229101244795783</v>
      </c>
      <c r="CE11" t="e">
        <f t="shared" si="41"/>
        <v>#DIV/0!</v>
      </c>
    </row>
    <row r="12" spans="1:83" x14ac:dyDescent="0.25">
      <c r="A12" s="1">
        <v>32</v>
      </c>
      <c r="B12" s="1" t="s">
        <v>115</v>
      </c>
      <c r="C12" s="1">
        <v>7698.4999772915617</v>
      </c>
      <c r="D12" s="1">
        <v>0</v>
      </c>
      <c r="E12">
        <f t="shared" si="0"/>
        <v>2.7259357532714108</v>
      </c>
      <c r="F12">
        <f t="shared" si="1"/>
        <v>6.3219903576505365E-2</v>
      </c>
      <c r="G12">
        <f t="shared" si="2"/>
        <v>327.33664708205907</v>
      </c>
      <c r="H12" s="1">
        <v>30</v>
      </c>
      <c r="I12" s="1">
        <v>0</v>
      </c>
      <c r="J12" s="1">
        <v>0</v>
      </c>
      <c r="K12" s="1">
        <v>0</v>
      </c>
      <c r="L12" s="1">
        <v>0</v>
      </c>
      <c r="M12" s="1">
        <v>1605.26904296875</v>
      </c>
      <c r="N12" s="1">
        <v>535.9407958984375</v>
      </c>
      <c r="O12" t="e">
        <f t="shared" si="3"/>
        <v>#DIV/0!</v>
      </c>
      <c r="P12">
        <f t="shared" si="4"/>
        <v>1</v>
      </c>
      <c r="Q12">
        <f t="shared" si="5"/>
        <v>0.66613646588033604</v>
      </c>
      <c r="R12" s="1">
        <v>-1</v>
      </c>
      <c r="S12" s="1">
        <v>0.87</v>
      </c>
      <c r="T12" s="1">
        <v>0.92</v>
      </c>
      <c r="U12" s="1">
        <v>9.8810501098632812</v>
      </c>
      <c r="V12">
        <f t="shared" si="6"/>
        <v>0.87494052505493158</v>
      </c>
      <c r="W12">
        <f t="shared" si="7"/>
        <v>4.1905520238551194E-2</v>
      </c>
      <c r="X12">
        <f t="shared" si="8"/>
        <v>0.66613646588033604</v>
      </c>
      <c r="Y12" t="e">
        <f t="shared" si="9"/>
        <v>#DIV/0!</v>
      </c>
      <c r="Z12">
        <f t="shared" si="10"/>
        <v>-1</v>
      </c>
      <c r="AA12" s="1">
        <v>101.62149810791016</v>
      </c>
      <c r="AB12" s="1">
        <v>0.5</v>
      </c>
      <c r="AC12">
        <f t="shared" si="11"/>
        <v>29.614018161002253</v>
      </c>
      <c r="AD12">
        <f t="shared" si="12"/>
        <v>0.48283898434567696</v>
      </c>
      <c r="AE12">
        <f t="shared" si="13"/>
        <v>0.76195173181752274</v>
      </c>
      <c r="AF12">
        <f t="shared" si="14"/>
        <v>15.154677391052246</v>
      </c>
      <c r="AG12" s="1">
        <v>1.8999999761581421</v>
      </c>
      <c r="AH12">
        <f t="shared" si="15"/>
        <v>4.7803738440308621</v>
      </c>
      <c r="AI12" s="1">
        <v>1</v>
      </c>
      <c r="AJ12">
        <f t="shared" si="16"/>
        <v>9.5607476880617241</v>
      </c>
      <c r="AK12" s="1">
        <v>13.401996612548828</v>
      </c>
      <c r="AL12" s="1">
        <v>15.154677391052246</v>
      </c>
      <c r="AM12" s="1">
        <v>11.268021583557129</v>
      </c>
      <c r="AN12" s="1">
        <v>404.901611328125</v>
      </c>
      <c r="AO12" s="1">
        <v>401.19305419921875</v>
      </c>
      <c r="AP12" s="1">
        <v>9.0139694213867187</v>
      </c>
      <c r="AQ12" s="1">
        <v>9.6213741302490234</v>
      </c>
      <c r="AR12" s="1">
        <v>58.682003021240234</v>
      </c>
      <c r="AS12" s="1">
        <v>62.636280059814453</v>
      </c>
      <c r="AT12" s="1">
        <v>149.58189392089844</v>
      </c>
      <c r="AU12" s="1">
        <v>101.62149810791016</v>
      </c>
      <c r="AV12" s="1">
        <v>5.5515470504760742</v>
      </c>
      <c r="AW12" s="1">
        <v>100.45732879638672</v>
      </c>
      <c r="AX12" s="1">
        <v>3.3840460777282715</v>
      </c>
      <c r="AY12" s="1">
        <v>7.3870867490768433E-3</v>
      </c>
      <c r="AZ12" s="1">
        <v>0.5</v>
      </c>
      <c r="BA12" s="1">
        <v>-1.355140209197998</v>
      </c>
      <c r="BB12" s="1">
        <v>7.355140209197998</v>
      </c>
      <c r="BC12" s="1">
        <v>1</v>
      </c>
      <c r="BD12" s="1">
        <v>0</v>
      </c>
      <c r="BE12" s="1">
        <v>0.15999999642372131</v>
      </c>
      <c r="BF12" s="1">
        <v>111115</v>
      </c>
      <c r="BG12">
        <f t="shared" si="17"/>
        <v>0.78727313577844127</v>
      </c>
      <c r="BH12">
        <f t="shared" si="18"/>
        <v>4.8283898434567694E-4</v>
      </c>
      <c r="BI12">
        <f t="shared" si="19"/>
        <v>288.30467739105222</v>
      </c>
      <c r="BJ12">
        <f t="shared" si="20"/>
        <v>286.55199661254881</v>
      </c>
      <c r="BK12">
        <f t="shared" si="21"/>
        <v>16.259439333838827</v>
      </c>
      <c r="BL12">
        <f t="shared" si="22"/>
        <v>-8.9707042401378487E-2</v>
      </c>
      <c r="BM12">
        <f t="shared" si="23"/>
        <v>1.7284892762929982</v>
      </c>
      <c r="BN12">
        <f t="shared" si="24"/>
        <v>17.206203838013749</v>
      </c>
      <c r="BO12">
        <f t="shared" si="25"/>
        <v>7.584829707764726</v>
      </c>
      <c r="BP12">
        <f t="shared" si="26"/>
        <v>14.278337001800537</v>
      </c>
      <c r="BQ12">
        <f t="shared" si="27"/>
        <v>1.6334818667511763</v>
      </c>
      <c r="BR12">
        <f t="shared" si="28"/>
        <v>6.2804611632702984E-2</v>
      </c>
      <c r="BS12">
        <f t="shared" si="29"/>
        <v>0.96653754447547546</v>
      </c>
      <c r="BT12">
        <f t="shared" si="30"/>
        <v>0.66694432227570088</v>
      </c>
      <c r="BU12">
        <f t="shared" si="31"/>
        <v>3.9289983591868534E-2</v>
      </c>
      <c r="BV12">
        <f t="shared" si="32"/>
        <v>32.883365183029206</v>
      </c>
      <c r="BW12">
        <f t="shared" si="33"/>
        <v>0.81590806135819816</v>
      </c>
      <c r="BX12">
        <f t="shared" si="34"/>
        <v>55.612218963009987</v>
      </c>
      <c r="BY12">
        <f t="shared" si="35"/>
        <v>400.80814567668642</v>
      </c>
      <c r="BZ12">
        <f t="shared" si="36"/>
        <v>3.7822418936643135E-3</v>
      </c>
      <c r="CA12">
        <f t="shared" si="37"/>
        <v>0</v>
      </c>
      <c r="CB12">
        <f t="shared" si="38"/>
        <v>88.912766911403651</v>
      </c>
      <c r="CC12">
        <f t="shared" si="39"/>
        <v>1605.26904296875</v>
      </c>
      <c r="CD12">
        <f t="shared" si="40"/>
        <v>0.66613646588033604</v>
      </c>
      <c r="CE12" t="e">
        <f t="shared" si="41"/>
        <v>#DIV/0!</v>
      </c>
    </row>
    <row r="13" spans="1:83" x14ac:dyDescent="0.25">
      <c r="A13" s="1">
        <v>34</v>
      </c>
      <c r="B13" s="1" t="s">
        <v>116</v>
      </c>
      <c r="C13" s="1">
        <v>7822.9999687112868</v>
      </c>
      <c r="D13" s="1">
        <v>0</v>
      </c>
      <c r="E13">
        <f t="shared" si="0"/>
        <v>1.5302428127516035</v>
      </c>
      <c r="F13">
        <f t="shared" si="1"/>
        <v>5.9289580322170403E-2</v>
      </c>
      <c r="G13">
        <f t="shared" si="2"/>
        <v>354.87538589989731</v>
      </c>
      <c r="H13" s="1">
        <v>32</v>
      </c>
      <c r="I13" s="1">
        <v>0</v>
      </c>
      <c r="J13" s="1">
        <v>0</v>
      </c>
      <c r="K13" s="1">
        <v>0</v>
      </c>
      <c r="L13" s="1">
        <v>0</v>
      </c>
      <c r="M13" s="1">
        <v>1710.6646728515625</v>
      </c>
      <c r="N13" s="1">
        <v>501.52725219726562</v>
      </c>
      <c r="O13" t="e">
        <f t="shared" si="3"/>
        <v>#DIV/0!</v>
      </c>
      <c r="P13">
        <f t="shared" si="4"/>
        <v>1</v>
      </c>
      <c r="Q13">
        <f t="shared" si="5"/>
        <v>0.7068231663653558</v>
      </c>
      <c r="R13" s="1">
        <v>-1</v>
      </c>
      <c r="S13" s="1">
        <v>0.87</v>
      </c>
      <c r="T13" s="1">
        <v>0.92</v>
      </c>
      <c r="U13" s="1">
        <v>12.256671905517578</v>
      </c>
      <c r="V13">
        <f t="shared" si="6"/>
        <v>0.87612833595275885</v>
      </c>
      <c r="W13">
        <f t="shared" si="7"/>
        <v>5.6674057703117078E-2</v>
      </c>
      <c r="X13">
        <f t="shared" si="8"/>
        <v>0.7068231663653558</v>
      </c>
      <c r="Y13" t="e">
        <f t="shared" si="9"/>
        <v>#DIV/0!</v>
      </c>
      <c r="Z13">
        <f t="shared" si="10"/>
        <v>-1</v>
      </c>
      <c r="AA13" s="1">
        <v>50.957740783691406</v>
      </c>
      <c r="AB13" s="1">
        <v>0.5</v>
      </c>
      <c r="AC13">
        <f t="shared" si="11"/>
        <v>15.778244130240815</v>
      </c>
      <c r="AD13">
        <f t="shared" si="12"/>
        <v>0.45055732375684199</v>
      </c>
      <c r="AE13">
        <f t="shared" si="13"/>
        <v>0.75793210749262263</v>
      </c>
      <c r="AF13">
        <f t="shared" si="14"/>
        <v>15.076760292053223</v>
      </c>
      <c r="AG13" s="1">
        <v>1.8999999761581421</v>
      </c>
      <c r="AH13">
        <f t="shared" si="15"/>
        <v>4.7803738440308621</v>
      </c>
      <c r="AI13" s="1">
        <v>1</v>
      </c>
      <c r="AJ13">
        <f t="shared" si="16"/>
        <v>9.5607476880617241</v>
      </c>
      <c r="AK13" s="1">
        <v>13.442919731140137</v>
      </c>
      <c r="AL13" s="1">
        <v>15.076760292053223</v>
      </c>
      <c r="AM13" s="1">
        <v>11.676180839538574</v>
      </c>
      <c r="AN13" s="1">
        <v>403.18359375</v>
      </c>
      <c r="AO13" s="1">
        <v>401.00982666015625</v>
      </c>
      <c r="AP13" s="1">
        <v>9.0078125</v>
      </c>
      <c r="AQ13" s="1">
        <v>9.5747756958007813</v>
      </c>
      <c r="AR13" s="1">
        <v>58.489463806152344</v>
      </c>
      <c r="AS13" s="1">
        <v>62.170864105224609</v>
      </c>
      <c r="AT13" s="1">
        <v>149.54450988769531</v>
      </c>
      <c r="AU13" s="1">
        <v>50.957740783691406</v>
      </c>
      <c r="AV13" s="1">
        <v>5.1857295036315918</v>
      </c>
      <c r="AW13" s="1">
        <v>100.46372222900391</v>
      </c>
      <c r="AX13" s="1">
        <v>3.3840460777282715</v>
      </c>
      <c r="AY13" s="1">
        <v>7.3870867490768433E-3</v>
      </c>
      <c r="AZ13" s="1">
        <v>0.75</v>
      </c>
      <c r="BA13" s="1">
        <v>-1.355140209197998</v>
      </c>
      <c r="BB13" s="1">
        <v>7.355140209197998</v>
      </c>
      <c r="BC13" s="1">
        <v>1</v>
      </c>
      <c r="BD13" s="1">
        <v>0</v>
      </c>
      <c r="BE13" s="1">
        <v>0.15999999642372131</v>
      </c>
      <c r="BF13" s="1">
        <v>111115</v>
      </c>
      <c r="BG13">
        <f t="shared" si="17"/>
        <v>0.7870763777064822</v>
      </c>
      <c r="BH13">
        <f t="shared" si="18"/>
        <v>4.50557323756842E-4</v>
      </c>
      <c r="BI13">
        <f t="shared" si="19"/>
        <v>288.2267602920532</v>
      </c>
      <c r="BJ13">
        <f t="shared" si="20"/>
        <v>286.59291973114011</v>
      </c>
      <c r="BK13">
        <f t="shared" si="21"/>
        <v>8.1532383431515427</v>
      </c>
      <c r="BL13">
        <f t="shared" si="22"/>
        <v>-0.11104846124830138</v>
      </c>
      <c r="BM13">
        <f t="shared" si="23"/>
        <v>1.7198497134005699</v>
      </c>
      <c r="BN13">
        <f t="shared" si="24"/>
        <v>17.119112006224757</v>
      </c>
      <c r="BO13">
        <f t="shared" si="25"/>
        <v>7.5443363104239758</v>
      </c>
      <c r="BP13">
        <f t="shared" si="26"/>
        <v>14.25984001159668</v>
      </c>
      <c r="BQ13">
        <f t="shared" si="27"/>
        <v>1.6315270246897164</v>
      </c>
      <c r="BR13">
        <f t="shared" si="28"/>
        <v>5.8924170684275141E-2</v>
      </c>
      <c r="BS13">
        <f t="shared" si="29"/>
        <v>0.96191760590794728</v>
      </c>
      <c r="BT13">
        <f t="shared" si="30"/>
        <v>0.66960941878176916</v>
      </c>
      <c r="BU13">
        <f t="shared" si="31"/>
        <v>3.6860263047464648E-2</v>
      </c>
      <c r="BV13">
        <f t="shared" si="32"/>
        <v>35.652102194957848</v>
      </c>
      <c r="BW13">
        <f t="shared" si="33"/>
        <v>0.88495433853954786</v>
      </c>
      <c r="BX13">
        <f t="shared" si="34"/>
        <v>55.609458395946795</v>
      </c>
      <c r="BY13">
        <f t="shared" si="35"/>
        <v>400.79375278553721</v>
      </c>
      <c r="BZ13">
        <f t="shared" si="36"/>
        <v>2.1231861385060395E-3</v>
      </c>
      <c r="CA13">
        <f t="shared" si="37"/>
        <v>0</v>
      </c>
      <c r="CB13">
        <f t="shared" si="38"/>
        <v>44.645520636727582</v>
      </c>
      <c r="CC13">
        <f t="shared" si="39"/>
        <v>1710.6646728515625</v>
      </c>
      <c r="CD13">
        <f t="shared" si="40"/>
        <v>0.7068231663653558</v>
      </c>
      <c r="CE13" t="e">
        <f t="shared" si="41"/>
        <v>#DIV/0!</v>
      </c>
    </row>
    <row r="14" spans="1:83" x14ac:dyDescent="0.25">
      <c r="A14" s="1">
        <v>35</v>
      </c>
      <c r="B14" s="1" t="s">
        <v>117</v>
      </c>
      <c r="C14" s="1">
        <v>7884.9999644383788</v>
      </c>
      <c r="D14" s="1">
        <v>0</v>
      </c>
      <c r="E14">
        <f t="shared" si="0"/>
        <v>-0.16293017241238614</v>
      </c>
      <c r="F14">
        <f t="shared" si="1"/>
        <v>5.7609300614887865E-2</v>
      </c>
      <c r="G14">
        <f t="shared" si="2"/>
        <v>401.04262576812118</v>
      </c>
      <c r="H14" s="1">
        <v>33</v>
      </c>
      <c r="I14" s="1">
        <v>0</v>
      </c>
      <c r="J14" s="1">
        <v>0</v>
      </c>
      <c r="K14" s="1">
        <v>0</v>
      </c>
      <c r="L14" s="1">
        <v>0</v>
      </c>
      <c r="M14" s="1">
        <v>1750.167236328125</v>
      </c>
      <c r="N14" s="1">
        <v>477.99935913085937</v>
      </c>
      <c r="O14" t="e">
        <f t="shared" si="3"/>
        <v>#DIV/0!</v>
      </c>
      <c r="P14">
        <f t="shared" si="4"/>
        <v>1</v>
      </c>
      <c r="Q14">
        <f t="shared" si="5"/>
        <v>0.7268836090580072</v>
      </c>
      <c r="R14" s="1">
        <v>-1</v>
      </c>
      <c r="S14" s="1">
        <v>0.87</v>
      </c>
      <c r="T14" s="1">
        <v>0.92</v>
      </c>
      <c r="U14" s="1">
        <v>14.168544769287109</v>
      </c>
      <c r="V14">
        <f t="shared" si="6"/>
        <v>0.8770842723846437</v>
      </c>
      <c r="W14">
        <f t="shared" si="7"/>
        <v>4.0235460391223381E-2</v>
      </c>
      <c r="X14">
        <f t="shared" si="8"/>
        <v>0.7268836090580072</v>
      </c>
      <c r="Y14" t="e">
        <f t="shared" si="9"/>
        <v>#DIV/0!</v>
      </c>
      <c r="Z14">
        <f t="shared" si="10"/>
        <v>-1</v>
      </c>
      <c r="AA14" s="1">
        <v>23.719820022583008</v>
      </c>
      <c r="AB14" s="1">
        <v>0.5</v>
      </c>
      <c r="AC14">
        <f t="shared" si="11"/>
        <v>7.5611454596797794</v>
      </c>
      <c r="AD14">
        <f t="shared" si="12"/>
        <v>0.43796695843342831</v>
      </c>
      <c r="AE14">
        <f t="shared" si="13"/>
        <v>0.75812390307100197</v>
      </c>
      <c r="AF14">
        <f t="shared" si="14"/>
        <v>15.053774833679199</v>
      </c>
      <c r="AG14" s="1">
        <v>1.8999999761581421</v>
      </c>
      <c r="AH14">
        <f t="shared" si="15"/>
        <v>4.7803738440308621</v>
      </c>
      <c r="AI14" s="1">
        <v>1</v>
      </c>
      <c r="AJ14">
        <f t="shared" si="16"/>
        <v>9.5607476880617241</v>
      </c>
      <c r="AK14" s="1">
        <v>13.554574966430664</v>
      </c>
      <c r="AL14" s="1">
        <v>15.053774833679199</v>
      </c>
      <c r="AM14" s="1">
        <v>11.879181861877441</v>
      </c>
      <c r="AN14" s="1">
        <v>401.41607666015625</v>
      </c>
      <c r="AO14" s="1">
        <v>401.39971923828125</v>
      </c>
      <c r="AP14" s="1">
        <v>8.9962873458862305</v>
      </c>
      <c r="AQ14" s="1">
        <v>9.5476322174072266</v>
      </c>
      <c r="AR14" s="1">
        <v>57.990985870361328</v>
      </c>
      <c r="AS14" s="1">
        <v>61.545009613037109</v>
      </c>
      <c r="AT14" s="1">
        <v>149.48760986328125</v>
      </c>
      <c r="AU14" s="1">
        <v>23.719820022583008</v>
      </c>
      <c r="AV14" s="1">
        <v>5.0141925811767578</v>
      </c>
      <c r="AW14" s="1">
        <v>100.46306610107422</v>
      </c>
      <c r="AX14" s="1">
        <v>3.3840460777282715</v>
      </c>
      <c r="AY14" s="1">
        <v>7.3870867490768433E-3</v>
      </c>
      <c r="AZ14" s="1">
        <v>0.75</v>
      </c>
      <c r="BA14" s="1">
        <v>-1.355140209197998</v>
      </c>
      <c r="BB14" s="1">
        <v>7.355140209197998</v>
      </c>
      <c r="BC14" s="1">
        <v>1</v>
      </c>
      <c r="BD14" s="1">
        <v>0</v>
      </c>
      <c r="BE14" s="1">
        <v>0.15999999642372131</v>
      </c>
      <c r="BF14" s="1">
        <v>111115</v>
      </c>
      <c r="BG14">
        <f t="shared" si="17"/>
        <v>0.78677690389001875</v>
      </c>
      <c r="BH14">
        <f t="shared" si="18"/>
        <v>4.379669584334283E-4</v>
      </c>
      <c r="BI14">
        <f t="shared" si="19"/>
        <v>288.20377483367918</v>
      </c>
      <c r="BJ14">
        <f t="shared" si="20"/>
        <v>286.70457496643064</v>
      </c>
      <c r="BK14">
        <f t="shared" si="21"/>
        <v>3.7951711187845945</v>
      </c>
      <c r="BL14">
        <f t="shared" si="22"/>
        <v>-0.12055026950290042</v>
      </c>
      <c r="BM14">
        <f t="shared" si="23"/>
        <v>1.71730830963713</v>
      </c>
      <c r="BN14">
        <f t="shared" si="24"/>
        <v>17.093926915483294</v>
      </c>
      <c r="BO14">
        <f t="shared" si="25"/>
        <v>7.5462946980760677</v>
      </c>
      <c r="BP14">
        <f t="shared" si="26"/>
        <v>14.304174900054932</v>
      </c>
      <c r="BQ14">
        <f t="shared" si="27"/>
        <v>1.636215974099525</v>
      </c>
      <c r="BR14">
        <f t="shared" si="28"/>
        <v>5.7264248801855384E-2</v>
      </c>
      <c r="BS14">
        <f t="shared" si="29"/>
        <v>0.95918440656612802</v>
      </c>
      <c r="BT14">
        <f t="shared" si="30"/>
        <v>0.67703156753339699</v>
      </c>
      <c r="BU14">
        <f t="shared" si="31"/>
        <v>3.5820997124932308E-2</v>
      </c>
      <c r="BV14">
        <f t="shared" si="32"/>
        <v>40.289971821891129</v>
      </c>
      <c r="BW14">
        <f t="shared" si="33"/>
        <v>0.99911037937236802</v>
      </c>
      <c r="BX14">
        <f t="shared" si="34"/>
        <v>55.525927310150813</v>
      </c>
      <c r="BY14">
        <f t="shared" si="35"/>
        <v>401.42272536080776</v>
      </c>
      <c r="BZ14">
        <f t="shared" si="36"/>
        <v>-2.2536962504723619E-4</v>
      </c>
      <c r="CA14">
        <f t="shared" si="37"/>
        <v>0</v>
      </c>
      <c r="CB14">
        <f t="shared" si="38"/>
        <v>20.804281085601922</v>
      </c>
      <c r="CC14">
        <f t="shared" si="39"/>
        <v>1750.167236328125</v>
      </c>
      <c r="CD14">
        <f t="shared" si="40"/>
        <v>0.7268836090580072</v>
      </c>
      <c r="CE14" t="e">
        <f t="shared" si="41"/>
        <v>#DIV/0!</v>
      </c>
    </row>
    <row r="15" spans="1:83" x14ac:dyDescent="0.25">
      <c r="A15" s="1">
        <v>36</v>
      </c>
      <c r="B15" s="1" t="s">
        <v>118</v>
      </c>
      <c r="C15" s="1">
        <v>7946.9999601654708</v>
      </c>
      <c r="D15" s="1">
        <v>0</v>
      </c>
      <c r="E15">
        <f t="shared" si="0"/>
        <v>-1.6744178140484498</v>
      </c>
      <c r="F15">
        <f t="shared" si="1"/>
        <v>5.3258165230317837E-2</v>
      </c>
      <c r="G15">
        <f t="shared" si="2"/>
        <v>447.22267197029538</v>
      </c>
      <c r="H15" s="1">
        <v>34</v>
      </c>
      <c r="I15" s="1">
        <v>0</v>
      </c>
      <c r="J15" s="1">
        <v>0</v>
      </c>
      <c r="K15" s="1">
        <v>0</v>
      </c>
      <c r="L15" s="1">
        <v>0</v>
      </c>
      <c r="M15" s="1">
        <v>1815.5570068359375</v>
      </c>
      <c r="N15" s="1">
        <v>437.15084838867187</v>
      </c>
      <c r="O15" t="e">
        <f t="shared" si="3"/>
        <v>#DIV/0!</v>
      </c>
      <c r="P15">
        <f t="shared" si="4"/>
        <v>1</v>
      </c>
      <c r="Q15">
        <f t="shared" si="5"/>
        <v>0.75921943142368375</v>
      </c>
      <c r="R15" s="1">
        <v>-1</v>
      </c>
      <c r="S15" s="1">
        <v>0.87</v>
      </c>
      <c r="T15" s="1">
        <v>0.92</v>
      </c>
      <c r="U15" s="1">
        <v>0</v>
      </c>
      <c r="V15">
        <f t="shared" si="6"/>
        <v>0.87</v>
      </c>
      <c r="W15">
        <f t="shared" si="7"/>
        <v>-1.563437241767788</v>
      </c>
      <c r="X15">
        <f t="shared" si="8"/>
        <v>0.75921943142368375</v>
      </c>
      <c r="Y15" t="e">
        <f t="shared" si="9"/>
        <v>#DIV/0!</v>
      </c>
      <c r="Z15">
        <f t="shared" si="10"/>
        <v>-1</v>
      </c>
      <c r="AA15" s="1">
        <v>0.49582603573799133</v>
      </c>
      <c r="AB15" s="1">
        <v>0.5</v>
      </c>
      <c r="AC15">
        <f t="shared" si="11"/>
        <v>0.16375173100805474</v>
      </c>
      <c r="AD15">
        <f t="shared" si="12"/>
        <v>0.40935364199958912</v>
      </c>
      <c r="AE15">
        <f t="shared" si="13"/>
        <v>0.76616638134615622</v>
      </c>
      <c r="AF15">
        <f t="shared" si="14"/>
        <v>15.093738555908203</v>
      </c>
      <c r="AG15" s="1">
        <v>1.8999999761581421</v>
      </c>
      <c r="AH15">
        <f t="shared" si="15"/>
        <v>4.7803738440308621</v>
      </c>
      <c r="AI15" s="1">
        <v>1</v>
      </c>
      <c r="AJ15">
        <f t="shared" si="16"/>
        <v>9.5607476880617241</v>
      </c>
      <c r="AK15" s="1">
        <v>13.547799110412598</v>
      </c>
      <c r="AL15" s="1">
        <v>15.093738555908203</v>
      </c>
      <c r="AM15" s="1">
        <v>11.174489974975586</v>
      </c>
      <c r="AN15" s="1">
        <v>400.00765991210937</v>
      </c>
      <c r="AO15" s="1">
        <v>401.92559814453125</v>
      </c>
      <c r="AP15" s="1">
        <v>8.9961681365966797</v>
      </c>
      <c r="AQ15" s="1">
        <v>9.511204719543457</v>
      </c>
      <c r="AR15" s="1">
        <v>58.018108367919922</v>
      </c>
      <c r="AS15" s="1">
        <v>61.339679718017578</v>
      </c>
      <c r="AT15" s="1">
        <v>149.57662963867187</v>
      </c>
      <c r="AU15" s="1">
        <v>0.49582603573799133</v>
      </c>
      <c r="AV15" s="1">
        <v>5.1542110443115234</v>
      </c>
      <c r="AW15" s="1">
        <v>100.46704864501953</v>
      </c>
      <c r="AX15" s="1">
        <v>3.3840460777282715</v>
      </c>
      <c r="AY15" s="1">
        <v>7.3870867490768433E-3</v>
      </c>
      <c r="AZ15" s="1">
        <v>0.5</v>
      </c>
      <c r="BA15" s="1">
        <v>-1.355140209197998</v>
      </c>
      <c r="BB15" s="1">
        <v>7.355140209197998</v>
      </c>
      <c r="BC15" s="1">
        <v>1</v>
      </c>
      <c r="BD15" s="1">
        <v>0</v>
      </c>
      <c r="BE15" s="1">
        <v>0.15999999642372131</v>
      </c>
      <c r="BF15" s="1">
        <v>111115</v>
      </c>
      <c r="BG15">
        <f t="shared" si="17"/>
        <v>0.78724542902953276</v>
      </c>
      <c r="BH15">
        <f t="shared" si="18"/>
        <v>4.0935364199958912E-4</v>
      </c>
      <c r="BI15">
        <f t="shared" si="19"/>
        <v>288.24373855590818</v>
      </c>
      <c r="BJ15">
        <f t="shared" si="20"/>
        <v>286.69779911041257</v>
      </c>
      <c r="BK15">
        <f t="shared" si="21"/>
        <v>7.9332163944866529E-2</v>
      </c>
      <c r="BL15">
        <f t="shared" si="22"/>
        <v>-0.13201223713855753</v>
      </c>
      <c r="BM15">
        <f t="shared" si="23"/>
        <v>1.7217290485772681</v>
      </c>
      <c r="BN15">
        <f t="shared" si="24"/>
        <v>17.13725118631341</v>
      </c>
      <c r="BO15">
        <f t="shared" si="25"/>
        <v>7.626046466769953</v>
      </c>
      <c r="BP15">
        <f t="shared" si="26"/>
        <v>14.3207688331604</v>
      </c>
      <c r="BQ15">
        <f t="shared" si="27"/>
        <v>1.6379740266000606</v>
      </c>
      <c r="BR15">
        <f t="shared" si="28"/>
        <v>5.296313398039109E-2</v>
      </c>
      <c r="BS15">
        <f t="shared" si="29"/>
        <v>0.95556266723111183</v>
      </c>
      <c r="BT15">
        <f t="shared" si="30"/>
        <v>0.68241135936894881</v>
      </c>
      <c r="BU15">
        <f t="shared" si="31"/>
        <v>3.3128339621583854E-2</v>
      </c>
      <c r="BV15">
        <f t="shared" si="32"/>
        <v>44.931141939995278</v>
      </c>
      <c r="BW15">
        <f t="shared" si="33"/>
        <v>1.1127001465815458</v>
      </c>
      <c r="BX15">
        <f t="shared" si="34"/>
        <v>55.149086230706821</v>
      </c>
      <c r="BY15">
        <f t="shared" si="35"/>
        <v>402.16202986752171</v>
      </c>
      <c r="BZ15">
        <f t="shared" si="36"/>
        <v>-2.2961544242157484E-3</v>
      </c>
      <c r="CA15">
        <f t="shared" si="37"/>
        <v>0</v>
      </c>
      <c r="CB15">
        <f t="shared" si="38"/>
        <v>0.43136865109205247</v>
      </c>
      <c r="CC15">
        <f t="shared" si="39"/>
        <v>1815.5570068359375</v>
      </c>
      <c r="CD15">
        <f t="shared" si="40"/>
        <v>0.75921943142368375</v>
      </c>
      <c r="CE15" t="e">
        <f t="shared" si="41"/>
        <v>#DIV/0!</v>
      </c>
    </row>
    <row r="16" spans="1:83" x14ac:dyDescent="0.25">
      <c r="A16" s="1"/>
      <c r="B16" s="1"/>
      <c r="C16" s="1"/>
      <c r="D16" s="1"/>
      <c r="H16" s="1"/>
      <c r="I16" s="1"/>
      <c r="J16" s="1"/>
      <c r="K16" s="1"/>
      <c r="L16" s="1"/>
      <c r="M16" s="1"/>
      <c r="N16" s="1"/>
      <c r="R16" s="1"/>
      <c r="S16" s="1"/>
      <c r="T16" s="1"/>
      <c r="U16" s="1"/>
      <c r="AA16" s="1"/>
      <c r="AB16" s="1"/>
      <c r="AG16" s="1"/>
      <c r="AI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87" x14ac:dyDescent="0.25">
      <c r="A17" s="1">
        <v>3</v>
      </c>
      <c r="B17" s="1" t="s">
        <v>150</v>
      </c>
      <c r="C17" s="1">
        <v>229.99998780153692</v>
      </c>
      <c r="D17" s="1">
        <v>0</v>
      </c>
      <c r="E17">
        <f t="shared" ref="E17:E27" si="42">(AN17-AO17*(1000-AP17)/(1000-AQ17))*BG17</f>
        <v>5.9260959993647182</v>
      </c>
      <c r="F17">
        <f t="shared" ref="F17:F27" si="43">IF(BR17&lt;&gt;0,1/(1/BR17-1/AJ17),0)</f>
        <v>9.3916001122094306E-2</v>
      </c>
      <c r="G17">
        <f t="shared" ref="G17:G27" si="44">((BU17-BH17/2)*AO17-E17)/(BU17+BH17/2)</f>
        <v>292.579789697541</v>
      </c>
      <c r="H17" s="1">
        <v>18</v>
      </c>
      <c r="I17" s="1">
        <v>17</v>
      </c>
      <c r="J17" s="1">
        <v>0</v>
      </c>
      <c r="K17" s="1">
        <v>0</v>
      </c>
      <c r="L17" s="1">
        <v>377.520263671875</v>
      </c>
      <c r="M17" s="1">
        <v>758.8043212890625</v>
      </c>
      <c r="N17" s="1">
        <v>480.56427001953125</v>
      </c>
      <c r="O17" t="e">
        <f t="shared" ref="O17:O27" si="45">CA17/K17</f>
        <v>#DIV/0!</v>
      </c>
      <c r="P17">
        <f t="shared" ref="P17:P27" si="46">CC17/M17</f>
        <v>0.5024800820446822</v>
      </c>
      <c r="Q17">
        <f t="shared" ref="Q17:Q27" si="47">(M17-N17)/M17</f>
        <v>0.36668221761949765</v>
      </c>
      <c r="R17" s="1">
        <v>-1</v>
      </c>
      <c r="S17" s="1">
        <v>0.87</v>
      </c>
      <c r="T17" s="1">
        <v>0.92</v>
      </c>
      <c r="U17" s="1">
        <v>9.9087457656860352</v>
      </c>
      <c r="V17">
        <f t="shared" ref="V17:V27" si="48">(U17*T17+(100-U17)*S17)/100</f>
        <v>0.87495437288284295</v>
      </c>
      <c r="W17">
        <f t="shared" ref="W17:W27" si="49">(E17-R17)/CB17</f>
        <v>1.764960336717809E-2</v>
      </c>
      <c r="X17">
        <f t="shared" ref="X17:X27" si="50">(M17-N17)/(M17-L17)</f>
        <v>0.72974478137999332</v>
      </c>
      <c r="Y17">
        <f t="shared" ref="Y17:Y27" si="51">(K17-M17)/(K17-L17)</f>
        <v>2.009969779923082</v>
      </c>
      <c r="Z17">
        <f t="shared" ref="Z17:Z27" si="52">(K17-M17)/M17</f>
        <v>-1</v>
      </c>
      <c r="AA17" s="1">
        <v>448.50588989257812</v>
      </c>
      <c r="AB17" s="1">
        <v>0.5</v>
      </c>
      <c r="AC17">
        <f t="shared" ref="AC17:AC27" si="53">Q17*AB17*V17*AA17</f>
        <v>71.947119367437736</v>
      </c>
      <c r="AD17">
        <f t="shared" ref="AD17:AD27" si="54">BH17*1000</f>
        <v>0.81161427218520643</v>
      </c>
      <c r="AE17">
        <f t="shared" ref="AE17:AE27" si="55">(BM17-BS17)</f>
        <v>0.87278788354189207</v>
      </c>
      <c r="AF17">
        <f t="shared" ref="AF17:AF27" si="56">(AL17+BL17*D17)</f>
        <v>15.580533981323242</v>
      </c>
      <c r="AG17" s="1">
        <v>1.8600000143051147</v>
      </c>
      <c r="AH17">
        <f t="shared" ref="AH17:AH27" si="57">(AG17*BA17+BB17)</f>
        <v>4.8345794007042855</v>
      </c>
      <c r="AI17" s="1">
        <v>1</v>
      </c>
      <c r="AJ17">
        <f t="shared" ref="AJ17:AJ27" si="58">AH17*(AI17+1)*(AI17+1)/(AI17*AI17+1)</f>
        <v>9.669158801408571</v>
      </c>
      <c r="AK17" s="1">
        <v>11.862942695617676</v>
      </c>
      <c r="AL17" s="1">
        <v>15.580533981323242</v>
      </c>
      <c r="AM17" s="1">
        <v>9.0949125289916992</v>
      </c>
      <c r="AN17" s="1">
        <v>406.97537231445312</v>
      </c>
      <c r="AO17" s="1">
        <v>399.20181274414062</v>
      </c>
      <c r="AP17" s="1">
        <v>7.9140129089355469</v>
      </c>
      <c r="AQ17" s="1">
        <v>8.9144601821899414</v>
      </c>
      <c r="AR17" s="1">
        <v>57.506332397460938</v>
      </c>
      <c r="AS17" s="1">
        <v>64.775978088378906</v>
      </c>
      <c r="AT17" s="1">
        <v>149.54763793945313</v>
      </c>
      <c r="AU17" s="1">
        <v>448.50588989257812</v>
      </c>
      <c r="AV17" s="1">
        <v>24.388118743896484</v>
      </c>
      <c r="AW17" s="1">
        <v>101.36318206787109</v>
      </c>
      <c r="AX17" s="1">
        <v>4.3217062950134277</v>
      </c>
      <c r="AY17" s="1">
        <v>8.2919441163539886E-2</v>
      </c>
      <c r="AZ17" s="1">
        <v>0.5</v>
      </c>
      <c r="BA17" s="1">
        <v>-1.355140209197998</v>
      </c>
      <c r="BB17" s="1">
        <v>7.355140209197998</v>
      </c>
      <c r="BC17" s="1">
        <v>1</v>
      </c>
      <c r="BD17" s="1">
        <v>0</v>
      </c>
      <c r="BE17" s="1">
        <v>0.15999999642372131</v>
      </c>
      <c r="BF17" s="1">
        <v>111115</v>
      </c>
      <c r="BG17">
        <f t="shared" ref="BG17:BG27" si="59">AT17*0.000001/(AG17*0.0001)</f>
        <v>0.80401955263061242</v>
      </c>
      <c r="BH17">
        <f t="shared" ref="BH17:BH27" si="60">(AQ17-AP17)/(1000-AQ17)*BG17</f>
        <v>8.1161427218520645E-4</v>
      </c>
      <c r="BI17">
        <f t="shared" ref="BI17:BI27" si="61">(AL17+273.15)</f>
        <v>288.73053398132322</v>
      </c>
      <c r="BJ17">
        <f t="shared" ref="BJ17:BJ27" si="62">(AK17+273.15)</f>
        <v>285.01294269561765</v>
      </c>
      <c r="BK17">
        <f t="shared" ref="BK17:BK27" si="63">(AU17*BC17+AV17*BD17)*BE17</f>
        <v>71.760940778830445</v>
      </c>
      <c r="BL17">
        <f t="shared" ref="BL17:BL27" si="64">((BK17+0.00000010773*(BJ17^4-BI17^4))-BH17*44100)/(AH17*51.4+0.00000043092*BI17^3)</f>
        <v>-7.1574316168225606E-3</v>
      </c>
      <c r="BM17">
        <f t="shared" ref="BM17:BM27" si="65">0.61365*EXP(17.502*AF17/(240.97+AF17))</f>
        <v>1.7763859340259984</v>
      </c>
      <c r="BN17">
        <f t="shared" ref="BN17:BN27" si="66">BM17*1000/AW17</f>
        <v>17.524962198173299</v>
      </c>
      <c r="BO17">
        <f t="shared" ref="BO17:BO27" si="67">(BN17-AQ17)</f>
        <v>8.6105020159833572</v>
      </c>
      <c r="BP17">
        <f t="shared" ref="BP17:BP27" si="68">IF(D17,AL17,(AK17+AL17)/2)</f>
        <v>13.721738338470459</v>
      </c>
      <c r="BQ17">
        <f t="shared" ref="BQ17:BQ27" si="69">0.61365*EXP(17.502*BP17/(240.97+BP17))</f>
        <v>1.5755507384894309</v>
      </c>
      <c r="BR17">
        <f t="shared" ref="BR17:BR27" si="70">IF(BO17&lt;&gt;0,(1000-(BN17+AQ17)/2)/BO17*BH17,0)</f>
        <v>9.3012575157921731E-2</v>
      </c>
      <c r="BS17">
        <f t="shared" ref="BS17:BS27" si="71">AQ17*AW17/1000</f>
        <v>0.90359805048410635</v>
      </c>
      <c r="BT17">
        <f t="shared" ref="BT17:BT27" si="72">(BQ17-BS17)</f>
        <v>0.67195268800532459</v>
      </c>
      <c r="BU17">
        <f t="shared" ref="BU17:BU27" si="73">1/(1.6/F17+1.37/AJ17)</f>
        <v>5.8213357174252897E-2</v>
      </c>
      <c r="BV17">
        <f t="shared" ref="BV17:BV27" si="74">G17*AW17*0.001</f>
        <v>29.656818492491286</v>
      </c>
      <c r="BW17">
        <f t="shared" ref="BW17:BW27" si="75">G17/AO17</f>
        <v>0.73291197674260911</v>
      </c>
      <c r="BX17">
        <f t="shared" ref="BX17:BX27" si="76">(1-BH17*AW17/BM17/F17)*100</f>
        <v>50.687957280275484</v>
      </c>
      <c r="BY17">
        <f t="shared" ref="BY17:BY27" si="77">(AO17-E17/(AJ17/1.35))</f>
        <v>398.37441609429175</v>
      </c>
      <c r="BZ17">
        <f t="shared" ref="BZ17:BZ27" si="78">E17*BX17/100/BY17</f>
        <v>7.5401855319823701E-3</v>
      </c>
      <c r="CA17">
        <f t="shared" ref="CA17:CA27" si="79">(K17-J17)</f>
        <v>0</v>
      </c>
      <c r="CB17">
        <f t="shared" ref="CB17:CB27" si="80">AU17*V17</f>
        <v>392.42218962522207</v>
      </c>
      <c r="CC17">
        <f t="shared" ref="CC17:CC27" si="81">(M17-L17)</f>
        <v>381.2840576171875</v>
      </c>
      <c r="CD17">
        <f t="shared" ref="CD17:CD27" si="82">(M17-N17)/(M17-J17)</f>
        <v>0.36668221761949765</v>
      </c>
      <c r="CE17" t="e">
        <f t="shared" ref="CE17:CE27" si="83">(K17-M17)/(K17-J17)</f>
        <v>#DIV/0!</v>
      </c>
    </row>
    <row r="18" spans="1:87" x14ac:dyDescent="0.25">
      <c r="A18" s="1">
        <v>4</v>
      </c>
      <c r="B18" s="1" t="s">
        <v>151</v>
      </c>
      <c r="C18" s="1">
        <v>303.9999827016145</v>
      </c>
      <c r="D18" s="1">
        <v>0</v>
      </c>
      <c r="E18">
        <f t="shared" si="42"/>
        <v>5.779056430872612</v>
      </c>
      <c r="F18">
        <f t="shared" si="43"/>
        <v>0.10113998503658972</v>
      </c>
      <c r="G18">
        <f t="shared" si="44"/>
        <v>302.48564927931579</v>
      </c>
      <c r="H18" s="1">
        <v>19</v>
      </c>
      <c r="I18" s="1">
        <v>18</v>
      </c>
      <c r="J18" s="1">
        <v>0</v>
      </c>
      <c r="K18" s="1">
        <v>0</v>
      </c>
      <c r="L18" s="1">
        <v>420.565673828125</v>
      </c>
      <c r="M18" s="1">
        <v>1030.3739013671875</v>
      </c>
      <c r="N18" s="1">
        <v>547.77935791015625</v>
      </c>
      <c r="O18" t="e">
        <f t="shared" si="45"/>
        <v>#DIV/0!</v>
      </c>
      <c r="P18">
        <f t="shared" si="46"/>
        <v>0.59183198131272274</v>
      </c>
      <c r="Q18">
        <f t="shared" si="47"/>
        <v>0.46836836881901206</v>
      </c>
      <c r="R18" s="1">
        <v>-1</v>
      </c>
      <c r="S18" s="1">
        <v>0.87</v>
      </c>
      <c r="T18" s="1">
        <v>0.92</v>
      </c>
      <c r="U18" s="1">
        <v>9.8018503189086914</v>
      </c>
      <c r="V18">
        <f t="shared" si="48"/>
        <v>0.87490092515945439</v>
      </c>
      <c r="W18">
        <f t="shared" si="49"/>
        <v>2.5971664363848696E-2</v>
      </c>
      <c r="X18">
        <f t="shared" si="50"/>
        <v>0.79138739305729966</v>
      </c>
      <c r="Y18">
        <f t="shared" si="51"/>
        <v>2.4499714681618938</v>
      </c>
      <c r="Z18">
        <f t="shared" si="52"/>
        <v>-1</v>
      </c>
      <c r="AA18" s="1">
        <v>298.33938598632812</v>
      </c>
      <c r="AB18" s="1">
        <v>0.5</v>
      </c>
      <c r="AC18">
        <f t="shared" si="53"/>
        <v>61.126148062336334</v>
      </c>
      <c r="AD18">
        <f t="shared" si="54"/>
        <v>0.82586125860070136</v>
      </c>
      <c r="AE18">
        <f t="shared" si="55"/>
        <v>0.82548566473097895</v>
      </c>
      <c r="AF18">
        <f t="shared" si="56"/>
        <v>15.154234886169434</v>
      </c>
      <c r="AG18" s="1">
        <v>1.8600000143051147</v>
      </c>
      <c r="AH18">
        <f t="shared" si="57"/>
        <v>4.8345794007042855</v>
      </c>
      <c r="AI18" s="1">
        <v>1</v>
      </c>
      <c r="AJ18">
        <f t="shared" si="58"/>
        <v>9.669158801408571</v>
      </c>
      <c r="AK18" s="1">
        <v>11.745244026184082</v>
      </c>
      <c r="AL18" s="1">
        <v>15.154234886169434</v>
      </c>
      <c r="AM18" s="1">
        <v>9.2395124435424805</v>
      </c>
      <c r="AN18" s="1">
        <v>406.95278930664062</v>
      </c>
      <c r="AO18" s="1">
        <v>399.35293579101562</v>
      </c>
      <c r="AP18" s="1">
        <v>7.8898344039916992</v>
      </c>
      <c r="AQ18" s="1">
        <v>8.9081106185913086</v>
      </c>
      <c r="AR18" s="1">
        <v>57.777767181396484</v>
      </c>
      <c r="AS18" s="1">
        <v>65.234672546386719</v>
      </c>
      <c r="AT18" s="1">
        <v>149.50935363769531</v>
      </c>
      <c r="AU18" s="1">
        <v>298.33938598632812</v>
      </c>
      <c r="AV18" s="1">
        <v>24.239469528198242</v>
      </c>
      <c r="AW18" s="1">
        <v>101.36318206787109</v>
      </c>
      <c r="AX18" s="1">
        <v>4.3217062950134277</v>
      </c>
      <c r="AY18" s="1">
        <v>8.2919441163539886E-2</v>
      </c>
      <c r="AZ18" s="1">
        <v>0.75</v>
      </c>
      <c r="BA18" s="1">
        <v>-1.355140209197998</v>
      </c>
      <c r="BB18" s="1">
        <v>7.355140209197998</v>
      </c>
      <c r="BC18" s="1">
        <v>1</v>
      </c>
      <c r="BD18" s="1">
        <v>0</v>
      </c>
      <c r="BE18" s="1">
        <v>0.15999999642372131</v>
      </c>
      <c r="BF18" s="1">
        <v>111115</v>
      </c>
      <c r="BG18">
        <f t="shared" si="59"/>
        <v>0.80381372305285237</v>
      </c>
      <c r="BH18">
        <f t="shared" si="60"/>
        <v>8.258612586007014E-4</v>
      </c>
      <c r="BI18">
        <f t="shared" si="61"/>
        <v>288.30423488616941</v>
      </c>
      <c r="BJ18">
        <f t="shared" si="62"/>
        <v>284.89524402618406</v>
      </c>
      <c r="BK18">
        <f t="shared" si="63"/>
        <v>47.734300690867713</v>
      </c>
      <c r="BL18">
        <f t="shared" si="64"/>
        <v>-8.9904346296896087E-2</v>
      </c>
      <c r="BM18">
        <f t="shared" si="65"/>
        <v>1.7284401032439856</v>
      </c>
      <c r="BN18">
        <f t="shared" si="66"/>
        <v>17.051951882160239</v>
      </c>
      <c r="BO18">
        <f t="shared" si="67"/>
        <v>8.1438412635689303</v>
      </c>
      <c r="BP18">
        <f t="shared" si="68"/>
        <v>13.449739456176758</v>
      </c>
      <c r="BQ18">
        <f t="shared" si="69"/>
        <v>1.5479038681189339</v>
      </c>
      <c r="BR18">
        <f t="shared" si="70"/>
        <v>0.10009300614712185</v>
      </c>
      <c r="BS18">
        <f t="shared" si="71"/>
        <v>0.90295443851300661</v>
      </c>
      <c r="BT18">
        <f t="shared" si="72"/>
        <v>0.64494942960592727</v>
      </c>
      <c r="BU18">
        <f t="shared" si="73"/>
        <v>6.2651358348310524E-2</v>
      </c>
      <c r="BV18">
        <f t="shared" si="74"/>
        <v>30.660907940817488</v>
      </c>
      <c r="BW18">
        <f t="shared" si="75"/>
        <v>0.75743940301870927</v>
      </c>
      <c r="BX18">
        <f t="shared" si="76"/>
        <v>52.113829204240105</v>
      </c>
      <c r="BY18">
        <f t="shared" si="77"/>
        <v>398.54606868479522</v>
      </c>
      <c r="BZ18">
        <f t="shared" si="78"/>
        <v>7.5566862519562596E-3</v>
      </c>
      <c r="CA18">
        <f t="shared" si="79"/>
        <v>0</v>
      </c>
      <c r="CB18">
        <f t="shared" si="80"/>
        <v>261.01740481094203</v>
      </c>
      <c r="CC18">
        <f t="shared" si="81"/>
        <v>609.8082275390625</v>
      </c>
      <c r="CD18">
        <f t="shared" si="82"/>
        <v>0.46836836881901206</v>
      </c>
      <c r="CE18" t="e">
        <f t="shared" si="83"/>
        <v>#DIV/0!</v>
      </c>
    </row>
    <row r="19" spans="1:87" x14ac:dyDescent="0.25">
      <c r="A19" s="1">
        <v>5</v>
      </c>
      <c r="B19" s="1" t="s">
        <v>152</v>
      </c>
      <c r="C19" s="1">
        <v>377.99997760169208</v>
      </c>
      <c r="D19" s="1">
        <v>0</v>
      </c>
      <c r="E19">
        <f t="shared" si="42"/>
        <v>5.3300111125782506</v>
      </c>
      <c r="F19">
        <f t="shared" si="43"/>
        <v>0.1068252797712753</v>
      </c>
      <c r="G19">
        <f t="shared" si="44"/>
        <v>314.61104527393388</v>
      </c>
      <c r="H19" s="1">
        <v>20</v>
      </c>
      <c r="I19" s="1">
        <v>19</v>
      </c>
      <c r="J19" s="1">
        <v>0</v>
      </c>
      <c r="K19" s="1">
        <v>0</v>
      </c>
      <c r="L19" s="1">
        <v>462.104248046875</v>
      </c>
      <c r="M19" s="1">
        <v>1376.406005859375</v>
      </c>
      <c r="N19" s="1">
        <v>617.18707275390625</v>
      </c>
      <c r="O19" t="e">
        <f t="shared" si="45"/>
        <v>#DIV/0!</v>
      </c>
      <c r="P19">
        <f t="shared" si="46"/>
        <v>0.66426748642501388</v>
      </c>
      <c r="Q19">
        <f t="shared" si="47"/>
        <v>0.55159519057128903</v>
      </c>
      <c r="R19" s="1">
        <v>-1</v>
      </c>
      <c r="S19" s="1">
        <v>0.87</v>
      </c>
      <c r="T19" s="1">
        <v>0.92</v>
      </c>
      <c r="U19" s="1">
        <v>8.8702812194824219</v>
      </c>
      <c r="V19">
        <f t="shared" si="48"/>
        <v>0.87443514060974115</v>
      </c>
      <c r="W19">
        <f t="shared" si="49"/>
        <v>3.5923771343566266E-2</v>
      </c>
      <c r="X19">
        <f t="shared" si="50"/>
        <v>0.83038113688190596</v>
      </c>
      <c r="Y19">
        <f t="shared" si="51"/>
        <v>2.9785616809992081</v>
      </c>
      <c r="Z19">
        <f t="shared" si="52"/>
        <v>-1</v>
      </c>
      <c r="AA19" s="1">
        <v>201.50923156738281</v>
      </c>
      <c r="AB19" s="1">
        <v>0.5</v>
      </c>
      <c r="AC19">
        <f t="shared" si="53"/>
        <v>48.597398816623731</v>
      </c>
      <c r="AD19">
        <f t="shared" si="54"/>
        <v>0.84343398321670482</v>
      </c>
      <c r="AE19">
        <f t="shared" si="55"/>
        <v>0.7987562186705377</v>
      </c>
      <c r="AF19">
        <f t="shared" si="56"/>
        <v>14.903637886047363</v>
      </c>
      <c r="AG19" s="1">
        <v>1.8600000143051147</v>
      </c>
      <c r="AH19">
        <f t="shared" si="57"/>
        <v>4.8345794007042855</v>
      </c>
      <c r="AI19" s="1">
        <v>1</v>
      </c>
      <c r="AJ19">
        <f t="shared" si="58"/>
        <v>9.669158801408571</v>
      </c>
      <c r="AK19" s="1">
        <v>11.832439422607422</v>
      </c>
      <c r="AL19" s="1">
        <v>14.903637886047363</v>
      </c>
      <c r="AM19" s="1">
        <v>9.6533117294311523</v>
      </c>
      <c r="AN19" s="1">
        <v>406.80084228515625</v>
      </c>
      <c r="AO19" s="1">
        <v>399.7525634765625</v>
      </c>
      <c r="AP19" s="1">
        <v>7.8594317436218262</v>
      </c>
      <c r="AQ19" s="1">
        <v>8.8990774154663086</v>
      </c>
      <c r="AR19" s="1">
        <v>57.224422454833984</v>
      </c>
      <c r="AS19" s="1">
        <v>64.794075012207031</v>
      </c>
      <c r="AT19" s="1">
        <v>149.55349731445312</v>
      </c>
      <c r="AU19" s="1">
        <v>201.50923156738281</v>
      </c>
      <c r="AV19" s="1">
        <v>24.480548858642578</v>
      </c>
      <c r="AW19" s="1">
        <v>101.36254119873047</v>
      </c>
      <c r="AX19" s="1">
        <v>4.3217062950134277</v>
      </c>
      <c r="AY19" s="1">
        <v>8.2919441163539886E-2</v>
      </c>
      <c r="AZ19" s="1">
        <v>0.75</v>
      </c>
      <c r="BA19" s="1">
        <v>-1.355140209197998</v>
      </c>
      <c r="BB19" s="1">
        <v>7.355140209197998</v>
      </c>
      <c r="BC19" s="1">
        <v>1</v>
      </c>
      <c r="BD19" s="1">
        <v>0</v>
      </c>
      <c r="BE19" s="1">
        <v>0.15999999642372131</v>
      </c>
      <c r="BF19" s="1">
        <v>111115</v>
      </c>
      <c r="BG19">
        <f t="shared" si="59"/>
        <v>0.80405105464649917</v>
      </c>
      <c r="BH19">
        <f t="shared" si="60"/>
        <v>8.4343398321670487E-4</v>
      </c>
      <c r="BI19">
        <f t="shared" si="61"/>
        <v>288.05363788604734</v>
      </c>
      <c r="BJ19">
        <f t="shared" si="62"/>
        <v>284.9824394226074</v>
      </c>
      <c r="BK19">
        <f t="shared" si="63"/>
        <v>32.24147633012808</v>
      </c>
      <c r="BL19">
        <f t="shared" si="64"/>
        <v>-0.13942793843368959</v>
      </c>
      <c r="BM19">
        <f t="shared" si="65"/>
        <v>1.7007893198264332</v>
      </c>
      <c r="BN19">
        <f t="shared" si="66"/>
        <v>16.779268748717353</v>
      </c>
      <c r="BO19">
        <f t="shared" si="67"/>
        <v>7.8801913332510445</v>
      </c>
      <c r="BP19">
        <f t="shared" si="68"/>
        <v>13.368038654327393</v>
      </c>
      <c r="BQ19">
        <f t="shared" si="69"/>
        <v>1.5396832768224586</v>
      </c>
      <c r="BR19">
        <f t="shared" si="70"/>
        <v>0.1056579660457773</v>
      </c>
      <c r="BS19">
        <f t="shared" si="71"/>
        <v>0.90203310115589552</v>
      </c>
      <c r="BT19">
        <f t="shared" si="72"/>
        <v>0.63765017566656312</v>
      </c>
      <c r="BU19">
        <f t="shared" si="73"/>
        <v>6.6140121804888624E-2</v>
      </c>
      <c r="BV19">
        <f t="shared" si="74"/>
        <v>31.889775038154781</v>
      </c>
      <c r="BW19">
        <f t="shared" si="75"/>
        <v>0.78701445348549848</v>
      </c>
      <c r="BX19">
        <f t="shared" si="76"/>
        <v>52.945189751049526</v>
      </c>
      <c r="BY19">
        <f t="shared" si="77"/>
        <v>399.00839170839043</v>
      </c>
      <c r="BZ19">
        <f t="shared" si="78"/>
        <v>7.0724941027530764E-3</v>
      </c>
      <c r="CA19">
        <f t="shared" si="79"/>
        <v>0</v>
      </c>
      <c r="CB19">
        <f t="shared" si="80"/>
        <v>176.20675323978529</v>
      </c>
      <c r="CC19">
        <f t="shared" si="81"/>
        <v>914.3017578125</v>
      </c>
      <c r="CD19">
        <f t="shared" si="82"/>
        <v>0.55159519057128903</v>
      </c>
      <c r="CE19" t="e">
        <f t="shared" si="83"/>
        <v>#DIV/0!</v>
      </c>
    </row>
    <row r="20" spans="1:87" x14ac:dyDescent="0.25">
      <c r="A20" s="1">
        <v>6</v>
      </c>
      <c r="B20" s="1" t="s">
        <v>153</v>
      </c>
      <c r="C20" s="1">
        <v>451.99997250176966</v>
      </c>
      <c r="D20" s="1">
        <v>0</v>
      </c>
      <c r="E20">
        <f t="shared" si="42"/>
        <v>4.9130505525434085</v>
      </c>
      <c r="F20">
        <f t="shared" si="43"/>
        <v>0.10607266757320236</v>
      </c>
      <c r="G20">
        <f t="shared" si="44"/>
        <v>320.78050890552794</v>
      </c>
      <c r="H20" s="1">
        <v>21</v>
      </c>
      <c r="I20" s="1">
        <v>20</v>
      </c>
      <c r="J20" s="1">
        <v>0</v>
      </c>
      <c r="K20" s="1">
        <v>0</v>
      </c>
      <c r="L20" s="1">
        <v>473.6630859375</v>
      </c>
      <c r="M20" s="1">
        <v>1506.55224609375</v>
      </c>
      <c r="N20" s="1">
        <v>626.58892822265625</v>
      </c>
      <c r="O20" t="e">
        <f t="shared" si="45"/>
        <v>#DIV/0!</v>
      </c>
      <c r="P20">
        <f t="shared" si="46"/>
        <v>0.68559796902786951</v>
      </c>
      <c r="Q20">
        <f t="shared" si="47"/>
        <v>0.58409080743976749</v>
      </c>
      <c r="R20" s="1">
        <v>-1</v>
      </c>
      <c r="S20" s="1">
        <v>0.87</v>
      </c>
      <c r="T20" s="1">
        <v>0.92</v>
      </c>
      <c r="U20" s="1">
        <v>10.178630828857422</v>
      </c>
      <c r="V20">
        <f t="shared" si="48"/>
        <v>0.8750893154144288</v>
      </c>
      <c r="W20">
        <f t="shared" si="49"/>
        <v>3.8733379901782779E-2</v>
      </c>
      <c r="X20">
        <f t="shared" si="50"/>
        <v>0.85194360810019298</v>
      </c>
      <c r="Y20">
        <f t="shared" si="51"/>
        <v>3.1806410311918207</v>
      </c>
      <c r="Z20">
        <f t="shared" si="52"/>
        <v>-1</v>
      </c>
      <c r="AA20" s="1">
        <v>174.45114135742187</v>
      </c>
      <c r="AB20" s="1">
        <v>0.5</v>
      </c>
      <c r="AC20">
        <f t="shared" si="53"/>
        <v>44.583747667064252</v>
      </c>
      <c r="AD20">
        <f t="shared" si="54"/>
        <v>0.8344072727023526</v>
      </c>
      <c r="AE20">
        <f t="shared" si="55"/>
        <v>0.79579729206190675</v>
      </c>
      <c r="AF20">
        <f t="shared" si="56"/>
        <v>14.843512535095215</v>
      </c>
      <c r="AG20" s="1">
        <v>1.8600000143051147</v>
      </c>
      <c r="AH20">
        <f t="shared" si="57"/>
        <v>4.8345794007042855</v>
      </c>
      <c r="AI20" s="1">
        <v>1</v>
      </c>
      <c r="AJ20">
        <f t="shared" si="58"/>
        <v>9.669158801408571</v>
      </c>
      <c r="AK20" s="1">
        <v>11.850293159484863</v>
      </c>
      <c r="AL20" s="1">
        <v>14.843512535095215</v>
      </c>
      <c r="AM20" s="1">
        <v>9.6530017852783203</v>
      </c>
      <c r="AN20" s="1">
        <v>406.68978881835937</v>
      </c>
      <c r="AO20" s="1">
        <v>400.1646728515625</v>
      </c>
      <c r="AP20" s="1">
        <v>7.8348789215087891</v>
      </c>
      <c r="AQ20" s="1">
        <v>8.8633518218994141</v>
      </c>
      <c r="AR20" s="1">
        <v>56.978740692138672</v>
      </c>
      <c r="AS20" s="1">
        <v>64.458259582519531</v>
      </c>
      <c r="AT20" s="1">
        <v>149.56559753417969</v>
      </c>
      <c r="AU20" s="1">
        <v>174.45114135742187</v>
      </c>
      <c r="AV20" s="1">
        <v>24.654645919799805</v>
      </c>
      <c r="AW20" s="1">
        <v>101.36299896240234</v>
      </c>
      <c r="AX20" s="1">
        <v>4.3217062950134277</v>
      </c>
      <c r="AY20" s="1">
        <v>8.2919441163539886E-2</v>
      </c>
      <c r="AZ20" s="1">
        <v>0.75</v>
      </c>
      <c r="BA20" s="1">
        <v>-1.355140209197998</v>
      </c>
      <c r="BB20" s="1">
        <v>7.355140209197998</v>
      </c>
      <c r="BC20" s="1">
        <v>1</v>
      </c>
      <c r="BD20" s="1">
        <v>0</v>
      </c>
      <c r="BE20" s="1">
        <v>0.15999999642372131</v>
      </c>
      <c r="BF20" s="1">
        <v>111115</v>
      </c>
      <c r="BG20">
        <f t="shared" si="59"/>
        <v>0.80411610959076529</v>
      </c>
      <c r="BH20">
        <f t="shared" si="60"/>
        <v>8.3440727270235257E-4</v>
      </c>
      <c r="BI20">
        <f t="shared" si="61"/>
        <v>287.99351253509519</v>
      </c>
      <c r="BJ20">
        <f t="shared" si="62"/>
        <v>285.00029315948484</v>
      </c>
      <c r="BK20">
        <f t="shared" si="63"/>
        <v>27.912181993301601</v>
      </c>
      <c r="BL20">
        <f t="shared" si="64"/>
        <v>-0.15154185173145115</v>
      </c>
      <c r="BM20">
        <f t="shared" si="65"/>
        <v>1.694213213588504</v>
      </c>
      <c r="BN20">
        <f t="shared" si="66"/>
        <v>16.714316179781964</v>
      </c>
      <c r="BO20">
        <f t="shared" si="67"/>
        <v>7.8509643578825496</v>
      </c>
      <c r="BP20">
        <f t="shared" si="68"/>
        <v>13.346902847290039</v>
      </c>
      <c r="BQ20">
        <f t="shared" si="69"/>
        <v>1.5375628898678759</v>
      </c>
      <c r="BR20">
        <f t="shared" si="70"/>
        <v>0.10492165536016194</v>
      </c>
      <c r="BS20">
        <f t="shared" si="71"/>
        <v>0.89841592152659722</v>
      </c>
      <c r="BT20">
        <f t="shared" si="72"/>
        <v>0.63914696834127871</v>
      </c>
      <c r="BU20">
        <f t="shared" si="73"/>
        <v>6.5678483526345241E-2</v>
      </c>
      <c r="BV20">
        <f t="shared" si="74"/>
        <v>32.515274391349926</v>
      </c>
      <c r="BW20">
        <f t="shared" si="75"/>
        <v>0.80162125911728999</v>
      </c>
      <c r="BX20">
        <f t="shared" si="76"/>
        <v>52.936309806239223</v>
      </c>
      <c r="BY20">
        <f t="shared" si="77"/>
        <v>399.4787167738769</v>
      </c>
      <c r="BZ20">
        <f t="shared" si="78"/>
        <v>6.5104536292572776E-3</v>
      </c>
      <c r="CA20">
        <f t="shared" si="79"/>
        <v>0</v>
      </c>
      <c r="CB20">
        <f t="shared" si="80"/>
        <v>152.66032986373204</v>
      </c>
      <c r="CC20">
        <f t="shared" si="81"/>
        <v>1032.88916015625</v>
      </c>
      <c r="CD20">
        <f t="shared" si="82"/>
        <v>0.58409080743976749</v>
      </c>
      <c r="CE20" t="e">
        <f t="shared" si="83"/>
        <v>#DIV/0!</v>
      </c>
    </row>
    <row r="21" spans="1:87" x14ac:dyDescent="0.25">
      <c r="A21" s="1">
        <v>7</v>
      </c>
      <c r="B21" s="1" t="s">
        <v>154</v>
      </c>
      <c r="C21" s="1">
        <v>526.49996736738831</v>
      </c>
      <c r="D21" s="1">
        <v>0</v>
      </c>
      <c r="E21">
        <f t="shared" si="42"/>
        <v>4.515884542304577</v>
      </c>
      <c r="F21">
        <f t="shared" si="43"/>
        <v>0.10573597887146199</v>
      </c>
      <c r="G21">
        <f t="shared" si="44"/>
        <v>327.06483127186124</v>
      </c>
      <c r="H21" s="1">
        <v>22</v>
      </c>
      <c r="I21" s="1">
        <v>21</v>
      </c>
      <c r="J21" s="1">
        <v>0</v>
      </c>
      <c r="K21" s="1">
        <v>0</v>
      </c>
      <c r="L21" s="1">
        <v>484.494140625</v>
      </c>
      <c r="M21" s="1">
        <v>1638.22314453125</v>
      </c>
      <c r="N21" s="1">
        <v>629.62396240234375</v>
      </c>
      <c r="O21" t="e">
        <f t="shared" si="45"/>
        <v>#DIV/0!</v>
      </c>
      <c r="P21">
        <f t="shared" si="46"/>
        <v>0.70425632048823861</v>
      </c>
      <c r="Q21">
        <f t="shared" si="47"/>
        <v>0.61566654426525025</v>
      </c>
      <c r="R21" s="1">
        <v>-1</v>
      </c>
      <c r="S21" s="1">
        <v>0.87</v>
      </c>
      <c r="T21" s="1">
        <v>0.92</v>
      </c>
      <c r="U21" s="1">
        <v>9.3449592590332031</v>
      </c>
      <c r="V21">
        <f t="shared" si="48"/>
        <v>0.87467247962951655</v>
      </c>
      <c r="W21">
        <f t="shared" si="49"/>
        <v>4.2407829418777389E-2</v>
      </c>
      <c r="X21">
        <f t="shared" si="50"/>
        <v>0.87420804947611708</v>
      </c>
      <c r="Y21">
        <f t="shared" si="51"/>
        <v>3.3813064125356265</v>
      </c>
      <c r="Z21">
        <f t="shared" si="52"/>
        <v>-1</v>
      </c>
      <c r="AA21" s="1">
        <v>148.704345703125</v>
      </c>
      <c r="AB21" s="1">
        <v>0.5</v>
      </c>
      <c r="AC21">
        <f t="shared" si="53"/>
        <v>40.039134533293385</v>
      </c>
      <c r="AD21">
        <f t="shared" si="54"/>
        <v>0.83897155627093534</v>
      </c>
      <c r="AE21">
        <f t="shared" si="55"/>
        <v>0.80275314628365624</v>
      </c>
      <c r="AF21">
        <f t="shared" si="56"/>
        <v>14.902945518493652</v>
      </c>
      <c r="AG21" s="1">
        <v>1.8600000143051147</v>
      </c>
      <c r="AH21">
        <f t="shared" si="57"/>
        <v>4.8345794007042855</v>
      </c>
      <c r="AI21" s="1">
        <v>1</v>
      </c>
      <c r="AJ21">
        <f t="shared" si="58"/>
        <v>9.669158801408571</v>
      </c>
      <c r="AK21" s="1">
        <v>12.062029838562012</v>
      </c>
      <c r="AL21" s="1">
        <v>14.902945518493652</v>
      </c>
      <c r="AM21" s="1">
        <v>9.8221158981323242</v>
      </c>
      <c r="AN21" s="1">
        <v>406.73410034179687</v>
      </c>
      <c r="AO21" s="1">
        <v>400.70205688476562</v>
      </c>
      <c r="AP21" s="1">
        <v>7.8239297866821289</v>
      </c>
      <c r="AQ21" s="1">
        <v>8.8576936721801758</v>
      </c>
      <c r="AR21" s="1">
        <v>56.117740631103516</v>
      </c>
      <c r="AS21" s="1">
        <v>63.532489776611328</v>
      </c>
      <c r="AT21" s="1">
        <v>149.61489868164062</v>
      </c>
      <c r="AU21" s="1">
        <v>148.704345703125</v>
      </c>
      <c r="AV21" s="1">
        <v>24.72313117980957</v>
      </c>
      <c r="AW21" s="1">
        <v>101.37631225585937</v>
      </c>
      <c r="AX21" s="1">
        <v>4.3217062950134277</v>
      </c>
      <c r="AY21" s="1">
        <v>8.2919441163539886E-2</v>
      </c>
      <c r="AZ21" s="1">
        <v>1</v>
      </c>
      <c r="BA21" s="1">
        <v>-1.355140209197998</v>
      </c>
      <c r="BB21" s="1">
        <v>7.355140209197998</v>
      </c>
      <c r="BC21" s="1">
        <v>1</v>
      </c>
      <c r="BD21" s="1">
        <v>0</v>
      </c>
      <c r="BE21" s="1">
        <v>0.15999999642372131</v>
      </c>
      <c r="BF21" s="1">
        <v>111115</v>
      </c>
      <c r="BG21">
        <f t="shared" si="59"/>
        <v>0.80438116952131244</v>
      </c>
      <c r="BH21">
        <f t="shared" si="60"/>
        <v>8.3897155627093534E-4</v>
      </c>
      <c r="BI21">
        <f t="shared" si="61"/>
        <v>288.05294551849363</v>
      </c>
      <c r="BJ21">
        <f t="shared" si="62"/>
        <v>285.21202983856199</v>
      </c>
      <c r="BK21">
        <f t="shared" si="63"/>
        <v>23.792694780691818</v>
      </c>
      <c r="BL21">
        <f t="shared" si="64"/>
        <v>-0.16242768578458894</v>
      </c>
      <c r="BM21">
        <f t="shared" si="65"/>
        <v>1.7007134658613434</v>
      </c>
      <c r="BN21">
        <f t="shared" si="66"/>
        <v>16.776241194974471</v>
      </c>
      <c r="BO21">
        <f t="shared" si="67"/>
        <v>7.9185475227942952</v>
      </c>
      <c r="BP21">
        <f t="shared" si="68"/>
        <v>13.482487678527832</v>
      </c>
      <c r="BQ21">
        <f t="shared" si="69"/>
        <v>1.5512097567725496</v>
      </c>
      <c r="BR21">
        <f t="shared" si="70"/>
        <v>0.10459222259794577</v>
      </c>
      <c r="BS21">
        <f t="shared" si="71"/>
        <v>0.89796031957768718</v>
      </c>
      <c r="BT21">
        <f t="shared" si="72"/>
        <v>0.65324943719486239</v>
      </c>
      <c r="BU21">
        <f t="shared" si="73"/>
        <v>6.5471945222761285E-2</v>
      </c>
      <c r="BV21">
        <f t="shared" si="74"/>
        <v>33.156626462926162</v>
      </c>
      <c r="BW21">
        <f t="shared" si="75"/>
        <v>0.81622947936580947</v>
      </c>
      <c r="BX21">
        <f t="shared" si="76"/>
        <v>52.703414845438388</v>
      </c>
      <c r="BY21">
        <f t="shared" si="77"/>
        <v>400.07155279880283</v>
      </c>
      <c r="BZ21">
        <f t="shared" si="78"/>
        <v>5.94899924181495E-3</v>
      </c>
      <c r="CA21">
        <f t="shared" si="79"/>
        <v>0</v>
      </c>
      <c r="CB21">
        <f t="shared" si="80"/>
        <v>130.0675987878372</v>
      </c>
      <c r="CC21">
        <f t="shared" si="81"/>
        <v>1153.72900390625</v>
      </c>
      <c r="CD21">
        <f t="shared" si="82"/>
        <v>0.61566654426525025</v>
      </c>
      <c r="CE21" t="e">
        <f t="shared" si="83"/>
        <v>#DIV/0!</v>
      </c>
    </row>
    <row r="22" spans="1:87" x14ac:dyDescent="0.25">
      <c r="A22" s="1">
        <v>8</v>
      </c>
      <c r="B22" s="1" t="s">
        <v>155</v>
      </c>
      <c r="C22" s="1">
        <v>600.49996226746589</v>
      </c>
      <c r="D22" s="1">
        <v>0</v>
      </c>
      <c r="E22">
        <f t="shared" si="42"/>
        <v>3.8676336930168684</v>
      </c>
      <c r="F22">
        <f t="shared" si="43"/>
        <v>0.10080389664157836</v>
      </c>
      <c r="G22">
        <f t="shared" si="44"/>
        <v>333.21072927771013</v>
      </c>
      <c r="H22" s="1">
        <v>23</v>
      </c>
      <c r="I22" s="1">
        <v>22</v>
      </c>
      <c r="J22" s="1">
        <v>0</v>
      </c>
      <c r="K22" s="1">
        <v>0</v>
      </c>
      <c r="L22" s="1">
        <v>492.477294921875</v>
      </c>
      <c r="M22" s="1">
        <v>1737.5416259765625</v>
      </c>
      <c r="N22" s="1">
        <v>625.6214599609375</v>
      </c>
      <c r="O22" t="e">
        <f t="shared" si="45"/>
        <v>#DIV/0!</v>
      </c>
      <c r="P22">
        <f t="shared" si="46"/>
        <v>0.71656662058666676</v>
      </c>
      <c r="Q22">
        <f t="shared" si="47"/>
        <v>0.63993872111736305</v>
      </c>
      <c r="R22" s="1">
        <v>-1</v>
      </c>
      <c r="S22" s="1">
        <v>0.87</v>
      </c>
      <c r="T22" s="1">
        <v>0.92</v>
      </c>
      <c r="U22" s="1">
        <v>10.913486480712891</v>
      </c>
      <c r="V22">
        <f t="shared" si="48"/>
        <v>0.87545674324035649</v>
      </c>
      <c r="W22">
        <f t="shared" si="49"/>
        <v>4.4046623583009578E-2</v>
      </c>
      <c r="X22">
        <f t="shared" si="50"/>
        <v>0.89306242117925205</v>
      </c>
      <c r="Y22">
        <f t="shared" si="51"/>
        <v>3.5281659558583316</v>
      </c>
      <c r="Z22">
        <f t="shared" si="52"/>
        <v>-1</v>
      </c>
      <c r="AA22" s="1">
        <v>126.23232269287109</v>
      </c>
      <c r="AB22" s="1">
        <v>0.5</v>
      </c>
      <c r="AC22">
        <f t="shared" si="53"/>
        <v>35.360114203833866</v>
      </c>
      <c r="AD22">
        <f t="shared" si="54"/>
        <v>0.80520352549598084</v>
      </c>
      <c r="AE22">
        <f t="shared" si="55"/>
        <v>0.80774274765344667</v>
      </c>
      <c r="AF22">
        <f t="shared" si="56"/>
        <v>14.916911125183105</v>
      </c>
      <c r="AG22" s="1">
        <v>1.8600000143051147</v>
      </c>
      <c r="AH22">
        <f t="shared" si="57"/>
        <v>4.8345794007042855</v>
      </c>
      <c r="AI22" s="1">
        <v>1</v>
      </c>
      <c r="AJ22">
        <f t="shared" si="58"/>
        <v>9.669158801408571</v>
      </c>
      <c r="AK22" s="1">
        <v>12.006239891052246</v>
      </c>
      <c r="AL22" s="1">
        <v>14.916911125183105</v>
      </c>
      <c r="AM22" s="1">
        <v>9.628117561340332</v>
      </c>
      <c r="AN22" s="1">
        <v>405.08432006835937</v>
      </c>
      <c r="AO22" s="1">
        <v>399.873779296875</v>
      </c>
      <c r="AP22" s="1">
        <v>7.8309502601623535</v>
      </c>
      <c r="AQ22" s="1">
        <v>8.8235301971435547</v>
      </c>
      <c r="AR22" s="1">
        <v>56.375217437744141</v>
      </c>
      <c r="AS22" s="1">
        <v>63.520824432373047</v>
      </c>
      <c r="AT22" s="1">
        <v>149.55609130859375</v>
      </c>
      <c r="AU22" s="1">
        <v>126.23232269287109</v>
      </c>
      <c r="AV22" s="1">
        <v>24.517288208007813</v>
      </c>
      <c r="AW22" s="1">
        <v>101.37680816650391</v>
      </c>
      <c r="AX22" s="1">
        <v>4.3217062950134277</v>
      </c>
      <c r="AY22" s="1">
        <v>8.2919441163539886E-2</v>
      </c>
      <c r="AZ22" s="1">
        <v>0.5</v>
      </c>
      <c r="BA22" s="1">
        <v>-1.355140209197998</v>
      </c>
      <c r="BB22" s="1">
        <v>7.355140209197998</v>
      </c>
      <c r="BC22" s="1">
        <v>1</v>
      </c>
      <c r="BD22" s="1">
        <v>0</v>
      </c>
      <c r="BE22" s="1">
        <v>0.15999999642372131</v>
      </c>
      <c r="BF22" s="1">
        <v>111115</v>
      </c>
      <c r="BG22">
        <f t="shared" si="59"/>
        <v>0.80406500085144894</v>
      </c>
      <c r="BH22">
        <f t="shared" si="60"/>
        <v>8.0520352549598082E-4</v>
      </c>
      <c r="BI22">
        <f t="shared" si="61"/>
        <v>288.06691112518308</v>
      </c>
      <c r="BJ22">
        <f t="shared" si="62"/>
        <v>285.15623989105222</v>
      </c>
      <c r="BK22">
        <f t="shared" si="63"/>
        <v>20.19717117941741</v>
      </c>
      <c r="BL22">
        <f t="shared" si="64"/>
        <v>-0.17327615696853582</v>
      </c>
      <c r="BM22">
        <f t="shared" si="65"/>
        <v>1.7022440758006232</v>
      </c>
      <c r="BN22">
        <f t="shared" si="66"/>
        <v>16.791257355477331</v>
      </c>
      <c r="BO22">
        <f t="shared" si="67"/>
        <v>7.9677271583337763</v>
      </c>
      <c r="BP22">
        <f t="shared" si="68"/>
        <v>13.461575508117676</v>
      </c>
      <c r="BQ22">
        <f t="shared" si="69"/>
        <v>1.5490979858770246</v>
      </c>
      <c r="BR22">
        <f t="shared" si="70"/>
        <v>9.9763828640074728E-2</v>
      </c>
      <c r="BS22">
        <f t="shared" si="71"/>
        <v>0.89450132814717653</v>
      </c>
      <c r="BT22">
        <f t="shared" si="72"/>
        <v>0.6545966577298481</v>
      </c>
      <c r="BU22">
        <f t="shared" si="73"/>
        <v>6.244500975001125E-2</v>
      </c>
      <c r="BV22">
        <f t="shared" si="74"/>
        <v>33.779840181007287</v>
      </c>
      <c r="BW22">
        <f t="shared" si="75"/>
        <v>0.83328976924572795</v>
      </c>
      <c r="BX22">
        <f t="shared" si="76"/>
        <v>52.428687991200071</v>
      </c>
      <c r="BY22">
        <f t="shared" si="77"/>
        <v>399.33378346137255</v>
      </c>
      <c r="BZ22">
        <f t="shared" si="78"/>
        <v>5.0778313419367546E-3</v>
      </c>
      <c r="CA22">
        <f t="shared" si="79"/>
        <v>0</v>
      </c>
      <c r="CB22">
        <f t="shared" si="80"/>
        <v>110.51093811636667</v>
      </c>
      <c r="CC22">
        <f t="shared" si="81"/>
        <v>1245.0643310546875</v>
      </c>
      <c r="CD22">
        <f t="shared" si="82"/>
        <v>0.63993872111736305</v>
      </c>
      <c r="CE22" t="e">
        <f t="shared" si="83"/>
        <v>#DIV/0!</v>
      </c>
    </row>
    <row r="23" spans="1:87" x14ac:dyDescent="0.25">
      <c r="A23" s="1">
        <v>9</v>
      </c>
      <c r="B23" s="1" t="s">
        <v>156</v>
      </c>
      <c r="C23" s="1">
        <v>674.49995716754347</v>
      </c>
      <c r="D23" s="1">
        <v>0</v>
      </c>
      <c r="E23">
        <f t="shared" si="42"/>
        <v>3.3492750208962394</v>
      </c>
      <c r="F23">
        <f t="shared" si="43"/>
        <v>9.5968063061737288E-2</v>
      </c>
      <c r="G23">
        <f t="shared" si="44"/>
        <v>339.22514644924155</v>
      </c>
      <c r="H23" s="1">
        <v>24</v>
      </c>
      <c r="I23" s="1">
        <v>23</v>
      </c>
      <c r="J23" s="1">
        <v>0</v>
      </c>
      <c r="K23" s="1">
        <v>0</v>
      </c>
      <c r="L23" s="1">
        <v>497.5322265625</v>
      </c>
      <c r="M23" s="1">
        <v>1817.7059326171875</v>
      </c>
      <c r="N23" s="1">
        <v>613.3525390625</v>
      </c>
      <c r="O23" t="e">
        <f t="shared" si="45"/>
        <v>#DIV/0!</v>
      </c>
      <c r="P23">
        <f t="shared" si="46"/>
        <v>0.72628563419709025</v>
      </c>
      <c r="Q23">
        <f t="shared" si="47"/>
        <v>0.66256778499953695</v>
      </c>
      <c r="R23" s="1">
        <v>-1</v>
      </c>
      <c r="S23" s="1">
        <v>0.87</v>
      </c>
      <c r="T23" s="1">
        <v>0.92</v>
      </c>
      <c r="U23" s="1">
        <v>9.8810501098632812</v>
      </c>
      <c r="V23">
        <f t="shared" si="48"/>
        <v>0.87494052505493158</v>
      </c>
      <c r="W23">
        <f t="shared" si="49"/>
        <v>4.9330917666498379E-2</v>
      </c>
      <c r="X23">
        <f t="shared" si="50"/>
        <v>0.91226888403486939</v>
      </c>
      <c r="Y23">
        <f t="shared" si="51"/>
        <v>3.6534436074139354</v>
      </c>
      <c r="Z23">
        <f t="shared" si="52"/>
        <v>-1</v>
      </c>
      <c r="AA23" s="1">
        <v>100.76718902587891</v>
      </c>
      <c r="AB23" s="1">
        <v>0.5</v>
      </c>
      <c r="AC23">
        <f t="shared" si="53"/>
        <v>29.207742864532701</v>
      </c>
      <c r="AD23">
        <f t="shared" si="54"/>
        <v>0.7625479229347879</v>
      </c>
      <c r="AE23">
        <f t="shared" si="55"/>
        <v>0.80316071611799744</v>
      </c>
      <c r="AF23">
        <f t="shared" si="56"/>
        <v>14.831382751464844</v>
      </c>
      <c r="AG23" s="1">
        <v>1.8600000143051147</v>
      </c>
      <c r="AH23">
        <f t="shared" si="57"/>
        <v>4.8345794007042855</v>
      </c>
      <c r="AI23" s="1">
        <v>1</v>
      </c>
      <c r="AJ23">
        <f t="shared" si="58"/>
        <v>9.669158801408571</v>
      </c>
      <c r="AK23" s="1">
        <v>11.907997131347656</v>
      </c>
      <c r="AL23" s="1">
        <v>14.831382751464844</v>
      </c>
      <c r="AM23" s="1">
        <v>9.6492118835449219</v>
      </c>
      <c r="AN23" s="1">
        <v>404.82672119140625</v>
      </c>
      <c r="AO23" s="1">
        <v>400.2802734375</v>
      </c>
      <c r="AP23" s="1">
        <v>7.836082935333252</v>
      </c>
      <c r="AQ23" s="1">
        <v>8.7764167785644531</v>
      </c>
      <c r="AR23" s="1">
        <v>56.778938293457031</v>
      </c>
      <c r="AS23" s="1">
        <v>63.592441558837891</v>
      </c>
      <c r="AT23" s="1">
        <v>149.50979614257812</v>
      </c>
      <c r="AU23" s="1">
        <v>100.76718902587891</v>
      </c>
      <c r="AV23" s="1">
        <v>24.487377166748047</v>
      </c>
      <c r="AW23" s="1">
        <v>101.377197265625</v>
      </c>
      <c r="AX23" s="1">
        <v>4.3217062950134277</v>
      </c>
      <c r="AY23" s="1">
        <v>8.2919441163539886E-2</v>
      </c>
      <c r="AZ23" s="1">
        <v>0.75</v>
      </c>
      <c r="BA23" s="1">
        <v>-1.355140209197998</v>
      </c>
      <c r="BB23" s="1">
        <v>7.355140209197998</v>
      </c>
      <c r="BC23" s="1">
        <v>1</v>
      </c>
      <c r="BD23" s="1">
        <v>0</v>
      </c>
      <c r="BE23" s="1">
        <v>0.15999999642372131</v>
      </c>
      <c r="BF23" s="1">
        <v>111115</v>
      </c>
      <c r="BG23">
        <f t="shared" si="59"/>
        <v>0.8038161021113438</v>
      </c>
      <c r="BH23">
        <f t="shared" si="60"/>
        <v>7.6254792293478787E-4</v>
      </c>
      <c r="BI23">
        <f t="shared" si="61"/>
        <v>287.98138275146482</v>
      </c>
      <c r="BJ23">
        <f t="shared" si="62"/>
        <v>285.05799713134763</v>
      </c>
      <c r="BK23">
        <f t="shared" si="63"/>
        <v>16.122749883769075</v>
      </c>
      <c r="BL23">
        <f t="shared" si="64"/>
        <v>-0.18214587495821424</v>
      </c>
      <c r="BM23">
        <f t="shared" si="65"/>
        <v>1.6928892511638671</v>
      </c>
      <c r="BN23">
        <f t="shared" si="66"/>
        <v>16.698915503929523</v>
      </c>
      <c r="BO23">
        <f t="shared" si="67"/>
        <v>7.9224987253650703</v>
      </c>
      <c r="BP23">
        <f t="shared" si="68"/>
        <v>13.36968994140625</v>
      </c>
      <c r="BQ23">
        <f t="shared" si="69"/>
        <v>1.5398490455313913</v>
      </c>
      <c r="BR23">
        <f t="shared" si="70"/>
        <v>9.5024924354412246E-2</v>
      </c>
      <c r="BS23">
        <f t="shared" si="71"/>
        <v>0.88972853504586968</v>
      </c>
      <c r="BT23">
        <f t="shared" si="72"/>
        <v>0.65012051048552166</v>
      </c>
      <c r="BU23">
        <f t="shared" si="73"/>
        <v>5.9474598792684366E-2</v>
      </c>
      <c r="BV23">
        <f t="shared" si="74"/>
        <v>34.389694589045291</v>
      </c>
      <c r="BW23">
        <f t="shared" si="75"/>
        <v>0.84746905845763187</v>
      </c>
      <c r="BX23">
        <f t="shared" si="76"/>
        <v>52.416964286679047</v>
      </c>
      <c r="BY23">
        <f t="shared" si="77"/>
        <v>399.81265041350423</v>
      </c>
      <c r="BZ23">
        <f t="shared" si="78"/>
        <v>4.3910273718206156E-3</v>
      </c>
      <c r="CA23">
        <f t="shared" si="79"/>
        <v>0</v>
      </c>
      <c r="CB23">
        <f t="shared" si="80"/>
        <v>88.16529727461203</v>
      </c>
      <c r="CC23">
        <f t="shared" si="81"/>
        <v>1320.1737060546875</v>
      </c>
      <c r="CD23">
        <f t="shared" si="82"/>
        <v>0.66256778499953695</v>
      </c>
      <c r="CE23" t="e">
        <f t="shared" si="83"/>
        <v>#DIV/0!</v>
      </c>
    </row>
    <row r="24" spans="1:87" x14ac:dyDescent="0.25">
      <c r="A24" s="1">
        <v>10</v>
      </c>
      <c r="B24" s="1" t="s">
        <v>157</v>
      </c>
      <c r="C24" s="1">
        <v>748.49995206762105</v>
      </c>
      <c r="D24" s="1">
        <v>0</v>
      </c>
      <c r="E24">
        <f t="shared" si="42"/>
        <v>2.5001359452603946</v>
      </c>
      <c r="F24">
        <f t="shared" si="43"/>
        <v>9.035171034263835E-2</v>
      </c>
      <c r="G24">
        <f t="shared" si="44"/>
        <v>351.84727295604773</v>
      </c>
      <c r="H24" s="1">
        <v>25</v>
      </c>
      <c r="I24" s="1">
        <v>24</v>
      </c>
      <c r="J24" s="1">
        <v>0</v>
      </c>
      <c r="K24" s="1">
        <v>0</v>
      </c>
      <c r="L24" s="1">
        <v>499.718505859375</v>
      </c>
      <c r="M24" s="1">
        <v>1875.640625</v>
      </c>
      <c r="N24" s="1">
        <v>593.7882080078125</v>
      </c>
      <c r="O24" t="e">
        <f t="shared" si="45"/>
        <v>#DIV/0!</v>
      </c>
      <c r="P24">
        <f t="shared" si="46"/>
        <v>0.73357449225681226</v>
      </c>
      <c r="Q24">
        <f t="shared" si="47"/>
        <v>0.68342112017977186</v>
      </c>
      <c r="R24" s="1">
        <v>-1</v>
      </c>
      <c r="S24" s="1">
        <v>0.87</v>
      </c>
      <c r="T24" s="1">
        <v>0.92</v>
      </c>
      <c r="U24" s="1">
        <v>8.1733760833740234</v>
      </c>
      <c r="V24">
        <f t="shared" si="48"/>
        <v>0.87408668804168699</v>
      </c>
      <c r="W24">
        <f t="shared" si="49"/>
        <v>5.3358034659679414E-2</v>
      </c>
      <c r="X24">
        <f t="shared" si="50"/>
        <v>0.93163152126139837</v>
      </c>
      <c r="Y24">
        <f t="shared" si="51"/>
        <v>3.7533943670435552</v>
      </c>
      <c r="Z24">
        <f t="shared" si="52"/>
        <v>-1</v>
      </c>
      <c r="AA24" s="1">
        <v>75.046524047851563</v>
      </c>
      <c r="AB24" s="1">
        <v>0.5</v>
      </c>
      <c r="AC24">
        <f t="shared" si="53"/>
        <v>22.415244899367849</v>
      </c>
      <c r="AD24">
        <f t="shared" si="54"/>
        <v>0.71889006407393174</v>
      </c>
      <c r="AE24">
        <f t="shared" si="55"/>
        <v>0.80387730054735562</v>
      </c>
      <c r="AF24">
        <f t="shared" si="56"/>
        <v>14.783639907836914</v>
      </c>
      <c r="AG24" s="1">
        <v>1.8600000143051147</v>
      </c>
      <c r="AH24">
        <f t="shared" si="57"/>
        <v>4.8345794007042855</v>
      </c>
      <c r="AI24" s="1">
        <v>1</v>
      </c>
      <c r="AJ24">
        <f t="shared" si="58"/>
        <v>9.669158801408571</v>
      </c>
      <c r="AK24" s="1">
        <v>11.898021697998047</v>
      </c>
      <c r="AL24" s="1">
        <v>14.783639907836914</v>
      </c>
      <c r="AM24" s="1">
        <v>9.6475276947021484</v>
      </c>
      <c r="AN24" s="1">
        <v>404.77548217773438</v>
      </c>
      <c r="AO24" s="1">
        <v>401.3077392578125</v>
      </c>
      <c r="AP24" s="1">
        <v>7.8313231468200684</v>
      </c>
      <c r="AQ24" s="1">
        <v>8.7174901962280273</v>
      </c>
      <c r="AR24" s="1">
        <v>56.785324096679688</v>
      </c>
      <c r="AS24" s="1">
        <v>63.210968017578125</v>
      </c>
      <c r="AT24" s="1">
        <v>149.57440185546875</v>
      </c>
      <c r="AU24" s="1">
        <v>75.046524047851563</v>
      </c>
      <c r="AV24" s="1">
        <v>24.528156280517578</v>
      </c>
      <c r="AW24" s="1">
        <v>101.38349914550781</v>
      </c>
      <c r="AX24" s="1">
        <v>4.3217062950134277</v>
      </c>
      <c r="AY24" s="1">
        <v>8.2919441163539886E-2</v>
      </c>
      <c r="AZ24" s="1">
        <v>0.75</v>
      </c>
      <c r="BA24" s="1">
        <v>-1.355140209197998</v>
      </c>
      <c r="BB24" s="1">
        <v>7.355140209197998</v>
      </c>
      <c r="BC24" s="1">
        <v>1</v>
      </c>
      <c r="BD24" s="1">
        <v>0</v>
      </c>
      <c r="BE24" s="1">
        <v>0.15999999642372131</v>
      </c>
      <c r="BF24" s="1">
        <v>111115</v>
      </c>
      <c r="BG24">
        <f t="shared" si="59"/>
        <v>0.80416344465109513</v>
      </c>
      <c r="BH24">
        <f t="shared" si="60"/>
        <v>7.1889006407393173E-4</v>
      </c>
      <c r="BI24">
        <f t="shared" si="61"/>
        <v>287.93363990783689</v>
      </c>
      <c r="BJ24">
        <f t="shared" si="62"/>
        <v>285.04802169799802</v>
      </c>
      <c r="BK24">
        <f t="shared" si="63"/>
        <v>12.007443579268966</v>
      </c>
      <c r="BL24">
        <f t="shared" si="64"/>
        <v>-0.18909860546630608</v>
      </c>
      <c r="BM24">
        <f t="shared" si="65"/>
        <v>1.6876869604076126</v>
      </c>
      <c r="BN24">
        <f t="shared" si="66"/>
        <v>16.646564526101109</v>
      </c>
      <c r="BO24">
        <f t="shared" si="67"/>
        <v>7.9290743298730817</v>
      </c>
      <c r="BP24">
        <f t="shared" si="68"/>
        <v>13.34083080291748</v>
      </c>
      <c r="BQ24">
        <f t="shared" si="69"/>
        <v>1.5369542051166543</v>
      </c>
      <c r="BR24">
        <f t="shared" si="70"/>
        <v>8.9515251223914044E-2</v>
      </c>
      <c r="BS24">
        <f t="shared" si="71"/>
        <v>0.88380965986025695</v>
      </c>
      <c r="BT24">
        <f t="shared" si="72"/>
        <v>0.65314454525639731</v>
      </c>
      <c r="BU24">
        <f t="shared" si="73"/>
        <v>5.6021586125958901E-2</v>
      </c>
      <c r="BV24">
        <f t="shared" si="74"/>
        <v>35.671507697088714</v>
      </c>
      <c r="BW24">
        <f t="shared" si="75"/>
        <v>0.87675177559934914</v>
      </c>
      <c r="BX24">
        <f t="shared" si="76"/>
        <v>52.202906918523631</v>
      </c>
      <c r="BY24">
        <f t="shared" si="77"/>
        <v>400.9586723332306</v>
      </c>
      <c r="BZ24">
        <f t="shared" si="78"/>
        <v>3.2550577662930555E-3</v>
      </c>
      <c r="CA24">
        <f t="shared" si="79"/>
        <v>0</v>
      </c>
      <c r="CB24">
        <f t="shared" si="80"/>
        <v>65.597167654027388</v>
      </c>
      <c r="CC24">
        <f t="shared" si="81"/>
        <v>1375.922119140625</v>
      </c>
      <c r="CD24">
        <f t="shared" si="82"/>
        <v>0.68342112017977186</v>
      </c>
      <c r="CE24" t="e">
        <f t="shared" si="83"/>
        <v>#DIV/0!</v>
      </c>
    </row>
    <row r="25" spans="1:87" x14ac:dyDescent="0.25">
      <c r="A25" s="1">
        <v>11</v>
      </c>
      <c r="B25" s="1" t="s">
        <v>158</v>
      </c>
      <c r="C25" s="1">
        <v>822.9999469332397</v>
      </c>
      <c r="D25" s="1">
        <v>0</v>
      </c>
      <c r="E25">
        <f t="shared" si="42"/>
        <v>1.3794114067696024</v>
      </c>
      <c r="F25">
        <f t="shared" si="43"/>
        <v>8.4896937749571175E-2</v>
      </c>
      <c r="G25">
        <f t="shared" si="44"/>
        <v>369.96475966482132</v>
      </c>
      <c r="H25" s="1">
        <v>26</v>
      </c>
      <c r="I25" s="1">
        <v>25</v>
      </c>
      <c r="J25" s="1">
        <v>0</v>
      </c>
      <c r="K25" s="1">
        <v>0</v>
      </c>
      <c r="L25" s="1">
        <v>498.48876953125</v>
      </c>
      <c r="M25" s="1">
        <v>1924.785888671875</v>
      </c>
      <c r="N25" s="1">
        <v>572.4691162109375</v>
      </c>
      <c r="O25" t="e">
        <f t="shared" si="45"/>
        <v>#DIV/0!</v>
      </c>
      <c r="P25">
        <f t="shared" si="46"/>
        <v>0.74101598912115196</v>
      </c>
      <c r="Q25">
        <f t="shared" si="47"/>
        <v>0.70258036513040523</v>
      </c>
      <c r="R25" s="1">
        <v>-1</v>
      </c>
      <c r="S25" s="1">
        <v>0.87</v>
      </c>
      <c r="T25" s="1">
        <v>0.92</v>
      </c>
      <c r="U25" s="1">
        <v>12.256671905517578</v>
      </c>
      <c r="V25">
        <f t="shared" si="48"/>
        <v>0.87612833595275885</v>
      </c>
      <c r="W25">
        <f t="shared" si="49"/>
        <v>5.3922305601325986E-2</v>
      </c>
      <c r="X25">
        <f t="shared" si="50"/>
        <v>0.94813118130375085</v>
      </c>
      <c r="Y25">
        <f t="shared" si="51"/>
        <v>3.8612422311576493</v>
      </c>
      <c r="Z25">
        <f t="shared" si="52"/>
        <v>-1</v>
      </c>
      <c r="AA25" s="1">
        <v>50.365524291992188</v>
      </c>
      <c r="AB25" s="1">
        <v>0.5</v>
      </c>
      <c r="AC25">
        <f t="shared" si="53"/>
        <v>15.501263496812806</v>
      </c>
      <c r="AD25">
        <f t="shared" si="54"/>
        <v>0.68093033935213088</v>
      </c>
      <c r="AE25">
        <f t="shared" si="55"/>
        <v>0.80992218840258223</v>
      </c>
      <c r="AF25">
        <f t="shared" si="56"/>
        <v>14.788850784301758</v>
      </c>
      <c r="AG25" s="1">
        <v>1.8600000143051147</v>
      </c>
      <c r="AH25">
        <f t="shared" si="57"/>
        <v>4.8345794007042855</v>
      </c>
      <c r="AI25" s="1">
        <v>1</v>
      </c>
      <c r="AJ25">
        <f t="shared" si="58"/>
        <v>9.669158801408571</v>
      </c>
      <c r="AK25" s="1">
        <v>12.076811790466309</v>
      </c>
      <c r="AL25" s="1">
        <v>14.788850784301758</v>
      </c>
      <c r="AM25" s="1">
        <v>9.8101339340209961</v>
      </c>
      <c r="AN25" s="1">
        <v>403.19735717773437</v>
      </c>
      <c r="AO25" s="1">
        <v>401.14215087890625</v>
      </c>
      <c r="AP25" s="1">
        <v>7.8239359855651855</v>
      </c>
      <c r="AQ25" s="1">
        <v>8.6634378433227539</v>
      </c>
      <c r="AR25" s="1">
        <v>56.067295074462891</v>
      </c>
      <c r="AS25" s="1">
        <v>62.083267211914063</v>
      </c>
      <c r="AT25" s="1">
        <v>149.55987548828125</v>
      </c>
      <c r="AU25" s="1">
        <v>50.365524291992188</v>
      </c>
      <c r="AV25" s="1">
        <v>24.382583618164063</v>
      </c>
      <c r="AW25" s="1">
        <v>101.38375854492187</v>
      </c>
      <c r="AX25" s="1">
        <v>4.3217062950134277</v>
      </c>
      <c r="AY25" s="1">
        <v>8.2919441163539886E-2</v>
      </c>
      <c r="AZ25" s="1">
        <v>0.5</v>
      </c>
      <c r="BA25" s="1">
        <v>-1.355140209197998</v>
      </c>
      <c r="BB25" s="1">
        <v>7.355140209197998</v>
      </c>
      <c r="BC25" s="1">
        <v>1</v>
      </c>
      <c r="BD25" s="1">
        <v>0</v>
      </c>
      <c r="BE25" s="1">
        <v>0.15999999642372131</v>
      </c>
      <c r="BF25" s="1">
        <v>111115</v>
      </c>
      <c r="BG25">
        <f t="shared" si="59"/>
        <v>0.80408534590337588</v>
      </c>
      <c r="BH25">
        <f t="shared" si="60"/>
        <v>6.8093033935213087E-4</v>
      </c>
      <c r="BI25">
        <f t="shared" si="61"/>
        <v>287.93885078430174</v>
      </c>
      <c r="BJ25">
        <f t="shared" si="62"/>
        <v>285.22681179046629</v>
      </c>
      <c r="BK25">
        <f t="shared" si="63"/>
        <v>8.0584837065975989</v>
      </c>
      <c r="BL25">
        <f t="shared" si="64"/>
        <v>-0.19119435093605167</v>
      </c>
      <c r="BM25">
        <f t="shared" si="65"/>
        <v>1.6882540788789551</v>
      </c>
      <c r="BN25">
        <f t="shared" si="66"/>
        <v>16.652115714677425</v>
      </c>
      <c r="BO25">
        <f t="shared" si="67"/>
        <v>7.9886778713546711</v>
      </c>
      <c r="BP25">
        <f t="shared" si="68"/>
        <v>13.432831287384033</v>
      </c>
      <c r="BQ25">
        <f t="shared" si="69"/>
        <v>1.5461994377714801</v>
      </c>
      <c r="BR25">
        <f t="shared" si="70"/>
        <v>8.4158015373895209E-2</v>
      </c>
      <c r="BS25">
        <f t="shared" si="71"/>
        <v>0.87833189047637283</v>
      </c>
      <c r="BT25">
        <f t="shared" si="72"/>
        <v>0.66786754729510722</v>
      </c>
      <c r="BU25">
        <f t="shared" si="73"/>
        <v>5.2664651786660063E-2</v>
      </c>
      <c r="BV25">
        <f t="shared" si="74"/>
        <v>37.508417863988299</v>
      </c>
      <c r="BW25">
        <f t="shared" si="75"/>
        <v>0.92227844631691036</v>
      </c>
      <c r="BX25">
        <f t="shared" si="76"/>
        <v>51.833927019517233</v>
      </c>
      <c r="BY25">
        <f t="shared" si="77"/>
        <v>400.94955859271198</v>
      </c>
      <c r="BZ25">
        <f t="shared" si="78"/>
        <v>1.7832744457767519E-3</v>
      </c>
      <c r="CA25">
        <f t="shared" si="79"/>
        <v>0</v>
      </c>
      <c r="CB25">
        <f t="shared" si="80"/>
        <v>44.126662987331365</v>
      </c>
      <c r="CC25">
        <f t="shared" si="81"/>
        <v>1426.297119140625</v>
      </c>
      <c r="CD25">
        <f t="shared" si="82"/>
        <v>0.70258036513040523</v>
      </c>
      <c r="CE25" t="e">
        <f t="shared" si="83"/>
        <v>#DIV/0!</v>
      </c>
    </row>
    <row r="26" spans="1:87" x14ac:dyDescent="0.25">
      <c r="A26" s="1">
        <v>12</v>
      </c>
      <c r="B26" s="1" t="s">
        <v>159</v>
      </c>
      <c r="C26" s="1">
        <v>896.99994183331728</v>
      </c>
      <c r="D26" s="1">
        <v>0</v>
      </c>
      <c r="E26">
        <f t="shared" si="42"/>
        <v>0.20449276498662686</v>
      </c>
      <c r="F26">
        <f t="shared" si="43"/>
        <v>7.8072038163118349E-2</v>
      </c>
      <c r="G26">
        <f t="shared" si="44"/>
        <v>391.36174870382928</v>
      </c>
      <c r="H26" s="1">
        <v>27</v>
      </c>
      <c r="I26" s="1">
        <v>26</v>
      </c>
      <c r="J26" s="1">
        <v>0</v>
      </c>
      <c r="K26" s="1">
        <v>0</v>
      </c>
      <c r="L26" s="1">
        <v>498.663330078125</v>
      </c>
      <c r="M26" s="1">
        <v>1966.6324462890625</v>
      </c>
      <c r="N26" s="1">
        <v>544.34039306640625</v>
      </c>
      <c r="O26" t="e">
        <f t="shared" si="45"/>
        <v>#DIV/0!</v>
      </c>
      <c r="P26">
        <f t="shared" si="46"/>
        <v>0.74643796250840977</v>
      </c>
      <c r="Q26">
        <f t="shared" si="47"/>
        <v>0.72321193312276044</v>
      </c>
      <c r="R26" s="1">
        <v>-1</v>
      </c>
      <c r="S26" s="1">
        <v>0.87</v>
      </c>
      <c r="T26" s="1">
        <v>0.92</v>
      </c>
      <c r="U26" s="1">
        <v>14.168544769287109</v>
      </c>
      <c r="V26">
        <f t="shared" si="48"/>
        <v>0.8770842723846437</v>
      </c>
      <c r="W26">
        <f t="shared" si="49"/>
        <v>5.9035760268073091E-2</v>
      </c>
      <c r="X26">
        <f t="shared" si="50"/>
        <v>0.96888417986191633</v>
      </c>
      <c r="Y26">
        <f t="shared" si="51"/>
        <v>3.943808031725438</v>
      </c>
      <c r="Z26">
        <f t="shared" si="52"/>
        <v>-1</v>
      </c>
      <c r="AA26" s="1">
        <v>23.262035369873047</v>
      </c>
      <c r="AB26" s="1">
        <v>0.5</v>
      </c>
      <c r="AC26">
        <f t="shared" si="53"/>
        <v>7.3777616909039407</v>
      </c>
      <c r="AD26">
        <f t="shared" si="54"/>
        <v>0.62569362601822265</v>
      </c>
      <c r="AE26">
        <f t="shared" si="55"/>
        <v>0.80880739386399103</v>
      </c>
      <c r="AF26">
        <f t="shared" si="56"/>
        <v>14.714042663574219</v>
      </c>
      <c r="AG26" s="1">
        <v>1.8600000143051147</v>
      </c>
      <c r="AH26">
        <f t="shared" si="57"/>
        <v>4.8345794007042855</v>
      </c>
      <c r="AI26" s="1">
        <v>1</v>
      </c>
      <c r="AJ26">
        <f t="shared" si="58"/>
        <v>9.669158801408571</v>
      </c>
      <c r="AK26" s="1">
        <v>12.034346580505371</v>
      </c>
      <c r="AL26" s="1">
        <v>14.714042663574219</v>
      </c>
      <c r="AM26" s="1">
        <v>10.089305877685547</v>
      </c>
      <c r="AN26" s="1">
        <v>401.26104736328125</v>
      </c>
      <c r="AO26" s="1">
        <v>400.69491577148437</v>
      </c>
      <c r="AP26" s="1">
        <v>7.8224682807922363</v>
      </c>
      <c r="AQ26" s="1">
        <v>8.5939464569091797</v>
      </c>
      <c r="AR26" s="1">
        <v>56.216033935546875</v>
      </c>
      <c r="AS26" s="1">
        <v>61.760250091552734</v>
      </c>
      <c r="AT26" s="1">
        <v>149.55557250976562</v>
      </c>
      <c r="AU26" s="1">
        <v>23.262035369873047</v>
      </c>
      <c r="AV26" s="1">
        <v>24.494874954223633</v>
      </c>
      <c r="AW26" s="1">
        <v>101.38777160644531</v>
      </c>
      <c r="AX26" s="1">
        <v>4.3217062950134277</v>
      </c>
      <c r="AY26" s="1">
        <v>8.2919441163539886E-2</v>
      </c>
      <c r="AZ26" s="1">
        <v>0.75</v>
      </c>
      <c r="BA26" s="1">
        <v>-1.355140209197998</v>
      </c>
      <c r="BB26" s="1">
        <v>7.355140209197998</v>
      </c>
      <c r="BC26" s="1">
        <v>1</v>
      </c>
      <c r="BD26" s="1">
        <v>0</v>
      </c>
      <c r="BE26" s="1">
        <v>0.15999999642372131</v>
      </c>
      <c r="BF26" s="1">
        <v>111115</v>
      </c>
      <c r="BG26">
        <f t="shared" si="59"/>
        <v>0.80406221161045899</v>
      </c>
      <c r="BH26">
        <f t="shared" si="60"/>
        <v>6.2569362601822269E-4</v>
      </c>
      <c r="BI26">
        <f t="shared" si="61"/>
        <v>287.8640426635742</v>
      </c>
      <c r="BJ26">
        <f t="shared" si="62"/>
        <v>285.18434658050535</v>
      </c>
      <c r="BK26">
        <f t="shared" si="63"/>
        <v>3.7219255759881662</v>
      </c>
      <c r="BL26">
        <f t="shared" si="64"/>
        <v>-0.19721271124234363</v>
      </c>
      <c r="BM26">
        <f t="shared" si="65"/>
        <v>1.6801284744351188</v>
      </c>
      <c r="BN26">
        <f t="shared" si="66"/>
        <v>16.571312770901372</v>
      </c>
      <c r="BO26">
        <f t="shared" si="67"/>
        <v>7.9773663139921922</v>
      </c>
      <c r="BP26">
        <f t="shared" si="68"/>
        <v>13.374194622039795</v>
      </c>
      <c r="BQ26">
        <f t="shared" si="69"/>
        <v>1.5403013393150922</v>
      </c>
      <c r="BR26">
        <f t="shared" si="70"/>
        <v>7.744670741603088E-2</v>
      </c>
      <c r="BS26">
        <f t="shared" si="71"/>
        <v>0.87132108057112778</v>
      </c>
      <c r="BT26">
        <f t="shared" si="72"/>
        <v>0.66898025874396438</v>
      </c>
      <c r="BU26">
        <f t="shared" si="73"/>
        <v>4.8459988438199549E-2</v>
      </c>
      <c r="BV26">
        <f t="shared" si="74"/>
        <v>39.679295593082891</v>
      </c>
      <c r="BW26">
        <f t="shared" si="75"/>
        <v>0.97670754806138393</v>
      </c>
      <c r="BX26">
        <f t="shared" si="76"/>
        <v>51.637438036470286</v>
      </c>
      <c r="BY26">
        <f t="shared" si="77"/>
        <v>400.66636465981043</v>
      </c>
      <c r="BZ26">
        <f t="shared" si="78"/>
        <v>2.6354801431532822E-4</v>
      </c>
      <c r="CA26">
        <f t="shared" si="79"/>
        <v>0</v>
      </c>
      <c r="CB26">
        <f t="shared" si="80"/>
        <v>20.402765366570947</v>
      </c>
      <c r="CC26">
        <f t="shared" si="81"/>
        <v>1467.9691162109375</v>
      </c>
      <c r="CD26">
        <f t="shared" si="82"/>
        <v>0.72321193312276044</v>
      </c>
      <c r="CE26" t="e">
        <f t="shared" si="83"/>
        <v>#DIV/0!</v>
      </c>
    </row>
    <row r="27" spans="1:87" x14ac:dyDescent="0.25">
      <c r="A27" s="1">
        <v>14</v>
      </c>
      <c r="B27" s="1" t="s">
        <v>160</v>
      </c>
      <c r="C27" s="1">
        <v>1114.4999932115898</v>
      </c>
      <c r="D27" s="1">
        <v>0</v>
      </c>
      <c r="E27">
        <f t="shared" si="42"/>
        <v>-1.1434772315380868</v>
      </c>
      <c r="F27">
        <f t="shared" si="43"/>
        <v>6.2039242234868112E-2</v>
      </c>
      <c r="G27">
        <f t="shared" si="44"/>
        <v>422.88141077907255</v>
      </c>
      <c r="H27" s="1">
        <v>28</v>
      </c>
      <c r="I27" s="1">
        <v>27</v>
      </c>
      <c r="J27" s="1">
        <v>0</v>
      </c>
      <c r="K27" s="1">
        <v>0</v>
      </c>
      <c r="L27" s="1">
        <v>488.78076171875</v>
      </c>
      <c r="M27" s="1">
        <v>2010.2733154296875</v>
      </c>
      <c r="N27" s="1">
        <v>478.22592163085937</v>
      </c>
      <c r="O27" t="e">
        <f t="shared" si="45"/>
        <v>#DIV/0!</v>
      </c>
      <c r="P27">
        <f t="shared" si="46"/>
        <v>0.75685855352744646</v>
      </c>
      <c r="Q27">
        <f t="shared" si="47"/>
        <v>0.76210900380546487</v>
      </c>
      <c r="R27" s="1">
        <v>-1</v>
      </c>
      <c r="S27" s="1">
        <v>0.87</v>
      </c>
      <c r="T27" s="1">
        <v>0.92</v>
      </c>
      <c r="U27" s="1">
        <v>0</v>
      </c>
      <c r="V27">
        <f t="shared" si="48"/>
        <v>0.87</v>
      </c>
      <c r="W27">
        <f t="shared" si="49"/>
        <v>-0.39935803955279459</v>
      </c>
      <c r="X27">
        <f t="shared" si="50"/>
        <v>1.0069371618429201</v>
      </c>
      <c r="Y27">
        <f t="shared" si="51"/>
        <v>4.1128323225340475</v>
      </c>
      <c r="Z27">
        <f t="shared" si="52"/>
        <v>-1</v>
      </c>
      <c r="AA27" s="1">
        <v>0.51346087455749512</v>
      </c>
      <c r="AB27" s="1">
        <v>0.5</v>
      </c>
      <c r="AC27">
        <f t="shared" si="53"/>
        <v>0.17022122268691148</v>
      </c>
      <c r="AD27">
        <f t="shared" si="54"/>
        <v>0.5401144258428211</v>
      </c>
      <c r="AE27">
        <f t="shared" si="55"/>
        <v>0.87698470945912688</v>
      </c>
      <c r="AF27">
        <f t="shared" si="56"/>
        <v>15.224122047424316</v>
      </c>
      <c r="AG27" s="1">
        <v>1.8600000143051147</v>
      </c>
      <c r="AH27">
        <f t="shared" si="57"/>
        <v>4.8345794007042855</v>
      </c>
      <c r="AI27" s="1">
        <v>1</v>
      </c>
      <c r="AJ27">
        <f t="shared" si="58"/>
        <v>9.669158801408571</v>
      </c>
      <c r="AK27" s="1">
        <v>13.170977592468262</v>
      </c>
      <c r="AL27" s="1">
        <v>15.224122047424316</v>
      </c>
      <c r="AM27" s="1">
        <v>11.185571670532227</v>
      </c>
      <c r="AN27" s="1">
        <v>397.83047485351562</v>
      </c>
      <c r="AO27" s="1">
        <v>398.98455810546875</v>
      </c>
      <c r="AP27" s="1">
        <v>7.80865478515625</v>
      </c>
      <c r="AQ27" s="1">
        <v>8.4746761322021484</v>
      </c>
      <c r="AR27" s="1">
        <v>52.085716247558594</v>
      </c>
      <c r="AS27" s="1">
        <v>56.528247833251953</v>
      </c>
      <c r="AT27" s="1">
        <v>149.55963134765625</v>
      </c>
      <c r="AU27" s="1">
        <v>0.41295364499092102</v>
      </c>
      <c r="AV27" s="1">
        <v>24.1678466796875</v>
      </c>
      <c r="AW27" s="1">
        <v>101.38874816894531</v>
      </c>
      <c r="AX27" s="1">
        <v>4.3217062950134277</v>
      </c>
      <c r="AY27" s="1">
        <v>8.2919441163539886E-2</v>
      </c>
      <c r="AZ27" s="1">
        <v>1</v>
      </c>
      <c r="BA27" s="1">
        <v>-1.355140209197998</v>
      </c>
      <c r="BB27" s="1">
        <v>7.355140209197998</v>
      </c>
      <c r="BC27" s="1">
        <v>1</v>
      </c>
      <c r="BD27" s="1">
        <v>0</v>
      </c>
      <c r="BE27" s="1">
        <v>0.15999999642372131</v>
      </c>
      <c r="BF27" s="1">
        <v>111115</v>
      </c>
      <c r="BG27">
        <f t="shared" si="59"/>
        <v>0.80408403331938061</v>
      </c>
      <c r="BH27">
        <f t="shared" si="60"/>
        <v>5.4011442584282114E-4</v>
      </c>
      <c r="BI27">
        <f t="shared" si="61"/>
        <v>288.37412204742429</v>
      </c>
      <c r="BJ27">
        <f t="shared" si="62"/>
        <v>286.32097759246824</v>
      </c>
      <c r="BK27">
        <f t="shared" si="63"/>
        <v>6.6072581721710044E-2</v>
      </c>
      <c r="BL27">
        <f t="shared" si="64"/>
        <v>-0.17287131273949119</v>
      </c>
      <c r="BM27">
        <f t="shared" si="65"/>
        <v>1.7362215136403421</v>
      </c>
      <c r="BN27">
        <f t="shared" si="66"/>
        <v>17.124400340235535</v>
      </c>
      <c r="BO27">
        <f t="shared" si="67"/>
        <v>8.6497242080333869</v>
      </c>
      <c r="BP27">
        <f t="shared" si="68"/>
        <v>14.197549819946289</v>
      </c>
      <c r="BQ27">
        <f t="shared" si="69"/>
        <v>1.6249590409006818</v>
      </c>
      <c r="BR27">
        <f t="shared" si="70"/>
        <v>6.1643723866028545E-2</v>
      </c>
      <c r="BS27">
        <f t="shared" si="71"/>
        <v>0.85923680418121517</v>
      </c>
      <c r="BT27">
        <f t="shared" si="72"/>
        <v>0.7657222367194666</v>
      </c>
      <c r="BU27">
        <f t="shared" si="73"/>
        <v>3.8562668112528405E-2</v>
      </c>
      <c r="BV27">
        <f t="shared" si="74"/>
        <v>42.875416862807704</v>
      </c>
      <c r="BW27">
        <f t="shared" si="75"/>
        <v>1.0598941793313386</v>
      </c>
      <c r="BX27">
        <f t="shared" si="76"/>
        <v>49.160189862422364</v>
      </c>
      <c r="BY27">
        <f t="shared" si="77"/>
        <v>399.14420945614796</v>
      </c>
      <c r="BZ27">
        <f t="shared" si="78"/>
        <v>-1.408352081127845E-3</v>
      </c>
      <c r="CA27">
        <f t="shared" si="79"/>
        <v>0</v>
      </c>
      <c r="CB27">
        <f t="shared" si="80"/>
        <v>0.35926967114210129</v>
      </c>
      <c r="CC27">
        <f t="shared" si="81"/>
        <v>1521.4925537109375</v>
      </c>
      <c r="CD27">
        <f t="shared" si="82"/>
        <v>0.76210900380546487</v>
      </c>
      <c r="CE27" t="e">
        <f t="shared" si="83"/>
        <v>#DIV/0!</v>
      </c>
    </row>
    <row r="29" spans="1:87" x14ac:dyDescent="0.25">
      <c r="A29" s="1">
        <v>4</v>
      </c>
      <c r="B29" s="1" t="s">
        <v>191</v>
      </c>
      <c r="C29" s="1">
        <v>830.99994431436062</v>
      </c>
      <c r="D29" s="1">
        <v>0</v>
      </c>
      <c r="E29">
        <f t="shared" ref="E29:E38" si="84">(AN29-AO29*(1000-AP29)/(1000-AQ29))*BK29</f>
        <v>3.3337954500353235</v>
      </c>
      <c r="F29">
        <f t="shared" ref="F29:F38" si="85">IF(BV29&lt;&gt;0,1/(1/BV29-1/AJ29),0)</f>
        <v>0.11921980080757845</v>
      </c>
      <c r="G29">
        <f t="shared" ref="G29:G38" si="86">((BY29-BL29/2)*AO29-E29)/(BY29+BL29/2)</f>
        <v>346.15966201100474</v>
      </c>
      <c r="H29" s="1">
        <v>59</v>
      </c>
      <c r="I29" s="1">
        <v>0</v>
      </c>
      <c r="J29" s="1">
        <v>0</v>
      </c>
      <c r="K29" s="1">
        <v>0</v>
      </c>
      <c r="L29" s="1">
        <v>0</v>
      </c>
      <c r="M29" s="1">
        <v>303.04669189453125</v>
      </c>
      <c r="N29" s="1">
        <v>145.98554992675781</v>
      </c>
      <c r="O29" t="e">
        <f t="shared" ref="O29:O38" si="87">CE29/K29</f>
        <v>#DIV/0!</v>
      </c>
      <c r="P29">
        <f t="shared" ref="P29:P38" si="88">CG29/M29</f>
        <v>1</v>
      </c>
      <c r="Q29">
        <f t="shared" ref="Q29:Q38" si="89">(M29-N29)/M29</f>
        <v>0.5182737385644689</v>
      </c>
      <c r="R29" s="1">
        <v>-1</v>
      </c>
      <c r="S29" s="1">
        <v>0.87</v>
      </c>
      <c r="T29" s="1">
        <v>0.92</v>
      </c>
      <c r="U29" s="1">
        <v>9.6677665710449219</v>
      </c>
      <c r="V29">
        <f t="shared" ref="V29:V38" si="90">(U29*T29+(100-U29)*S29)/100</f>
        <v>0.87483388328552247</v>
      </c>
      <c r="W29">
        <f t="shared" ref="W29:W38" si="91">(E29-R29)/CF29</f>
        <v>1.6567013749015477E-2</v>
      </c>
      <c r="X29">
        <f t="shared" ref="X29:X38" si="92">(M29-N29)/(M29-L29)</f>
        <v>0.5182737385644689</v>
      </c>
      <c r="Y29" t="e">
        <f t="shared" ref="Y29:Y38" si="93">(K29-M29)/(K29-L29)</f>
        <v>#DIV/0!</v>
      </c>
      <c r="Z29">
        <f t="shared" ref="Z29:Z38" si="94">(K29-M29)/M29</f>
        <v>-1</v>
      </c>
      <c r="AA29" s="1">
        <v>299.01885986328125</v>
      </c>
      <c r="AB29" s="1">
        <v>0.5</v>
      </c>
      <c r="AC29">
        <f t="shared" ref="AC29:AC38" si="95">Q29*AB29*V29*AA29</f>
        <v>67.788087946657555</v>
      </c>
      <c r="AD29">
        <f t="shared" ref="AD29:AD38" si="96">BL29*1000</f>
        <v>0.93834227340296483</v>
      </c>
      <c r="AE29">
        <f t="shared" ref="AE29:AE38" si="97">(BQ29-BW29)</f>
        <v>0.79898186752571909</v>
      </c>
      <c r="AF29">
        <f t="shared" ref="AF29:AF38" si="98">(AL29+BP29*D29)</f>
        <v>14.551844596862793</v>
      </c>
      <c r="AG29" s="1">
        <v>1.9299999475479126</v>
      </c>
      <c r="AH29">
        <f t="shared" ref="AH29:AH38" si="99">(AG29*BE29+BF29)</f>
        <v>4.7397196765257945</v>
      </c>
      <c r="AI29" s="1">
        <v>1</v>
      </c>
      <c r="AJ29">
        <f t="shared" ref="AJ29:AJ38" si="100">AH29*(AI29+1)*(AI29+1)/(AI29*AI29+1)</f>
        <v>9.479439353051589</v>
      </c>
      <c r="AK29" s="1">
        <v>11.041905403137207</v>
      </c>
      <c r="AL29" s="1">
        <v>14.551844596862793</v>
      </c>
      <c r="AM29" s="1">
        <v>8.9640398025512695</v>
      </c>
      <c r="AN29" s="1">
        <v>400.884521484375</v>
      </c>
      <c r="AO29" s="1">
        <v>396.10702514648437</v>
      </c>
      <c r="AP29" s="1">
        <v>7.3079886436462402</v>
      </c>
      <c r="AQ29" s="1">
        <v>8.5075063705444336</v>
      </c>
      <c r="AR29" s="1">
        <v>56.152885437011719</v>
      </c>
      <c r="AS29" s="1">
        <v>65.369697570800781</v>
      </c>
      <c r="AT29" s="1">
        <v>149.69294738769531</v>
      </c>
      <c r="AU29" s="1">
        <v>299.01885986328125</v>
      </c>
      <c r="AV29" s="1">
        <v>5.479644775390625</v>
      </c>
      <c r="AW29" s="1">
        <v>101.51584625244141</v>
      </c>
      <c r="AX29" s="1">
        <v>2.6561577320098877</v>
      </c>
      <c r="AY29" s="1">
        <v>0.25917899608612061</v>
      </c>
      <c r="AZ29" s="1">
        <v>1.4898180961608887E-2</v>
      </c>
      <c r="BA29" s="1">
        <v>1.6694518271833658E-3</v>
      </c>
      <c r="BB29" s="1">
        <v>1.4636354520916939E-2</v>
      </c>
      <c r="BC29" s="1">
        <v>3.3097104169428349E-3</v>
      </c>
      <c r="BD29" s="1">
        <v>0.75</v>
      </c>
      <c r="BE29" s="1">
        <v>-1.355140209197998</v>
      </c>
      <c r="BF29" s="1">
        <v>7.355140209197998</v>
      </c>
      <c r="BG29" s="1">
        <v>1</v>
      </c>
      <c r="BH29" s="1">
        <v>0</v>
      </c>
      <c r="BI29" s="1">
        <v>0.15999999642372131</v>
      </c>
      <c r="BJ29" s="1">
        <v>111115</v>
      </c>
      <c r="BK29">
        <f t="shared" ref="BK29:BK38" si="101">AT29*0.000001/(AG29*0.0001)</f>
        <v>0.77561114744009152</v>
      </c>
      <c r="BL29">
        <f t="shared" ref="BL29:BL38" si="102">(AQ29-AP29)/(1000-AQ29)*BK29</f>
        <v>9.3834227340296487E-4</v>
      </c>
      <c r="BM29">
        <f t="shared" ref="BM29:BM38" si="103">(AL29+273.15)</f>
        <v>287.70184459686277</v>
      </c>
      <c r="BN29">
        <f t="shared" ref="BN29:BN38" si="104">(AK29+273.15)</f>
        <v>284.19190540313718</v>
      </c>
      <c r="BO29">
        <f t="shared" ref="BO29:BO38" si="105">(AU29*BG29+AV29*BH29)*BI29</f>
        <v>47.843016508750225</v>
      </c>
      <c r="BP29">
        <f t="shared" ref="BP29:BP38" si="106">((BO29+0.00000010773*(BN29^4-BM29^4))-BL29*44100)/(AH29*0.92*2*29.3+0.00000043092*BM29^3)</f>
        <v>-0.10874192148994413</v>
      </c>
      <c r="BQ29">
        <f t="shared" ref="BQ29:BQ38" si="107">0.61365*EXP(17.502*AF29/(240.97+AF29))</f>
        <v>1.6626285762295736</v>
      </c>
      <c r="BR29">
        <f t="shared" ref="BR29:BR38" si="108">BQ29*1000/AW29</f>
        <v>16.378020157513962</v>
      </c>
      <c r="BS29">
        <f t="shared" ref="BS29:BS38" si="109">(BR29-AQ29)</f>
        <v>7.8705137869695285</v>
      </c>
      <c r="BT29">
        <f t="shared" ref="BT29:BT38" si="110">IF(D29,AL29,(AK29+AL29)/2)</f>
        <v>12.796875</v>
      </c>
      <c r="BU29">
        <f t="shared" ref="BU29:BU38" si="111">0.61365*EXP(17.502*BT29/(240.97+BT29))</f>
        <v>1.4832783293481993</v>
      </c>
      <c r="BV29">
        <f t="shared" ref="BV29:BV38" si="112">IF(BS29&lt;&gt;0,(1000-(BR29+AQ29)/2)/BS29*BL29,0)</f>
        <v>0.11773903555935268</v>
      </c>
      <c r="BW29">
        <f t="shared" ref="BW29:BW38" si="113">AQ29*AW29/1000</f>
        <v>0.86364670870385452</v>
      </c>
      <c r="BX29">
        <f t="shared" ref="BX29:BX38" si="114">(BU29-BW29)</f>
        <v>0.61963162064434474</v>
      </c>
      <c r="BY29">
        <f t="shared" ref="BY29:BY38" si="115">1/(1.6/F29+1.37/AJ29)</f>
        <v>7.371851733989028E-2</v>
      </c>
      <c r="BZ29">
        <f t="shared" ref="BZ29:BZ38" si="116">G29*AW29*0.001</f>
        <v>35.140691027506243</v>
      </c>
      <c r="CA29">
        <f t="shared" ref="CA29:CA38" si="117">G29/AO29</f>
        <v>0.87390437441242408</v>
      </c>
      <c r="CB29">
        <f t="shared" ref="CB29:CB38" si="118">(1-BL29*AW29/BQ29/F29)*100</f>
        <v>51.943571756779995</v>
      </c>
      <c r="CC29">
        <f t="shared" ref="CC29:CC38" si="119">(AO29-E29/(AJ29/1.35))</f>
        <v>395.63224771609777</v>
      </c>
      <c r="CD29">
        <f t="shared" ref="CD29:CD38" si="120">E29*CB29/100/CC29</f>
        <v>4.3770254872045021E-3</v>
      </c>
      <c r="CE29">
        <f t="shared" ref="CE29:CE38" si="121">(K29-J29)</f>
        <v>0</v>
      </c>
      <c r="CF29">
        <f t="shared" ref="CF29:CF38" si="122">AU29*V29</f>
        <v>261.59183034980379</v>
      </c>
      <c r="CG29">
        <f t="shared" ref="CG29:CG38" si="123">(M29-L29)</f>
        <v>303.04669189453125</v>
      </c>
      <c r="CH29">
        <f t="shared" ref="CH29:CH38" si="124">(M29-N29)/(M29-J29)</f>
        <v>0.5182737385644689</v>
      </c>
      <c r="CI29" t="e">
        <f t="shared" ref="CI29:CI38" si="125">(K29-M29)/(K29-J29)</f>
        <v>#DIV/0!</v>
      </c>
    </row>
    <row r="30" spans="1:87" x14ac:dyDescent="0.25">
      <c r="A30" s="1">
        <v>5</v>
      </c>
      <c r="B30" s="1" t="s">
        <v>192</v>
      </c>
      <c r="C30" s="1">
        <v>1035.4999302206561</v>
      </c>
      <c r="D30" s="1">
        <v>0</v>
      </c>
      <c r="E30">
        <f t="shared" si="84"/>
        <v>2.1271730564863183</v>
      </c>
      <c r="F30">
        <f t="shared" si="85"/>
        <v>0.10774647438441289</v>
      </c>
      <c r="G30">
        <f t="shared" si="86"/>
        <v>360.03153994113279</v>
      </c>
      <c r="H30" s="1">
        <v>60</v>
      </c>
      <c r="I30" s="1">
        <v>0</v>
      </c>
      <c r="J30" s="1">
        <v>0</v>
      </c>
      <c r="K30" s="1">
        <v>0</v>
      </c>
      <c r="L30" s="1">
        <v>0</v>
      </c>
      <c r="M30" s="1">
        <v>434.22137451171875</v>
      </c>
      <c r="N30" s="1">
        <v>164.78762817382812</v>
      </c>
      <c r="O30" t="e">
        <f t="shared" si="87"/>
        <v>#DIV/0!</v>
      </c>
      <c r="P30">
        <f t="shared" si="88"/>
        <v>1</v>
      </c>
      <c r="Q30">
        <f t="shared" si="89"/>
        <v>0.6204985801099</v>
      </c>
      <c r="R30" s="1">
        <v>-1</v>
      </c>
      <c r="S30" s="1">
        <v>0.87</v>
      </c>
      <c r="T30" s="1">
        <v>0.92</v>
      </c>
      <c r="U30" s="1">
        <v>9.5020523071289062</v>
      </c>
      <c r="V30">
        <f t="shared" si="90"/>
        <v>0.87475102615356448</v>
      </c>
      <c r="W30">
        <f t="shared" si="91"/>
        <v>1.7841453664774021E-2</v>
      </c>
      <c r="X30">
        <f t="shared" si="92"/>
        <v>0.6204985801099</v>
      </c>
      <c r="Y30" t="e">
        <f t="shared" si="93"/>
        <v>#DIV/0!</v>
      </c>
      <c r="Z30">
        <f t="shared" si="94"/>
        <v>-1</v>
      </c>
      <c r="AA30" s="1">
        <v>200.37208557128906</v>
      </c>
      <c r="AB30" s="1">
        <v>0.5</v>
      </c>
      <c r="AC30">
        <f t="shared" si="95"/>
        <v>54.379157600224431</v>
      </c>
      <c r="AD30">
        <f t="shared" si="96"/>
        <v>0.83495086133530816</v>
      </c>
      <c r="AE30">
        <f t="shared" si="97"/>
        <v>0.78581965738239301</v>
      </c>
      <c r="AF30">
        <f t="shared" si="98"/>
        <v>14.454808235168457</v>
      </c>
      <c r="AG30" s="1">
        <v>1.9299999475479126</v>
      </c>
      <c r="AH30">
        <f t="shared" si="99"/>
        <v>4.7397196765257945</v>
      </c>
      <c r="AI30" s="1">
        <v>1</v>
      </c>
      <c r="AJ30">
        <f t="shared" si="100"/>
        <v>9.479439353051589</v>
      </c>
      <c r="AK30" s="1">
        <v>12.568621635437012</v>
      </c>
      <c r="AL30" s="1">
        <v>14.454808235168457</v>
      </c>
      <c r="AM30" s="1">
        <v>11.30413818359375</v>
      </c>
      <c r="AN30" s="1">
        <v>399.83181762695312</v>
      </c>
      <c r="AO30" s="1">
        <v>396.66348266601562</v>
      </c>
      <c r="AP30" s="1">
        <v>7.4670372009277344</v>
      </c>
      <c r="AQ30" s="1">
        <v>8.533935546875</v>
      </c>
      <c r="AR30" s="1">
        <v>51.880096435546875</v>
      </c>
      <c r="AS30" s="1">
        <v>59.292781829833984</v>
      </c>
      <c r="AT30" s="1">
        <v>149.75213623046875</v>
      </c>
      <c r="AU30" s="1">
        <v>200.37208557128906</v>
      </c>
      <c r="AV30" s="1">
        <v>5.3023791313171387</v>
      </c>
      <c r="AW30" s="1">
        <v>101.52598571777344</v>
      </c>
      <c r="AX30" s="1">
        <v>2.6561577320098877</v>
      </c>
      <c r="AY30" s="1">
        <v>0.25917899608612061</v>
      </c>
      <c r="AZ30" s="1">
        <v>1.4898180961608887E-2</v>
      </c>
      <c r="BA30" s="1">
        <v>1.6694518271833658E-3</v>
      </c>
      <c r="BB30" s="1">
        <v>1.4636354520916939E-2</v>
      </c>
      <c r="BC30" s="1">
        <v>3.3097104169428349E-3</v>
      </c>
      <c r="BD30" s="1">
        <v>1</v>
      </c>
      <c r="BE30" s="1">
        <v>-1.355140209197998</v>
      </c>
      <c r="BF30" s="1">
        <v>7.355140209197998</v>
      </c>
      <c r="BG30" s="1">
        <v>1</v>
      </c>
      <c r="BH30" s="1">
        <v>0</v>
      </c>
      <c r="BI30" s="1">
        <v>0.15999999642372131</v>
      </c>
      <c r="BJ30" s="1">
        <v>111115</v>
      </c>
      <c r="BK30">
        <f t="shared" si="101"/>
        <v>0.77591782539025744</v>
      </c>
      <c r="BL30">
        <f t="shared" si="102"/>
        <v>8.3495086133530819E-4</v>
      </c>
      <c r="BM30">
        <f t="shared" si="103"/>
        <v>287.60480823516843</v>
      </c>
      <c r="BN30">
        <f t="shared" si="104"/>
        <v>285.71862163543699</v>
      </c>
      <c r="BO30">
        <f t="shared" si="105"/>
        <v>32.059532974819831</v>
      </c>
      <c r="BP30">
        <f t="shared" si="106"/>
        <v>-8.9956437507716008E-2</v>
      </c>
      <c r="BQ30">
        <f t="shared" si="107"/>
        <v>1.6522358758308233</v>
      </c>
      <c r="BR30">
        <f t="shared" si="108"/>
        <v>16.274019544353738</v>
      </c>
      <c r="BS30">
        <f t="shared" si="109"/>
        <v>7.7400839974787381</v>
      </c>
      <c r="BT30">
        <f t="shared" si="110"/>
        <v>13.511714935302734</v>
      </c>
      <c r="BU30">
        <f t="shared" si="111"/>
        <v>1.5541654501791033</v>
      </c>
      <c r="BV30">
        <f t="shared" si="112"/>
        <v>0.10653555566944981</v>
      </c>
      <c r="BW30">
        <f t="shared" si="113"/>
        <v>0.86641621844843031</v>
      </c>
      <c r="BX30">
        <f t="shared" si="114"/>
        <v>0.68774923173067304</v>
      </c>
      <c r="BY30">
        <f t="shared" si="115"/>
        <v>6.6692467153095E-2</v>
      </c>
      <c r="BZ30">
        <f t="shared" si="116"/>
        <v>36.552556982011424</v>
      </c>
      <c r="CA30">
        <f t="shared" si="117"/>
        <v>0.90764982327418742</v>
      </c>
      <c r="CB30">
        <f t="shared" si="118"/>
        <v>52.382891969992926</v>
      </c>
      <c r="CC30">
        <f t="shared" si="119"/>
        <v>396.36054453652253</v>
      </c>
      <c r="CD30">
        <f t="shared" si="120"/>
        <v>2.8112656003563196E-3</v>
      </c>
      <c r="CE30">
        <f t="shared" si="121"/>
        <v>0</v>
      </c>
      <c r="CF30">
        <f t="shared" si="122"/>
        <v>175.27568746601494</v>
      </c>
      <c r="CG30">
        <f t="shared" si="123"/>
        <v>434.22137451171875</v>
      </c>
      <c r="CH30">
        <f t="shared" si="124"/>
        <v>0.6204985801099</v>
      </c>
      <c r="CI30" t="e">
        <f t="shared" si="125"/>
        <v>#DIV/0!</v>
      </c>
    </row>
    <row r="31" spans="1:87" x14ac:dyDescent="0.25">
      <c r="A31" s="1">
        <v>6</v>
      </c>
      <c r="B31" s="1" t="s">
        <v>193</v>
      </c>
      <c r="C31" s="1">
        <v>1239.9999161269516</v>
      </c>
      <c r="D31" s="1">
        <v>0</v>
      </c>
      <c r="E31">
        <f t="shared" si="84"/>
        <v>2.1815147842168296</v>
      </c>
      <c r="F31">
        <f t="shared" si="85"/>
        <v>8.2610427429458694E-3</v>
      </c>
      <c r="G31">
        <f t="shared" si="86"/>
        <v>-27.739792393342054</v>
      </c>
      <c r="H31" s="1">
        <v>61</v>
      </c>
      <c r="I31" s="1">
        <v>0</v>
      </c>
      <c r="J31" s="1">
        <v>0</v>
      </c>
      <c r="K31" s="1">
        <v>0</v>
      </c>
      <c r="L31" s="1">
        <v>0</v>
      </c>
      <c r="M31" s="1">
        <v>489.89352416992187</v>
      </c>
      <c r="N31" s="1">
        <v>168.60137939453125</v>
      </c>
      <c r="O31" t="e">
        <f t="shared" si="87"/>
        <v>#DIV/0!</v>
      </c>
      <c r="P31">
        <f t="shared" si="88"/>
        <v>1</v>
      </c>
      <c r="Q31">
        <f t="shared" si="89"/>
        <v>0.65584076727650098</v>
      </c>
      <c r="R31" s="1">
        <v>-1</v>
      </c>
      <c r="S31" s="1">
        <v>0.87</v>
      </c>
      <c r="T31" s="1">
        <v>0.92</v>
      </c>
      <c r="U31" s="1">
        <v>10.709210395812988</v>
      </c>
      <c r="V31">
        <f t="shared" si="90"/>
        <v>0.87535460519790664</v>
      </c>
      <c r="W31">
        <f t="shared" si="91"/>
        <v>2.0557822037699191E-2</v>
      </c>
      <c r="X31">
        <f t="shared" si="92"/>
        <v>0.65584076727650098</v>
      </c>
      <c r="Y31" t="e">
        <f t="shared" si="93"/>
        <v>#DIV/0!</v>
      </c>
      <c r="Z31">
        <f t="shared" si="94"/>
        <v>-1</v>
      </c>
      <c r="AA31" s="1">
        <v>176.79615783691406</v>
      </c>
      <c r="AB31" s="1">
        <v>0.5</v>
      </c>
      <c r="AC31">
        <f t="shared" si="95"/>
        <v>50.748739174702557</v>
      </c>
      <c r="AD31">
        <f t="shared" si="96"/>
        <v>6.3558038875786871E-2</v>
      </c>
      <c r="AE31">
        <f t="shared" si="97"/>
        <v>0.77197929993463354</v>
      </c>
      <c r="AF31">
        <f t="shared" si="98"/>
        <v>14.70146656036377</v>
      </c>
      <c r="AG31" s="1">
        <v>1.9299999475479126</v>
      </c>
      <c r="AH31">
        <f t="shared" si="99"/>
        <v>4.7397196765257945</v>
      </c>
      <c r="AI31" s="1">
        <v>1</v>
      </c>
      <c r="AJ31">
        <f t="shared" si="100"/>
        <v>9.479439353051589</v>
      </c>
      <c r="AK31" s="1">
        <v>13.6671142578125</v>
      </c>
      <c r="AL31" s="1">
        <v>14.70146656036377</v>
      </c>
      <c r="AM31" s="1">
        <v>12.871696472167969</v>
      </c>
      <c r="AN31" s="1">
        <v>400.212646484375</v>
      </c>
      <c r="AO31" s="1">
        <v>397.36834716796875</v>
      </c>
      <c r="AP31" s="1">
        <v>8.8487567901611328</v>
      </c>
      <c r="AQ31" s="1">
        <v>8.9299449920654297</v>
      </c>
      <c r="AR31" s="1">
        <v>57.233310699462891</v>
      </c>
      <c r="AS31" s="1">
        <v>57.758430480957031</v>
      </c>
      <c r="AT31" s="1">
        <v>149.740478515625</v>
      </c>
      <c r="AU31" s="1">
        <v>176.79615783691406</v>
      </c>
      <c r="AV31" s="1">
        <v>6.2402687072753906</v>
      </c>
      <c r="AW31" s="1">
        <v>101.54447174072266</v>
      </c>
      <c r="AX31" s="1">
        <v>2.6561577320098877</v>
      </c>
      <c r="AY31" s="1">
        <v>0.25917899608612061</v>
      </c>
      <c r="AZ31" s="1">
        <v>1.4898180961608887E-2</v>
      </c>
      <c r="BA31" s="1">
        <v>1.6694518271833658E-3</v>
      </c>
      <c r="BB31" s="1">
        <v>1.4636354520916939E-2</v>
      </c>
      <c r="BC31" s="1">
        <v>3.3097104169428349E-3</v>
      </c>
      <c r="BD31" s="1">
        <v>0.75</v>
      </c>
      <c r="BE31" s="1">
        <v>-1.355140209197998</v>
      </c>
      <c r="BF31" s="1">
        <v>7.355140209197998</v>
      </c>
      <c r="BG31" s="1">
        <v>1</v>
      </c>
      <c r="BH31" s="1">
        <v>0</v>
      </c>
      <c r="BI31" s="1">
        <v>0.15999999642372131</v>
      </c>
      <c r="BJ31" s="1">
        <v>111115</v>
      </c>
      <c r="BK31">
        <f t="shared" si="101"/>
        <v>0.77585742272103175</v>
      </c>
      <c r="BL31">
        <f t="shared" si="102"/>
        <v>6.3558038875786871E-5</v>
      </c>
      <c r="BM31">
        <f t="shared" si="103"/>
        <v>287.85146656036375</v>
      </c>
      <c r="BN31">
        <f t="shared" si="104"/>
        <v>286.81711425781248</v>
      </c>
      <c r="BO31">
        <f t="shared" si="105"/>
        <v>28.287384621633919</v>
      </c>
      <c r="BP31">
        <f t="shared" si="106"/>
        <v>5.609636317164516E-2</v>
      </c>
      <c r="BQ31">
        <f t="shared" si="107"/>
        <v>1.6787658468276294</v>
      </c>
      <c r="BR31">
        <f t="shared" si="108"/>
        <v>16.532321435617746</v>
      </c>
      <c r="BS31">
        <f t="shared" si="109"/>
        <v>7.6023764435523162</v>
      </c>
      <c r="BT31">
        <f t="shared" si="110"/>
        <v>14.184290409088135</v>
      </c>
      <c r="BU31">
        <f t="shared" si="111"/>
        <v>1.6235639500559003</v>
      </c>
      <c r="BV31">
        <f t="shared" si="112"/>
        <v>8.2538497642098384E-3</v>
      </c>
      <c r="BW31">
        <f t="shared" si="113"/>
        <v>0.90678654689299587</v>
      </c>
      <c r="BX31">
        <f t="shared" si="114"/>
        <v>0.71677740316290439</v>
      </c>
      <c r="BY31">
        <f t="shared" si="115"/>
        <v>5.1593018649493342E-3</v>
      </c>
      <c r="BZ31">
        <f t="shared" si="116"/>
        <v>-2.8168225647792355</v>
      </c>
      <c r="CA31">
        <f t="shared" si="117"/>
        <v>-6.9808762049223719E-2</v>
      </c>
      <c r="CB31">
        <f t="shared" si="118"/>
        <v>53.462636170403414</v>
      </c>
      <c r="CC31">
        <f t="shared" si="119"/>
        <v>397.05767004361491</v>
      </c>
      <c r="CD31">
        <f t="shared" si="120"/>
        <v>2.9373448747666625E-3</v>
      </c>
      <c r="CE31">
        <f t="shared" si="121"/>
        <v>0</v>
      </c>
      <c r="CF31">
        <f t="shared" si="122"/>
        <v>154.75933094383871</v>
      </c>
      <c r="CG31">
        <f t="shared" si="123"/>
        <v>489.89352416992187</v>
      </c>
      <c r="CH31">
        <f t="shared" si="124"/>
        <v>0.65584076727650098</v>
      </c>
      <c r="CI31" t="e">
        <f t="shared" si="125"/>
        <v>#DIV/0!</v>
      </c>
    </row>
    <row r="32" spans="1:87" x14ac:dyDescent="0.25">
      <c r="A32" s="1">
        <v>7</v>
      </c>
      <c r="B32" s="1" t="s">
        <v>194</v>
      </c>
      <c r="C32" s="1">
        <v>1443.4999021021649</v>
      </c>
      <c r="D32" s="1">
        <v>0</v>
      </c>
      <c r="E32">
        <f t="shared" si="84"/>
        <v>1.7090335933371761</v>
      </c>
      <c r="F32">
        <f t="shared" si="85"/>
        <v>9.4567521832524079E-2</v>
      </c>
      <c r="G32">
        <f t="shared" si="86"/>
        <v>364.03586952207854</v>
      </c>
      <c r="H32" s="1">
        <v>62</v>
      </c>
      <c r="I32" s="1">
        <v>0</v>
      </c>
      <c r="J32" s="1">
        <v>0</v>
      </c>
      <c r="K32" s="1">
        <v>0</v>
      </c>
      <c r="L32" s="1">
        <v>0</v>
      </c>
      <c r="M32" s="1">
        <v>557.34844970703125</v>
      </c>
      <c r="N32" s="1">
        <v>171.70962524414062</v>
      </c>
      <c r="O32" t="e">
        <f t="shared" si="87"/>
        <v>#DIV/0!</v>
      </c>
      <c r="P32">
        <f t="shared" si="88"/>
        <v>1</v>
      </c>
      <c r="Q32">
        <f t="shared" si="89"/>
        <v>0.69191692318441123</v>
      </c>
      <c r="R32" s="1">
        <v>-1</v>
      </c>
      <c r="S32" s="1">
        <v>0.87</v>
      </c>
      <c r="T32" s="1">
        <v>0.92</v>
      </c>
      <c r="U32" s="1">
        <v>10.348267555236816</v>
      </c>
      <c r="V32">
        <f t="shared" si="90"/>
        <v>0.87517413377761843</v>
      </c>
      <c r="W32">
        <f t="shared" si="91"/>
        <v>2.0810926295353957E-2</v>
      </c>
      <c r="X32">
        <f t="shared" si="92"/>
        <v>0.69191692318441123</v>
      </c>
      <c r="Y32" t="e">
        <f t="shared" si="93"/>
        <v>#DIV/0!</v>
      </c>
      <c r="Z32">
        <f t="shared" si="94"/>
        <v>-1</v>
      </c>
      <c r="AA32" s="1">
        <v>148.74024963378906</v>
      </c>
      <c r="AB32" s="1">
        <v>0.5</v>
      </c>
      <c r="AC32">
        <f t="shared" si="95"/>
        <v>45.03466501449131</v>
      </c>
      <c r="AD32">
        <f t="shared" si="96"/>
        <v>0.68028098353411481</v>
      </c>
      <c r="AE32">
        <f t="shared" si="97"/>
        <v>0.72816538116685514</v>
      </c>
      <c r="AF32">
        <f t="shared" si="98"/>
        <v>14.830864906311035</v>
      </c>
      <c r="AG32" s="1">
        <v>1.9299999475479126</v>
      </c>
      <c r="AH32">
        <f t="shared" si="99"/>
        <v>4.7397196765257945</v>
      </c>
      <c r="AI32" s="1">
        <v>1</v>
      </c>
      <c r="AJ32">
        <f t="shared" si="100"/>
        <v>9.479439353051589</v>
      </c>
      <c r="AK32" s="1">
        <v>13.967940330505371</v>
      </c>
      <c r="AL32" s="1">
        <v>14.830864906311035</v>
      </c>
      <c r="AM32" s="1">
        <v>13.216113090515137</v>
      </c>
      <c r="AN32" s="1">
        <v>400.17019653320312</v>
      </c>
      <c r="AO32" s="1">
        <v>397.618896484375</v>
      </c>
      <c r="AP32" s="1">
        <v>8.6307086944580078</v>
      </c>
      <c r="AQ32" s="1">
        <v>9.4991559982299805</v>
      </c>
      <c r="AR32" s="1">
        <v>54.747154235839844</v>
      </c>
      <c r="AS32" s="1">
        <v>60.255973815917969</v>
      </c>
      <c r="AT32" s="1">
        <v>149.74661254882812</v>
      </c>
      <c r="AU32" s="1">
        <v>148.74024963378906</v>
      </c>
      <c r="AV32" s="1">
        <v>6.4080286026000977</v>
      </c>
      <c r="AW32" s="1">
        <v>101.55295562744141</v>
      </c>
      <c r="AX32" s="1">
        <v>2.6561577320098877</v>
      </c>
      <c r="AY32" s="1">
        <v>0.25917899608612061</v>
      </c>
      <c r="AZ32" s="1">
        <v>1.4898180961608887E-2</v>
      </c>
      <c r="BA32" s="1">
        <v>1.6694518271833658E-3</v>
      </c>
      <c r="BB32" s="1">
        <v>1.4636354520916939E-2</v>
      </c>
      <c r="BC32" s="1">
        <v>3.3097104169428349E-3</v>
      </c>
      <c r="BD32" s="1">
        <v>1</v>
      </c>
      <c r="BE32" s="1">
        <v>-1.355140209197998</v>
      </c>
      <c r="BF32" s="1">
        <v>7.355140209197998</v>
      </c>
      <c r="BG32" s="1">
        <v>1</v>
      </c>
      <c r="BH32" s="1">
        <v>0</v>
      </c>
      <c r="BI32" s="1">
        <v>0.15999999642372131</v>
      </c>
      <c r="BJ32" s="1">
        <v>111115</v>
      </c>
      <c r="BK32">
        <f t="shared" si="101"/>
        <v>0.77588920527735206</v>
      </c>
      <c r="BL32">
        <f t="shared" si="102"/>
        <v>6.8028098353411484E-4</v>
      </c>
      <c r="BM32">
        <f t="shared" si="103"/>
        <v>287.98086490631101</v>
      </c>
      <c r="BN32">
        <f t="shared" si="104"/>
        <v>287.11794033050535</v>
      </c>
      <c r="BO32">
        <f t="shared" si="105"/>
        <v>23.798439409469665</v>
      </c>
      <c r="BP32">
        <f t="shared" si="106"/>
        <v>-5.6591353408781915E-2</v>
      </c>
      <c r="BQ32">
        <f t="shared" si="107"/>
        <v>1.6928327487532482</v>
      </c>
      <c r="BR32">
        <f t="shared" si="108"/>
        <v>16.669458198376795</v>
      </c>
      <c r="BS32">
        <f t="shared" si="109"/>
        <v>7.1703022001468142</v>
      </c>
      <c r="BT32">
        <f t="shared" si="110"/>
        <v>14.399402618408203</v>
      </c>
      <c r="BU32">
        <f t="shared" si="111"/>
        <v>1.6463275166503084</v>
      </c>
      <c r="BV32">
        <f t="shared" si="112"/>
        <v>9.3633428479300618E-2</v>
      </c>
      <c r="BW32">
        <f t="shared" si="113"/>
        <v>0.96466736758639304</v>
      </c>
      <c r="BX32">
        <f t="shared" si="114"/>
        <v>0.68166014906391537</v>
      </c>
      <c r="BY32">
        <f t="shared" si="115"/>
        <v>5.8604104454697305E-2</v>
      </c>
      <c r="BZ32">
        <f t="shared" si="116"/>
        <v>36.968918504372688</v>
      </c>
      <c r="CA32">
        <f t="shared" si="117"/>
        <v>0.91553966056636815</v>
      </c>
      <c r="CB32">
        <f t="shared" si="118"/>
        <v>56.845624298148358</v>
      </c>
      <c r="CC32">
        <f t="shared" si="119"/>
        <v>397.37550705330466</v>
      </c>
      <c r="CD32">
        <f t="shared" si="120"/>
        <v>2.4448180583693489E-3</v>
      </c>
      <c r="CE32">
        <f t="shared" si="121"/>
        <v>0</v>
      </c>
      <c r="CF32">
        <f t="shared" si="122"/>
        <v>130.17361913111807</v>
      </c>
      <c r="CG32">
        <f t="shared" si="123"/>
        <v>557.34844970703125</v>
      </c>
      <c r="CH32">
        <f t="shared" si="124"/>
        <v>0.69191692318441123</v>
      </c>
      <c r="CI32" t="e">
        <f t="shared" si="125"/>
        <v>#DIV/0!</v>
      </c>
    </row>
    <row r="33" spans="1:87" x14ac:dyDescent="0.25">
      <c r="A33" s="1">
        <v>8</v>
      </c>
      <c r="B33" s="1" t="s">
        <v>195</v>
      </c>
      <c r="C33" s="1">
        <v>1567.499893556349</v>
      </c>
      <c r="D33" s="1">
        <v>0</v>
      </c>
      <c r="E33">
        <f t="shared" si="84"/>
        <v>1.4022850845501367</v>
      </c>
      <c r="F33">
        <f t="shared" si="85"/>
        <v>9.6591813409602725E-2</v>
      </c>
      <c r="G33">
        <f t="shared" si="86"/>
        <v>370.16316618658476</v>
      </c>
      <c r="H33" s="1">
        <v>63</v>
      </c>
      <c r="I33" s="1">
        <v>0</v>
      </c>
      <c r="J33" s="1">
        <v>0</v>
      </c>
      <c r="K33" s="1">
        <v>0</v>
      </c>
      <c r="L33" s="1">
        <v>0</v>
      </c>
      <c r="M33" s="1">
        <v>620.39825439453125</v>
      </c>
      <c r="N33" s="1">
        <v>176.36943054199219</v>
      </c>
      <c r="O33" t="e">
        <f t="shared" si="87"/>
        <v>#DIV/0!</v>
      </c>
      <c r="P33">
        <f t="shared" si="88"/>
        <v>1</v>
      </c>
      <c r="Q33">
        <f t="shared" si="89"/>
        <v>0.71571578531580915</v>
      </c>
      <c r="R33" s="1">
        <v>-1</v>
      </c>
      <c r="S33" s="1">
        <v>0.87</v>
      </c>
      <c r="T33" s="1">
        <v>0.92</v>
      </c>
      <c r="U33" s="1">
        <v>9.5533571243286133</v>
      </c>
      <c r="V33">
        <f t="shared" si="90"/>
        <v>0.87477667856216446</v>
      </c>
      <c r="W33">
        <f t="shared" si="91"/>
        <v>2.2086345071536069E-2</v>
      </c>
      <c r="X33">
        <f t="shared" si="92"/>
        <v>0.71571578531580915</v>
      </c>
      <c r="Y33" t="e">
        <f t="shared" si="93"/>
        <v>#DIV/0!</v>
      </c>
      <c r="Z33">
        <f t="shared" si="94"/>
        <v>-1</v>
      </c>
      <c r="AA33" s="1">
        <v>124.337890625</v>
      </c>
      <c r="AB33" s="1">
        <v>0.5</v>
      </c>
      <c r="AC33">
        <f t="shared" si="95"/>
        <v>38.923446823645904</v>
      </c>
      <c r="AD33">
        <f t="shared" si="96"/>
        <v>0.7229826769165405</v>
      </c>
      <c r="AE33">
        <f t="shared" si="97"/>
        <v>0.75781082863993754</v>
      </c>
      <c r="AF33">
        <f t="shared" si="98"/>
        <v>14.975226402282715</v>
      </c>
      <c r="AG33" s="1">
        <v>1.9299999475479126</v>
      </c>
      <c r="AH33">
        <f t="shared" si="99"/>
        <v>4.7397196765257945</v>
      </c>
      <c r="AI33" s="1">
        <v>1</v>
      </c>
      <c r="AJ33">
        <f t="shared" si="100"/>
        <v>9.479439353051589</v>
      </c>
      <c r="AK33" s="1">
        <v>14.348350524902344</v>
      </c>
      <c r="AL33" s="1">
        <v>14.975226402282715</v>
      </c>
      <c r="AM33" s="1">
        <v>13.727228164672852</v>
      </c>
      <c r="AN33" s="1">
        <v>400.41439819335937</v>
      </c>
      <c r="AO33" s="1">
        <v>398.23532104492188</v>
      </c>
      <c r="AP33" s="1">
        <v>8.4395589828491211</v>
      </c>
      <c r="AQ33" s="1">
        <v>9.3629302978515625</v>
      </c>
      <c r="AR33" s="1">
        <v>52.231464385986328</v>
      </c>
      <c r="AS33" s="1">
        <v>57.946102142333984</v>
      </c>
      <c r="AT33" s="1">
        <v>149.70054626464844</v>
      </c>
      <c r="AU33" s="1">
        <v>124.337890625</v>
      </c>
      <c r="AV33" s="1">
        <v>6.2966508865356445</v>
      </c>
      <c r="AW33" s="1">
        <v>101.55342102050781</v>
      </c>
      <c r="AX33" s="1">
        <v>2.6561577320098877</v>
      </c>
      <c r="AY33" s="1">
        <v>0.25917899608612061</v>
      </c>
      <c r="AZ33" s="1">
        <v>1.4898180961608887E-2</v>
      </c>
      <c r="BA33" s="1">
        <v>1.6694518271833658E-3</v>
      </c>
      <c r="BB33" s="1">
        <v>1.4636354520916939E-2</v>
      </c>
      <c r="BC33" s="1">
        <v>3.3097104169428349E-3</v>
      </c>
      <c r="BD33" s="1">
        <v>1</v>
      </c>
      <c r="BE33" s="1">
        <v>-1.355140209197998</v>
      </c>
      <c r="BF33" s="1">
        <v>7.355140209197998</v>
      </c>
      <c r="BG33" s="1">
        <v>1</v>
      </c>
      <c r="BH33" s="1">
        <v>0</v>
      </c>
      <c r="BI33" s="1">
        <v>0.15999999642372131</v>
      </c>
      <c r="BJ33" s="1">
        <v>111115</v>
      </c>
      <c r="BK33">
        <f t="shared" si="101"/>
        <v>0.77565051986060785</v>
      </c>
      <c r="BL33">
        <f t="shared" si="102"/>
        <v>7.2298267691654045E-4</v>
      </c>
      <c r="BM33">
        <f t="shared" si="103"/>
        <v>288.12522640228269</v>
      </c>
      <c r="BN33">
        <f t="shared" si="104"/>
        <v>287.49835052490232</v>
      </c>
      <c r="BO33">
        <f t="shared" si="105"/>
        <v>19.894062055333052</v>
      </c>
      <c r="BP33">
        <f t="shared" si="106"/>
        <v>-6.9327787143834516E-2</v>
      </c>
      <c r="BQ33">
        <f t="shared" si="107"/>
        <v>1.7086484311633259</v>
      </c>
      <c r="BR33">
        <f t="shared" si="108"/>
        <v>16.825119370604753</v>
      </c>
      <c r="BS33">
        <f t="shared" si="109"/>
        <v>7.4621890727531905</v>
      </c>
      <c r="BT33">
        <f t="shared" si="110"/>
        <v>14.661788463592529</v>
      </c>
      <c r="BU33">
        <f t="shared" si="111"/>
        <v>1.6744730668186194</v>
      </c>
      <c r="BV33">
        <f t="shared" si="112"/>
        <v>9.5617508057461373E-2</v>
      </c>
      <c r="BW33">
        <f t="shared" si="113"/>
        <v>0.95083760252338834</v>
      </c>
      <c r="BX33">
        <f t="shared" si="114"/>
        <v>0.72363546429523107</v>
      </c>
      <c r="BY33">
        <f t="shared" si="115"/>
        <v>5.9847720655822868E-2</v>
      </c>
      <c r="BZ33">
        <f t="shared" si="116"/>
        <v>37.591335862030441</v>
      </c>
      <c r="CA33">
        <f t="shared" si="117"/>
        <v>0.92950862624470598</v>
      </c>
      <c r="CB33">
        <f t="shared" si="118"/>
        <v>55.513379226107006</v>
      </c>
      <c r="CC33">
        <f t="shared" si="119"/>
        <v>398.03561673819689</v>
      </c>
      <c r="CD33">
        <f t="shared" si="120"/>
        <v>1.9557441698225529E-3</v>
      </c>
      <c r="CE33">
        <f t="shared" si="121"/>
        <v>0</v>
      </c>
      <c r="CF33">
        <f t="shared" si="122"/>
        <v>108.76788698036319</v>
      </c>
      <c r="CG33">
        <f t="shared" si="123"/>
        <v>620.39825439453125</v>
      </c>
      <c r="CH33">
        <f t="shared" si="124"/>
        <v>0.71571578531580915</v>
      </c>
      <c r="CI33" t="e">
        <f t="shared" si="125"/>
        <v>#DIV/0!</v>
      </c>
    </row>
    <row r="34" spans="1:87" x14ac:dyDescent="0.25">
      <c r="A34" s="1">
        <v>9</v>
      </c>
      <c r="B34" s="1" t="s">
        <v>196</v>
      </c>
      <c r="C34" s="1">
        <v>1719.4998830808327</v>
      </c>
      <c r="D34" s="1">
        <v>0</v>
      </c>
      <c r="E34">
        <f t="shared" si="84"/>
        <v>1.3435307431810071</v>
      </c>
      <c r="F34">
        <f t="shared" si="85"/>
        <v>9.4313619323546607E-2</v>
      </c>
      <c r="G34">
        <f t="shared" si="86"/>
        <v>370.12077544903144</v>
      </c>
      <c r="H34" s="1">
        <v>64</v>
      </c>
      <c r="I34" s="1">
        <v>0</v>
      </c>
      <c r="J34" s="1">
        <v>0</v>
      </c>
      <c r="K34" s="1">
        <v>0</v>
      </c>
      <c r="L34" s="1">
        <v>0</v>
      </c>
      <c r="M34" s="1">
        <v>688.16717529296875</v>
      </c>
      <c r="N34" s="1">
        <v>175.81289672851562</v>
      </c>
      <c r="O34" t="e">
        <f t="shared" si="87"/>
        <v>#DIV/0!</v>
      </c>
      <c r="P34">
        <f t="shared" si="88"/>
        <v>1</v>
      </c>
      <c r="Q34">
        <f t="shared" si="89"/>
        <v>0.74452007732907632</v>
      </c>
      <c r="R34" s="1">
        <v>-1</v>
      </c>
      <c r="S34" s="1">
        <v>0.87</v>
      </c>
      <c r="T34" s="1">
        <v>0.92</v>
      </c>
      <c r="U34" s="1">
        <v>8.4312143325805664</v>
      </c>
      <c r="V34">
        <f t="shared" si="90"/>
        <v>0.87421560716629032</v>
      </c>
      <c r="W34">
        <f t="shared" si="91"/>
        <v>2.7052152275705055E-2</v>
      </c>
      <c r="X34">
        <f t="shared" si="92"/>
        <v>0.74452007732907632</v>
      </c>
      <c r="Y34" t="e">
        <f t="shared" si="93"/>
        <v>#DIV/0!</v>
      </c>
      <c r="Z34">
        <f t="shared" si="94"/>
        <v>-1</v>
      </c>
      <c r="AA34" s="1">
        <v>99.09466552734375</v>
      </c>
      <c r="AB34" s="1">
        <v>0.5</v>
      </c>
      <c r="AC34">
        <f t="shared" si="95"/>
        <v>32.248925563367521</v>
      </c>
      <c r="AD34">
        <f t="shared" si="96"/>
        <v>0.73265445460133938</v>
      </c>
      <c r="AE34">
        <f t="shared" si="97"/>
        <v>0.78632178611158066</v>
      </c>
      <c r="AF34">
        <f t="shared" si="98"/>
        <v>15.099860191345215</v>
      </c>
      <c r="AG34" s="1">
        <v>1.9299999475479126</v>
      </c>
      <c r="AH34">
        <f t="shared" si="99"/>
        <v>4.7397196765257945</v>
      </c>
      <c r="AI34" s="1">
        <v>1</v>
      </c>
      <c r="AJ34">
        <f t="shared" si="100"/>
        <v>9.479439353051589</v>
      </c>
      <c r="AK34" s="1">
        <v>14.12824821472168</v>
      </c>
      <c r="AL34" s="1">
        <v>15.099860191345215</v>
      </c>
      <c r="AM34" s="1">
        <v>13.294975280761719</v>
      </c>
      <c r="AN34" s="1">
        <v>400.02862548828125</v>
      </c>
      <c r="AO34" s="1">
        <v>397.9212646484375</v>
      </c>
      <c r="AP34" s="1">
        <v>8.282012939453125</v>
      </c>
      <c r="AQ34" s="1">
        <v>9.2175912857055664</v>
      </c>
      <c r="AR34" s="1">
        <v>51.992595672607422</v>
      </c>
      <c r="AS34" s="1">
        <v>57.865947723388672</v>
      </c>
      <c r="AT34" s="1">
        <v>149.74578857421875</v>
      </c>
      <c r="AU34" s="1">
        <v>99.09466552734375</v>
      </c>
      <c r="AV34" s="1">
        <v>6.3654489517211914</v>
      </c>
      <c r="AW34" s="1">
        <v>101.55422210693359</v>
      </c>
      <c r="AX34" s="1">
        <v>2.6561577320098877</v>
      </c>
      <c r="AY34" s="1">
        <v>0.25917899608612061</v>
      </c>
      <c r="AZ34" s="1">
        <v>1.4898180961608887E-2</v>
      </c>
      <c r="BA34" s="1">
        <v>1.6694518271833658E-3</v>
      </c>
      <c r="BB34" s="1">
        <v>1.4636354520916939E-2</v>
      </c>
      <c r="BC34" s="1">
        <v>3.3097104169428349E-3</v>
      </c>
      <c r="BD34" s="1">
        <v>1</v>
      </c>
      <c r="BE34" s="1">
        <v>-1.355140209197998</v>
      </c>
      <c r="BF34" s="1">
        <v>7.355140209197998</v>
      </c>
      <c r="BG34" s="1">
        <v>1</v>
      </c>
      <c r="BH34" s="1">
        <v>0</v>
      </c>
      <c r="BI34" s="1">
        <v>0.15999999642372131</v>
      </c>
      <c r="BJ34" s="1">
        <v>111115</v>
      </c>
      <c r="BK34">
        <f t="shared" si="101"/>
        <v>0.77588493597874186</v>
      </c>
      <c r="BL34">
        <f t="shared" si="102"/>
        <v>7.3265445460133933E-4</v>
      </c>
      <c r="BM34">
        <f t="shared" si="103"/>
        <v>288.24986019134519</v>
      </c>
      <c r="BN34">
        <f t="shared" si="104"/>
        <v>287.27824821472166</v>
      </c>
      <c r="BO34">
        <f t="shared" si="105"/>
        <v>15.85514612998486</v>
      </c>
      <c r="BP34">
        <f t="shared" si="106"/>
        <v>-9.9424823448788391E-2</v>
      </c>
      <c r="BQ34">
        <f t="shared" si="107"/>
        <v>1.7224070988310594</v>
      </c>
      <c r="BR34">
        <f t="shared" si="108"/>
        <v>16.960467650644947</v>
      </c>
      <c r="BS34">
        <f t="shared" si="109"/>
        <v>7.7428763649393808</v>
      </c>
      <c r="BT34">
        <f t="shared" si="110"/>
        <v>14.614054203033447</v>
      </c>
      <c r="BU34">
        <f t="shared" si="111"/>
        <v>1.6693214744827884</v>
      </c>
      <c r="BV34">
        <f t="shared" si="112"/>
        <v>9.3384510455209041E-2</v>
      </c>
      <c r="BW34">
        <f t="shared" si="113"/>
        <v>0.9360853127194787</v>
      </c>
      <c r="BX34">
        <f t="shared" si="114"/>
        <v>0.73323616176330975</v>
      </c>
      <c r="BY34">
        <f t="shared" si="115"/>
        <v>5.8448088539930367E-2</v>
      </c>
      <c r="BZ34">
        <f t="shared" si="116"/>
        <v>37.587327436341432</v>
      </c>
      <c r="CA34">
        <f t="shared" si="117"/>
        <v>0.93013570354434882</v>
      </c>
      <c r="CB34">
        <f t="shared" si="118"/>
        <v>54.197734463840227</v>
      </c>
      <c r="CC34">
        <f t="shared" si="119"/>
        <v>397.72992775226226</v>
      </c>
      <c r="CD34">
        <f t="shared" si="120"/>
        <v>1.8307981718762168E-3</v>
      </c>
      <c r="CE34">
        <f t="shared" si="121"/>
        <v>0</v>
      </c>
      <c r="CF34">
        <f t="shared" si="122"/>
        <v>86.630103190927272</v>
      </c>
      <c r="CG34">
        <f t="shared" si="123"/>
        <v>688.16717529296875</v>
      </c>
      <c r="CH34">
        <f t="shared" si="124"/>
        <v>0.74452007732907632</v>
      </c>
      <c r="CI34" t="e">
        <f t="shared" si="125"/>
        <v>#DIV/0!</v>
      </c>
    </row>
    <row r="35" spans="1:87" x14ac:dyDescent="0.25">
      <c r="A35" s="1">
        <v>10</v>
      </c>
      <c r="B35" s="1" t="s">
        <v>197</v>
      </c>
      <c r="C35" s="1">
        <v>1897.9998707789928</v>
      </c>
      <c r="D35" s="1">
        <v>0</v>
      </c>
      <c r="E35">
        <f t="shared" si="84"/>
        <v>0.86260631263995535</v>
      </c>
      <c r="F35">
        <f t="shared" si="85"/>
        <v>8.2774092868966878E-2</v>
      </c>
      <c r="G35">
        <f t="shared" si="86"/>
        <v>376.95577701783316</v>
      </c>
      <c r="H35" s="1">
        <v>65</v>
      </c>
      <c r="I35" s="1">
        <v>0</v>
      </c>
      <c r="J35" s="1">
        <v>0</v>
      </c>
      <c r="K35" s="1">
        <v>0</v>
      </c>
      <c r="L35" s="1">
        <v>0</v>
      </c>
      <c r="M35" s="1">
        <v>729.06781005859375</v>
      </c>
      <c r="N35" s="1">
        <v>165.05783081054687</v>
      </c>
      <c r="O35" t="e">
        <f t="shared" si="87"/>
        <v>#DIV/0!</v>
      </c>
      <c r="P35">
        <f t="shared" si="88"/>
        <v>1</v>
      </c>
      <c r="Q35">
        <f t="shared" si="89"/>
        <v>0.7736042813393702</v>
      </c>
      <c r="R35" s="1">
        <v>-1</v>
      </c>
      <c r="S35" s="1">
        <v>0.87</v>
      </c>
      <c r="T35" s="1">
        <v>0.92</v>
      </c>
      <c r="U35" s="1">
        <v>11.166031837463379</v>
      </c>
      <c r="V35">
        <f t="shared" si="90"/>
        <v>0.87558301591873178</v>
      </c>
      <c r="W35">
        <f t="shared" si="91"/>
        <v>2.8984434135390359E-2</v>
      </c>
      <c r="X35">
        <f t="shared" si="92"/>
        <v>0.7736042813393702</v>
      </c>
      <c r="Y35" t="e">
        <f t="shared" si="93"/>
        <v>#DIV/0!</v>
      </c>
      <c r="Z35">
        <f t="shared" si="94"/>
        <v>-1</v>
      </c>
      <c r="AA35" s="1">
        <v>73.393722534179688</v>
      </c>
      <c r="AB35" s="1">
        <v>0.5</v>
      </c>
      <c r="AC35">
        <f t="shared" si="95"/>
        <v>24.856794015319849</v>
      </c>
      <c r="AD35">
        <f t="shared" si="96"/>
        <v>0.62698542521252021</v>
      </c>
      <c r="AE35">
        <f t="shared" si="97"/>
        <v>0.76557966500585384</v>
      </c>
      <c r="AF35">
        <f t="shared" si="98"/>
        <v>15.16468620300293</v>
      </c>
      <c r="AG35" s="1">
        <v>1.9299999475479126</v>
      </c>
      <c r="AH35">
        <f t="shared" si="99"/>
        <v>4.7397196765257945</v>
      </c>
      <c r="AI35" s="1">
        <v>1</v>
      </c>
      <c r="AJ35">
        <f t="shared" si="100"/>
        <v>9.479439353051589</v>
      </c>
      <c r="AK35" s="1">
        <v>13.598016738891602</v>
      </c>
      <c r="AL35" s="1">
        <v>15.16468620300293</v>
      </c>
      <c r="AM35" s="1">
        <v>12.396166801452637</v>
      </c>
      <c r="AN35" s="1">
        <v>399.9222412109375</v>
      </c>
      <c r="AO35" s="1">
        <v>398.48849487304687</v>
      </c>
      <c r="AP35" s="1">
        <v>8.6933279037475586</v>
      </c>
      <c r="AQ35" s="1">
        <v>9.4937248229980469</v>
      </c>
      <c r="AR35" s="1">
        <v>56.480583190917969</v>
      </c>
      <c r="AS35" s="1">
        <v>61.680763244628906</v>
      </c>
      <c r="AT35" s="1">
        <v>149.74990844726562</v>
      </c>
      <c r="AU35" s="1">
        <v>73.393722534179688</v>
      </c>
      <c r="AV35" s="1">
        <v>6.2864937782287598</v>
      </c>
      <c r="AW35" s="1">
        <v>101.5430908203125</v>
      </c>
      <c r="AX35" s="1">
        <v>2.6561577320098877</v>
      </c>
      <c r="AY35" s="1">
        <v>0.25917899608612061</v>
      </c>
      <c r="AZ35" s="1">
        <v>1.4898180961608887E-2</v>
      </c>
      <c r="BA35" s="1">
        <v>1.6694518271833658E-3</v>
      </c>
      <c r="BB35" s="1">
        <v>1.4636354520916939E-2</v>
      </c>
      <c r="BC35" s="1">
        <v>3.3097104169428349E-3</v>
      </c>
      <c r="BD35" s="1">
        <v>1</v>
      </c>
      <c r="BE35" s="1">
        <v>-1.355140209197998</v>
      </c>
      <c r="BF35" s="1">
        <v>7.355140209197998</v>
      </c>
      <c r="BG35" s="1">
        <v>1</v>
      </c>
      <c r="BH35" s="1">
        <v>0</v>
      </c>
      <c r="BI35" s="1">
        <v>0.15999999642372131</v>
      </c>
      <c r="BJ35" s="1">
        <v>111115</v>
      </c>
      <c r="BK35">
        <f t="shared" si="101"/>
        <v>0.77590628247179283</v>
      </c>
      <c r="BL35">
        <f t="shared" si="102"/>
        <v>6.2698542521252018E-4</v>
      </c>
      <c r="BM35">
        <f t="shared" si="103"/>
        <v>288.31468620300291</v>
      </c>
      <c r="BN35">
        <f t="shared" si="104"/>
        <v>286.74801673889158</v>
      </c>
      <c r="BO35">
        <f t="shared" si="105"/>
        <v>11.742995342992344</v>
      </c>
      <c r="BP35">
        <f t="shared" si="106"/>
        <v>-0.12019885485212005</v>
      </c>
      <c r="BQ35">
        <f t="shared" si="107"/>
        <v>1.7296018269305997</v>
      </c>
      <c r="BR35">
        <f t="shared" si="108"/>
        <v>17.033180819670434</v>
      </c>
      <c r="BS35">
        <f t="shared" si="109"/>
        <v>7.5394559966723875</v>
      </c>
      <c r="BT35">
        <f t="shared" si="110"/>
        <v>14.381351470947266</v>
      </c>
      <c r="BU35">
        <f t="shared" si="111"/>
        <v>1.6444065881633259</v>
      </c>
      <c r="BV35">
        <f t="shared" si="112"/>
        <v>8.2057569389436785E-2</v>
      </c>
      <c r="BW35">
        <f t="shared" si="113"/>
        <v>0.96402216192474588</v>
      </c>
      <c r="BX35">
        <f t="shared" si="114"/>
        <v>0.68038442623857998</v>
      </c>
      <c r="BY35">
        <f t="shared" si="115"/>
        <v>5.1349878280334417E-2</v>
      </c>
      <c r="BZ35">
        <f t="shared" si="116"/>
        <v>38.277254700963297</v>
      </c>
      <c r="CA35">
        <f t="shared" si="117"/>
        <v>0.94596401619556481</v>
      </c>
      <c r="CB35">
        <f t="shared" si="118"/>
        <v>55.529986769661697</v>
      </c>
      <c r="CC35">
        <f t="shared" si="119"/>
        <v>398.36564810134524</v>
      </c>
      <c r="CD35">
        <f t="shared" si="120"/>
        <v>1.202425895822658E-3</v>
      </c>
      <c r="CE35">
        <f t="shared" si="121"/>
        <v>0</v>
      </c>
      <c r="CF35">
        <f t="shared" si="122"/>
        <v>64.262296925979641</v>
      </c>
      <c r="CG35">
        <f t="shared" si="123"/>
        <v>729.06781005859375</v>
      </c>
      <c r="CH35">
        <f t="shared" si="124"/>
        <v>0.7736042813393702</v>
      </c>
      <c r="CI35" t="e">
        <f t="shared" si="125"/>
        <v>#DIV/0!</v>
      </c>
    </row>
    <row r="36" spans="1:87" x14ac:dyDescent="0.25">
      <c r="A36" s="1">
        <v>11</v>
      </c>
      <c r="B36" s="1" t="s">
        <v>198</v>
      </c>
      <c r="C36" s="1">
        <v>2022.4998621987179</v>
      </c>
      <c r="D36" s="1">
        <v>0</v>
      </c>
      <c r="E36">
        <f t="shared" si="84"/>
        <v>0.5448466223195656</v>
      </c>
      <c r="F36">
        <f t="shared" si="85"/>
        <v>8.4113244607778873E-2</v>
      </c>
      <c r="G36">
        <f t="shared" si="86"/>
        <v>383.76872540375837</v>
      </c>
      <c r="H36" s="1">
        <v>66</v>
      </c>
      <c r="I36" s="1">
        <v>0</v>
      </c>
      <c r="J36" s="1">
        <v>0</v>
      </c>
      <c r="K36" s="1">
        <v>0</v>
      </c>
      <c r="L36" s="1">
        <v>0</v>
      </c>
      <c r="M36" s="1">
        <v>740.5997314453125</v>
      </c>
      <c r="N36" s="1">
        <v>151.92767333984375</v>
      </c>
      <c r="O36" t="e">
        <f t="shared" si="87"/>
        <v>#DIV/0!</v>
      </c>
      <c r="P36">
        <f t="shared" si="88"/>
        <v>1</v>
      </c>
      <c r="Q36">
        <f t="shared" si="89"/>
        <v>0.79485858974948542</v>
      </c>
      <c r="R36" s="1">
        <v>-1</v>
      </c>
      <c r="S36" s="1">
        <v>0.87</v>
      </c>
      <c r="T36" s="1">
        <v>0.92</v>
      </c>
      <c r="U36" s="1">
        <v>9.727325439453125</v>
      </c>
      <c r="V36">
        <f t="shared" si="90"/>
        <v>0.8748636627197266</v>
      </c>
      <c r="W36">
        <f t="shared" si="91"/>
        <v>3.6205880803784375E-2</v>
      </c>
      <c r="X36">
        <f t="shared" si="92"/>
        <v>0.79485858974948542</v>
      </c>
      <c r="Y36" t="e">
        <f t="shared" si="93"/>
        <v>#DIV/0!</v>
      </c>
      <c r="Z36">
        <f t="shared" si="94"/>
        <v>-1</v>
      </c>
      <c r="AA36" s="1">
        <v>48.771472930908203</v>
      </c>
      <c r="AB36" s="1">
        <v>0.5</v>
      </c>
      <c r="AC36">
        <f t="shared" si="95"/>
        <v>16.957667930396507</v>
      </c>
      <c r="AD36">
        <f t="shared" si="96"/>
        <v>0.6325558739644529</v>
      </c>
      <c r="AE36">
        <f t="shared" si="97"/>
        <v>0.76043569133219269</v>
      </c>
      <c r="AF36">
        <f t="shared" si="98"/>
        <v>15.016186714172363</v>
      </c>
      <c r="AG36" s="1">
        <v>1.9299999475479126</v>
      </c>
      <c r="AH36">
        <f t="shared" si="99"/>
        <v>4.7397196765257945</v>
      </c>
      <c r="AI36" s="1">
        <v>1</v>
      </c>
      <c r="AJ36">
        <f t="shared" si="100"/>
        <v>9.479439353051589</v>
      </c>
      <c r="AK36" s="1">
        <v>13.683065414428711</v>
      </c>
      <c r="AL36" s="1">
        <v>15.016186714172363</v>
      </c>
      <c r="AM36" s="1">
        <v>12.674304962158203</v>
      </c>
      <c r="AN36" s="1">
        <v>399.98422241210937</v>
      </c>
      <c r="AO36" s="1">
        <v>398.95635986328125</v>
      </c>
      <c r="AP36" s="1">
        <v>8.5728387832641602</v>
      </c>
      <c r="AQ36" s="1">
        <v>9.3807592391967773</v>
      </c>
      <c r="AR36" s="1">
        <v>55.400466918945313</v>
      </c>
      <c r="AS36" s="1">
        <v>60.621509552001953</v>
      </c>
      <c r="AT36" s="1">
        <v>149.69053649902344</v>
      </c>
      <c r="AU36" s="1">
        <v>48.771472930908203</v>
      </c>
      <c r="AV36" s="1">
        <v>6.3301372528076172</v>
      </c>
      <c r="AW36" s="1">
        <v>101.56147766113281</v>
      </c>
      <c r="AX36" s="1">
        <v>2.6561577320098877</v>
      </c>
      <c r="AY36" s="1">
        <v>0.25917899608612061</v>
      </c>
      <c r="AZ36" s="1">
        <v>1.4898180961608887E-2</v>
      </c>
      <c r="BA36" s="1">
        <v>1.6694518271833658E-3</v>
      </c>
      <c r="BB36" s="1">
        <v>1.4636354520916939E-2</v>
      </c>
      <c r="BC36" s="1">
        <v>3.3097104169428349E-3</v>
      </c>
      <c r="BD36" s="1">
        <v>1</v>
      </c>
      <c r="BE36" s="1">
        <v>-1.355140209197998</v>
      </c>
      <c r="BF36" s="1">
        <v>7.355140209197998</v>
      </c>
      <c r="BG36" s="1">
        <v>1</v>
      </c>
      <c r="BH36" s="1">
        <v>0</v>
      </c>
      <c r="BI36" s="1">
        <v>0.15999999642372131</v>
      </c>
      <c r="BJ36" s="1">
        <v>111115</v>
      </c>
      <c r="BK36">
        <f t="shared" si="101"/>
        <v>0.77559865578860243</v>
      </c>
      <c r="BL36">
        <f t="shared" si="102"/>
        <v>6.3255587396445292E-4</v>
      </c>
      <c r="BM36">
        <f t="shared" si="103"/>
        <v>288.16618671417234</v>
      </c>
      <c r="BN36">
        <f t="shared" si="104"/>
        <v>286.83306541442869</v>
      </c>
      <c r="BO36">
        <f t="shared" si="105"/>
        <v>7.8034354945249333</v>
      </c>
      <c r="BP36">
        <f t="shared" si="106"/>
        <v>-0.12693298250920021</v>
      </c>
      <c r="BQ36">
        <f t="shared" si="107"/>
        <v>1.7131594612483414</v>
      </c>
      <c r="BR36">
        <f t="shared" si="108"/>
        <v>16.868201415544792</v>
      </c>
      <c r="BS36">
        <f t="shared" si="109"/>
        <v>7.487442176348015</v>
      </c>
      <c r="BT36">
        <f t="shared" si="110"/>
        <v>14.349626064300537</v>
      </c>
      <c r="BU36">
        <f t="shared" si="111"/>
        <v>1.6410352747174204</v>
      </c>
      <c r="BV36">
        <f t="shared" si="112"/>
        <v>8.3373452794412398E-2</v>
      </c>
      <c r="BW36">
        <f t="shared" si="113"/>
        <v>0.95272376991614871</v>
      </c>
      <c r="BX36">
        <f t="shared" si="114"/>
        <v>0.68831150480127168</v>
      </c>
      <c r="BY36">
        <f t="shared" si="115"/>
        <v>5.217437248861416E-2</v>
      </c>
      <c r="BZ36">
        <f t="shared" si="116"/>
        <v>38.976118832135221</v>
      </c>
      <c r="CA36">
        <f t="shared" si="117"/>
        <v>0.96193158954847202</v>
      </c>
      <c r="CB36">
        <f t="shared" si="118"/>
        <v>55.417365444120712</v>
      </c>
      <c r="CC36">
        <f t="shared" si="119"/>
        <v>398.87876635666794</v>
      </c>
      <c r="CD36">
        <f t="shared" si="120"/>
        <v>7.5697096277818545E-4</v>
      </c>
      <c r="CE36">
        <f t="shared" si="121"/>
        <v>0</v>
      </c>
      <c r="CF36">
        <f t="shared" si="122"/>
        <v>42.668389444570352</v>
      </c>
      <c r="CG36">
        <f t="shared" si="123"/>
        <v>740.5997314453125</v>
      </c>
      <c r="CH36">
        <f t="shared" si="124"/>
        <v>0.79485858974948542</v>
      </c>
      <c r="CI36" t="e">
        <f t="shared" si="125"/>
        <v>#DIV/0!</v>
      </c>
    </row>
    <row r="37" spans="1:87" x14ac:dyDescent="0.25">
      <c r="A37" s="1">
        <v>12</v>
      </c>
      <c r="B37" s="1" t="s">
        <v>199</v>
      </c>
      <c r="C37" s="1">
        <v>2147.4998535839841</v>
      </c>
      <c r="D37" s="1">
        <v>0</v>
      </c>
      <c r="E37">
        <f t="shared" si="84"/>
        <v>-0.4341379446493307</v>
      </c>
      <c r="F37">
        <f t="shared" si="85"/>
        <v>7.4793122101952242E-2</v>
      </c>
      <c r="G37">
        <f t="shared" si="86"/>
        <v>404.75221252590302</v>
      </c>
      <c r="H37" s="1">
        <v>67</v>
      </c>
      <c r="I37" s="1">
        <v>0</v>
      </c>
      <c r="J37" s="1">
        <v>0</v>
      </c>
      <c r="K37" s="1">
        <v>0</v>
      </c>
      <c r="L37" s="1">
        <v>0</v>
      </c>
      <c r="M37" s="1">
        <v>743.95635986328125</v>
      </c>
      <c r="N37" s="1">
        <v>133.83604431152344</v>
      </c>
      <c r="O37" t="e">
        <f t="shared" si="87"/>
        <v>#DIV/0!</v>
      </c>
      <c r="P37">
        <f t="shared" si="88"/>
        <v>1</v>
      </c>
      <c r="Q37">
        <f t="shared" si="89"/>
        <v>0.82010229156973824</v>
      </c>
      <c r="R37" s="1">
        <v>-1</v>
      </c>
      <c r="S37" s="1">
        <v>0.87</v>
      </c>
      <c r="T37" s="1">
        <v>0.92</v>
      </c>
      <c r="U37" s="1">
        <v>0</v>
      </c>
      <c r="V37">
        <f t="shared" si="90"/>
        <v>0.87</v>
      </c>
      <c r="W37">
        <f t="shared" si="91"/>
        <v>2.4843042198435968E-2</v>
      </c>
      <c r="X37">
        <f t="shared" si="92"/>
        <v>0.82010229156973824</v>
      </c>
      <c r="Y37" t="e">
        <f t="shared" si="93"/>
        <v>#DIV/0!</v>
      </c>
      <c r="Z37">
        <f t="shared" si="94"/>
        <v>-1</v>
      </c>
      <c r="AA37" s="1">
        <v>26.181018829345703</v>
      </c>
      <c r="AB37" s="1">
        <v>0.5</v>
      </c>
      <c r="AC37">
        <f t="shared" si="95"/>
        <v>9.3399343888459416</v>
      </c>
      <c r="AD37">
        <f t="shared" si="96"/>
        <v>0.56669097150682513</v>
      </c>
      <c r="AE37">
        <f t="shared" si="97"/>
        <v>0.76533070436916784</v>
      </c>
      <c r="AF37">
        <f t="shared" si="98"/>
        <v>15.09583854675293</v>
      </c>
      <c r="AG37" s="1">
        <v>1.9299999475479126</v>
      </c>
      <c r="AH37">
        <f t="shared" si="99"/>
        <v>4.7397196765257945</v>
      </c>
      <c r="AI37" s="1">
        <v>1</v>
      </c>
      <c r="AJ37">
        <f t="shared" si="100"/>
        <v>9.479439353051589</v>
      </c>
      <c r="AK37" s="1">
        <v>13.740841865539551</v>
      </c>
      <c r="AL37" s="1">
        <v>15.09583854675293</v>
      </c>
      <c r="AM37" s="1">
        <v>12.712620735168457</v>
      </c>
      <c r="AN37" s="1">
        <v>400.04782104492188</v>
      </c>
      <c r="AO37" s="1">
        <v>400.3150634765625</v>
      </c>
      <c r="AP37" s="1">
        <v>8.695765495300293</v>
      </c>
      <c r="AQ37" s="1">
        <v>9.4194974899291992</v>
      </c>
      <c r="AR37" s="1">
        <v>55.982559204101563</v>
      </c>
      <c r="AS37" s="1">
        <v>60.641880035400391</v>
      </c>
      <c r="AT37" s="1">
        <v>149.69786071777344</v>
      </c>
      <c r="AU37" s="1">
        <v>26.181018829345703</v>
      </c>
      <c r="AV37" s="1">
        <v>6.3806252479553223</v>
      </c>
      <c r="AW37" s="1">
        <v>101.55859375</v>
      </c>
      <c r="AX37" s="1">
        <v>2.6561577320098877</v>
      </c>
      <c r="AY37" s="1">
        <v>0.25917899608612061</v>
      </c>
      <c r="AZ37" s="1">
        <v>1.4898180961608887E-2</v>
      </c>
      <c r="BA37" s="1">
        <v>1.6694518271833658E-3</v>
      </c>
      <c r="BB37" s="1">
        <v>1.4636354520916939E-2</v>
      </c>
      <c r="BC37" s="1">
        <v>3.3097104169428349E-3</v>
      </c>
      <c r="BD37" s="1">
        <v>1</v>
      </c>
      <c r="BE37" s="1">
        <v>-1.355140209197998</v>
      </c>
      <c r="BF37" s="1">
        <v>7.355140209197998</v>
      </c>
      <c r="BG37" s="1">
        <v>1</v>
      </c>
      <c r="BH37" s="1">
        <v>0</v>
      </c>
      <c r="BI37" s="1">
        <v>0.15999999642372131</v>
      </c>
      <c r="BJ37" s="1">
        <v>111115</v>
      </c>
      <c r="BK37">
        <f t="shared" si="101"/>
        <v>0.77563660510958199</v>
      </c>
      <c r="BL37">
        <f t="shared" si="102"/>
        <v>5.6669097150682508E-4</v>
      </c>
      <c r="BM37">
        <f t="shared" si="103"/>
        <v>288.24583854675291</v>
      </c>
      <c r="BN37">
        <f t="shared" si="104"/>
        <v>286.89084186553953</v>
      </c>
      <c r="BO37">
        <f t="shared" si="105"/>
        <v>4.1889629190646929</v>
      </c>
      <c r="BP37">
        <f t="shared" si="106"/>
        <v>-0.13047902517980758</v>
      </c>
      <c r="BQ37">
        <f t="shared" si="107"/>
        <v>1.7219616232780321</v>
      </c>
      <c r="BR37">
        <f t="shared" si="108"/>
        <v>16.955351188860195</v>
      </c>
      <c r="BS37">
        <f t="shared" si="109"/>
        <v>7.5358536989309961</v>
      </c>
      <c r="BT37">
        <f t="shared" si="110"/>
        <v>14.41834020614624</v>
      </c>
      <c r="BU37">
        <f t="shared" si="111"/>
        <v>1.6483448960346734</v>
      </c>
      <c r="BV37">
        <f t="shared" si="112"/>
        <v>7.4207621264673562E-2</v>
      </c>
      <c r="BW37">
        <f t="shared" si="113"/>
        <v>0.95663091890886431</v>
      </c>
      <c r="BX37">
        <f t="shared" si="114"/>
        <v>0.69171397712580907</v>
      </c>
      <c r="BY37">
        <f t="shared" si="115"/>
        <v>4.6432013884423001E-2</v>
      </c>
      <c r="BZ37">
        <f t="shared" si="116"/>
        <v>41.10606552133185</v>
      </c>
      <c r="CA37">
        <f t="shared" si="117"/>
        <v>1.0110841421024874</v>
      </c>
      <c r="CB37">
        <f t="shared" si="118"/>
        <v>55.313345556329317</v>
      </c>
      <c r="CC37">
        <f t="shared" si="119"/>
        <v>400.37689057450029</v>
      </c>
      <c r="CD37">
        <f t="shared" si="120"/>
        <v>-5.9977542952206568E-4</v>
      </c>
      <c r="CE37">
        <f t="shared" si="121"/>
        <v>0</v>
      </c>
      <c r="CF37">
        <f t="shared" si="122"/>
        <v>22.77748638153076</v>
      </c>
      <c r="CG37">
        <f t="shared" si="123"/>
        <v>743.95635986328125</v>
      </c>
      <c r="CH37">
        <f t="shared" si="124"/>
        <v>0.82010229156973824</v>
      </c>
      <c r="CI37" t="e">
        <f t="shared" si="125"/>
        <v>#DIV/0!</v>
      </c>
    </row>
    <row r="38" spans="1:87" x14ac:dyDescent="0.25">
      <c r="A38" s="1">
        <v>13</v>
      </c>
      <c r="B38" s="1" t="s">
        <v>200</v>
      </c>
      <c r="C38" s="1">
        <v>2351.9998394902796</v>
      </c>
      <c r="D38" s="1">
        <v>0</v>
      </c>
      <c r="E38">
        <f t="shared" si="84"/>
        <v>-0.75642142457713235</v>
      </c>
      <c r="F38">
        <f t="shared" si="85"/>
        <v>6.1260619220994961E-2</v>
      </c>
      <c r="G38">
        <f t="shared" si="86"/>
        <v>415.1985845301279</v>
      </c>
      <c r="H38" s="1">
        <v>68</v>
      </c>
      <c r="I38" s="1">
        <v>0</v>
      </c>
      <c r="J38" s="1">
        <v>0</v>
      </c>
      <c r="K38" s="1">
        <v>0</v>
      </c>
      <c r="L38" s="1">
        <v>0</v>
      </c>
      <c r="M38" s="1">
        <v>773.4202880859375</v>
      </c>
      <c r="N38" s="1">
        <v>108.33310699462891</v>
      </c>
      <c r="O38" t="e">
        <f t="shared" si="87"/>
        <v>#DIV/0!</v>
      </c>
      <c r="P38">
        <f t="shared" si="88"/>
        <v>1</v>
      </c>
      <c r="Q38">
        <f t="shared" si="89"/>
        <v>0.85992983548087165</v>
      </c>
      <c r="R38" s="1">
        <v>-1</v>
      </c>
      <c r="S38" s="1">
        <v>0.87</v>
      </c>
      <c r="T38" s="1">
        <v>0.92</v>
      </c>
      <c r="U38" s="1">
        <v>0</v>
      </c>
      <c r="V38">
        <f t="shared" si="90"/>
        <v>0.87</v>
      </c>
      <c r="W38">
        <f t="shared" si="91"/>
        <v>-3.7338794862350175</v>
      </c>
      <c r="X38">
        <f t="shared" si="92"/>
        <v>0.85992983548087165</v>
      </c>
      <c r="Y38" t="e">
        <f t="shared" si="93"/>
        <v>#DIV/0!</v>
      </c>
      <c r="Z38">
        <f t="shared" si="94"/>
        <v>-1</v>
      </c>
      <c r="AA38" s="1">
        <v>-7.4982434511184692E-2</v>
      </c>
      <c r="AB38" s="1">
        <v>0.5</v>
      </c>
      <c r="AC38">
        <f t="shared" si="95"/>
        <v>-2.8048640169323853E-2</v>
      </c>
      <c r="AD38">
        <f t="shared" si="96"/>
        <v>0.47033745235960561</v>
      </c>
      <c r="AE38">
        <f t="shared" si="97"/>
        <v>0.77418515023184054</v>
      </c>
      <c r="AF38">
        <f t="shared" si="98"/>
        <v>15.42233943939209</v>
      </c>
      <c r="AG38" s="1">
        <v>1.9299999475479126</v>
      </c>
      <c r="AH38">
        <f t="shared" si="99"/>
        <v>4.7397196765257945</v>
      </c>
      <c r="AI38" s="1">
        <v>1</v>
      </c>
      <c r="AJ38">
        <f t="shared" si="100"/>
        <v>9.479439353051589</v>
      </c>
      <c r="AK38" s="1">
        <v>13.012482643127441</v>
      </c>
      <c r="AL38" s="1">
        <v>15.42233943939209</v>
      </c>
      <c r="AM38" s="1">
        <v>11.206376075744629</v>
      </c>
      <c r="AN38" s="1">
        <v>399.63803100585937</v>
      </c>
      <c r="AO38" s="1">
        <v>400.37014770507812</v>
      </c>
      <c r="AP38" s="1">
        <v>9.0912971496582031</v>
      </c>
      <c r="AQ38" s="1">
        <v>9.6915388107299805</v>
      </c>
      <c r="AR38" s="1">
        <v>61.376102447509766</v>
      </c>
      <c r="AS38" s="1">
        <v>65.428390502929688</v>
      </c>
      <c r="AT38" s="1">
        <v>149.76530456542969</v>
      </c>
      <c r="AU38" s="1">
        <v>-7.4982434511184692E-2</v>
      </c>
      <c r="AV38" s="1">
        <v>6.4222502708435059</v>
      </c>
      <c r="AW38" s="1">
        <v>101.56014251708984</v>
      </c>
      <c r="AX38" s="1">
        <v>2.6561577320098877</v>
      </c>
      <c r="AY38" s="1">
        <v>0.25917899608612061</v>
      </c>
      <c r="AZ38" s="1">
        <v>1.4898180961608887E-2</v>
      </c>
      <c r="BA38" s="1">
        <v>1.6694518271833658E-3</v>
      </c>
      <c r="BB38" s="1">
        <v>1.4636354520916939E-2</v>
      </c>
      <c r="BC38" s="1">
        <v>3.3097104169428349E-3</v>
      </c>
      <c r="BD38" s="1">
        <v>0.75</v>
      </c>
      <c r="BE38" s="1">
        <v>-1.355140209197998</v>
      </c>
      <c r="BF38" s="1">
        <v>7.355140209197998</v>
      </c>
      <c r="BG38" s="1">
        <v>1</v>
      </c>
      <c r="BH38" s="1">
        <v>0</v>
      </c>
      <c r="BI38" s="1">
        <v>0.15999999642372131</v>
      </c>
      <c r="BJ38" s="1">
        <v>111115</v>
      </c>
      <c r="BK38">
        <f t="shared" si="101"/>
        <v>0.7759860551069353</v>
      </c>
      <c r="BL38">
        <f t="shared" si="102"/>
        <v>4.7033745235960559E-4</v>
      </c>
      <c r="BM38">
        <f t="shared" si="103"/>
        <v>288.57233943939207</v>
      </c>
      <c r="BN38">
        <f t="shared" si="104"/>
        <v>286.16248264312742</v>
      </c>
      <c r="BO38">
        <f t="shared" si="105"/>
        <v>-1.1997189253631468E-2</v>
      </c>
      <c r="BP38">
        <f t="shared" si="106"/>
        <v>-0.17074313709038336</v>
      </c>
      <c r="BQ38">
        <f t="shared" si="107"/>
        <v>1.7584592130594847</v>
      </c>
      <c r="BR38">
        <f t="shared" si="108"/>
        <v>17.314461849672799</v>
      </c>
      <c r="BS38">
        <f t="shared" si="109"/>
        <v>7.6229230389428189</v>
      </c>
      <c r="BT38">
        <f t="shared" si="110"/>
        <v>14.217411041259766</v>
      </c>
      <c r="BU38">
        <f t="shared" si="111"/>
        <v>1.6270507134779646</v>
      </c>
      <c r="BV38">
        <f t="shared" si="112"/>
        <v>6.0867266167419609E-2</v>
      </c>
      <c r="BW38">
        <f t="shared" si="113"/>
        <v>0.98427406282764418</v>
      </c>
      <c r="BX38">
        <f t="shared" si="114"/>
        <v>0.64277665065032041</v>
      </c>
      <c r="BY38">
        <f t="shared" si="115"/>
        <v>3.8077187188839477E-2</v>
      </c>
      <c r="BZ38">
        <f t="shared" si="116"/>
        <v>42.167627417773765</v>
      </c>
      <c r="CA38">
        <f t="shared" si="117"/>
        <v>1.0370368193284298</v>
      </c>
      <c r="CB38">
        <f t="shared" si="118"/>
        <v>55.657601326328262</v>
      </c>
      <c r="CC38">
        <f t="shared" si="119"/>
        <v>400.47787231675051</v>
      </c>
      <c r="CD38">
        <f t="shared" si="120"/>
        <v>-1.0512591330017011E-3</v>
      </c>
      <c r="CE38">
        <f t="shared" si="121"/>
        <v>0</v>
      </c>
      <c r="CF38">
        <f t="shared" si="122"/>
        <v>-6.5234718024730687E-2</v>
      </c>
      <c r="CG38">
        <f t="shared" si="123"/>
        <v>773.4202880859375</v>
      </c>
      <c r="CH38">
        <f t="shared" si="124"/>
        <v>0.85992983548087165</v>
      </c>
      <c r="CI38" t="e">
        <f t="shared" si="125"/>
        <v>#DIV/0!</v>
      </c>
    </row>
    <row r="40" spans="1:87" x14ac:dyDescent="0.25">
      <c r="A40" s="1">
        <v>2</v>
      </c>
      <c r="B40" s="1" t="s">
        <v>211</v>
      </c>
      <c r="C40" s="1">
        <v>154.49999148864299</v>
      </c>
      <c r="D40" s="1">
        <v>0</v>
      </c>
      <c r="E40">
        <f t="shared" ref="E40:E50" si="126">(AN40-AO40*(1000-AP40)/(1000-AQ40))*BG40</f>
        <v>9.0723337778949062</v>
      </c>
      <c r="F40">
        <f t="shared" ref="F40:F50" si="127">IF(BR40&lt;&gt;0,1/(1/BR40-1/AJ40),0)</f>
        <v>0.14168669448866869</v>
      </c>
      <c r="G40">
        <f t="shared" ref="G40:G50" si="128">((BU40-BH40/2)*AO40-E40)/(BU40+BH40/2)</f>
        <v>291.49395699741524</v>
      </c>
      <c r="H40" s="1">
        <v>57</v>
      </c>
      <c r="I40" s="1">
        <v>55</v>
      </c>
      <c r="J40" s="1">
        <v>567.294189453125</v>
      </c>
      <c r="K40" s="1">
        <v>2432.202880859375</v>
      </c>
      <c r="L40" s="1">
        <v>436.703125</v>
      </c>
      <c r="M40" s="1">
        <v>924.58587646484375</v>
      </c>
      <c r="N40" s="1">
        <v>593.30560302734375</v>
      </c>
      <c r="O40">
        <f t="shared" ref="O40:O50" si="129">CA40/K40</f>
        <v>0.76675704402887568</v>
      </c>
      <c r="P40">
        <f t="shared" ref="P40:P50" si="130">CC40/M40</f>
        <v>0.52767705400201936</v>
      </c>
      <c r="Q40">
        <f t="shared" ref="Q40:Q50" si="131">(M40-N40)/M40</f>
        <v>0.35830124801835705</v>
      </c>
      <c r="R40" s="1">
        <v>-1</v>
      </c>
      <c r="S40" s="1">
        <v>0.87</v>
      </c>
      <c r="T40" s="1">
        <v>0.92</v>
      </c>
      <c r="U40" s="1">
        <v>9.699894905090332</v>
      </c>
      <c r="V40">
        <f t="shared" ref="V40:V50" si="132">(U40*T40+(100-U40)*S40)/100</f>
        <v>0.8748499474525453</v>
      </c>
      <c r="W40">
        <f t="shared" ref="W40:W50" si="133">(E40-R40)/CB40</f>
        <v>2.2998712135593815E-2</v>
      </c>
      <c r="X40">
        <f t="shared" ref="X40:X50" si="134">(M40-N40)/(M40-L40)</f>
        <v>0.67901616206526549</v>
      </c>
      <c r="Y40">
        <f t="shared" ref="Y40:Y50" si="135">(K40-M40)/(K40-L40)</f>
        <v>0.75550848852159647</v>
      </c>
      <c r="Z40">
        <f t="shared" ref="Z40:Z50" si="136">(K40-M40)/M40</f>
        <v>1.6305862362497991</v>
      </c>
      <c r="AA40" s="1">
        <v>500.60250854492187</v>
      </c>
      <c r="AB40" s="1">
        <v>0.5</v>
      </c>
      <c r="AC40">
        <f t="shared" ref="AC40:AC50" si="137">Q40*AB40*V40*AA40</f>
        <v>78.459388112690448</v>
      </c>
      <c r="AD40">
        <f t="shared" ref="AD40:AD50" si="138">BH40*1000</f>
        <v>0.99776211970024509</v>
      </c>
      <c r="AE40">
        <f t="shared" ref="AE40:AE50" si="139">(BM40-BS40)</f>
        <v>0.72184855674684401</v>
      </c>
      <c r="AF40">
        <f t="shared" ref="AF40:AF50" si="140">(AL40+BL40*D40)</f>
        <v>15.117419242858887</v>
      </c>
      <c r="AG40" s="1">
        <v>2</v>
      </c>
      <c r="AH40">
        <f t="shared" ref="AH40:AH50" si="141">(AG40*BA40+BB40)</f>
        <v>4.644859790802002</v>
      </c>
      <c r="AI40" s="1">
        <v>1</v>
      </c>
      <c r="AJ40">
        <f t="shared" ref="AJ40:AJ50" si="142">AH40*(AI40+1)*(AI40+1)/(AI40*AI40+1)</f>
        <v>9.2897195816040039</v>
      </c>
      <c r="AK40" s="1">
        <v>12.353488922119141</v>
      </c>
      <c r="AL40" s="1">
        <v>15.117419242858887</v>
      </c>
      <c r="AM40" s="1">
        <v>10.381050109863281</v>
      </c>
      <c r="AN40" s="1">
        <v>411.88311767578125</v>
      </c>
      <c r="AO40" s="1">
        <v>399.22348022460937</v>
      </c>
      <c r="AP40" s="1">
        <v>8.4761924743652344</v>
      </c>
      <c r="AQ40" s="1">
        <v>9.7968559265136719</v>
      </c>
      <c r="AR40" s="1">
        <v>60.201995849609375</v>
      </c>
      <c r="AS40" s="1">
        <v>69.581977844238281</v>
      </c>
      <c r="AT40" s="1">
        <v>149.61982727050781</v>
      </c>
      <c r="AU40" s="1">
        <v>500.60250854492187</v>
      </c>
      <c r="AV40" s="1">
        <v>16.86614990234375</v>
      </c>
      <c r="AW40" s="1">
        <v>102.32923126220703</v>
      </c>
      <c r="AX40" s="1">
        <v>4.2973556518554687</v>
      </c>
      <c r="AY40" s="1">
        <v>4.3755345046520233E-2</v>
      </c>
      <c r="AZ40" s="1">
        <v>0.75</v>
      </c>
      <c r="BA40" s="1">
        <v>-1.355140209197998</v>
      </c>
      <c r="BB40" s="1">
        <v>7.355140209197998</v>
      </c>
      <c r="BC40" s="1">
        <v>1</v>
      </c>
      <c r="BD40" s="1">
        <v>0</v>
      </c>
      <c r="BE40" s="1">
        <v>0.15999999642372131</v>
      </c>
      <c r="BF40" s="1">
        <v>111115</v>
      </c>
      <c r="BG40">
        <f t="shared" ref="BG40:BG50" si="143">AT40*0.000001/(AG40*0.0001)</f>
        <v>0.748099136352539</v>
      </c>
      <c r="BH40">
        <f t="shared" ref="BH40:BH50" si="144">(AQ40-AP40)/(1000-AQ40)*BG40</f>
        <v>9.9776211970024507E-4</v>
      </c>
      <c r="BI40">
        <f t="shared" ref="BI40:BI50" si="145">(AL40+273.15)</f>
        <v>288.26741924285886</v>
      </c>
      <c r="BJ40">
        <f t="shared" ref="BJ40:BJ50" si="146">(AK40+273.15)</f>
        <v>285.50348892211912</v>
      </c>
      <c r="BK40">
        <f t="shared" ref="BK40:BK50" si="147">(AU40*BC40+AV40*BD40)*BE40</f>
        <v>80.096399576893418</v>
      </c>
      <c r="BL40">
        <f t="shared" ref="BL40:BL50" si="148">((BK40+0.00000010773*(BJ40^4-BI40^4))-BH40*44100)/(AH40*51.4+0.00000043092*BI40^3)</f>
        <v>3.2008234876571104E-2</v>
      </c>
      <c r="BM40">
        <f t="shared" ref="BM40:BM50" si="149">0.61365*EXP(17.502*AF40/(240.97+AF40))</f>
        <v>1.7243532924935852</v>
      </c>
      <c r="BN40">
        <f t="shared" ref="BN40:BN50" si="150">BM40*1000/AW40</f>
        <v>16.851033387274509</v>
      </c>
      <c r="BO40">
        <f t="shared" ref="BO40:BO50" si="151">(BN40-AQ40)</f>
        <v>7.0541774607608367</v>
      </c>
      <c r="BP40">
        <f t="shared" ref="BP40:BP50" si="152">IF(D40,AL40,(AK40+AL40)/2)</f>
        <v>13.735454082489014</v>
      </c>
      <c r="BQ40">
        <f t="shared" ref="BQ40:BQ50" si="153">0.61365*EXP(17.502*BP40/(240.97+BP40))</f>
        <v>1.5769562776923289</v>
      </c>
      <c r="BR40">
        <f t="shared" ref="BR40:BR50" si="154">IF(BO40&lt;&gt;0,(1000-(BN40+AQ40)/2)/BO40*BH40,0)</f>
        <v>0.13955815513754211</v>
      </c>
      <c r="BS40">
        <f t="shared" ref="BS40:BS50" si="155">AQ40*AW40/1000</f>
        <v>1.0025047357467411</v>
      </c>
      <c r="BT40">
        <f t="shared" ref="BT40:BT50" si="156">(BQ40-BS40)</f>
        <v>0.57445154194558778</v>
      </c>
      <c r="BU40">
        <f t="shared" ref="BU40:BU50" si="157">1/(1.6/F40+1.37/AJ40)</f>
        <v>8.7412617664459083E-2</v>
      </c>
      <c r="BV40">
        <f t="shared" ref="BV40:BV50" si="158">G40*AW40*0.001</f>
        <v>29.828352537124335</v>
      </c>
      <c r="BW40">
        <f t="shared" ref="BW40:BW50" si="159">G40/AO40</f>
        <v>0.73015233681499936</v>
      </c>
      <c r="BX40">
        <f t="shared" ref="BX40:BX50" si="160">(1-BH40*AW40/BM40/F40)*100</f>
        <v>58.210093034899657</v>
      </c>
      <c r="BY40">
        <f t="shared" ref="BY40:BY50" si="161">(AO40-E40/(AJ40/1.35))</f>
        <v>397.90507114965607</v>
      </c>
      <c r="BZ40">
        <f t="shared" ref="BZ40:BZ50" si="162">E40*BX40/100/BY40</f>
        <v>1.3272044805287264E-2</v>
      </c>
      <c r="CA40">
        <f t="shared" ref="CA40:CA50" si="163">(K40-J40)</f>
        <v>1864.90869140625</v>
      </c>
      <c r="CB40">
        <f t="shared" ref="CB40:CB50" si="164">AU40*V40</f>
        <v>437.95207829513726</v>
      </c>
      <c r="CC40">
        <f t="shared" ref="CC40:CC50" si="165">(M40-L40)</f>
        <v>487.88275146484375</v>
      </c>
      <c r="CD40">
        <f t="shared" ref="CD40:CD50" si="166">(M40-N40)/(M40-J40)</f>
        <v>0.92719838014768696</v>
      </c>
      <c r="CE40">
        <f t="shared" ref="CE40:CE50" si="167">(K40-M40)/(K40-J40)</f>
        <v>0.80841330803048594</v>
      </c>
    </row>
    <row r="41" spans="1:87" x14ac:dyDescent="0.25">
      <c r="A41" s="1">
        <v>3</v>
      </c>
      <c r="B41" s="1" t="s">
        <v>212</v>
      </c>
      <c r="C41" s="1">
        <v>228.49998638872057</v>
      </c>
      <c r="D41" s="1">
        <v>0</v>
      </c>
      <c r="E41">
        <f t="shared" si="126"/>
        <v>9.1776979244339696</v>
      </c>
      <c r="F41">
        <f t="shared" si="127"/>
        <v>0.14747828706514704</v>
      </c>
      <c r="G41">
        <f t="shared" si="128"/>
        <v>294.37523689075334</v>
      </c>
      <c r="H41" s="1">
        <v>58</v>
      </c>
      <c r="I41" s="1">
        <v>56</v>
      </c>
      <c r="J41" s="1">
        <v>567.294189453125</v>
      </c>
      <c r="K41" s="1">
        <v>2432.202880859375</v>
      </c>
      <c r="L41" s="1">
        <v>443.005859375</v>
      </c>
      <c r="M41" s="1">
        <v>965.62213134765625</v>
      </c>
      <c r="N41" s="1">
        <v>595.1339111328125</v>
      </c>
      <c r="O41">
        <f t="shared" si="129"/>
        <v>0.76675704402887568</v>
      </c>
      <c r="P41">
        <f t="shared" si="130"/>
        <v>0.54122234257749935</v>
      </c>
      <c r="Q41">
        <f t="shared" si="131"/>
        <v>0.38367826107897646</v>
      </c>
      <c r="R41" s="1">
        <v>-1</v>
      </c>
      <c r="S41" s="1">
        <v>0.87</v>
      </c>
      <c r="T41" s="1">
        <v>0.92</v>
      </c>
      <c r="U41" s="1">
        <v>9.9087457656860352</v>
      </c>
      <c r="V41">
        <f t="shared" si="132"/>
        <v>0.87495437288284295</v>
      </c>
      <c r="W41">
        <f t="shared" si="133"/>
        <v>2.5794852203835102E-2</v>
      </c>
      <c r="X41">
        <f t="shared" si="134"/>
        <v>0.70891061010482281</v>
      </c>
      <c r="Y41">
        <f t="shared" si="135"/>
        <v>0.73727274557113986</v>
      </c>
      <c r="Z41">
        <f t="shared" si="136"/>
        <v>1.5187936376985343</v>
      </c>
      <c r="AA41" s="1">
        <v>450.95281982421875</v>
      </c>
      <c r="AB41" s="1">
        <v>0.5</v>
      </c>
      <c r="AC41">
        <f t="shared" si="137"/>
        <v>75.692650040719272</v>
      </c>
      <c r="AD41">
        <f t="shared" si="138"/>
        <v>0.99230774178870684</v>
      </c>
      <c r="AE41">
        <f t="shared" si="139"/>
        <v>0.69026580092145107</v>
      </c>
      <c r="AF41">
        <f t="shared" si="140"/>
        <v>14.858529090881348</v>
      </c>
      <c r="AG41" s="1">
        <v>2</v>
      </c>
      <c r="AH41">
        <f t="shared" si="141"/>
        <v>4.644859790802002</v>
      </c>
      <c r="AI41" s="1">
        <v>1</v>
      </c>
      <c r="AJ41">
        <f t="shared" si="142"/>
        <v>9.2897195816040039</v>
      </c>
      <c r="AK41" s="1">
        <v>12.313083648681641</v>
      </c>
      <c r="AL41" s="1">
        <v>14.858529090881348</v>
      </c>
      <c r="AM41" s="1">
        <v>10.608620643615723</v>
      </c>
      <c r="AN41" s="1">
        <v>411.88128662109375</v>
      </c>
      <c r="AO41" s="1">
        <v>399.08154296875</v>
      </c>
      <c r="AP41" s="1">
        <v>8.5126972198486328</v>
      </c>
      <c r="AQ41" s="1">
        <v>9.8263444900512695</v>
      </c>
      <c r="AR41" s="1">
        <v>60.626007080078125</v>
      </c>
      <c r="AS41" s="1">
        <v>69.981582641601562</v>
      </c>
      <c r="AT41" s="1">
        <v>149.59220886230469</v>
      </c>
      <c r="AU41" s="1">
        <v>450.95281982421875</v>
      </c>
      <c r="AV41" s="1">
        <v>16.895956039428711</v>
      </c>
      <c r="AW41" s="1">
        <v>102.33589172363281</v>
      </c>
      <c r="AX41" s="1">
        <v>4.2973556518554687</v>
      </c>
      <c r="AY41" s="1">
        <v>4.3755345046520233E-2</v>
      </c>
      <c r="AZ41" s="1">
        <v>0.75</v>
      </c>
      <c r="BA41" s="1">
        <v>-1.355140209197998</v>
      </c>
      <c r="BB41" s="1">
        <v>7.355140209197998</v>
      </c>
      <c r="BC41" s="1">
        <v>1</v>
      </c>
      <c r="BD41" s="1">
        <v>0</v>
      </c>
      <c r="BE41" s="1">
        <v>0.15999999642372131</v>
      </c>
      <c r="BF41" s="1">
        <v>111115</v>
      </c>
      <c r="BG41">
        <f t="shared" si="143"/>
        <v>0.74796104431152344</v>
      </c>
      <c r="BH41">
        <f t="shared" si="144"/>
        <v>9.9230774178870685E-4</v>
      </c>
      <c r="BI41">
        <f t="shared" si="145"/>
        <v>288.00852909088132</v>
      </c>
      <c r="BJ41">
        <f t="shared" si="146"/>
        <v>285.46308364868162</v>
      </c>
      <c r="BK41">
        <f t="shared" si="147"/>
        <v>72.152449559142042</v>
      </c>
      <c r="BL41">
        <f t="shared" si="148"/>
        <v>1.0169013228518752E-2</v>
      </c>
      <c r="BM41">
        <f t="shared" si="149"/>
        <v>1.6958535266944537</v>
      </c>
      <c r="BN41">
        <f t="shared" si="150"/>
        <v>16.571444271715119</v>
      </c>
      <c r="BO41">
        <f t="shared" si="151"/>
        <v>6.7450997816638498</v>
      </c>
      <c r="BP41">
        <f t="shared" si="152"/>
        <v>13.585806369781494</v>
      </c>
      <c r="BQ41">
        <f t="shared" si="153"/>
        <v>1.5616803672315915</v>
      </c>
      <c r="BR41">
        <f t="shared" si="154"/>
        <v>0.14517359392865173</v>
      </c>
      <c r="BS41">
        <f t="shared" si="155"/>
        <v>1.0055877257730026</v>
      </c>
      <c r="BT41">
        <f t="shared" si="156"/>
        <v>0.55609264145858894</v>
      </c>
      <c r="BU41">
        <f t="shared" si="157"/>
        <v>9.0937781559845624E-2</v>
      </c>
      <c r="BV41">
        <f t="shared" si="158"/>
        <v>30.125152368570895</v>
      </c>
      <c r="BW41">
        <f t="shared" si="159"/>
        <v>0.73763180000986495</v>
      </c>
      <c r="BX41">
        <f t="shared" si="160"/>
        <v>59.397017656219035</v>
      </c>
      <c r="BY41">
        <f t="shared" si="161"/>
        <v>397.7478221724279</v>
      </c>
      <c r="BZ41">
        <f t="shared" si="162"/>
        <v>1.3705364436281705E-2</v>
      </c>
      <c r="CA41">
        <f t="shared" si="163"/>
        <v>1864.90869140625</v>
      </c>
      <c r="CB41">
        <f t="shared" si="164"/>
        <v>394.563141669049</v>
      </c>
      <c r="CC41">
        <f t="shared" si="165"/>
        <v>522.61627197265625</v>
      </c>
      <c r="CD41">
        <f t="shared" si="166"/>
        <v>0.93010853934254289</v>
      </c>
      <c r="CE41">
        <f t="shared" si="167"/>
        <v>0.78640887689028427</v>
      </c>
    </row>
    <row r="42" spans="1:87" x14ac:dyDescent="0.25">
      <c r="A42" s="1">
        <v>4</v>
      </c>
      <c r="B42" s="1" t="s">
        <v>213</v>
      </c>
      <c r="C42" s="1">
        <v>302.99998125433922</v>
      </c>
      <c r="D42" s="1">
        <v>0</v>
      </c>
      <c r="E42">
        <f t="shared" si="126"/>
        <v>8.0730162808556898</v>
      </c>
      <c r="F42">
        <f t="shared" si="127"/>
        <v>0.15877166829566644</v>
      </c>
      <c r="G42">
        <f t="shared" si="128"/>
        <v>314.24762769075568</v>
      </c>
      <c r="H42" s="1">
        <v>59</v>
      </c>
      <c r="I42" s="1">
        <v>57</v>
      </c>
      <c r="J42" s="1">
        <v>567.294189453125</v>
      </c>
      <c r="K42" s="1">
        <v>2432.202880859375</v>
      </c>
      <c r="L42" s="1">
        <v>473.62255859375</v>
      </c>
      <c r="M42" s="1">
        <v>1175.92236328125</v>
      </c>
      <c r="N42" s="1">
        <v>629.68438720703125</v>
      </c>
      <c r="O42">
        <f t="shared" si="129"/>
        <v>0.76675704402887568</v>
      </c>
      <c r="P42">
        <f t="shared" si="130"/>
        <v>0.59723313937820588</v>
      </c>
      <c r="Q42">
        <f t="shared" si="131"/>
        <v>0.46451874131385396</v>
      </c>
      <c r="R42" s="1">
        <v>-1</v>
      </c>
      <c r="S42" s="1">
        <v>0.87</v>
      </c>
      <c r="T42" s="1">
        <v>0.92</v>
      </c>
      <c r="U42" s="1">
        <v>9.8018503189086914</v>
      </c>
      <c r="V42">
        <f t="shared" si="132"/>
        <v>0.87490092515945439</v>
      </c>
      <c r="W42">
        <f t="shared" si="133"/>
        <v>3.4573535898975091E-2</v>
      </c>
      <c r="X42">
        <f t="shared" si="134"/>
        <v>0.77778460484874612</v>
      </c>
      <c r="Y42">
        <f t="shared" si="135"/>
        <v>0.64142404745744541</v>
      </c>
      <c r="Z42">
        <f t="shared" si="136"/>
        <v>1.0683362752560013</v>
      </c>
      <c r="AA42" s="1">
        <v>299.95010375976562</v>
      </c>
      <c r="AB42" s="1">
        <v>0.5</v>
      </c>
      <c r="AC42">
        <f t="shared" si="137"/>
        <v>60.951042366889183</v>
      </c>
      <c r="AD42">
        <f t="shared" si="138"/>
        <v>1.0065326196913997</v>
      </c>
      <c r="AE42">
        <f t="shared" si="139"/>
        <v>0.6512161608753797</v>
      </c>
      <c r="AF42">
        <f t="shared" si="140"/>
        <v>14.539168357849121</v>
      </c>
      <c r="AG42" s="1">
        <v>2</v>
      </c>
      <c r="AH42">
        <f t="shared" si="141"/>
        <v>4.644859790802002</v>
      </c>
      <c r="AI42" s="1">
        <v>1</v>
      </c>
      <c r="AJ42">
        <f t="shared" si="142"/>
        <v>9.2897195816040039</v>
      </c>
      <c r="AK42" s="1">
        <v>12.720974922180176</v>
      </c>
      <c r="AL42" s="1">
        <v>14.539168357849121</v>
      </c>
      <c r="AM42" s="1">
        <v>11.399440765380859</v>
      </c>
      <c r="AN42" s="1">
        <v>411.80001831054687</v>
      </c>
      <c r="AO42" s="1">
        <v>400.47073364257813</v>
      </c>
      <c r="AP42" s="1">
        <v>8.5381631851196289</v>
      </c>
      <c r="AQ42" s="1">
        <v>9.8702306747436523</v>
      </c>
      <c r="AR42" s="1">
        <v>59.199417114257813</v>
      </c>
      <c r="AS42" s="1">
        <v>68.435317993164062</v>
      </c>
      <c r="AT42" s="1">
        <v>149.63174438476562</v>
      </c>
      <c r="AU42" s="1">
        <v>299.95010375976562</v>
      </c>
      <c r="AV42" s="1">
        <v>17.157506942749023</v>
      </c>
      <c r="AW42" s="1">
        <v>102.33312225341797</v>
      </c>
      <c r="AX42" s="1">
        <v>4.2973556518554687</v>
      </c>
      <c r="AY42" s="1">
        <v>4.3755345046520233E-2</v>
      </c>
      <c r="AZ42" s="1">
        <v>0.75</v>
      </c>
      <c r="BA42" s="1">
        <v>-1.355140209197998</v>
      </c>
      <c r="BB42" s="1">
        <v>7.355140209197998</v>
      </c>
      <c r="BC42" s="1">
        <v>1</v>
      </c>
      <c r="BD42" s="1">
        <v>0</v>
      </c>
      <c r="BE42" s="1">
        <v>0.15999999642372131</v>
      </c>
      <c r="BF42" s="1">
        <v>111115</v>
      </c>
      <c r="BG42">
        <f t="shared" si="143"/>
        <v>0.74815872192382804</v>
      </c>
      <c r="BH42">
        <f t="shared" si="144"/>
        <v>1.0065326196913996E-3</v>
      </c>
      <c r="BI42">
        <f t="shared" si="145"/>
        <v>287.6891683578491</v>
      </c>
      <c r="BJ42">
        <f t="shared" si="146"/>
        <v>285.87097492218015</v>
      </c>
      <c r="BK42">
        <f t="shared" si="147"/>
        <v>47.992015528857337</v>
      </c>
      <c r="BL42">
        <f t="shared" si="148"/>
        <v>-5.9739377320432059E-2</v>
      </c>
      <c r="BM42">
        <f t="shared" si="149"/>
        <v>1.6612676831833579</v>
      </c>
      <c r="BN42">
        <f t="shared" si="150"/>
        <v>16.233919640108226</v>
      </c>
      <c r="BO42">
        <f t="shared" si="151"/>
        <v>6.3636889653645738</v>
      </c>
      <c r="BP42">
        <f t="shared" si="152"/>
        <v>13.630071640014648</v>
      </c>
      <c r="BQ42">
        <f t="shared" si="153"/>
        <v>1.5661853179819361</v>
      </c>
      <c r="BR42">
        <f t="shared" si="154"/>
        <v>0.15610368226629304</v>
      </c>
      <c r="BS42">
        <f t="shared" si="155"/>
        <v>1.0100515223079782</v>
      </c>
      <c r="BT42">
        <f t="shared" si="156"/>
        <v>0.55613379567395782</v>
      </c>
      <c r="BU42">
        <f t="shared" si="157"/>
        <v>9.7801046019551835E-2</v>
      </c>
      <c r="BV42">
        <f t="shared" si="158"/>
        <v>32.157940902324675</v>
      </c>
      <c r="BW42">
        <f t="shared" si="159"/>
        <v>0.78469561266672494</v>
      </c>
      <c r="BX42">
        <f t="shared" si="160"/>
        <v>60.949063436937045</v>
      </c>
      <c r="BY42">
        <f t="shared" si="161"/>
        <v>399.29754731726246</v>
      </c>
      <c r="BZ42">
        <f t="shared" si="162"/>
        <v>1.2322709837191803E-2</v>
      </c>
      <c r="CA42">
        <f t="shared" si="163"/>
        <v>1864.90869140625</v>
      </c>
      <c r="CB42">
        <f t="shared" si="164"/>
        <v>262.42662328109327</v>
      </c>
      <c r="CC42">
        <f t="shared" si="165"/>
        <v>702.2998046875</v>
      </c>
      <c r="CD42">
        <f t="shared" si="166"/>
        <v>0.89749045404604444</v>
      </c>
      <c r="CE42">
        <f t="shared" si="167"/>
        <v>0.67364183746219564</v>
      </c>
    </row>
    <row r="43" spans="1:87" x14ac:dyDescent="0.25">
      <c r="A43" s="1">
        <v>5</v>
      </c>
      <c r="B43" s="1" t="s">
        <v>214</v>
      </c>
      <c r="C43" s="1">
        <v>376.9999761544168</v>
      </c>
      <c r="D43" s="1">
        <v>0</v>
      </c>
      <c r="E43">
        <f t="shared" si="126"/>
        <v>6.2582234104642236</v>
      </c>
      <c r="F43">
        <f t="shared" si="127"/>
        <v>0.16617956590111621</v>
      </c>
      <c r="G43">
        <f t="shared" si="128"/>
        <v>335.33741713469169</v>
      </c>
      <c r="H43" s="1">
        <v>60</v>
      </c>
      <c r="I43" s="1">
        <v>58</v>
      </c>
      <c r="J43" s="1">
        <v>567.294189453125</v>
      </c>
      <c r="K43" s="1">
        <v>2432.202880859375</v>
      </c>
      <c r="L43" s="1">
        <v>517.33642578125</v>
      </c>
      <c r="M43" s="1">
        <v>1505.210693359375</v>
      </c>
      <c r="N43" s="1">
        <v>703.16839599609375</v>
      </c>
      <c r="O43">
        <f t="shared" si="129"/>
        <v>0.76675704402887568</v>
      </c>
      <c r="P43">
        <f t="shared" si="130"/>
        <v>0.65630298265643938</v>
      </c>
      <c r="Q43">
        <f t="shared" si="131"/>
        <v>0.53284387421754154</v>
      </c>
      <c r="R43" s="1">
        <v>-1</v>
      </c>
      <c r="S43" s="1">
        <v>0.87</v>
      </c>
      <c r="T43" s="1">
        <v>0.92</v>
      </c>
      <c r="U43" s="1">
        <v>9.0644702911376953</v>
      </c>
      <c r="V43">
        <f t="shared" si="132"/>
        <v>0.87453223514556877</v>
      </c>
      <c r="W43">
        <f t="shared" si="133"/>
        <v>4.1846242831073521E-2</v>
      </c>
      <c r="X43">
        <f t="shared" si="134"/>
        <v>0.81188702215067321</v>
      </c>
      <c r="Y43">
        <f t="shared" si="135"/>
        <v>0.48410278692890857</v>
      </c>
      <c r="Z43">
        <f t="shared" si="136"/>
        <v>0.61585543578029645</v>
      </c>
      <c r="AA43" s="1">
        <v>198.33439636230469</v>
      </c>
      <c r="AB43" s="1">
        <v>0.5</v>
      </c>
      <c r="AC43">
        <f t="shared" si="137"/>
        <v>46.210837823370213</v>
      </c>
      <c r="AD43">
        <f t="shared" si="138"/>
        <v>1.0470244501323835</v>
      </c>
      <c r="AE43">
        <f t="shared" si="139"/>
        <v>0.64760686938223233</v>
      </c>
      <c r="AF43">
        <f t="shared" si="140"/>
        <v>14.57740306854248</v>
      </c>
      <c r="AG43" s="1">
        <v>2</v>
      </c>
      <c r="AH43">
        <f t="shared" si="141"/>
        <v>4.644859790802002</v>
      </c>
      <c r="AI43" s="1">
        <v>1</v>
      </c>
      <c r="AJ43">
        <f t="shared" si="142"/>
        <v>9.2897195816040039</v>
      </c>
      <c r="AK43" s="1">
        <v>13.517634391784668</v>
      </c>
      <c r="AL43" s="1">
        <v>14.57740306854248</v>
      </c>
      <c r="AM43" s="1">
        <v>12.560721397399902</v>
      </c>
      <c r="AN43" s="1">
        <v>409.20437622070312</v>
      </c>
      <c r="AO43" s="1">
        <v>400.280029296875</v>
      </c>
      <c r="AP43" s="1">
        <v>8.5613956451416016</v>
      </c>
      <c r="AQ43" s="1">
        <v>9.9468402862548828</v>
      </c>
      <c r="AR43" s="1">
        <v>56.343494415283203</v>
      </c>
      <c r="AS43" s="1">
        <v>65.461257934570312</v>
      </c>
      <c r="AT43" s="1">
        <v>149.64291381835937</v>
      </c>
      <c r="AU43" s="1">
        <v>198.33439636230469</v>
      </c>
      <c r="AV43" s="1">
        <v>17.072786331176758</v>
      </c>
      <c r="AW43" s="1">
        <v>102.32079315185547</v>
      </c>
      <c r="AX43" s="1">
        <v>4.2973556518554687</v>
      </c>
      <c r="AY43" s="1">
        <v>4.3755345046520233E-2</v>
      </c>
      <c r="AZ43" s="1">
        <v>0.5</v>
      </c>
      <c r="BA43" s="1">
        <v>-1.355140209197998</v>
      </c>
      <c r="BB43" s="1">
        <v>7.355140209197998</v>
      </c>
      <c r="BC43" s="1">
        <v>1</v>
      </c>
      <c r="BD43" s="1">
        <v>0</v>
      </c>
      <c r="BE43" s="1">
        <v>0.15999999642372131</v>
      </c>
      <c r="BF43" s="1">
        <v>111115</v>
      </c>
      <c r="BG43">
        <f t="shared" si="143"/>
        <v>0.74821456909179684</v>
      </c>
      <c r="BH43">
        <f t="shared" si="144"/>
        <v>1.0470244501323835E-3</v>
      </c>
      <c r="BI43">
        <f t="shared" si="145"/>
        <v>287.72740306854246</v>
      </c>
      <c r="BJ43">
        <f t="shared" si="146"/>
        <v>286.66763439178465</v>
      </c>
      <c r="BK43">
        <f t="shared" si="147"/>
        <v>31.733502708669675</v>
      </c>
      <c r="BL43">
        <f t="shared" si="148"/>
        <v>-0.10143506843454031</v>
      </c>
      <c r="BM43">
        <f t="shared" si="149"/>
        <v>1.665375456826661</v>
      </c>
      <c r="BN43">
        <f t="shared" si="150"/>
        <v>16.276021769642249</v>
      </c>
      <c r="BO43">
        <f t="shared" si="151"/>
        <v>6.3291814833873659</v>
      </c>
      <c r="BP43">
        <f t="shared" si="152"/>
        <v>14.047518730163574</v>
      </c>
      <c r="BQ43">
        <f t="shared" si="153"/>
        <v>1.609234821578069</v>
      </c>
      <c r="BR43">
        <f t="shared" si="154"/>
        <v>0.16325909819177417</v>
      </c>
      <c r="BS43">
        <f t="shared" si="155"/>
        <v>1.0177685874444287</v>
      </c>
      <c r="BT43">
        <f t="shared" si="156"/>
        <v>0.5914662341336403</v>
      </c>
      <c r="BU43">
        <f t="shared" si="157"/>
        <v>0.10229536379061135</v>
      </c>
      <c r="BV43">
        <f t="shared" si="158"/>
        <v>34.311990494716262</v>
      </c>
      <c r="BW43">
        <f t="shared" si="159"/>
        <v>0.83775705154149116</v>
      </c>
      <c r="BX43">
        <f t="shared" si="160"/>
        <v>61.289307437950377</v>
      </c>
      <c r="BY43">
        <f t="shared" si="161"/>
        <v>399.37057217818466</v>
      </c>
      <c r="BZ43">
        <f t="shared" si="162"/>
        <v>9.6041672907283861E-3</v>
      </c>
      <c r="CA43">
        <f t="shared" si="163"/>
        <v>1864.90869140625</v>
      </c>
      <c r="CB43">
        <f t="shared" si="164"/>
        <v>173.44982295697349</v>
      </c>
      <c r="CC43">
        <f t="shared" si="165"/>
        <v>987.874267578125</v>
      </c>
      <c r="CD43">
        <f t="shared" si="166"/>
        <v>0.85513187370402632</v>
      </c>
      <c r="CE43">
        <f t="shared" si="167"/>
        <v>0.49707108544868961</v>
      </c>
    </row>
    <row r="44" spans="1:87" x14ac:dyDescent="0.25">
      <c r="A44" s="1">
        <v>6</v>
      </c>
      <c r="B44" s="1" t="s">
        <v>215</v>
      </c>
      <c r="C44" s="1">
        <v>450.99997105449438</v>
      </c>
      <c r="D44" s="1">
        <v>0</v>
      </c>
      <c r="E44">
        <f t="shared" si="126"/>
        <v>5.9151426539778056</v>
      </c>
      <c r="F44">
        <f t="shared" si="127"/>
        <v>0.16493284576699555</v>
      </c>
      <c r="G44">
        <f t="shared" si="128"/>
        <v>338.36512232259548</v>
      </c>
      <c r="H44" s="1">
        <v>61</v>
      </c>
      <c r="I44" s="1">
        <v>59</v>
      </c>
      <c r="J44" s="1">
        <v>567.294189453125</v>
      </c>
      <c r="K44" s="1">
        <v>2432.202880859375</v>
      </c>
      <c r="L44" s="1">
        <v>533.340576171875</v>
      </c>
      <c r="M44" s="1">
        <v>1666.950439453125</v>
      </c>
      <c r="N44" s="1">
        <v>739.82208251953125</v>
      </c>
      <c r="O44">
        <f t="shared" si="129"/>
        <v>0.76675704402887568</v>
      </c>
      <c r="P44">
        <f t="shared" si="130"/>
        <v>0.68005013013653393</v>
      </c>
      <c r="Q44">
        <f t="shared" si="131"/>
        <v>0.55618231651671413</v>
      </c>
      <c r="R44" s="1">
        <v>-1</v>
      </c>
      <c r="S44" s="1">
        <v>0.87</v>
      </c>
      <c r="T44" s="1">
        <v>0.92</v>
      </c>
      <c r="U44" s="1">
        <v>10.178630828857422</v>
      </c>
      <c r="V44">
        <f t="shared" si="132"/>
        <v>0.8750893154144288</v>
      </c>
      <c r="W44">
        <f t="shared" si="133"/>
        <v>4.4984035014291317E-2</v>
      </c>
      <c r="X44">
        <f t="shared" si="134"/>
        <v>0.81785487844116622</v>
      </c>
      <c r="Y44">
        <f t="shared" si="135"/>
        <v>0.40300575745653622</v>
      </c>
      <c r="Z44">
        <f t="shared" si="136"/>
        <v>0.45907330133780444</v>
      </c>
      <c r="AA44" s="1">
        <v>175.66706848144531</v>
      </c>
      <c r="AB44" s="1">
        <v>0.5</v>
      </c>
      <c r="AC44">
        <f t="shared" si="137"/>
        <v>42.749389412388467</v>
      </c>
      <c r="AD44">
        <f t="shared" si="138"/>
        <v>1.0794723156955088</v>
      </c>
      <c r="AE44">
        <f t="shared" si="139"/>
        <v>0.67241070599784725</v>
      </c>
      <c r="AF44">
        <f t="shared" si="140"/>
        <v>14.871745109558105</v>
      </c>
      <c r="AG44" s="1">
        <v>2</v>
      </c>
      <c r="AH44">
        <f t="shared" si="141"/>
        <v>4.644859790802002</v>
      </c>
      <c r="AI44" s="1">
        <v>1</v>
      </c>
      <c r="AJ44">
        <f t="shared" si="142"/>
        <v>9.2897195816040039</v>
      </c>
      <c r="AK44" s="1">
        <v>14.155101776123047</v>
      </c>
      <c r="AL44" s="1">
        <v>14.871745109558105</v>
      </c>
      <c r="AM44" s="1">
        <v>13.339455604553223</v>
      </c>
      <c r="AN44" s="1">
        <v>409.03335571289062</v>
      </c>
      <c r="AO44" s="1">
        <v>400.5474853515625</v>
      </c>
      <c r="AP44" s="1">
        <v>8.5891313552856445</v>
      </c>
      <c r="AQ44" s="1">
        <v>10.01779842376709</v>
      </c>
      <c r="AR44" s="1">
        <v>54.225688934326172</v>
      </c>
      <c r="AS44" s="1">
        <v>63.245277404785156</v>
      </c>
      <c r="AT44" s="1">
        <v>149.60215759277344</v>
      </c>
      <c r="AU44" s="1">
        <v>175.66706848144531</v>
      </c>
      <c r="AV44" s="1">
        <v>17.369796752929687</v>
      </c>
      <c r="AW44" s="1">
        <v>102.30667114257812</v>
      </c>
      <c r="AX44" s="1">
        <v>4.2973556518554687</v>
      </c>
      <c r="AY44" s="1">
        <v>4.3755345046520233E-2</v>
      </c>
      <c r="AZ44" s="1">
        <v>0.75</v>
      </c>
      <c r="BA44" s="1">
        <v>-1.355140209197998</v>
      </c>
      <c r="BB44" s="1">
        <v>7.355140209197998</v>
      </c>
      <c r="BC44" s="1">
        <v>1</v>
      </c>
      <c r="BD44" s="1">
        <v>0</v>
      </c>
      <c r="BE44" s="1">
        <v>0.15999999642372131</v>
      </c>
      <c r="BF44" s="1">
        <v>111115</v>
      </c>
      <c r="BG44">
        <f t="shared" si="143"/>
        <v>0.74801078796386711</v>
      </c>
      <c r="BH44">
        <f t="shared" si="144"/>
        <v>1.0794723156955087E-3</v>
      </c>
      <c r="BI44">
        <f t="shared" si="145"/>
        <v>288.02174510955808</v>
      </c>
      <c r="BJ44">
        <f t="shared" si="146"/>
        <v>287.30510177612302</v>
      </c>
      <c r="BK44">
        <f t="shared" si="147"/>
        <v>28.106730328796857</v>
      </c>
      <c r="BL44">
        <f t="shared" si="148"/>
        <v>-0.10780970571479208</v>
      </c>
      <c r="BM44">
        <f t="shared" si="149"/>
        <v>1.6972983149108245</v>
      </c>
      <c r="BN44">
        <f t="shared" si="150"/>
        <v>16.590299498117876</v>
      </c>
      <c r="BO44">
        <f t="shared" si="151"/>
        <v>6.5725010743507859</v>
      </c>
      <c r="BP44">
        <f t="shared" si="152"/>
        <v>14.513423442840576</v>
      </c>
      <c r="BQ44">
        <f t="shared" si="153"/>
        <v>1.6585067786612429</v>
      </c>
      <c r="BR44">
        <f t="shared" si="154"/>
        <v>0.16205565447712347</v>
      </c>
      <c r="BS44">
        <f t="shared" si="155"/>
        <v>1.0248876089129773</v>
      </c>
      <c r="BT44">
        <f t="shared" si="156"/>
        <v>0.6336191697482656</v>
      </c>
      <c r="BU44">
        <f t="shared" si="157"/>
        <v>0.10153941082759783</v>
      </c>
      <c r="BV44">
        <f t="shared" si="158"/>
        <v>34.617009295575997</v>
      </c>
      <c r="BW44">
        <f t="shared" si="159"/>
        <v>0.84475657617875377</v>
      </c>
      <c r="BX44">
        <f t="shared" si="160"/>
        <v>60.549716347163006</v>
      </c>
      <c r="BY44">
        <f t="shared" si="161"/>
        <v>399.68788539133516</v>
      </c>
      <c r="BZ44">
        <f t="shared" si="162"/>
        <v>8.9609973917694746E-3</v>
      </c>
      <c r="CA44">
        <f t="shared" si="163"/>
        <v>1864.90869140625</v>
      </c>
      <c r="CB44">
        <f t="shared" si="164"/>
        <v>153.72437469828756</v>
      </c>
      <c r="CC44">
        <f t="shared" si="165"/>
        <v>1133.60986328125</v>
      </c>
      <c r="CD44">
        <f t="shared" si="166"/>
        <v>0.84310743192119697</v>
      </c>
      <c r="CE44">
        <f t="shared" si="167"/>
        <v>0.41034311488419573</v>
      </c>
    </row>
    <row r="45" spans="1:87" x14ac:dyDescent="0.25">
      <c r="A45" s="1">
        <v>7</v>
      </c>
      <c r="B45" s="1" t="s">
        <v>216</v>
      </c>
      <c r="C45" s="1">
        <v>524.99996595457196</v>
      </c>
      <c r="D45" s="1">
        <v>0</v>
      </c>
      <c r="E45">
        <f t="shared" si="126"/>
        <v>5.2911863318938437</v>
      </c>
      <c r="F45">
        <f t="shared" si="127"/>
        <v>0.15641725194844516</v>
      </c>
      <c r="G45">
        <f t="shared" si="128"/>
        <v>340.84398815792116</v>
      </c>
      <c r="H45" s="1">
        <v>62</v>
      </c>
      <c r="I45" s="1">
        <v>60</v>
      </c>
      <c r="J45" s="1">
        <v>567.294189453125</v>
      </c>
      <c r="K45" s="1">
        <v>2432.202880859375</v>
      </c>
      <c r="L45" s="1">
        <v>546.501953125</v>
      </c>
      <c r="M45" s="1">
        <v>1815.190185546875</v>
      </c>
      <c r="N45" s="1">
        <v>758.15948486328125</v>
      </c>
      <c r="O45">
        <f t="shared" si="129"/>
        <v>0.76675704402887568</v>
      </c>
      <c r="P45">
        <f t="shared" si="130"/>
        <v>0.69892854342403155</v>
      </c>
      <c r="Q45">
        <f t="shared" si="131"/>
        <v>0.58232504180554212</v>
      </c>
      <c r="R45" s="1">
        <v>-1</v>
      </c>
      <c r="S45" s="1">
        <v>0.87</v>
      </c>
      <c r="T45" s="1">
        <v>0.92</v>
      </c>
      <c r="U45" s="1">
        <v>9.3449592590332031</v>
      </c>
      <c r="V45">
        <f t="shared" si="132"/>
        <v>0.87467247962951655</v>
      </c>
      <c r="W45">
        <f t="shared" si="133"/>
        <v>4.7991785735566887E-2</v>
      </c>
      <c r="X45">
        <f t="shared" si="134"/>
        <v>0.83316820765789279</v>
      </c>
      <c r="Y45">
        <f t="shared" si="135"/>
        <v>0.32720601991421094</v>
      </c>
      <c r="Z45">
        <f t="shared" si="136"/>
        <v>0.33991627997184676</v>
      </c>
      <c r="AA45" s="1">
        <v>149.87188720703125</v>
      </c>
      <c r="AB45" s="1">
        <v>0.5</v>
      </c>
      <c r="AC45">
        <f t="shared" si="137"/>
        <v>38.168149898738747</v>
      </c>
      <c r="AD45">
        <f t="shared" si="138"/>
        <v>1.0415936696452941</v>
      </c>
      <c r="AE45">
        <f t="shared" si="139"/>
        <v>0.68336656956952391</v>
      </c>
      <c r="AF45">
        <f t="shared" si="140"/>
        <v>15.018962860107422</v>
      </c>
      <c r="AG45" s="1">
        <v>2</v>
      </c>
      <c r="AH45">
        <f t="shared" si="141"/>
        <v>4.644859790802002</v>
      </c>
      <c r="AI45" s="1">
        <v>1</v>
      </c>
      <c r="AJ45">
        <f t="shared" si="142"/>
        <v>9.2897195816040039</v>
      </c>
      <c r="AK45" s="1">
        <v>14.290005683898926</v>
      </c>
      <c r="AL45" s="1">
        <v>15.018962860107422</v>
      </c>
      <c r="AM45" s="1">
        <v>13.328917503356934</v>
      </c>
      <c r="AN45" s="1">
        <v>407.37930297851562</v>
      </c>
      <c r="AO45" s="1">
        <v>399.75033569335938</v>
      </c>
      <c r="AP45" s="1">
        <v>8.6917295455932617</v>
      </c>
      <c r="AQ45" s="1">
        <v>10.069947242736816</v>
      </c>
      <c r="AR45" s="1">
        <v>54.389572143554688</v>
      </c>
      <c r="AS45" s="1">
        <v>63.013938903808594</v>
      </c>
      <c r="AT45" s="1">
        <v>149.62873840332031</v>
      </c>
      <c r="AU45" s="1">
        <v>149.87188720703125</v>
      </c>
      <c r="AV45" s="1">
        <v>17.210710525512695</v>
      </c>
      <c r="AW45" s="1">
        <v>102.29438018798828</v>
      </c>
      <c r="AX45" s="1">
        <v>4.2973556518554687</v>
      </c>
      <c r="AY45" s="1">
        <v>4.3755345046520233E-2</v>
      </c>
      <c r="AZ45" s="1">
        <v>0.75</v>
      </c>
      <c r="BA45" s="1">
        <v>-1.355140209197998</v>
      </c>
      <c r="BB45" s="1">
        <v>7.355140209197998</v>
      </c>
      <c r="BC45" s="1">
        <v>1</v>
      </c>
      <c r="BD45" s="1">
        <v>0</v>
      </c>
      <c r="BE45" s="1">
        <v>0.15999999642372131</v>
      </c>
      <c r="BF45" s="1">
        <v>111115</v>
      </c>
      <c r="BG45">
        <f t="shared" si="143"/>
        <v>0.74814369201660147</v>
      </c>
      <c r="BH45">
        <f t="shared" si="144"/>
        <v>1.041593669645294E-3</v>
      </c>
      <c r="BI45">
        <f t="shared" si="145"/>
        <v>288.1689628601074</v>
      </c>
      <c r="BJ45">
        <f t="shared" si="146"/>
        <v>287.4400056838989</v>
      </c>
      <c r="BK45">
        <f t="shared" si="147"/>
        <v>23.979501417141364</v>
      </c>
      <c r="BL45">
        <f t="shared" si="148"/>
        <v>-0.11821852171583108</v>
      </c>
      <c r="BM45">
        <f t="shared" si="149"/>
        <v>1.7134655812910282</v>
      </c>
      <c r="BN45">
        <f t="shared" si="150"/>
        <v>16.750339345545285</v>
      </c>
      <c r="BO45">
        <f t="shared" si="151"/>
        <v>6.6803921028084687</v>
      </c>
      <c r="BP45">
        <f t="shared" si="152"/>
        <v>14.654484272003174</v>
      </c>
      <c r="BQ45">
        <f t="shared" si="153"/>
        <v>1.6736838772987932</v>
      </c>
      <c r="BR45">
        <f t="shared" si="154"/>
        <v>0.15382716066158178</v>
      </c>
      <c r="BS45">
        <f t="shared" si="155"/>
        <v>1.0300990117215043</v>
      </c>
      <c r="BT45">
        <f t="shared" si="156"/>
        <v>0.64358486557728889</v>
      </c>
      <c r="BU45">
        <f t="shared" si="157"/>
        <v>9.6371371662926072E-2</v>
      </c>
      <c r="BV45">
        <f t="shared" si="158"/>
        <v>34.866424509416561</v>
      </c>
      <c r="BW45">
        <f t="shared" si="159"/>
        <v>0.85264215617663897</v>
      </c>
      <c r="BX45">
        <f t="shared" si="160"/>
        <v>60.245154470297422</v>
      </c>
      <c r="BY45">
        <f t="shared" si="161"/>
        <v>398.98141027151974</v>
      </c>
      <c r="BZ45">
        <f t="shared" si="162"/>
        <v>7.9895536405853798E-3</v>
      </c>
      <c r="CA45">
        <f t="shared" si="163"/>
        <v>1864.90869140625</v>
      </c>
      <c r="CB45">
        <f t="shared" si="164"/>
        <v>131.08881521012924</v>
      </c>
      <c r="CC45">
        <f t="shared" si="165"/>
        <v>1268.688232421875</v>
      </c>
      <c r="CD45">
        <f t="shared" si="166"/>
        <v>0.84705031828965238</v>
      </c>
      <c r="CE45">
        <f t="shared" si="167"/>
        <v>0.33085410463031112</v>
      </c>
    </row>
    <row r="46" spans="1:87" x14ac:dyDescent="0.25">
      <c r="A46" s="1">
        <v>8</v>
      </c>
      <c r="B46" s="1" t="s">
        <v>217</v>
      </c>
      <c r="C46" s="1">
        <v>599.49996082019061</v>
      </c>
      <c r="D46" s="1">
        <v>0</v>
      </c>
      <c r="E46">
        <f t="shared" si="126"/>
        <v>4.5898574112700929</v>
      </c>
      <c r="F46">
        <f t="shared" si="127"/>
        <v>0.15245814873928237</v>
      </c>
      <c r="G46">
        <f t="shared" si="128"/>
        <v>347.72350785153816</v>
      </c>
      <c r="H46" s="1">
        <v>63</v>
      </c>
      <c r="I46" s="1">
        <v>61</v>
      </c>
      <c r="J46" s="1">
        <v>567.294189453125</v>
      </c>
      <c r="K46" s="1">
        <v>2432.202880859375</v>
      </c>
      <c r="L46" s="1">
        <v>557.33203125</v>
      </c>
      <c r="M46" s="1">
        <v>1944.223388671875</v>
      </c>
      <c r="N46" s="1">
        <v>764.64239501953125</v>
      </c>
      <c r="O46">
        <f t="shared" si="129"/>
        <v>0.76675704402887568</v>
      </c>
      <c r="P46">
        <f t="shared" si="130"/>
        <v>0.71333950897961318</v>
      </c>
      <c r="Q46">
        <f t="shared" si="131"/>
        <v>0.6067106282772019</v>
      </c>
      <c r="R46" s="1">
        <v>-1</v>
      </c>
      <c r="S46" s="1">
        <v>0.87</v>
      </c>
      <c r="T46" s="1">
        <v>0.92</v>
      </c>
      <c r="U46" s="1">
        <v>11.292572975158691</v>
      </c>
      <c r="V46">
        <f t="shared" si="132"/>
        <v>0.87564628648757947</v>
      </c>
      <c r="W46">
        <f t="shared" si="133"/>
        <v>5.1897979388030202E-2</v>
      </c>
      <c r="X46">
        <f t="shared" si="134"/>
        <v>0.85052155479942904</v>
      </c>
      <c r="Y46">
        <f t="shared" si="135"/>
        <v>0.26027365687037557</v>
      </c>
      <c r="Z46">
        <f t="shared" si="136"/>
        <v>0.25098941563543548</v>
      </c>
      <c r="AA46" s="1">
        <v>123.00466156005859</v>
      </c>
      <c r="AB46" s="1">
        <v>0.5</v>
      </c>
      <c r="AC46">
        <f t="shared" si="137"/>
        <v>32.673968639652408</v>
      </c>
      <c r="AD46">
        <f t="shared" si="138"/>
        <v>1.0252674604657006</v>
      </c>
      <c r="AE46">
        <f t="shared" si="139"/>
        <v>0.68978484067224555</v>
      </c>
      <c r="AF46">
        <f t="shared" si="140"/>
        <v>15.084358215332031</v>
      </c>
      <c r="AG46" s="1">
        <v>2</v>
      </c>
      <c r="AH46">
        <f t="shared" si="141"/>
        <v>4.644859790802002</v>
      </c>
      <c r="AI46" s="1">
        <v>1</v>
      </c>
      <c r="AJ46">
        <f t="shared" si="142"/>
        <v>9.2897195816040039</v>
      </c>
      <c r="AK46" s="1">
        <v>14.255837440490723</v>
      </c>
      <c r="AL46" s="1">
        <v>15.084358215332031</v>
      </c>
      <c r="AM46" s="1">
        <v>13.114441871643066</v>
      </c>
      <c r="AN46" s="1">
        <v>407.33746337890625</v>
      </c>
      <c r="AO46" s="1">
        <v>400.65228271484375</v>
      </c>
      <c r="AP46" s="1">
        <v>8.7213115692138672</v>
      </c>
      <c r="AQ46" s="1">
        <v>10.078144073486328</v>
      </c>
      <c r="AR46" s="1">
        <v>54.693840026855469</v>
      </c>
      <c r="AS46" s="1">
        <v>63.202926635742188</v>
      </c>
      <c r="AT46" s="1">
        <v>149.60353088378906</v>
      </c>
      <c r="AU46" s="1">
        <v>123.00466156005859</v>
      </c>
      <c r="AV46" s="1">
        <v>17.537117004394531</v>
      </c>
      <c r="AW46" s="1">
        <v>102.29122161865234</v>
      </c>
      <c r="AX46" s="1">
        <v>4.2973556518554687</v>
      </c>
      <c r="AY46" s="1">
        <v>4.3755345046520233E-2</v>
      </c>
      <c r="AZ46" s="1">
        <v>0.75</v>
      </c>
      <c r="BA46" s="1">
        <v>-1.355140209197998</v>
      </c>
      <c r="BB46" s="1">
        <v>7.355140209197998</v>
      </c>
      <c r="BC46" s="1">
        <v>1</v>
      </c>
      <c r="BD46" s="1">
        <v>0</v>
      </c>
      <c r="BE46" s="1">
        <v>0.15999999642372131</v>
      </c>
      <c r="BF46" s="1">
        <v>111115</v>
      </c>
      <c r="BG46">
        <f t="shared" si="143"/>
        <v>0.74801765441894519</v>
      </c>
      <c r="BH46">
        <f t="shared" si="144"/>
        <v>1.0252674604657006E-3</v>
      </c>
      <c r="BI46">
        <f t="shared" si="145"/>
        <v>288.23435821533201</v>
      </c>
      <c r="BJ46">
        <f t="shared" si="146"/>
        <v>287.4058374404907</v>
      </c>
      <c r="BK46">
        <f t="shared" si="147"/>
        <v>19.680745409710426</v>
      </c>
      <c r="BL46">
        <f t="shared" si="148"/>
        <v>-0.13669616615301772</v>
      </c>
      <c r="BM46">
        <f t="shared" si="149"/>
        <v>1.7206905095979432</v>
      </c>
      <c r="BN46">
        <f t="shared" si="150"/>
        <v>16.821487536953835</v>
      </c>
      <c r="BO46">
        <f t="shared" si="151"/>
        <v>6.7433434634675073</v>
      </c>
      <c r="BP46">
        <f t="shared" si="152"/>
        <v>14.670097827911377</v>
      </c>
      <c r="BQ46">
        <f t="shared" si="153"/>
        <v>1.6753712589440815</v>
      </c>
      <c r="BR46">
        <f t="shared" si="154"/>
        <v>0.14999648282059139</v>
      </c>
      <c r="BS46">
        <f t="shared" si="155"/>
        <v>1.0309056689256977</v>
      </c>
      <c r="BT46">
        <f t="shared" si="156"/>
        <v>0.64446559001838377</v>
      </c>
      <c r="BU46">
        <f t="shared" si="157"/>
        <v>9.3965902238408255E-2</v>
      </c>
      <c r="BV46">
        <f t="shared" si="158"/>
        <v>35.569062403656893</v>
      </c>
      <c r="BW46">
        <f t="shared" si="159"/>
        <v>0.86789348982450054</v>
      </c>
      <c r="BX46">
        <f t="shared" si="160"/>
        <v>60.021901468094072</v>
      </c>
      <c r="BY46">
        <f t="shared" si="161"/>
        <v>399.98527576691771</v>
      </c>
      <c r="BZ46">
        <f t="shared" si="162"/>
        <v>6.8875527671271456E-3</v>
      </c>
      <c r="CA46">
        <f t="shared" si="163"/>
        <v>1864.90869140625</v>
      </c>
      <c r="CB46">
        <f t="shared" si="164"/>
        <v>107.70857511572682</v>
      </c>
      <c r="CC46">
        <f t="shared" si="165"/>
        <v>1386.891357421875</v>
      </c>
      <c r="CD46">
        <f t="shared" si="166"/>
        <v>0.85667512485146013</v>
      </c>
      <c r="CE46">
        <f t="shared" si="167"/>
        <v>0.26166401306196657</v>
      </c>
    </row>
    <row r="47" spans="1:87" x14ac:dyDescent="0.25">
      <c r="A47" s="1">
        <v>9</v>
      </c>
      <c r="B47" s="1" t="s">
        <v>218</v>
      </c>
      <c r="C47" s="1">
        <v>673.49995572026819</v>
      </c>
      <c r="D47" s="1">
        <v>0</v>
      </c>
      <c r="E47">
        <f t="shared" si="126"/>
        <v>3.6770399505507076</v>
      </c>
      <c r="F47">
        <f t="shared" si="127"/>
        <v>0.14803706293461646</v>
      </c>
      <c r="G47">
        <f t="shared" si="128"/>
        <v>355.56736317367768</v>
      </c>
      <c r="H47" s="1">
        <v>64</v>
      </c>
      <c r="I47" s="1">
        <v>62</v>
      </c>
      <c r="J47" s="1">
        <v>567.294189453125</v>
      </c>
      <c r="K47" s="1">
        <v>2432.202880859375</v>
      </c>
      <c r="L47" s="1">
        <v>560.44775390625</v>
      </c>
      <c r="M47" s="1">
        <v>2020.469482421875</v>
      </c>
      <c r="N47" s="1">
        <v>753.19976806640625</v>
      </c>
      <c r="O47">
        <f t="shared" si="129"/>
        <v>0.76675704402887568</v>
      </c>
      <c r="P47">
        <f t="shared" si="130"/>
        <v>0.72261508585892698</v>
      </c>
      <c r="Q47">
        <f t="shared" si="131"/>
        <v>0.62721546916731019</v>
      </c>
      <c r="R47" s="1">
        <v>-1</v>
      </c>
      <c r="S47" s="1">
        <v>0.87</v>
      </c>
      <c r="T47" s="1">
        <v>0.92</v>
      </c>
      <c r="U47" s="1">
        <v>9.8810501098632812</v>
      </c>
      <c r="V47">
        <f t="shared" si="132"/>
        <v>0.87494052505493158</v>
      </c>
      <c r="W47">
        <f t="shared" si="133"/>
        <v>5.2646987755724198E-2</v>
      </c>
      <c r="X47">
        <f t="shared" si="134"/>
        <v>0.86798003728607287</v>
      </c>
      <c r="Y47">
        <f t="shared" si="135"/>
        <v>0.21997182885120592</v>
      </c>
      <c r="Z47">
        <f t="shared" si="136"/>
        <v>0.20378105287884268</v>
      </c>
      <c r="AA47" s="1">
        <v>101.53575897216797</v>
      </c>
      <c r="AB47" s="1">
        <v>0.5</v>
      </c>
      <c r="AC47">
        <f t="shared" si="137"/>
        <v>27.860205606729707</v>
      </c>
      <c r="AD47">
        <f t="shared" si="138"/>
        <v>1.0059357832721094</v>
      </c>
      <c r="AE47">
        <f t="shared" si="139"/>
        <v>0.69672903261621388</v>
      </c>
      <c r="AF47">
        <f t="shared" si="140"/>
        <v>15.149224281311035</v>
      </c>
      <c r="AG47" s="1">
        <v>2</v>
      </c>
      <c r="AH47">
        <f t="shared" si="141"/>
        <v>4.644859790802002</v>
      </c>
      <c r="AI47" s="1">
        <v>1</v>
      </c>
      <c r="AJ47">
        <f t="shared" si="142"/>
        <v>9.2897195816040039</v>
      </c>
      <c r="AK47" s="1">
        <v>14.353781700134277</v>
      </c>
      <c r="AL47" s="1">
        <v>15.149224281311035</v>
      </c>
      <c r="AM47" s="1">
        <v>13.345808982849121</v>
      </c>
      <c r="AN47" s="1">
        <v>405.4683837890625</v>
      </c>
      <c r="AO47" s="1">
        <v>400.01495361328125</v>
      </c>
      <c r="AP47" s="1">
        <v>8.7480907440185547</v>
      </c>
      <c r="AQ47" s="1">
        <v>10.079283714294434</v>
      </c>
      <c r="AR47" s="1">
        <v>54.522106170654297</v>
      </c>
      <c r="AS47" s="1">
        <v>62.818710327148438</v>
      </c>
      <c r="AT47" s="1">
        <v>149.60966491699219</v>
      </c>
      <c r="AU47" s="1">
        <v>101.53575897216797</v>
      </c>
      <c r="AV47" s="1">
        <v>17.588645935058594</v>
      </c>
      <c r="AW47" s="1">
        <v>102.30432891845703</v>
      </c>
      <c r="AX47" s="1">
        <v>4.2973556518554687</v>
      </c>
      <c r="AY47" s="1">
        <v>4.3755345046520233E-2</v>
      </c>
      <c r="AZ47" s="1">
        <v>0.5</v>
      </c>
      <c r="BA47" s="1">
        <v>-1.355140209197998</v>
      </c>
      <c r="BB47" s="1">
        <v>7.355140209197998</v>
      </c>
      <c r="BC47" s="1">
        <v>1</v>
      </c>
      <c r="BD47" s="1">
        <v>0</v>
      </c>
      <c r="BE47" s="1">
        <v>0.15999999642372131</v>
      </c>
      <c r="BF47" s="1">
        <v>111115</v>
      </c>
      <c r="BG47">
        <f t="shared" si="143"/>
        <v>0.74804832458496096</v>
      </c>
      <c r="BH47">
        <f t="shared" si="144"/>
        <v>1.0059357832721094E-3</v>
      </c>
      <c r="BI47">
        <f t="shared" si="145"/>
        <v>288.29922428131101</v>
      </c>
      <c r="BJ47">
        <f t="shared" si="146"/>
        <v>287.50378170013425</v>
      </c>
      <c r="BK47">
        <f t="shared" si="147"/>
        <v>16.245721072426704</v>
      </c>
      <c r="BL47">
        <f t="shared" si="148"/>
        <v>-0.14572416191691348</v>
      </c>
      <c r="BM47">
        <f t="shared" si="149"/>
        <v>1.7278833889858389</v>
      </c>
      <c r="BN47">
        <f t="shared" si="150"/>
        <v>16.889641007890003</v>
      </c>
      <c r="BO47">
        <f t="shared" si="151"/>
        <v>6.810357293595569</v>
      </c>
      <c r="BP47">
        <f t="shared" si="152"/>
        <v>14.751502990722656</v>
      </c>
      <c r="BQ47">
        <f t="shared" si="153"/>
        <v>1.6841930821919617</v>
      </c>
      <c r="BR47">
        <f t="shared" si="154"/>
        <v>0.14571500984215946</v>
      </c>
      <c r="BS47">
        <f t="shared" si="155"/>
        <v>1.031154356369625</v>
      </c>
      <c r="BT47">
        <f t="shared" si="156"/>
        <v>0.65303872582233669</v>
      </c>
      <c r="BU47">
        <f t="shared" si="157"/>
        <v>9.1277694814421356E-2</v>
      </c>
      <c r="BV47">
        <f t="shared" si="158"/>
        <v>36.376080474788388</v>
      </c>
      <c r="BW47">
        <f t="shared" si="159"/>
        <v>0.88888517782119281</v>
      </c>
      <c r="BX47">
        <f t="shared" si="160"/>
        <v>59.767281510899807</v>
      </c>
      <c r="BY47">
        <f t="shared" si="161"/>
        <v>399.48059906257197</v>
      </c>
      <c r="BZ47">
        <f t="shared" si="162"/>
        <v>5.5013105108758101E-3</v>
      </c>
      <c r="CA47">
        <f t="shared" si="163"/>
        <v>1864.90869140625</v>
      </c>
      <c r="CB47">
        <f t="shared" si="164"/>
        <v>88.837750266959617</v>
      </c>
      <c r="CC47">
        <f t="shared" si="165"/>
        <v>1460.021728515625</v>
      </c>
      <c r="CD47">
        <f t="shared" si="166"/>
        <v>0.87206940586397719</v>
      </c>
      <c r="CE47">
        <f t="shared" si="167"/>
        <v>0.22077938739565259</v>
      </c>
    </row>
    <row r="48" spans="1:87" x14ac:dyDescent="0.25">
      <c r="A48" s="1">
        <v>10</v>
      </c>
      <c r="B48" s="1" t="s">
        <v>219</v>
      </c>
      <c r="C48" s="1">
        <v>747.49995062034577</v>
      </c>
      <c r="D48" s="1">
        <v>0</v>
      </c>
      <c r="E48">
        <f t="shared" si="126"/>
        <v>2.8354132210777805</v>
      </c>
      <c r="F48">
        <f t="shared" si="127"/>
        <v>0.14235744410739862</v>
      </c>
      <c r="G48">
        <f t="shared" si="128"/>
        <v>364.63047700987835</v>
      </c>
      <c r="H48" s="1">
        <v>65</v>
      </c>
      <c r="I48" s="1">
        <v>63</v>
      </c>
      <c r="J48" s="1">
        <v>567.294189453125</v>
      </c>
      <c r="K48" s="1">
        <v>2432.202880859375</v>
      </c>
      <c r="L48" s="1">
        <v>563.27197265625</v>
      </c>
      <c r="M48" s="1">
        <v>2085.7080078125</v>
      </c>
      <c r="N48" s="1">
        <v>727.30694580078125</v>
      </c>
      <c r="O48">
        <f t="shared" si="129"/>
        <v>0.76675704402887568</v>
      </c>
      <c r="P48">
        <f t="shared" si="130"/>
        <v>0.72993728242573508</v>
      </c>
      <c r="Q48">
        <f t="shared" si="131"/>
        <v>0.65129014076923253</v>
      </c>
      <c r="R48" s="1">
        <v>-1</v>
      </c>
      <c r="S48" s="1">
        <v>0.87</v>
      </c>
      <c r="T48" s="1">
        <v>0.92</v>
      </c>
      <c r="U48" s="1">
        <v>8.1733760833740234</v>
      </c>
      <c r="V48">
        <f t="shared" si="132"/>
        <v>0.87408668804168699</v>
      </c>
      <c r="W48">
        <f t="shared" si="133"/>
        <v>5.7787843205462958E-2</v>
      </c>
      <c r="X48">
        <f t="shared" si="134"/>
        <v>0.89225493264963607</v>
      </c>
      <c r="Y48">
        <f t="shared" si="135"/>
        <v>0.18539736890541925</v>
      </c>
      <c r="Z48">
        <f t="shared" si="136"/>
        <v>0.16612817889608641</v>
      </c>
      <c r="AA48" s="1">
        <v>75.931358337402344</v>
      </c>
      <c r="AB48" s="1">
        <v>0.5</v>
      </c>
      <c r="AC48">
        <f t="shared" si="137"/>
        <v>21.613255298198936</v>
      </c>
      <c r="AD48">
        <f t="shared" si="138"/>
        <v>0.98498900737382478</v>
      </c>
      <c r="AE48">
        <f t="shared" si="139"/>
        <v>0.70904323213697862</v>
      </c>
      <c r="AF48">
        <f t="shared" si="140"/>
        <v>15.261781692504883</v>
      </c>
      <c r="AG48" s="1">
        <v>2</v>
      </c>
      <c r="AH48">
        <f t="shared" si="141"/>
        <v>4.644859790802002</v>
      </c>
      <c r="AI48" s="1">
        <v>1</v>
      </c>
      <c r="AJ48">
        <f t="shared" si="142"/>
        <v>9.2897195816040039</v>
      </c>
      <c r="AK48" s="1">
        <v>14.521345138549805</v>
      </c>
      <c r="AL48" s="1">
        <v>15.261781692504883</v>
      </c>
      <c r="AM48" s="1">
        <v>13.543614387512207</v>
      </c>
      <c r="AN48" s="1">
        <v>405.53076171875</v>
      </c>
      <c r="AO48" s="1">
        <v>401.21151733398437</v>
      </c>
      <c r="AP48" s="1">
        <v>8.7768354415893555</v>
      </c>
      <c r="AQ48" s="1">
        <v>10.080469131469727</v>
      </c>
      <c r="AR48" s="1">
        <v>54.117546081542969</v>
      </c>
      <c r="AS48" s="1">
        <v>62.155689239501953</v>
      </c>
      <c r="AT48" s="1">
        <v>149.59107971191406</v>
      </c>
      <c r="AU48" s="1">
        <v>75.931358337402344</v>
      </c>
      <c r="AV48" s="1">
        <v>17.588981628417969</v>
      </c>
      <c r="AW48" s="1">
        <v>102.31509399414062</v>
      </c>
      <c r="AX48" s="1">
        <v>4.2973556518554687</v>
      </c>
      <c r="AY48" s="1">
        <v>4.3755345046520233E-2</v>
      </c>
      <c r="AZ48" s="1">
        <v>0.75</v>
      </c>
      <c r="BA48" s="1">
        <v>-1.355140209197998</v>
      </c>
      <c r="BB48" s="1">
        <v>7.355140209197998</v>
      </c>
      <c r="BC48" s="1">
        <v>1</v>
      </c>
      <c r="BD48" s="1">
        <v>0</v>
      </c>
      <c r="BE48" s="1">
        <v>0.15999999642372131</v>
      </c>
      <c r="BF48" s="1">
        <v>111115</v>
      </c>
      <c r="BG48">
        <f t="shared" si="143"/>
        <v>0.74795539855957016</v>
      </c>
      <c r="BH48">
        <f t="shared" si="144"/>
        <v>9.8498900737382477E-4</v>
      </c>
      <c r="BI48">
        <f t="shared" si="145"/>
        <v>288.41178169250486</v>
      </c>
      <c r="BJ48">
        <f t="shared" si="146"/>
        <v>287.67134513854978</v>
      </c>
      <c r="BK48">
        <f t="shared" si="147"/>
        <v>12.149017062432677</v>
      </c>
      <c r="BL48">
        <f t="shared" si="148"/>
        <v>-0.15622932123408947</v>
      </c>
      <c r="BM48">
        <f t="shared" si="149"/>
        <v>1.7404273788283369</v>
      </c>
      <c r="BN48">
        <f t="shared" si="150"/>
        <v>17.010465522594423</v>
      </c>
      <c r="BO48">
        <f t="shared" si="151"/>
        <v>6.9299963911246962</v>
      </c>
      <c r="BP48">
        <f t="shared" si="152"/>
        <v>14.891563415527344</v>
      </c>
      <c r="BQ48">
        <f t="shared" si="153"/>
        <v>1.6994668986789978</v>
      </c>
      <c r="BR48">
        <f t="shared" si="154"/>
        <v>0.14020885670320885</v>
      </c>
      <c r="BS48">
        <f t="shared" si="155"/>
        <v>1.0313841466913583</v>
      </c>
      <c r="BT48">
        <f t="shared" si="156"/>
        <v>0.66808275198763956</v>
      </c>
      <c r="BU48">
        <f t="shared" si="157"/>
        <v>8.7821072487862861E-2</v>
      </c>
      <c r="BV48">
        <f t="shared" si="158"/>
        <v>37.307201528394039</v>
      </c>
      <c r="BW48">
        <f t="shared" si="159"/>
        <v>0.90882355380228397</v>
      </c>
      <c r="BX48">
        <f t="shared" si="160"/>
        <v>59.324303085018151</v>
      </c>
      <c r="BY48">
        <f t="shared" si="161"/>
        <v>400.79946960586619</v>
      </c>
      <c r="BZ48">
        <f t="shared" si="162"/>
        <v>4.1968347279475512E-3</v>
      </c>
      <c r="CA48">
        <f t="shared" si="163"/>
        <v>1864.90869140625</v>
      </c>
      <c r="CB48">
        <f t="shared" si="164"/>
        <v>66.370589527646544</v>
      </c>
      <c r="CC48">
        <f t="shared" si="165"/>
        <v>1522.43603515625</v>
      </c>
      <c r="CD48">
        <f t="shared" si="166"/>
        <v>0.89461847988149379</v>
      </c>
      <c r="CE48">
        <f t="shared" si="167"/>
        <v>0.18579723213451144</v>
      </c>
    </row>
    <row r="49" spans="1:87" x14ac:dyDescent="0.25">
      <c r="A49" s="1">
        <v>12</v>
      </c>
      <c r="B49" s="1" t="s">
        <v>220</v>
      </c>
      <c r="C49" s="1">
        <v>895.999940386042</v>
      </c>
      <c r="D49" s="1">
        <v>0</v>
      </c>
      <c r="E49">
        <f t="shared" si="126"/>
        <v>0.4562404773025357</v>
      </c>
      <c r="F49">
        <f t="shared" si="127"/>
        <v>0.12358536106317038</v>
      </c>
      <c r="G49">
        <f t="shared" si="128"/>
        <v>390.41640110717424</v>
      </c>
      <c r="H49" s="1">
        <v>67</v>
      </c>
      <c r="I49" s="1">
        <v>65</v>
      </c>
      <c r="J49" s="1">
        <v>567.294189453125</v>
      </c>
      <c r="K49" s="1">
        <v>2432.202880859375</v>
      </c>
      <c r="L49" s="1">
        <v>563.177490234375</v>
      </c>
      <c r="M49" s="1">
        <v>2196.018798828125</v>
      </c>
      <c r="N49" s="1">
        <v>647.7269287109375</v>
      </c>
      <c r="O49">
        <f t="shared" si="129"/>
        <v>0.76675704402887568</v>
      </c>
      <c r="P49">
        <f t="shared" si="130"/>
        <v>0.74354614335045455</v>
      </c>
      <c r="Q49">
        <f t="shared" si="131"/>
        <v>0.70504490714897883</v>
      </c>
      <c r="R49" s="1">
        <v>-1</v>
      </c>
      <c r="S49" s="1">
        <v>0.87</v>
      </c>
      <c r="T49" s="1">
        <v>0.92</v>
      </c>
      <c r="U49" s="1">
        <v>14.168544769287109</v>
      </c>
      <c r="V49">
        <f t="shared" si="132"/>
        <v>0.8770842723846437</v>
      </c>
      <c r="W49">
        <f t="shared" si="133"/>
        <v>7.0020312516023767E-2</v>
      </c>
      <c r="X49">
        <f t="shared" si="134"/>
        <v>0.94821943931013175</v>
      </c>
      <c r="Y49">
        <f t="shared" si="135"/>
        <v>0.1263675085506839</v>
      </c>
      <c r="Z49">
        <f t="shared" si="136"/>
        <v>0.10755102923403313</v>
      </c>
      <c r="AA49" s="1">
        <v>23.71197509765625</v>
      </c>
      <c r="AB49" s="1">
        <v>0.5</v>
      </c>
      <c r="AC49">
        <f t="shared" si="137"/>
        <v>7.3315506259086813</v>
      </c>
      <c r="AD49">
        <f t="shared" si="138"/>
        <v>0.86824262583754142</v>
      </c>
      <c r="AE49">
        <f t="shared" si="139"/>
        <v>0.71858023222520639</v>
      </c>
      <c r="AF49">
        <f t="shared" si="140"/>
        <v>15.270212173461914</v>
      </c>
      <c r="AG49" s="1">
        <v>2</v>
      </c>
      <c r="AH49">
        <f t="shared" si="141"/>
        <v>4.644859790802002</v>
      </c>
      <c r="AI49" s="1">
        <v>1</v>
      </c>
      <c r="AJ49">
        <f t="shared" si="142"/>
        <v>9.2897195816040039</v>
      </c>
      <c r="AK49" s="1">
        <v>14.317972183227539</v>
      </c>
      <c r="AL49" s="1">
        <v>15.270212173461914</v>
      </c>
      <c r="AM49" s="1">
        <v>13.148394584655762</v>
      </c>
      <c r="AN49" s="1">
        <v>401.96392822265625</v>
      </c>
      <c r="AO49" s="1">
        <v>400.88848876953125</v>
      </c>
      <c r="AP49" s="1">
        <v>8.8465051651000977</v>
      </c>
      <c r="AQ49" s="1">
        <v>9.9958257675170898</v>
      </c>
      <c r="AR49" s="1">
        <v>55.272747039794922</v>
      </c>
      <c r="AS49" s="1">
        <v>62.453670501708984</v>
      </c>
      <c r="AT49" s="1">
        <v>149.57772827148437</v>
      </c>
      <c r="AU49" s="1">
        <v>23.71197509765625</v>
      </c>
      <c r="AV49" s="1">
        <v>17.817960739135742</v>
      </c>
      <c r="AW49" s="1">
        <v>102.32170104980469</v>
      </c>
      <c r="AX49" s="1">
        <v>4.2973556518554687</v>
      </c>
      <c r="AY49" s="1">
        <v>4.3755345046520233E-2</v>
      </c>
      <c r="AZ49" s="1">
        <v>0.75</v>
      </c>
      <c r="BA49" s="1">
        <v>-1.355140209197998</v>
      </c>
      <c r="BB49" s="1">
        <v>7.355140209197998</v>
      </c>
      <c r="BC49" s="1">
        <v>1</v>
      </c>
      <c r="BD49" s="1">
        <v>0</v>
      </c>
      <c r="BE49" s="1">
        <v>0.15999999642372131</v>
      </c>
      <c r="BF49" s="1">
        <v>111115</v>
      </c>
      <c r="BG49">
        <f t="shared" si="143"/>
        <v>0.74788864135742184</v>
      </c>
      <c r="BH49">
        <f t="shared" si="144"/>
        <v>8.6824262583754138E-4</v>
      </c>
      <c r="BI49">
        <f t="shared" si="145"/>
        <v>288.42021217346189</v>
      </c>
      <c r="BJ49">
        <f t="shared" si="146"/>
        <v>287.46797218322752</v>
      </c>
      <c r="BK49">
        <f t="shared" si="147"/>
        <v>3.7939159308243688</v>
      </c>
      <c r="BL49">
        <f t="shared" si="148"/>
        <v>-0.17781918630053214</v>
      </c>
      <c r="BM49">
        <f t="shared" si="149"/>
        <v>1.7413701281550245</v>
      </c>
      <c r="BN49">
        <f t="shared" si="150"/>
        <v>17.018580714441207</v>
      </c>
      <c r="BO49">
        <f t="shared" si="151"/>
        <v>7.0227549469241168</v>
      </c>
      <c r="BP49">
        <f t="shared" si="152"/>
        <v>14.794092178344727</v>
      </c>
      <c r="BQ49">
        <f t="shared" si="153"/>
        <v>1.688824687612493</v>
      </c>
      <c r="BR49">
        <f t="shared" si="154"/>
        <v>0.12196283405887824</v>
      </c>
      <c r="BS49">
        <f t="shared" si="155"/>
        <v>1.0227898959298181</v>
      </c>
      <c r="BT49">
        <f t="shared" si="156"/>
        <v>0.66603479168267499</v>
      </c>
      <c r="BU49">
        <f t="shared" si="157"/>
        <v>7.6370903376762597E-2</v>
      </c>
      <c r="BV49">
        <f t="shared" si="158"/>
        <v>39.948070279028926</v>
      </c>
      <c r="BW49">
        <f t="shared" si="159"/>
        <v>0.97387780403847579</v>
      </c>
      <c r="BX49">
        <f t="shared" si="160"/>
        <v>58.718950117618007</v>
      </c>
      <c r="BY49">
        <f t="shared" si="161"/>
        <v>400.82218702178227</v>
      </c>
      <c r="BZ49">
        <f t="shared" si="162"/>
        <v>6.6837522212586384E-4</v>
      </c>
      <c r="CA49">
        <f t="shared" si="163"/>
        <v>1864.90869140625</v>
      </c>
      <c r="CB49">
        <f t="shared" si="164"/>
        <v>20.797400425330622</v>
      </c>
      <c r="CC49">
        <f t="shared" si="165"/>
        <v>1632.84130859375</v>
      </c>
      <c r="CD49">
        <f t="shared" si="166"/>
        <v>0.95061612086239833</v>
      </c>
      <c r="CE49">
        <f t="shared" si="167"/>
        <v>0.1266464589497695</v>
      </c>
    </row>
    <row r="50" spans="1:87" x14ac:dyDescent="0.25">
      <c r="A50" s="1">
        <v>13</v>
      </c>
      <c r="B50" s="1" t="s">
        <v>221</v>
      </c>
      <c r="C50" s="1">
        <v>969.99993528611958</v>
      </c>
      <c r="D50" s="1">
        <v>0</v>
      </c>
      <c r="E50">
        <f t="shared" si="126"/>
        <v>-1.0277183562700269</v>
      </c>
      <c r="F50">
        <f t="shared" si="127"/>
        <v>0.11399318678562687</v>
      </c>
      <c r="G50">
        <f t="shared" si="128"/>
        <v>411.26222041092569</v>
      </c>
      <c r="H50" s="1">
        <v>68</v>
      </c>
      <c r="I50" s="1">
        <v>66</v>
      </c>
      <c r="J50" s="1">
        <v>567.294189453125</v>
      </c>
      <c r="K50" s="1">
        <v>2432.202880859375</v>
      </c>
      <c r="L50" s="1">
        <v>554.239013671875</v>
      </c>
      <c r="M50" s="1">
        <v>2232.46435546875</v>
      </c>
      <c r="N50" s="1">
        <v>541.5140380859375</v>
      </c>
      <c r="O50">
        <f t="shared" si="129"/>
        <v>0.76675704402887568</v>
      </c>
      <c r="P50">
        <f t="shared" si="130"/>
        <v>0.75173667955137335</v>
      </c>
      <c r="Q50">
        <f t="shared" si="131"/>
        <v>0.75743664764034457</v>
      </c>
      <c r="R50" s="1">
        <v>-1</v>
      </c>
      <c r="S50" s="1">
        <v>0.87</v>
      </c>
      <c r="T50" s="1">
        <v>0.92</v>
      </c>
      <c r="U50" s="1">
        <v>0</v>
      </c>
      <c r="V50">
        <f t="shared" si="132"/>
        <v>0.87</v>
      </c>
      <c r="W50">
        <f t="shared" si="133"/>
        <v>-5.7207827856690693E-2</v>
      </c>
      <c r="X50">
        <f t="shared" si="134"/>
        <v>1.0075823998535935</v>
      </c>
      <c r="Y50">
        <f t="shared" si="135"/>
        <v>0.10635908862813209</v>
      </c>
      <c r="Z50">
        <f t="shared" si="136"/>
        <v>8.9469972902965322E-2</v>
      </c>
      <c r="AA50" s="1">
        <v>0.55691993236541748</v>
      </c>
      <c r="AB50" s="1">
        <v>0.5</v>
      </c>
      <c r="AC50">
        <f t="shared" si="137"/>
        <v>0.1834967314601029</v>
      </c>
      <c r="AD50">
        <f t="shared" si="138"/>
        <v>0.80461483254336696</v>
      </c>
      <c r="AE50">
        <f t="shared" si="139"/>
        <v>0.72125446215746924</v>
      </c>
      <c r="AF50">
        <f t="shared" si="140"/>
        <v>15.24249267578125</v>
      </c>
      <c r="AG50" s="1">
        <v>2</v>
      </c>
      <c r="AH50">
        <f t="shared" si="141"/>
        <v>4.644859790802002</v>
      </c>
      <c r="AI50" s="1">
        <v>1</v>
      </c>
      <c r="AJ50">
        <f t="shared" si="142"/>
        <v>9.2897195816040039</v>
      </c>
      <c r="AK50" s="1">
        <v>14.313009262084961</v>
      </c>
      <c r="AL50" s="1">
        <v>15.24249267578125</v>
      </c>
      <c r="AM50" s="1">
        <v>13.153800964355469</v>
      </c>
      <c r="AN50" s="1">
        <v>400.38027954101562</v>
      </c>
      <c r="AO50" s="1">
        <v>401.32235717773437</v>
      </c>
      <c r="AP50" s="1">
        <v>8.8745765686035156</v>
      </c>
      <c r="AQ50" s="1">
        <v>9.9393701553344727</v>
      </c>
      <c r="AR50" s="1">
        <v>55.466190338134766</v>
      </c>
      <c r="AS50" s="1">
        <v>62.121158599853516</v>
      </c>
      <c r="AT50" s="1">
        <v>149.62852478027344</v>
      </c>
      <c r="AU50" s="1">
        <v>0.55691993236541748</v>
      </c>
      <c r="AV50" s="1">
        <v>17.548028945922852</v>
      </c>
      <c r="AW50" s="1">
        <v>102.32213592529297</v>
      </c>
      <c r="AX50" s="1">
        <v>4.2973556518554687</v>
      </c>
      <c r="AY50" s="1">
        <v>4.3755345046520233E-2</v>
      </c>
      <c r="AZ50" s="1">
        <v>0.75</v>
      </c>
      <c r="BA50" s="1">
        <v>-1.355140209197998</v>
      </c>
      <c r="BB50" s="1">
        <v>7.355140209197998</v>
      </c>
      <c r="BC50" s="1">
        <v>1</v>
      </c>
      <c r="BD50" s="1">
        <v>0</v>
      </c>
      <c r="BE50" s="1">
        <v>0.15999999642372131</v>
      </c>
      <c r="BF50" s="1">
        <v>111115</v>
      </c>
      <c r="BG50">
        <f t="shared" si="143"/>
        <v>0.7481426239013671</v>
      </c>
      <c r="BH50">
        <f t="shared" si="144"/>
        <v>8.0461483254336697E-4</v>
      </c>
      <c r="BI50">
        <f t="shared" si="145"/>
        <v>288.39249267578123</v>
      </c>
      <c r="BJ50">
        <f t="shared" si="146"/>
        <v>287.46300926208494</v>
      </c>
      <c r="BK50">
        <f t="shared" si="147"/>
        <v>8.9107187186765913E-2</v>
      </c>
      <c r="BL50">
        <f t="shared" si="148"/>
        <v>-0.18048340809976479</v>
      </c>
      <c r="BM50">
        <f t="shared" si="149"/>
        <v>1.7382720462034034</v>
      </c>
      <c r="BN50">
        <f t="shared" si="150"/>
        <v>16.988230654924401</v>
      </c>
      <c r="BO50">
        <f t="shared" si="151"/>
        <v>7.048860499589928</v>
      </c>
      <c r="BP50">
        <f t="shared" si="152"/>
        <v>14.777750968933105</v>
      </c>
      <c r="BQ50">
        <f t="shared" si="153"/>
        <v>1.6870462474555388</v>
      </c>
      <c r="BR50">
        <f t="shared" si="154"/>
        <v>0.11261134463948823</v>
      </c>
      <c r="BS50">
        <f t="shared" si="155"/>
        <v>1.0170175840459341</v>
      </c>
      <c r="BT50">
        <f t="shared" si="156"/>
        <v>0.67002866340960465</v>
      </c>
      <c r="BU50">
        <f t="shared" si="157"/>
        <v>7.0504949405939515E-2</v>
      </c>
      <c r="BV50">
        <f t="shared" si="158"/>
        <v>42.081228817824538</v>
      </c>
      <c r="BW50">
        <f t="shared" si="159"/>
        <v>1.024767778458924</v>
      </c>
      <c r="BX50">
        <f t="shared" si="160"/>
        <v>58.450960323151101</v>
      </c>
      <c r="BY50">
        <f t="shared" si="161"/>
        <v>401.47170719511399</v>
      </c>
      <c r="BZ50">
        <f t="shared" si="162"/>
        <v>-1.4962729325411475E-3</v>
      </c>
      <c r="CA50">
        <f t="shared" si="163"/>
        <v>1864.90869140625</v>
      </c>
      <c r="CB50">
        <f t="shared" si="164"/>
        <v>0.4845203411579132</v>
      </c>
      <c r="CC50">
        <f t="shared" si="165"/>
        <v>1678.225341796875</v>
      </c>
      <c r="CD50">
        <f t="shared" si="166"/>
        <v>1.015481992107073</v>
      </c>
      <c r="CE50">
        <f t="shared" si="167"/>
        <v>0.10710364872609955</v>
      </c>
    </row>
    <row r="52" spans="1:87" x14ac:dyDescent="0.25">
      <c r="A52" s="1">
        <v>1</v>
      </c>
      <c r="B52" s="1" t="s">
        <v>279</v>
      </c>
      <c r="C52" s="1">
        <v>972.50002615433186</v>
      </c>
      <c r="D52" s="1">
        <v>0</v>
      </c>
      <c r="E52">
        <f t="shared" ref="E52:E63" si="168">(AN52-AO52*(1000-AP52)/(1000-AQ52))*BK52</f>
        <v>8.0625827718997627</v>
      </c>
      <c r="F52">
        <f t="shared" ref="F52:F63" si="169">IF(BV52&lt;&gt;0,1/(1/BV52-1/AJ52),0)</f>
        <v>0.10133545825424058</v>
      </c>
      <c r="G52">
        <f t="shared" ref="G52:G63" si="170">((BY52-BL52/2)*AO52-E52)/(BY52+BL52/2)</f>
        <v>267.11381545177966</v>
      </c>
      <c r="H52" s="1">
        <v>95</v>
      </c>
      <c r="I52" s="1">
        <v>0</v>
      </c>
      <c r="J52" s="1">
        <v>0</v>
      </c>
      <c r="K52" s="1">
        <v>0</v>
      </c>
      <c r="L52" s="1">
        <v>0</v>
      </c>
      <c r="M52" s="1">
        <v>381.29034423828125</v>
      </c>
      <c r="N52" s="1">
        <v>220.02005004882812</v>
      </c>
      <c r="O52" t="e">
        <f t="shared" ref="O52:O63" si="171">CE52/K52</f>
        <v>#DIV/0!</v>
      </c>
      <c r="P52">
        <f t="shared" ref="P52:P63" si="172">CG52/M52</f>
        <v>1</v>
      </c>
      <c r="Q52">
        <f t="shared" ref="Q52:Q63" si="173">(M52-N52)/M52</f>
        <v>0.42295929237764768</v>
      </c>
      <c r="R52" s="1">
        <v>-1</v>
      </c>
      <c r="S52" s="1">
        <v>0.87</v>
      </c>
      <c r="T52" s="1">
        <v>0.92</v>
      </c>
      <c r="U52" s="1">
        <v>10.077871322631836</v>
      </c>
      <c r="V52">
        <f t="shared" ref="V52:V63" si="174">(U52*T52+(100-U52)*S52)/100</f>
        <v>0.87503893566131585</v>
      </c>
      <c r="W52">
        <f t="shared" ref="W52:W63" si="175">(E52-R52)/CF52</f>
        <v>1.7244366420374909E-2</v>
      </c>
      <c r="X52">
        <f t="shared" ref="X52:X63" si="176">(M52-N52)/(M52-L52)</f>
        <v>0.42295929237764768</v>
      </c>
      <c r="Y52" t="e">
        <f t="shared" ref="Y52:Y63" si="177">(K52-M52)/(K52-L52)</f>
        <v>#DIV/0!</v>
      </c>
      <c r="Z52">
        <f t="shared" ref="Z52:Z63" si="178">(K52-M52)/M52</f>
        <v>-1</v>
      </c>
      <c r="AA52" s="1">
        <v>600.5889892578125</v>
      </c>
      <c r="AB52" s="1">
        <v>0.5</v>
      </c>
      <c r="AC52">
        <f t="shared" ref="AC52:AC63" si="179">Q52*AB52*V52*AA52</f>
        <v>111.14074889372621</v>
      </c>
      <c r="AD52">
        <f t="shared" ref="AD52:AD63" si="180">BL52*1000</f>
        <v>0.8177946889699641</v>
      </c>
      <c r="AE52">
        <f t="shared" ref="AE52:AE63" si="181">(BQ52-BW52)</f>
        <v>0.8115351447315432</v>
      </c>
      <c r="AF52">
        <f t="shared" ref="AF52:AF63" si="182">(AL52+BP52*D52)</f>
        <v>15.30269718170166</v>
      </c>
      <c r="AG52" s="1">
        <v>1.4930000305175781</v>
      </c>
      <c r="AH52">
        <f t="shared" ref="AH52:AH63" si="183">(AG52*BE52+BF52)</f>
        <v>5.3319158355097898</v>
      </c>
      <c r="AI52" s="1">
        <v>1</v>
      </c>
      <c r="AJ52">
        <f t="shared" ref="AJ52:AJ63" si="184">AH52*(AI52+1)*(AI52+1)/(AI52*AI52+1)</f>
        <v>10.66383167101958</v>
      </c>
      <c r="AK52" s="1">
        <v>12.475419044494629</v>
      </c>
      <c r="AL52" s="1">
        <v>15.30269718170166</v>
      </c>
      <c r="AM52" s="1">
        <v>10.912035942077637</v>
      </c>
      <c r="AN52" s="1">
        <v>408.15939331054687</v>
      </c>
      <c r="AO52" s="1">
        <v>399.79156494140625</v>
      </c>
      <c r="AP52" s="1">
        <v>8.4385108947753906</v>
      </c>
      <c r="AQ52" s="1">
        <v>9.246647834777832</v>
      </c>
      <c r="AR52" s="1">
        <v>58.656295776367188</v>
      </c>
      <c r="AS52" s="1">
        <v>64.273674011230469</v>
      </c>
      <c r="AT52" s="1">
        <v>149.68721008300781</v>
      </c>
      <c r="AU52" s="1">
        <v>600.5889892578125</v>
      </c>
      <c r="AV52" s="1">
        <v>6.6318345069885254</v>
      </c>
      <c r="AW52" s="1">
        <v>100.95246124267578</v>
      </c>
      <c r="AX52" s="1">
        <v>2.2480728626251221</v>
      </c>
      <c r="AY52" s="1">
        <v>0.30523252487182617</v>
      </c>
      <c r="AZ52" s="1">
        <v>2.835455909371376E-2</v>
      </c>
      <c r="BA52" s="1">
        <v>6.0251110699027777E-4</v>
      </c>
      <c r="BB52" s="1">
        <v>5.7814974337816238E-2</v>
      </c>
      <c r="BC52" s="1">
        <v>3.599406685680151E-3</v>
      </c>
      <c r="BD52" s="1">
        <v>0.75</v>
      </c>
      <c r="BE52" s="1">
        <v>-1.355140209197998</v>
      </c>
      <c r="BF52" s="1">
        <v>7.355140209197998</v>
      </c>
      <c r="BG52" s="1">
        <v>1</v>
      </c>
      <c r="BH52" s="1">
        <v>0</v>
      </c>
      <c r="BI52" s="1">
        <v>0.15999999642372131</v>
      </c>
      <c r="BJ52" s="1">
        <v>111115</v>
      </c>
      <c r="BK52">
        <f t="shared" ref="BK52:BK63" si="185">AT52*0.000001/(AG52*0.0001)</f>
        <v>1.0025934830765928</v>
      </c>
      <c r="BL52">
        <f t="shared" ref="BL52:BL63" si="186">(AQ52-AP52)/(1000-AQ52)*BK52</f>
        <v>8.1779468896996414E-4</v>
      </c>
      <c r="BM52">
        <f t="shared" ref="BM52:BM63" si="187">(AL52+273.15)</f>
        <v>288.45269718170164</v>
      </c>
      <c r="BN52">
        <f t="shared" ref="BN52:BN63" si="188">(AK52+273.15)</f>
        <v>285.62541904449461</v>
      </c>
      <c r="BO52">
        <f t="shared" ref="BO52:BO63" si="189">(AU52*BG52+AV52*BH52)*BI52</f>
        <v>96.094236133376398</v>
      </c>
      <c r="BP52">
        <f t="shared" ref="BP52:BP63" si="190">((BO52+0.00000010773*(BN52^4-BM52^4))-BL52*44100)/(AH52*0.92*2*29.3+0.00000043092*BM52^3)</f>
        <v>0.10482258353250211</v>
      </c>
      <c r="BQ52">
        <f t="shared" ref="BQ52:BQ63" si="191">0.61365*EXP(17.502*AF52/(240.97+AF52))</f>
        <v>1.7450070018966242</v>
      </c>
      <c r="BR52">
        <f t="shared" ref="BR52:BR63" si="192">BQ52*1000/AW52</f>
        <v>17.28543296930491</v>
      </c>
      <c r="BS52">
        <f t="shared" ref="BS52:BS63" si="193">(BR52-AQ52)</f>
        <v>8.0387851345270782</v>
      </c>
      <c r="BT52">
        <f t="shared" ref="BT52:BT63" si="194">IF(D52,AL52,(AK52+AL52)/2)</f>
        <v>13.889058113098145</v>
      </c>
      <c r="BU52">
        <f t="shared" ref="BU52:BU63" si="195">0.61365*EXP(17.502*BT52/(240.97+BT52))</f>
        <v>1.5927725253503988</v>
      </c>
      <c r="BV52">
        <f t="shared" ref="BV52:BV63" si="196">IF(BS52&lt;&gt;0,(1000-(BR52+AQ52)/2)/BS52*BL52,0)</f>
        <v>0.10038155991004558</v>
      </c>
      <c r="BW52">
        <f t="shared" ref="BW52:BW63" si="197">AQ52*AW52/1000</f>
        <v>0.93347185716508096</v>
      </c>
      <c r="BX52">
        <f t="shared" ref="BX52:BX63" si="198">(BU52-BW52)</f>
        <v>0.65930066818531785</v>
      </c>
      <c r="BY52">
        <f t="shared" ref="BY52:BY63" si="199">1/(1.6/F52+1.37/AJ52)</f>
        <v>6.2823485045749708E-2</v>
      </c>
      <c r="BZ52">
        <f t="shared" ref="BZ52:BZ63" si="200">G52*AW52*0.001</f>
        <v>26.965797101779039</v>
      </c>
      <c r="CA52">
        <f t="shared" ref="CA52:CA63" si="201">G52/AO52</f>
        <v>0.66813269432267297</v>
      </c>
      <c r="CB52">
        <f t="shared" ref="CB52:CB63" si="202">(1-BL52*AW52/BQ52/F52)*100</f>
        <v>53.312288380187979</v>
      </c>
      <c r="CC52">
        <f t="shared" ref="CC52:CC63" si="203">(AO52-E52/(AJ52/1.35))</f>
        <v>398.77087302898184</v>
      </c>
      <c r="CD52">
        <f t="shared" ref="CD52:CD63" si="204">E52*CB52/100/CC52</f>
        <v>1.077899031490738E-2</v>
      </c>
      <c r="CE52">
        <f t="shared" ref="CE52:CE63" si="205">(K52-J52)</f>
        <v>0</v>
      </c>
      <c r="CF52">
        <f t="shared" ref="CF52:CF63" si="206">AU52*V52</f>
        <v>525.53874993006173</v>
      </c>
      <c r="CG52">
        <f t="shared" ref="CG52:CG63" si="207">(M52-L52)</f>
        <v>381.29034423828125</v>
      </c>
      <c r="CH52">
        <f t="shared" ref="CH52:CH63" si="208">(M52-N52)/(M52-J52)</f>
        <v>0.42295929237764768</v>
      </c>
      <c r="CI52" t="e">
        <f t="shared" ref="CI52:CI63" si="209">(K52-M52)/(K52-J52)</f>
        <v>#DIV/0!</v>
      </c>
    </row>
    <row r="53" spans="1:87" x14ac:dyDescent="0.25">
      <c r="A53" s="1">
        <v>2</v>
      </c>
      <c r="B53" s="1" t="s">
        <v>280</v>
      </c>
      <c r="C53" s="1">
        <v>1177.0000120606273</v>
      </c>
      <c r="D53" s="1">
        <v>0</v>
      </c>
      <c r="E53">
        <f t="shared" si="168"/>
        <v>7.9178883951410617</v>
      </c>
      <c r="F53">
        <f t="shared" si="169"/>
        <v>8.5781844008643734E-2</v>
      </c>
      <c r="G53">
        <f t="shared" si="170"/>
        <v>247.72698883687355</v>
      </c>
      <c r="H53" s="1">
        <v>96</v>
      </c>
      <c r="I53" s="1">
        <v>0</v>
      </c>
      <c r="J53" s="1">
        <v>0</v>
      </c>
      <c r="K53" s="1">
        <v>0</v>
      </c>
      <c r="L53" s="1">
        <v>0</v>
      </c>
      <c r="M53" s="1">
        <v>417.4755859375</v>
      </c>
      <c r="N53" s="1">
        <v>220.95240783691406</v>
      </c>
      <c r="O53" t="e">
        <f t="shared" si="171"/>
        <v>#DIV/0!</v>
      </c>
      <c r="P53">
        <f t="shared" si="172"/>
        <v>1</v>
      </c>
      <c r="Q53">
        <f t="shared" si="173"/>
        <v>0.47074172651142121</v>
      </c>
      <c r="R53" s="1">
        <v>-1</v>
      </c>
      <c r="S53" s="1">
        <v>0.87</v>
      </c>
      <c r="T53" s="1">
        <v>0.92</v>
      </c>
      <c r="U53" s="1">
        <v>10.322778701782227</v>
      </c>
      <c r="V53">
        <f t="shared" si="174"/>
        <v>0.87516138935089116</v>
      </c>
      <c r="W53">
        <f t="shared" si="175"/>
        <v>2.0429694766228811E-2</v>
      </c>
      <c r="X53">
        <f t="shared" si="176"/>
        <v>0.47074172651142121</v>
      </c>
      <c r="Y53" t="e">
        <f t="shared" si="177"/>
        <v>#DIV/0!</v>
      </c>
      <c r="Z53">
        <f t="shared" si="178"/>
        <v>-1</v>
      </c>
      <c r="AA53" s="1">
        <v>498.78341674804687</v>
      </c>
      <c r="AB53" s="1">
        <v>0.5</v>
      </c>
      <c r="AC53">
        <f t="shared" si="179"/>
        <v>102.74314491727959</v>
      </c>
      <c r="AD53">
        <f t="shared" si="180"/>
        <v>0.68602819649261437</v>
      </c>
      <c r="AE53">
        <f t="shared" si="181"/>
        <v>0.80295503337166907</v>
      </c>
      <c r="AF53">
        <f t="shared" si="182"/>
        <v>15.321443557739258</v>
      </c>
      <c r="AG53" s="1">
        <v>1.4930000305175781</v>
      </c>
      <c r="AH53">
        <f t="shared" si="183"/>
        <v>5.3319158355097898</v>
      </c>
      <c r="AI53" s="1">
        <v>1</v>
      </c>
      <c r="AJ53">
        <f t="shared" si="184"/>
        <v>10.66383167101958</v>
      </c>
      <c r="AK53" s="1">
        <v>12.548378944396973</v>
      </c>
      <c r="AL53" s="1">
        <v>15.321443557739258</v>
      </c>
      <c r="AM53" s="1">
        <v>10.979937553405762</v>
      </c>
      <c r="AN53" s="1">
        <v>408.776611328125</v>
      </c>
      <c r="AO53" s="1">
        <v>400.60491943359375</v>
      </c>
      <c r="AP53" s="1">
        <v>8.6751022338867187</v>
      </c>
      <c r="AQ53" s="1">
        <v>9.3529701232910156</v>
      </c>
      <c r="AR53" s="1">
        <v>60.009479522705078</v>
      </c>
      <c r="AS53" s="1">
        <v>64.698585510253906</v>
      </c>
      <c r="AT53" s="1">
        <v>149.68409729003906</v>
      </c>
      <c r="AU53" s="1">
        <v>498.78341674804687</v>
      </c>
      <c r="AV53" s="1">
        <v>6.6157598495483398</v>
      </c>
      <c r="AW53" s="1">
        <v>100.94694519042969</v>
      </c>
      <c r="AX53" s="1">
        <v>2.2480728626251221</v>
      </c>
      <c r="AY53" s="1">
        <v>0.30523252487182617</v>
      </c>
      <c r="AZ53" s="1">
        <v>2.835455909371376E-2</v>
      </c>
      <c r="BA53" s="1">
        <v>6.0251110699027777E-4</v>
      </c>
      <c r="BB53" s="1">
        <v>5.7814974337816238E-2</v>
      </c>
      <c r="BC53" s="1">
        <v>3.599406685680151E-3</v>
      </c>
      <c r="BD53" s="1">
        <v>0.75</v>
      </c>
      <c r="BE53" s="1">
        <v>-1.355140209197998</v>
      </c>
      <c r="BF53" s="1">
        <v>7.355140209197998</v>
      </c>
      <c r="BG53" s="1">
        <v>1</v>
      </c>
      <c r="BH53" s="1">
        <v>0</v>
      </c>
      <c r="BI53" s="1">
        <v>0.15999999642372131</v>
      </c>
      <c r="BJ53" s="1">
        <v>111115</v>
      </c>
      <c r="BK53">
        <f t="shared" si="185"/>
        <v>1.0025726338273957</v>
      </c>
      <c r="BL53">
        <f t="shared" si="186"/>
        <v>6.8602819649261437E-4</v>
      </c>
      <c r="BM53">
        <f t="shared" si="187"/>
        <v>288.47144355773924</v>
      </c>
      <c r="BN53">
        <f t="shared" si="188"/>
        <v>285.69837894439695</v>
      </c>
      <c r="BO53">
        <f t="shared" si="189"/>
        <v>79.805344895898997</v>
      </c>
      <c r="BP53">
        <f t="shared" si="190"/>
        <v>7.1446968188497759E-2</v>
      </c>
      <c r="BQ53">
        <f t="shared" si="191"/>
        <v>1.7471087957752536</v>
      </c>
      <c r="BR53">
        <f t="shared" si="192"/>
        <v>17.307198276079074</v>
      </c>
      <c r="BS53">
        <f t="shared" si="193"/>
        <v>7.9542281527880583</v>
      </c>
      <c r="BT53">
        <f t="shared" si="194"/>
        <v>13.934911251068115</v>
      </c>
      <c r="BU53">
        <f t="shared" si="195"/>
        <v>1.5975208647107075</v>
      </c>
      <c r="BV53">
        <f t="shared" si="196"/>
        <v>8.5097305466747708E-2</v>
      </c>
      <c r="BW53">
        <f t="shared" si="197"/>
        <v>0.94415376240358451</v>
      </c>
      <c r="BX53">
        <f t="shared" si="198"/>
        <v>0.65336710230712303</v>
      </c>
      <c r="BY53">
        <f t="shared" si="199"/>
        <v>5.3246896711953574E-2</v>
      </c>
      <c r="BZ53">
        <f t="shared" si="200"/>
        <v>25.007282764306058</v>
      </c>
      <c r="CA53">
        <f t="shared" si="201"/>
        <v>0.61838229342547546</v>
      </c>
      <c r="CB53">
        <f t="shared" si="202"/>
        <v>53.791718303147903</v>
      </c>
      <c r="CC53">
        <f t="shared" si="203"/>
        <v>399.60254527173504</v>
      </c>
      <c r="CD53">
        <f t="shared" si="204"/>
        <v>1.0658511241903194E-2</v>
      </c>
      <c r="CE53">
        <f t="shared" si="205"/>
        <v>0</v>
      </c>
      <c r="CF53">
        <f t="shared" si="206"/>
        <v>436.51598798640526</v>
      </c>
      <c r="CG53">
        <f t="shared" si="207"/>
        <v>417.4755859375</v>
      </c>
      <c r="CH53">
        <f t="shared" si="208"/>
        <v>0.47074172651142121</v>
      </c>
      <c r="CI53" t="e">
        <f t="shared" si="209"/>
        <v>#DIV/0!</v>
      </c>
    </row>
    <row r="54" spans="1:87" x14ac:dyDescent="0.25">
      <c r="A54" s="1">
        <v>3</v>
      </c>
      <c r="B54" s="1" t="s">
        <v>281</v>
      </c>
      <c r="C54" s="1">
        <v>1380.9999980013818</v>
      </c>
      <c r="D54" s="1">
        <v>0</v>
      </c>
      <c r="E54">
        <f t="shared" si="168"/>
        <v>8.3816286886741036</v>
      </c>
      <c r="F54">
        <f t="shared" si="169"/>
        <v>7.7734694658004588E-2</v>
      </c>
      <c r="G54">
        <f t="shared" si="170"/>
        <v>222.75678014135926</v>
      </c>
      <c r="H54" s="1">
        <v>97</v>
      </c>
      <c r="I54" s="1">
        <v>0</v>
      </c>
      <c r="J54" s="1">
        <v>0</v>
      </c>
      <c r="K54" s="1">
        <v>0</v>
      </c>
      <c r="L54" s="1">
        <v>0</v>
      </c>
      <c r="M54" s="1">
        <v>439.316650390625</v>
      </c>
      <c r="N54" s="1">
        <v>220.45755004882812</v>
      </c>
      <c r="O54" t="e">
        <f t="shared" si="171"/>
        <v>#DIV/0!</v>
      </c>
      <c r="P54">
        <f t="shared" si="172"/>
        <v>1</v>
      </c>
      <c r="Q54">
        <f t="shared" si="173"/>
        <v>0.49818075446763743</v>
      </c>
      <c r="R54" s="1">
        <v>-1</v>
      </c>
      <c r="S54" s="1">
        <v>0.87</v>
      </c>
      <c r="T54" s="1">
        <v>0.92</v>
      </c>
      <c r="U54" s="1">
        <v>10.266758918762207</v>
      </c>
      <c r="V54">
        <f t="shared" si="174"/>
        <v>0.87513337945938119</v>
      </c>
      <c r="W54">
        <f t="shared" si="175"/>
        <v>2.4019271602761152E-2</v>
      </c>
      <c r="X54">
        <f t="shared" si="176"/>
        <v>0.49818075446763743</v>
      </c>
      <c r="Y54" t="e">
        <f t="shared" si="177"/>
        <v>#DIV/0!</v>
      </c>
      <c r="Z54">
        <f t="shared" si="178"/>
        <v>-1</v>
      </c>
      <c r="AA54" s="1">
        <v>446.3177490234375</v>
      </c>
      <c r="AB54" s="1">
        <v>0.5</v>
      </c>
      <c r="AC54">
        <f t="shared" si="179"/>
        <v>97.291602667118823</v>
      </c>
      <c r="AD54">
        <f t="shared" si="180"/>
        <v>0.59883184408251522</v>
      </c>
      <c r="AE54">
        <f t="shared" si="181"/>
        <v>0.77288446896270147</v>
      </c>
      <c r="AF54">
        <f t="shared" si="182"/>
        <v>15.200811386108398</v>
      </c>
      <c r="AG54" s="1">
        <v>1.4930000305175781</v>
      </c>
      <c r="AH54">
        <f t="shared" si="183"/>
        <v>5.3319158355097898</v>
      </c>
      <c r="AI54" s="1">
        <v>1</v>
      </c>
      <c r="AJ54">
        <f t="shared" si="184"/>
        <v>10.66383167101958</v>
      </c>
      <c r="AK54" s="1">
        <v>12.544384956359863</v>
      </c>
      <c r="AL54" s="1">
        <v>15.200811386108398</v>
      </c>
      <c r="AM54" s="1">
        <v>10.983950614929199</v>
      </c>
      <c r="AN54" s="1">
        <v>408.81137084960937</v>
      </c>
      <c r="AO54" s="1">
        <v>400.21444702148437</v>
      </c>
      <c r="AP54" s="1">
        <v>8.9255437850952148</v>
      </c>
      <c r="AQ54" s="1">
        <v>9.5170001983642578</v>
      </c>
      <c r="AR54" s="1">
        <v>61.759754180908203</v>
      </c>
      <c r="AS54" s="1">
        <v>65.852294921875</v>
      </c>
      <c r="AT54" s="1">
        <v>149.72315979003906</v>
      </c>
      <c r="AU54" s="1">
        <v>446.3177490234375</v>
      </c>
      <c r="AV54" s="1">
        <v>6.737299919128418</v>
      </c>
      <c r="AW54" s="1">
        <v>100.94968414306641</v>
      </c>
      <c r="AX54" s="1">
        <v>2.2480728626251221</v>
      </c>
      <c r="AY54" s="1">
        <v>0.30523252487182617</v>
      </c>
      <c r="AZ54" s="1">
        <v>2.835455909371376E-2</v>
      </c>
      <c r="BA54" s="1">
        <v>6.0251110699027777E-4</v>
      </c>
      <c r="BB54" s="1">
        <v>5.7814974337816238E-2</v>
      </c>
      <c r="BC54" s="1">
        <v>3.599406685680151E-3</v>
      </c>
      <c r="BD54" s="1">
        <v>0.75</v>
      </c>
      <c r="BE54" s="1">
        <v>-1.355140209197998</v>
      </c>
      <c r="BF54" s="1">
        <v>7.355140209197998</v>
      </c>
      <c r="BG54" s="1">
        <v>1</v>
      </c>
      <c r="BH54" s="1">
        <v>0</v>
      </c>
      <c r="BI54" s="1">
        <v>0.15999999642372131</v>
      </c>
      <c r="BJ54" s="1">
        <v>111115</v>
      </c>
      <c r="BK54">
        <f t="shared" si="185"/>
        <v>1.0028342714643785</v>
      </c>
      <c r="BL54">
        <f t="shared" si="186"/>
        <v>5.9883184408251523E-4</v>
      </c>
      <c r="BM54">
        <f t="shared" si="187"/>
        <v>288.35081138610838</v>
      </c>
      <c r="BN54">
        <f t="shared" si="188"/>
        <v>285.69438495635984</v>
      </c>
      <c r="BO54">
        <f t="shared" si="189"/>
        <v>71.410838247593347</v>
      </c>
      <c r="BP54">
        <f t="shared" si="190"/>
        <v>6.022658019766057E-2</v>
      </c>
      <c r="BQ54">
        <f t="shared" si="191"/>
        <v>1.7336226329770736</v>
      </c>
      <c r="BR54">
        <f t="shared" si="192"/>
        <v>17.173135782378228</v>
      </c>
      <c r="BS54">
        <f t="shared" si="193"/>
        <v>7.6561355840139704</v>
      </c>
      <c r="BT54">
        <f t="shared" si="194"/>
        <v>13.872598171234131</v>
      </c>
      <c r="BU54">
        <f t="shared" si="195"/>
        <v>1.5910710387234352</v>
      </c>
      <c r="BV54">
        <f t="shared" si="196"/>
        <v>7.7172143299305052E-2</v>
      </c>
      <c r="BW54">
        <f t="shared" si="197"/>
        <v>0.96073816401437218</v>
      </c>
      <c r="BX54">
        <f t="shared" si="198"/>
        <v>0.63033287470906307</v>
      </c>
      <c r="BY54">
        <f t="shared" si="199"/>
        <v>4.8282817776749747E-2</v>
      </c>
      <c r="BZ54">
        <f t="shared" si="200"/>
        <v>22.487226595996706</v>
      </c>
      <c r="CA54">
        <f t="shared" si="201"/>
        <v>0.5565935507805424</v>
      </c>
      <c r="CB54">
        <f t="shared" si="202"/>
        <v>55.141950481899691</v>
      </c>
      <c r="CC54">
        <f t="shared" si="203"/>
        <v>399.15336512533435</v>
      </c>
      <c r="CD54">
        <f t="shared" si="204"/>
        <v>1.1578991798388389E-2</v>
      </c>
      <c r="CE54">
        <f t="shared" si="205"/>
        <v>0</v>
      </c>
      <c r="CF54">
        <f t="shared" si="206"/>
        <v>390.58756001558481</v>
      </c>
      <c r="CG54">
        <f t="shared" si="207"/>
        <v>439.316650390625</v>
      </c>
      <c r="CH54">
        <f t="shared" si="208"/>
        <v>0.49818075446763743</v>
      </c>
      <c r="CI54" t="e">
        <f t="shared" si="209"/>
        <v>#DIV/0!</v>
      </c>
    </row>
    <row r="55" spans="1:87" x14ac:dyDescent="0.25">
      <c r="A55" s="1">
        <v>4</v>
      </c>
      <c r="B55" s="1" t="s">
        <v>282</v>
      </c>
      <c r="C55" s="1">
        <v>1585.4999839076772</v>
      </c>
      <c r="D55" s="1">
        <v>0</v>
      </c>
      <c r="E55">
        <f t="shared" si="168"/>
        <v>6.5939981663382126</v>
      </c>
      <c r="F55">
        <f t="shared" si="169"/>
        <v>6.9374926455026506E-2</v>
      </c>
      <c r="G55">
        <f t="shared" si="170"/>
        <v>243.14704191584019</v>
      </c>
      <c r="H55" s="1">
        <v>98</v>
      </c>
      <c r="I55" s="1">
        <v>0</v>
      </c>
      <c r="J55" s="1">
        <v>0</v>
      </c>
      <c r="K55" s="1">
        <v>0</v>
      </c>
      <c r="L55" s="1">
        <v>0</v>
      </c>
      <c r="M55" s="1">
        <v>579.93475341796875</v>
      </c>
      <c r="N55" s="1">
        <v>243.36433410644531</v>
      </c>
      <c r="O55" t="e">
        <f t="shared" si="171"/>
        <v>#DIV/0!</v>
      </c>
      <c r="P55">
        <f t="shared" si="172"/>
        <v>1</v>
      </c>
      <c r="Q55">
        <f t="shared" si="173"/>
        <v>0.58035911337934853</v>
      </c>
      <c r="R55" s="1">
        <v>-1</v>
      </c>
      <c r="S55" s="1">
        <v>0.87</v>
      </c>
      <c r="T55" s="1">
        <v>0.92</v>
      </c>
      <c r="U55" s="1">
        <v>9.6677665710449219</v>
      </c>
      <c r="V55">
        <f t="shared" si="174"/>
        <v>0.87483388328552247</v>
      </c>
      <c r="W55">
        <f t="shared" si="175"/>
        <v>2.8958830167446849E-2</v>
      </c>
      <c r="X55">
        <f t="shared" si="176"/>
        <v>0.58035911337934853</v>
      </c>
      <c r="Y55" t="e">
        <f t="shared" si="177"/>
        <v>#DIV/0!</v>
      </c>
      <c r="Z55">
        <f t="shared" si="178"/>
        <v>-1</v>
      </c>
      <c r="AA55" s="1">
        <v>299.75323486328125</v>
      </c>
      <c r="AB55" s="1">
        <v>0.5</v>
      </c>
      <c r="AC55">
        <f t="shared" si="179"/>
        <v>76.095029000424006</v>
      </c>
      <c r="AD55">
        <f t="shared" si="180"/>
        <v>0.5220704431065214</v>
      </c>
      <c r="AE55">
        <f t="shared" si="181"/>
        <v>0.75438806022855442</v>
      </c>
      <c r="AF55">
        <f t="shared" si="182"/>
        <v>15.131015777587891</v>
      </c>
      <c r="AG55" s="1">
        <v>1.4930000305175781</v>
      </c>
      <c r="AH55">
        <f t="shared" si="183"/>
        <v>5.3319158355097898</v>
      </c>
      <c r="AI55" s="1">
        <v>1</v>
      </c>
      <c r="AJ55">
        <f t="shared" si="184"/>
        <v>10.66383167101958</v>
      </c>
      <c r="AK55" s="1">
        <v>12.561304092407227</v>
      </c>
      <c r="AL55" s="1">
        <v>15.131015777587891</v>
      </c>
      <c r="AM55" s="1">
        <v>11.009181022644043</v>
      </c>
      <c r="AN55" s="1">
        <v>406.74899291992187</v>
      </c>
      <c r="AO55" s="1">
        <v>399.96542358398437</v>
      </c>
      <c r="AP55" s="1">
        <v>9.1080169677734375</v>
      </c>
      <c r="AQ55" s="1">
        <v>9.623600959777832</v>
      </c>
      <c r="AR55" s="1">
        <v>62.950759887695313</v>
      </c>
      <c r="AS55" s="1">
        <v>66.514259338378906</v>
      </c>
      <c r="AT55" s="1">
        <v>149.72343444824219</v>
      </c>
      <c r="AU55" s="1">
        <v>299.75323486328125</v>
      </c>
      <c r="AV55" s="1">
        <v>6.5923700332641602</v>
      </c>
      <c r="AW55" s="1">
        <v>100.94699096679687</v>
      </c>
      <c r="AX55" s="1">
        <v>2.2480728626251221</v>
      </c>
      <c r="AY55" s="1">
        <v>0.30523252487182617</v>
      </c>
      <c r="AZ55" s="1">
        <v>2.835455909371376E-2</v>
      </c>
      <c r="BA55" s="1">
        <v>6.0251110699027777E-4</v>
      </c>
      <c r="BB55" s="1">
        <v>5.7814974337816238E-2</v>
      </c>
      <c r="BC55" s="1">
        <v>3.599406685680151E-3</v>
      </c>
      <c r="BD55" s="1">
        <v>0.5</v>
      </c>
      <c r="BE55" s="1">
        <v>-1.355140209197998</v>
      </c>
      <c r="BF55" s="1">
        <v>7.355140209197998</v>
      </c>
      <c r="BG55" s="1">
        <v>1</v>
      </c>
      <c r="BH55" s="1">
        <v>0</v>
      </c>
      <c r="BI55" s="1">
        <v>0.15999999642372131</v>
      </c>
      <c r="BJ55" s="1">
        <v>111115</v>
      </c>
      <c r="BK55">
        <f t="shared" si="185"/>
        <v>1.0028361111040136</v>
      </c>
      <c r="BL55">
        <f t="shared" si="186"/>
        <v>5.2207044310652144E-4</v>
      </c>
      <c r="BM55">
        <f t="shared" si="187"/>
        <v>288.28101577758787</v>
      </c>
      <c r="BN55">
        <f t="shared" si="188"/>
        <v>285.7113040924072</v>
      </c>
      <c r="BO55">
        <f t="shared" si="189"/>
        <v>47.960516506123895</v>
      </c>
      <c r="BP55">
        <f t="shared" si="190"/>
        <v>-4.1630918976600928E-3</v>
      </c>
      <c r="BQ55">
        <f t="shared" si="191"/>
        <v>1.725861619383305</v>
      </c>
      <c r="BR55">
        <f t="shared" si="192"/>
        <v>17.096711876741022</v>
      </c>
      <c r="BS55">
        <f t="shared" si="193"/>
        <v>7.47311091696319</v>
      </c>
      <c r="BT55">
        <f t="shared" si="194"/>
        <v>13.846159934997559</v>
      </c>
      <c r="BU55">
        <f t="shared" si="195"/>
        <v>1.5883414267437821</v>
      </c>
      <c r="BV55">
        <f t="shared" si="196"/>
        <v>6.8926516152203049E-2</v>
      </c>
      <c r="BW55">
        <f t="shared" si="197"/>
        <v>0.97147355915475053</v>
      </c>
      <c r="BX55">
        <f t="shared" si="198"/>
        <v>0.61686786758903156</v>
      </c>
      <c r="BY55">
        <f t="shared" si="199"/>
        <v>4.311913628571272E-2</v>
      </c>
      <c r="BZ55">
        <f t="shared" si="200"/>
        <v>24.544962243881702</v>
      </c>
      <c r="CA55">
        <f t="shared" si="201"/>
        <v>0.60792015403997635</v>
      </c>
      <c r="CB55">
        <f t="shared" si="202"/>
        <v>55.983654913367587</v>
      </c>
      <c r="CC55">
        <f t="shared" si="203"/>
        <v>399.13064882391865</v>
      </c>
      <c r="CD55">
        <f t="shared" si="204"/>
        <v>9.249004528502516E-3</v>
      </c>
      <c r="CE55">
        <f t="shared" si="205"/>
        <v>0</v>
      </c>
      <c r="CF55">
        <f t="shared" si="206"/>
        <v>262.23428648284158</v>
      </c>
      <c r="CG55">
        <f t="shared" si="207"/>
        <v>579.93475341796875</v>
      </c>
      <c r="CH55">
        <f t="shared" si="208"/>
        <v>0.58035911337934853</v>
      </c>
      <c r="CI55" t="e">
        <f t="shared" si="209"/>
        <v>#DIV/0!</v>
      </c>
    </row>
    <row r="56" spans="1:87" x14ac:dyDescent="0.25">
      <c r="A56" s="1">
        <v>5</v>
      </c>
      <c r="B56" s="1" t="s">
        <v>283</v>
      </c>
      <c r="C56" s="1">
        <v>1789.9999698139727</v>
      </c>
      <c r="D56" s="1">
        <v>0</v>
      </c>
      <c r="E56">
        <f t="shared" si="168"/>
        <v>6.7683434855824789</v>
      </c>
      <c r="F56">
        <f t="shared" si="169"/>
        <v>6.0794613230052565E-2</v>
      </c>
      <c r="G56">
        <f t="shared" si="170"/>
        <v>217.3587589628483</v>
      </c>
      <c r="H56" s="1">
        <v>99</v>
      </c>
      <c r="I56" s="1">
        <v>0</v>
      </c>
      <c r="J56" s="1">
        <v>0</v>
      </c>
      <c r="K56" s="1">
        <v>0</v>
      </c>
      <c r="L56" s="1">
        <v>0</v>
      </c>
      <c r="M56" s="1">
        <v>771.49267578125</v>
      </c>
      <c r="N56" s="1">
        <v>276.10198974609375</v>
      </c>
      <c r="O56" t="e">
        <f t="shared" si="171"/>
        <v>#DIV/0!</v>
      </c>
      <c r="P56">
        <f t="shared" si="172"/>
        <v>1</v>
      </c>
      <c r="Q56">
        <f t="shared" si="173"/>
        <v>0.642119752508992</v>
      </c>
      <c r="R56" s="1">
        <v>-1</v>
      </c>
      <c r="S56" s="1">
        <v>0.87</v>
      </c>
      <c r="T56" s="1">
        <v>0.92</v>
      </c>
      <c r="U56" s="1">
        <v>9.5020523071289062</v>
      </c>
      <c r="V56">
        <f t="shared" si="174"/>
        <v>0.87475102615356448</v>
      </c>
      <c r="W56">
        <f t="shared" si="175"/>
        <v>4.4403148423142969E-2</v>
      </c>
      <c r="X56">
        <f t="shared" si="176"/>
        <v>0.642119752508992</v>
      </c>
      <c r="Y56" t="e">
        <f t="shared" si="177"/>
        <v>#DIV/0!</v>
      </c>
      <c r="Z56">
        <f t="shared" si="178"/>
        <v>-1</v>
      </c>
      <c r="AA56" s="1">
        <v>200.00009155273437</v>
      </c>
      <c r="AB56" s="1">
        <v>0.5</v>
      </c>
      <c r="AC56">
        <f t="shared" si="179"/>
        <v>56.169516954423912</v>
      </c>
      <c r="AD56">
        <f t="shared" si="180"/>
        <v>0.44477237242002909</v>
      </c>
      <c r="AE56">
        <f t="shared" si="181"/>
        <v>0.73277383631541304</v>
      </c>
      <c r="AF56">
        <f t="shared" si="182"/>
        <v>15.01152515411377</v>
      </c>
      <c r="AG56" s="1">
        <v>1.4930000305175781</v>
      </c>
      <c r="AH56">
        <f t="shared" si="183"/>
        <v>5.3319158355097898</v>
      </c>
      <c r="AI56" s="1">
        <v>1</v>
      </c>
      <c r="AJ56">
        <f t="shared" si="184"/>
        <v>10.66383167101958</v>
      </c>
      <c r="AK56" s="1">
        <v>12.54095458984375</v>
      </c>
      <c r="AL56" s="1">
        <v>15.01152515411377</v>
      </c>
      <c r="AM56" s="1">
        <v>10.995868682861328</v>
      </c>
      <c r="AN56" s="1">
        <v>406.9166259765625</v>
      </c>
      <c r="AO56" s="1">
        <v>399.98922729492187</v>
      </c>
      <c r="AP56" s="1">
        <v>9.2682886123657227</v>
      </c>
      <c r="AQ56" s="1">
        <v>9.7075481414794922</v>
      </c>
      <c r="AR56" s="1">
        <v>64.139106750488281</v>
      </c>
      <c r="AS56" s="1">
        <v>67.178901672363281</v>
      </c>
      <c r="AT56" s="1">
        <v>149.70623779296875</v>
      </c>
      <c r="AU56" s="1">
        <v>200.00009155273437</v>
      </c>
      <c r="AV56" s="1">
        <v>6.6399435997009277</v>
      </c>
      <c r="AW56" s="1">
        <v>100.93915557861328</v>
      </c>
      <c r="AX56" s="1">
        <v>2.2480728626251221</v>
      </c>
      <c r="AY56" s="1">
        <v>0.30523252487182617</v>
      </c>
      <c r="AZ56" s="1">
        <v>2.835455909371376E-2</v>
      </c>
      <c r="BA56" s="1">
        <v>6.0251110699027777E-4</v>
      </c>
      <c r="BB56" s="1">
        <v>5.7814974337816238E-2</v>
      </c>
      <c r="BC56" s="1">
        <v>3.599406685680151E-3</v>
      </c>
      <c r="BD56" s="1">
        <v>0.5</v>
      </c>
      <c r="BE56" s="1">
        <v>-1.355140209197998</v>
      </c>
      <c r="BF56" s="1">
        <v>7.355140209197998</v>
      </c>
      <c r="BG56" s="1">
        <v>1</v>
      </c>
      <c r="BH56" s="1">
        <v>0</v>
      </c>
      <c r="BI56" s="1">
        <v>0.15999999642372131</v>
      </c>
      <c r="BJ56" s="1">
        <v>111115</v>
      </c>
      <c r="BK56">
        <f t="shared" si="185"/>
        <v>1.00272092922242</v>
      </c>
      <c r="BL56">
        <f t="shared" si="186"/>
        <v>4.4477237242002908E-4</v>
      </c>
      <c r="BM56">
        <f t="shared" si="187"/>
        <v>288.16152515411375</v>
      </c>
      <c r="BN56">
        <f t="shared" si="188"/>
        <v>285.69095458984373</v>
      </c>
      <c r="BO56">
        <f t="shared" si="189"/>
        <v>32.000013933181435</v>
      </c>
      <c r="BP56">
        <f t="shared" si="190"/>
        <v>-4.2862567716259355E-2</v>
      </c>
      <c r="BQ56">
        <f t="shared" si="191"/>
        <v>1.7126455484550898</v>
      </c>
      <c r="BR56">
        <f t="shared" si="192"/>
        <v>16.967107943767665</v>
      </c>
      <c r="BS56">
        <f t="shared" si="193"/>
        <v>7.2595598022881731</v>
      </c>
      <c r="BT56">
        <f t="shared" si="194"/>
        <v>13.77623987197876</v>
      </c>
      <c r="BU56">
        <f t="shared" si="195"/>
        <v>1.5811423713926154</v>
      </c>
      <c r="BV56">
        <f t="shared" si="196"/>
        <v>6.0449987235651287E-2</v>
      </c>
      <c r="BW56">
        <f t="shared" si="197"/>
        <v>0.97987171213967672</v>
      </c>
      <c r="BX56">
        <f t="shared" si="198"/>
        <v>0.60127065925293866</v>
      </c>
      <c r="BY56">
        <f t="shared" si="199"/>
        <v>3.7812054105092668E-2</v>
      </c>
      <c r="BZ56">
        <f t="shared" si="200"/>
        <v>21.940009587325246</v>
      </c>
      <c r="CA56">
        <f t="shared" si="201"/>
        <v>0.54341153243755824</v>
      </c>
      <c r="CB56">
        <f t="shared" si="202"/>
        <v>56.881377310627016</v>
      </c>
      <c r="CC56">
        <f t="shared" si="203"/>
        <v>399.13238108922189</v>
      </c>
      <c r="CD56">
        <f t="shared" si="204"/>
        <v>9.645739554398125E-3</v>
      </c>
      <c r="CE56">
        <f t="shared" si="205"/>
        <v>0</v>
      </c>
      <c r="CF56">
        <f t="shared" si="206"/>
        <v>174.95028531656124</v>
      </c>
      <c r="CG56">
        <f t="shared" si="207"/>
        <v>771.49267578125</v>
      </c>
      <c r="CH56">
        <f t="shared" si="208"/>
        <v>0.642119752508992</v>
      </c>
      <c r="CI56" t="e">
        <f t="shared" si="209"/>
        <v>#DIV/0!</v>
      </c>
    </row>
    <row r="57" spans="1:87" x14ac:dyDescent="0.25">
      <c r="A57" s="1">
        <v>6</v>
      </c>
      <c r="B57" s="1" t="s">
        <v>284</v>
      </c>
      <c r="C57" s="1">
        <v>1993.9999557547271</v>
      </c>
      <c r="D57" s="1">
        <v>0</v>
      </c>
      <c r="E57">
        <f t="shared" si="168"/>
        <v>5.5243734287255153</v>
      </c>
      <c r="F57">
        <f t="shared" si="169"/>
        <v>5.2794143394799146E-2</v>
      </c>
      <c r="G57">
        <f t="shared" si="170"/>
        <v>228.05993625153337</v>
      </c>
      <c r="H57" s="1">
        <v>100</v>
      </c>
      <c r="I57" s="1">
        <v>0</v>
      </c>
      <c r="J57" s="1">
        <v>0</v>
      </c>
      <c r="K57" s="1">
        <v>0</v>
      </c>
      <c r="L57" s="1">
        <v>0</v>
      </c>
      <c r="M57" s="1">
        <v>832.0279541015625</v>
      </c>
      <c r="N57" s="1">
        <v>275.78915405273437</v>
      </c>
      <c r="O57" t="e">
        <f t="shared" si="171"/>
        <v>#DIV/0!</v>
      </c>
      <c r="P57">
        <f t="shared" si="172"/>
        <v>1</v>
      </c>
      <c r="Q57">
        <f t="shared" si="173"/>
        <v>0.66853378820602727</v>
      </c>
      <c r="R57" s="1">
        <v>-1</v>
      </c>
      <c r="S57" s="1">
        <v>0.87</v>
      </c>
      <c r="T57" s="1">
        <v>0.92</v>
      </c>
      <c r="U57" s="1">
        <v>10.709210395812988</v>
      </c>
      <c r="V57">
        <f t="shared" si="174"/>
        <v>0.87535460519790664</v>
      </c>
      <c r="W57">
        <f t="shared" si="175"/>
        <v>4.233096351121423E-2</v>
      </c>
      <c r="X57">
        <f t="shared" si="176"/>
        <v>0.66853378820602727</v>
      </c>
      <c r="Y57" t="e">
        <f t="shared" si="177"/>
        <v>#DIV/0!</v>
      </c>
      <c r="Z57">
        <f t="shared" si="178"/>
        <v>-1</v>
      </c>
      <c r="AA57" s="1">
        <v>176.07456970214844</v>
      </c>
      <c r="AB57" s="1">
        <v>0.5</v>
      </c>
      <c r="AC57">
        <f t="shared" si="179"/>
        <v>51.519782709660106</v>
      </c>
      <c r="AD57">
        <f t="shared" si="180"/>
        <v>0.38227081233536503</v>
      </c>
      <c r="AE57">
        <f t="shared" si="181"/>
        <v>0.72469405989664237</v>
      </c>
      <c r="AF57">
        <f t="shared" si="182"/>
        <v>15.031167030334473</v>
      </c>
      <c r="AG57" s="1">
        <v>1.4930000305175781</v>
      </c>
      <c r="AH57">
        <f t="shared" si="183"/>
        <v>5.3319158355097898</v>
      </c>
      <c r="AI57" s="1">
        <v>1</v>
      </c>
      <c r="AJ57">
        <f t="shared" si="184"/>
        <v>10.66383167101958</v>
      </c>
      <c r="AK57" s="1">
        <v>12.573491096496582</v>
      </c>
      <c r="AL57" s="1">
        <v>15.031167030334473</v>
      </c>
      <c r="AM57" s="1">
        <v>11.029372215270996</v>
      </c>
      <c r="AN57" s="1">
        <v>405.5101318359375</v>
      </c>
      <c r="AO57" s="1">
        <v>399.84613037109375</v>
      </c>
      <c r="AP57" s="1">
        <v>9.4308986663818359</v>
      </c>
      <c r="AQ57" s="1">
        <v>9.8085384368896484</v>
      </c>
      <c r="AR57" s="1">
        <v>65.128662109375</v>
      </c>
      <c r="AS57" s="1">
        <v>67.736595153808594</v>
      </c>
      <c r="AT57" s="1">
        <v>149.64851379394531</v>
      </c>
      <c r="AU57" s="1">
        <v>176.07456970214844</v>
      </c>
      <c r="AV57" s="1">
        <v>6.523613452911377</v>
      </c>
      <c r="AW57" s="1">
        <v>100.94448089599609</v>
      </c>
      <c r="AX57" s="1">
        <v>2.2480728626251221</v>
      </c>
      <c r="AY57" s="1">
        <v>0.30523252487182617</v>
      </c>
      <c r="AZ57" s="1">
        <v>2.835455909371376E-2</v>
      </c>
      <c r="BA57" s="1">
        <v>6.0251110699027777E-4</v>
      </c>
      <c r="BB57" s="1">
        <v>5.7814974337816238E-2</v>
      </c>
      <c r="BC57" s="1">
        <v>3.599406685680151E-3</v>
      </c>
      <c r="BD57" s="1">
        <v>0.5</v>
      </c>
      <c r="BE57" s="1">
        <v>-1.355140209197998</v>
      </c>
      <c r="BF57" s="1">
        <v>7.355140209197998</v>
      </c>
      <c r="BG57" s="1">
        <v>1</v>
      </c>
      <c r="BH57" s="1">
        <v>0</v>
      </c>
      <c r="BI57" s="1">
        <v>0.15999999642372131</v>
      </c>
      <c r="BJ57" s="1">
        <v>111115</v>
      </c>
      <c r="BK57">
        <f t="shared" si="185"/>
        <v>1.0023342982924566</v>
      </c>
      <c r="BL57">
        <f t="shared" si="186"/>
        <v>3.8227081233536503E-4</v>
      </c>
      <c r="BM57">
        <f t="shared" si="187"/>
        <v>288.18116703033445</v>
      </c>
      <c r="BN57">
        <f t="shared" si="188"/>
        <v>285.72349109649656</v>
      </c>
      <c r="BO57">
        <f t="shared" si="189"/>
        <v>28.171930522652019</v>
      </c>
      <c r="BP57">
        <f t="shared" si="190"/>
        <v>-4.6043696363810865E-2</v>
      </c>
      <c r="BQ57">
        <f t="shared" si="191"/>
        <v>1.7148118807568928</v>
      </c>
      <c r="BR57">
        <f t="shared" si="192"/>
        <v>16.987673476905361</v>
      </c>
      <c r="BS57">
        <f t="shared" si="193"/>
        <v>7.1791350400157121</v>
      </c>
      <c r="BT57">
        <f t="shared" si="194"/>
        <v>13.802329063415527</v>
      </c>
      <c r="BU57">
        <f t="shared" si="195"/>
        <v>1.5838251843776849</v>
      </c>
      <c r="BV57">
        <f t="shared" si="196"/>
        <v>5.2534059519047729E-2</v>
      </c>
      <c r="BW57">
        <f t="shared" si="197"/>
        <v>0.99011782086025046</v>
      </c>
      <c r="BX57">
        <f t="shared" si="198"/>
        <v>0.59370736351743447</v>
      </c>
      <c r="BY57">
        <f t="shared" si="199"/>
        <v>3.2857055473713925E-2</v>
      </c>
      <c r="BZ57">
        <f t="shared" si="200"/>
        <v>23.021391878084998</v>
      </c>
      <c r="CA57">
        <f t="shared" si="201"/>
        <v>0.57036924688972956</v>
      </c>
      <c r="CB57">
        <f t="shared" si="202"/>
        <v>57.376266575935475</v>
      </c>
      <c r="CC57">
        <f t="shared" si="203"/>
        <v>399.14676598136435</v>
      </c>
      <c r="CD57">
        <f t="shared" si="204"/>
        <v>7.9411371837688569E-3</v>
      </c>
      <c r="CE57">
        <f t="shared" si="205"/>
        <v>0</v>
      </c>
      <c r="CF57">
        <f t="shared" si="206"/>
        <v>154.12768544701544</v>
      </c>
      <c r="CG57">
        <f t="shared" si="207"/>
        <v>832.0279541015625</v>
      </c>
      <c r="CH57">
        <f t="shared" si="208"/>
        <v>0.66853378820602727</v>
      </c>
      <c r="CI57" t="e">
        <f t="shared" si="209"/>
        <v>#DIV/0!</v>
      </c>
    </row>
    <row r="58" spans="1:87" x14ac:dyDescent="0.25">
      <c r="A58" s="1">
        <v>7</v>
      </c>
      <c r="B58" s="1" t="s">
        <v>285</v>
      </c>
      <c r="C58" s="1">
        <v>2198.4999416610226</v>
      </c>
      <c r="D58" s="1">
        <v>0</v>
      </c>
      <c r="E58">
        <f t="shared" si="168"/>
        <v>5.9115783428636837</v>
      </c>
      <c r="F58">
        <f t="shared" si="169"/>
        <v>4.5917861782463217E-2</v>
      </c>
      <c r="G58">
        <f t="shared" si="170"/>
        <v>189.98446040564681</v>
      </c>
      <c r="H58" s="1">
        <v>101</v>
      </c>
      <c r="I58" s="1">
        <v>0</v>
      </c>
      <c r="J58" s="1">
        <v>0</v>
      </c>
      <c r="K58" s="1">
        <v>0</v>
      </c>
      <c r="L58" s="1">
        <v>0</v>
      </c>
      <c r="M58" s="1">
        <v>895.81884765625</v>
      </c>
      <c r="N58" s="1">
        <v>279.9222412109375</v>
      </c>
      <c r="O58" t="e">
        <f t="shared" si="171"/>
        <v>#DIV/0!</v>
      </c>
      <c r="P58">
        <f t="shared" si="172"/>
        <v>1</v>
      </c>
      <c r="Q58">
        <f t="shared" si="173"/>
        <v>0.68752360821241476</v>
      </c>
      <c r="R58" s="1">
        <v>-1</v>
      </c>
      <c r="S58" s="1">
        <v>0.87</v>
      </c>
      <c r="T58" s="1">
        <v>0.92</v>
      </c>
      <c r="U58" s="1">
        <v>10.097982406616211</v>
      </c>
      <c r="V58">
        <f t="shared" si="174"/>
        <v>0.87504899120330815</v>
      </c>
      <c r="W58">
        <f t="shared" si="175"/>
        <v>5.1985888774366787E-2</v>
      </c>
      <c r="X58">
        <f t="shared" si="176"/>
        <v>0.68752360821241476</v>
      </c>
      <c r="Y58" t="e">
        <f t="shared" si="177"/>
        <v>#DIV/0!</v>
      </c>
      <c r="Z58">
        <f t="shared" si="178"/>
        <v>-1</v>
      </c>
      <c r="AA58" s="1">
        <v>151.935546875</v>
      </c>
      <c r="AB58" s="1">
        <v>0.5</v>
      </c>
      <c r="AC58">
        <f t="shared" si="179"/>
        <v>45.703491781710937</v>
      </c>
      <c r="AD58">
        <f t="shared" si="180"/>
        <v>0.32580906904282453</v>
      </c>
      <c r="AE58">
        <f t="shared" si="181"/>
        <v>0.70963634065788272</v>
      </c>
      <c r="AF58">
        <f t="shared" si="182"/>
        <v>14.986854553222656</v>
      </c>
      <c r="AG58" s="1">
        <v>1.4930000305175781</v>
      </c>
      <c r="AH58">
        <f t="shared" si="183"/>
        <v>5.3319158355097898</v>
      </c>
      <c r="AI58" s="1">
        <v>1</v>
      </c>
      <c r="AJ58">
        <f t="shared" si="184"/>
        <v>10.66383167101958</v>
      </c>
      <c r="AK58" s="1">
        <v>12.555459976196289</v>
      </c>
      <c r="AL58" s="1">
        <v>14.986854553222656</v>
      </c>
      <c r="AM58" s="1">
        <v>11.001725196838379</v>
      </c>
      <c r="AN58" s="1">
        <v>406.11721801757812</v>
      </c>
      <c r="AO58" s="1">
        <v>400.09371948242187</v>
      </c>
      <c r="AP58" s="1">
        <v>9.5882844924926758</v>
      </c>
      <c r="AQ58" s="1">
        <v>9.9098806381225586</v>
      </c>
      <c r="AR58" s="1">
        <v>66.290214538574219</v>
      </c>
      <c r="AS58" s="1">
        <v>68.513626098632812</v>
      </c>
      <c r="AT58" s="1">
        <v>149.75691223144531</v>
      </c>
      <c r="AU58" s="1">
        <v>151.935546875</v>
      </c>
      <c r="AV58" s="1">
        <v>6.5408735275268555</v>
      </c>
      <c r="AW58" s="1">
        <v>100.93881988525391</v>
      </c>
      <c r="AX58" s="1">
        <v>2.2480728626251221</v>
      </c>
      <c r="AY58" s="1">
        <v>0.30523252487182617</v>
      </c>
      <c r="AZ58" s="1">
        <v>2.835455909371376E-2</v>
      </c>
      <c r="BA58" s="1">
        <v>6.0251110699027777E-4</v>
      </c>
      <c r="BB58" s="1">
        <v>5.7814974337816238E-2</v>
      </c>
      <c r="BC58" s="1">
        <v>3.599406685680151E-3</v>
      </c>
      <c r="BD58" s="1">
        <v>0.75</v>
      </c>
      <c r="BE58" s="1">
        <v>-1.355140209197998</v>
      </c>
      <c r="BF58" s="1">
        <v>7.355140209197998</v>
      </c>
      <c r="BG58" s="1">
        <v>1</v>
      </c>
      <c r="BH58" s="1">
        <v>0</v>
      </c>
      <c r="BI58" s="1">
        <v>0.15999999642372131</v>
      </c>
      <c r="BJ58" s="1">
        <v>111125</v>
      </c>
      <c r="BK58">
        <f t="shared" si="185"/>
        <v>1.0030603427350842</v>
      </c>
      <c r="BL58">
        <f t="shared" si="186"/>
        <v>3.258090690428245E-4</v>
      </c>
      <c r="BM58">
        <f t="shared" si="187"/>
        <v>288.13685455322263</v>
      </c>
      <c r="BN58">
        <f t="shared" si="188"/>
        <v>285.70545997619627</v>
      </c>
      <c r="BO58">
        <f t="shared" si="189"/>
        <v>24.309686956636142</v>
      </c>
      <c r="BP58">
        <f t="shared" si="190"/>
        <v>-4.9727253306846311E-2</v>
      </c>
      <c r="BQ58">
        <f t="shared" si="191"/>
        <v>1.7099279974737007</v>
      </c>
      <c r="BR58">
        <f t="shared" si="192"/>
        <v>16.940241617818867</v>
      </c>
      <c r="BS58">
        <f t="shared" si="193"/>
        <v>7.030360979696308</v>
      </c>
      <c r="BT58">
        <f t="shared" si="194"/>
        <v>13.771157264709473</v>
      </c>
      <c r="BU58">
        <f t="shared" si="195"/>
        <v>1.5806201801764193</v>
      </c>
      <c r="BV58">
        <f t="shared" si="196"/>
        <v>4.5720989761860342E-2</v>
      </c>
      <c r="BW58">
        <f t="shared" si="197"/>
        <v>1.000291656815818</v>
      </c>
      <c r="BX58">
        <f t="shared" si="198"/>
        <v>0.58032852336060126</v>
      </c>
      <c r="BY58">
        <f t="shared" si="199"/>
        <v>2.8593241347323693E-2</v>
      </c>
      <c r="BZ58">
        <f t="shared" si="200"/>
        <v>19.176807229882737</v>
      </c>
      <c r="CA58">
        <f t="shared" si="201"/>
        <v>0.47484989429831276</v>
      </c>
      <c r="CB58">
        <f t="shared" si="202"/>
        <v>58.114672828368633</v>
      </c>
      <c r="CC58">
        <f t="shared" si="203"/>
        <v>399.34533644252878</v>
      </c>
      <c r="CD58">
        <f t="shared" si="204"/>
        <v>8.6028159075355586E-3</v>
      </c>
      <c r="CE58">
        <f t="shared" si="205"/>
        <v>0</v>
      </c>
      <c r="CF58">
        <f t="shared" si="206"/>
        <v>132.95104702089168</v>
      </c>
      <c r="CG58">
        <f t="shared" si="207"/>
        <v>895.81884765625</v>
      </c>
      <c r="CH58">
        <f t="shared" si="208"/>
        <v>0.68752360821241476</v>
      </c>
      <c r="CI58" t="e">
        <f t="shared" si="209"/>
        <v>#DIV/0!</v>
      </c>
    </row>
    <row r="59" spans="1:87" x14ac:dyDescent="0.25">
      <c r="A59" s="1">
        <v>8</v>
      </c>
      <c r="B59" s="1" t="s">
        <v>286</v>
      </c>
      <c r="C59" s="1">
        <v>2358.9999305997044</v>
      </c>
      <c r="D59" s="1">
        <v>0</v>
      </c>
      <c r="E59">
        <f t="shared" si="168"/>
        <v>3.8023834654113617</v>
      </c>
      <c r="F59">
        <f t="shared" si="169"/>
        <v>4.0879396074884389E-2</v>
      </c>
      <c r="G59">
        <f t="shared" si="170"/>
        <v>247.3171102462172</v>
      </c>
      <c r="H59" s="1">
        <v>102</v>
      </c>
      <c r="I59" s="1">
        <v>0</v>
      </c>
      <c r="J59" s="1">
        <v>0</v>
      </c>
      <c r="K59" s="1">
        <v>0</v>
      </c>
      <c r="L59" s="1">
        <v>0</v>
      </c>
      <c r="M59" s="1">
        <v>989.567138671875</v>
      </c>
      <c r="N59" s="1">
        <v>290.40835571289063</v>
      </c>
      <c r="O59" t="e">
        <f t="shared" si="171"/>
        <v>#DIV/0!</v>
      </c>
      <c r="P59">
        <f t="shared" si="172"/>
        <v>1</v>
      </c>
      <c r="Q59">
        <f t="shared" si="173"/>
        <v>0.70652991155036171</v>
      </c>
      <c r="R59" s="1">
        <v>-1</v>
      </c>
      <c r="S59" s="1">
        <v>0.87</v>
      </c>
      <c r="T59" s="1">
        <v>0.92</v>
      </c>
      <c r="U59" s="1">
        <v>9.5533571243286133</v>
      </c>
      <c r="V59">
        <f t="shared" si="174"/>
        <v>0.87477667856216446</v>
      </c>
      <c r="W59">
        <f t="shared" si="175"/>
        <v>4.4417298189363505E-2</v>
      </c>
      <c r="X59">
        <f t="shared" si="176"/>
        <v>0.70652991155036171</v>
      </c>
      <c r="Y59" t="e">
        <f t="shared" si="177"/>
        <v>#DIV/0!</v>
      </c>
      <c r="Z59">
        <f t="shared" si="178"/>
        <v>-1</v>
      </c>
      <c r="AA59" s="1">
        <v>123.59687805175781</v>
      </c>
      <c r="AB59" s="1">
        <v>0.5</v>
      </c>
      <c r="AC59">
        <f t="shared" si="179"/>
        <v>38.1948891913976</v>
      </c>
      <c r="AD59">
        <f t="shared" si="180"/>
        <v>0.28855198402297272</v>
      </c>
      <c r="AE59">
        <f t="shared" si="181"/>
        <v>0.70551539509326</v>
      </c>
      <c r="AF59">
        <f t="shared" si="182"/>
        <v>15.037539482116699</v>
      </c>
      <c r="AG59" s="1">
        <v>1.4930000305175781</v>
      </c>
      <c r="AH59">
        <f t="shared" si="183"/>
        <v>5.3319158355097898</v>
      </c>
      <c r="AI59" s="1">
        <v>1</v>
      </c>
      <c r="AJ59">
        <f t="shared" si="184"/>
        <v>10.66383167101958</v>
      </c>
      <c r="AK59" s="1">
        <v>12.580733299255371</v>
      </c>
      <c r="AL59" s="1">
        <v>15.037539482116699</v>
      </c>
      <c r="AM59" s="1">
        <v>11.031442642211914</v>
      </c>
      <c r="AN59" s="1">
        <v>404.2061767578125</v>
      </c>
      <c r="AO59" s="1">
        <v>400.298095703125</v>
      </c>
      <c r="AP59" s="1">
        <v>9.7217855453491211</v>
      </c>
      <c r="AQ59" s="1">
        <v>10.006734848022461</v>
      </c>
      <c r="AR59" s="1">
        <v>67.097312927246094</v>
      </c>
      <c r="AS59" s="1">
        <v>69.063957214355469</v>
      </c>
      <c r="AT59" s="1">
        <v>149.67474365234375</v>
      </c>
      <c r="AU59" s="1">
        <v>123.59687805175781</v>
      </c>
      <c r="AV59" s="1">
        <v>6.5692882537841797</v>
      </c>
      <c r="AW59" s="1">
        <v>100.9320068359375</v>
      </c>
      <c r="AX59" s="1">
        <v>2.2480728626251221</v>
      </c>
      <c r="AY59" s="1">
        <v>0.30523252487182617</v>
      </c>
      <c r="AZ59" s="1">
        <v>2.835455909371376E-2</v>
      </c>
      <c r="BA59" s="1">
        <v>6.0251110699027777E-4</v>
      </c>
      <c r="BB59" s="1">
        <v>5.7814974337816238E-2</v>
      </c>
      <c r="BC59" s="1">
        <v>3.599406685680151E-3</v>
      </c>
      <c r="BD59" s="1">
        <v>1</v>
      </c>
      <c r="BE59" s="1">
        <v>-1.355140209197998</v>
      </c>
      <c r="BF59" s="1">
        <v>7.355140209197998</v>
      </c>
      <c r="BG59" s="1">
        <v>1</v>
      </c>
      <c r="BH59" s="1">
        <v>0</v>
      </c>
      <c r="BI59" s="1">
        <v>0.15999999642372131</v>
      </c>
      <c r="BJ59" s="1">
        <v>111115</v>
      </c>
      <c r="BK59">
        <f t="shared" si="185"/>
        <v>1.0025099838776026</v>
      </c>
      <c r="BL59">
        <f t="shared" si="186"/>
        <v>2.8855198402297271E-4</v>
      </c>
      <c r="BM59">
        <f t="shared" si="187"/>
        <v>288.18753948211668</v>
      </c>
      <c r="BN59">
        <f t="shared" si="188"/>
        <v>285.73073329925535</v>
      </c>
      <c r="BO59">
        <f t="shared" si="189"/>
        <v>19.775500046264369</v>
      </c>
      <c r="BP59">
        <f t="shared" si="190"/>
        <v>-6.0337780860908061E-2</v>
      </c>
      <c r="BQ59">
        <f t="shared" si="191"/>
        <v>1.7155152251792771</v>
      </c>
      <c r="BR59">
        <f t="shared" si="192"/>
        <v>16.996741459503575</v>
      </c>
      <c r="BS59">
        <f t="shared" si="193"/>
        <v>6.9900066114811139</v>
      </c>
      <c r="BT59">
        <f t="shared" si="194"/>
        <v>13.809136390686035</v>
      </c>
      <c r="BU59">
        <f t="shared" si="195"/>
        <v>1.5845258558891238</v>
      </c>
      <c r="BV59">
        <f t="shared" si="196"/>
        <v>4.0723284899816414E-2</v>
      </c>
      <c r="BW59">
        <f t="shared" si="197"/>
        <v>1.0099998300860171</v>
      </c>
      <c r="BX59">
        <f t="shared" si="198"/>
        <v>0.57452602580310663</v>
      </c>
      <c r="BY59">
        <f t="shared" si="199"/>
        <v>2.5466032788688059E-2</v>
      </c>
      <c r="BZ59">
        <f t="shared" si="200"/>
        <v>24.962212262015502</v>
      </c>
      <c r="CA59">
        <f t="shared" si="201"/>
        <v>0.61783234269901743</v>
      </c>
      <c r="CB59">
        <f t="shared" si="202"/>
        <v>58.470765564494073</v>
      </c>
      <c r="CC59">
        <f t="shared" si="203"/>
        <v>399.81672860763194</v>
      </c>
      <c r="CD59">
        <f t="shared" si="204"/>
        <v>5.5607546229153038E-3</v>
      </c>
      <c r="CE59">
        <f t="shared" si="205"/>
        <v>0</v>
      </c>
      <c r="CF59">
        <f t="shared" si="206"/>
        <v>108.11966646276959</v>
      </c>
      <c r="CG59">
        <f t="shared" si="207"/>
        <v>989.567138671875</v>
      </c>
      <c r="CH59">
        <f t="shared" si="208"/>
        <v>0.70652991155036171</v>
      </c>
      <c r="CI59" t="e">
        <f t="shared" si="209"/>
        <v>#DIV/0!</v>
      </c>
    </row>
    <row r="60" spans="1:87" x14ac:dyDescent="0.25">
      <c r="A60" s="1">
        <v>9</v>
      </c>
      <c r="B60" s="1" t="s">
        <v>287</v>
      </c>
      <c r="C60" s="1">
        <v>2562.9999165404588</v>
      </c>
      <c r="D60" s="1">
        <v>0</v>
      </c>
      <c r="E60">
        <f t="shared" si="168"/>
        <v>4.1743698071152782</v>
      </c>
      <c r="F60">
        <f t="shared" si="169"/>
        <v>3.3691514028023117E-2</v>
      </c>
      <c r="G60">
        <f t="shared" si="170"/>
        <v>198.9305095442796</v>
      </c>
      <c r="H60" s="1">
        <v>103</v>
      </c>
      <c r="I60" s="1">
        <v>0</v>
      </c>
      <c r="J60" s="1">
        <v>0</v>
      </c>
      <c r="K60" s="1">
        <v>0</v>
      </c>
      <c r="L60" s="1">
        <v>0</v>
      </c>
      <c r="M60" s="1">
        <v>1066.548583984375</v>
      </c>
      <c r="N60" s="1">
        <v>290.14767456054687</v>
      </c>
      <c r="O60" t="e">
        <f t="shared" si="171"/>
        <v>#DIV/0!</v>
      </c>
      <c r="P60">
        <f t="shared" si="172"/>
        <v>1</v>
      </c>
      <c r="Q60">
        <f t="shared" si="173"/>
        <v>0.72795643919321207</v>
      </c>
      <c r="R60" s="1">
        <v>-1</v>
      </c>
      <c r="S60" s="1">
        <v>0.87</v>
      </c>
      <c r="T60" s="1">
        <v>0.92</v>
      </c>
      <c r="U60" s="1">
        <v>8.4312143325805664</v>
      </c>
      <c r="V60">
        <f t="shared" si="174"/>
        <v>0.87421560716629032</v>
      </c>
      <c r="W60">
        <f t="shared" si="175"/>
        <v>6.0022853298346841E-2</v>
      </c>
      <c r="X60">
        <f t="shared" si="176"/>
        <v>0.72795643919321207</v>
      </c>
      <c r="Y60" t="e">
        <f t="shared" si="177"/>
        <v>#DIV/0!</v>
      </c>
      <c r="Z60">
        <f t="shared" si="178"/>
        <v>-1</v>
      </c>
      <c r="AA60" s="1">
        <v>98.610298156738281</v>
      </c>
      <c r="AB60" s="1">
        <v>0.5</v>
      </c>
      <c r="AC60">
        <f t="shared" si="179"/>
        <v>31.377347234176291</v>
      </c>
      <c r="AD60">
        <f t="shared" si="180"/>
        <v>0.23068839719705209</v>
      </c>
      <c r="AE60">
        <f t="shared" si="181"/>
        <v>0.68393383515477413</v>
      </c>
      <c r="AF60">
        <f t="shared" si="182"/>
        <v>15.019603729248047</v>
      </c>
      <c r="AG60" s="1">
        <v>1.4930000305175781</v>
      </c>
      <c r="AH60">
        <f t="shared" si="183"/>
        <v>5.3319158355097898</v>
      </c>
      <c r="AI60" s="1">
        <v>1</v>
      </c>
      <c r="AJ60">
        <f t="shared" si="184"/>
        <v>10.66383167101958</v>
      </c>
      <c r="AK60" s="1">
        <v>12.599117279052734</v>
      </c>
      <c r="AL60" s="1">
        <v>15.019603729248047</v>
      </c>
      <c r="AM60" s="1">
        <v>11.047513008117676</v>
      </c>
      <c r="AN60" s="1">
        <v>405.25521850585937</v>
      </c>
      <c r="AO60" s="1">
        <v>401.00149536132813</v>
      </c>
      <c r="AP60" s="1">
        <v>9.972111701965332</v>
      </c>
      <c r="AQ60" s="1">
        <v>10.199743270874023</v>
      </c>
      <c r="AR60" s="1">
        <v>68.75018310546875</v>
      </c>
      <c r="AS60" s="1">
        <v>70.319534301757813</v>
      </c>
      <c r="AT60" s="1">
        <v>149.76165771484375</v>
      </c>
      <c r="AU60" s="1">
        <v>98.610298156738281</v>
      </c>
      <c r="AV60" s="1">
        <v>6.537956714630127</v>
      </c>
      <c r="AW60" s="1">
        <v>100.94395446777344</v>
      </c>
      <c r="AX60" s="1">
        <v>2.2480728626251221</v>
      </c>
      <c r="AY60" s="1">
        <v>0.30523252487182617</v>
      </c>
      <c r="AZ60" s="1">
        <v>2.835455909371376E-2</v>
      </c>
      <c r="BA60" s="1">
        <v>6.0251110699027777E-4</v>
      </c>
      <c r="BB60" s="1">
        <v>5.7814974337816238E-2</v>
      </c>
      <c r="BC60" s="1">
        <v>3.599406685680151E-3</v>
      </c>
      <c r="BD60" s="1">
        <v>0.5</v>
      </c>
      <c r="BE60" s="1">
        <v>-1.355140209197998</v>
      </c>
      <c r="BF60" s="1">
        <v>7.355140209197998</v>
      </c>
      <c r="BG60" s="1">
        <v>1</v>
      </c>
      <c r="BH60" s="1">
        <v>0</v>
      </c>
      <c r="BI60" s="1">
        <v>0.15999999642372131</v>
      </c>
      <c r="BJ60" s="1">
        <v>111125</v>
      </c>
      <c r="BK60">
        <f t="shared" si="185"/>
        <v>1.0030921276198894</v>
      </c>
      <c r="BL60">
        <f t="shared" si="186"/>
        <v>2.3068839719705207E-4</v>
      </c>
      <c r="BM60">
        <f t="shared" si="187"/>
        <v>288.16960372924802</v>
      </c>
      <c r="BN60">
        <f t="shared" si="188"/>
        <v>285.74911727905271</v>
      </c>
      <c r="BO60">
        <f t="shared" si="189"/>
        <v>15.777647352420217</v>
      </c>
      <c r="BP60">
        <f t="shared" si="190"/>
        <v>-6.3952679640710483E-2</v>
      </c>
      <c r="BQ60">
        <f t="shared" si="191"/>
        <v>1.7135362554728601</v>
      </c>
      <c r="BR60">
        <f t="shared" si="192"/>
        <v>16.975125102909555</v>
      </c>
      <c r="BS60">
        <f t="shared" si="193"/>
        <v>6.7753818320355315</v>
      </c>
      <c r="BT60">
        <f t="shared" si="194"/>
        <v>13.809360504150391</v>
      </c>
      <c r="BU60">
        <f t="shared" si="195"/>
        <v>1.5845489283008964</v>
      </c>
      <c r="BV60">
        <f t="shared" si="196"/>
        <v>3.3585403660430078E-2</v>
      </c>
      <c r="BW60">
        <f t="shared" si="197"/>
        <v>1.029602420318086</v>
      </c>
      <c r="BX60">
        <f t="shared" si="198"/>
        <v>0.55494650798281042</v>
      </c>
      <c r="BY60">
        <f t="shared" si="199"/>
        <v>2.1000384920558435E-2</v>
      </c>
      <c r="BZ60">
        <f t="shared" si="200"/>
        <v>20.08083229768873</v>
      </c>
      <c r="CA60">
        <f t="shared" si="201"/>
        <v>0.49608420877590598</v>
      </c>
      <c r="CB60">
        <f t="shared" si="202"/>
        <v>59.66405461834885</v>
      </c>
      <c r="CC60">
        <f t="shared" si="203"/>
        <v>400.47303622830179</v>
      </c>
      <c r="CD60">
        <f t="shared" si="204"/>
        <v>6.2191410067100796E-3</v>
      </c>
      <c r="CE60">
        <f t="shared" si="205"/>
        <v>0</v>
      </c>
      <c r="CF60">
        <f t="shared" si="206"/>
        <v>86.206661675941874</v>
      </c>
      <c r="CG60">
        <f t="shared" si="207"/>
        <v>1066.548583984375</v>
      </c>
      <c r="CH60">
        <f t="shared" si="208"/>
        <v>0.72795643919321207</v>
      </c>
      <c r="CI60" t="e">
        <f t="shared" si="209"/>
        <v>#DIV/0!</v>
      </c>
    </row>
    <row r="61" spans="1:87" x14ac:dyDescent="0.25">
      <c r="A61" s="1">
        <v>10</v>
      </c>
      <c r="B61" s="1" t="s">
        <v>288</v>
      </c>
      <c r="C61" s="1">
        <v>2767.4999024467543</v>
      </c>
      <c r="D61" s="1">
        <v>0</v>
      </c>
      <c r="E61">
        <f t="shared" si="168"/>
        <v>2.7100596298408881</v>
      </c>
      <c r="F61">
        <f t="shared" si="169"/>
        <v>2.0537200064715242E-2</v>
      </c>
      <c r="G61">
        <f t="shared" si="170"/>
        <v>180.56929072765936</v>
      </c>
      <c r="H61" s="1">
        <v>104</v>
      </c>
      <c r="I61" s="1">
        <v>0</v>
      </c>
      <c r="J61" s="1">
        <v>0</v>
      </c>
      <c r="K61" s="1">
        <v>0</v>
      </c>
      <c r="L61" s="1">
        <v>0</v>
      </c>
      <c r="M61" s="1">
        <v>1120.278564453125</v>
      </c>
      <c r="N61" s="1">
        <v>284.19427490234375</v>
      </c>
      <c r="O61" t="e">
        <f t="shared" si="171"/>
        <v>#DIV/0!</v>
      </c>
      <c r="P61">
        <f t="shared" si="172"/>
        <v>1</v>
      </c>
      <c r="Q61">
        <f t="shared" si="173"/>
        <v>0.74631820698892337</v>
      </c>
      <c r="R61" s="1">
        <v>-1</v>
      </c>
      <c r="S61" s="1">
        <v>0.87</v>
      </c>
      <c r="T61" s="1">
        <v>0.92</v>
      </c>
      <c r="U61" s="1">
        <v>10.671531677246094</v>
      </c>
      <c r="V61">
        <f t="shared" si="174"/>
        <v>0.87533576583862316</v>
      </c>
      <c r="W61">
        <f t="shared" si="175"/>
        <v>5.5377256058671852E-2</v>
      </c>
      <c r="X61">
        <f t="shared" si="176"/>
        <v>0.74631820698892337</v>
      </c>
      <c r="Y61" t="e">
        <f t="shared" si="177"/>
        <v>#DIV/0!</v>
      </c>
      <c r="Z61">
        <f t="shared" si="178"/>
        <v>-1</v>
      </c>
      <c r="AA61" s="1">
        <v>76.537590026855469</v>
      </c>
      <c r="AB61" s="1">
        <v>0.5</v>
      </c>
      <c r="AC61">
        <f t="shared" si="179"/>
        <v>25.000200875168179</v>
      </c>
      <c r="AD61">
        <f t="shared" si="180"/>
        <v>0.13815250710819327</v>
      </c>
      <c r="AE61">
        <f t="shared" si="181"/>
        <v>0.67093572430046411</v>
      </c>
      <c r="AF61">
        <f t="shared" si="182"/>
        <v>15.008539199829102</v>
      </c>
      <c r="AG61" s="1">
        <v>1.4930000305175781</v>
      </c>
      <c r="AH61">
        <f t="shared" si="183"/>
        <v>5.3319158355097898</v>
      </c>
      <c r="AI61" s="1">
        <v>1</v>
      </c>
      <c r="AJ61">
        <f t="shared" si="184"/>
        <v>10.66383167101958</v>
      </c>
      <c r="AK61" s="1">
        <v>12.159808158874512</v>
      </c>
      <c r="AL61" s="1">
        <v>15.008539199829102</v>
      </c>
      <c r="AM61" s="1">
        <v>10.449854850769043</v>
      </c>
      <c r="AN61" s="1">
        <v>397.91201782226562</v>
      </c>
      <c r="AO61" s="1">
        <v>395.15457153320312</v>
      </c>
      <c r="AP61" s="1">
        <v>10.18211841583252</v>
      </c>
      <c r="AQ61" s="1">
        <v>10.318489074707031</v>
      </c>
      <c r="AR61" s="1">
        <v>72.239410400390625</v>
      </c>
      <c r="AS61" s="1">
        <v>73.206924438476562</v>
      </c>
      <c r="AT61" s="1">
        <v>149.69010925292969</v>
      </c>
      <c r="AU61" s="1">
        <v>76.537590026855469</v>
      </c>
      <c r="AV61" s="1">
        <v>6.4538459777832031</v>
      </c>
      <c r="AW61" s="1">
        <v>100.92375946044922</v>
      </c>
      <c r="AX61" s="1">
        <v>2.2480728626251221</v>
      </c>
      <c r="AY61" s="1">
        <v>0.30523252487182617</v>
      </c>
      <c r="AZ61" s="1">
        <v>2.835455909371376E-2</v>
      </c>
      <c r="BA61" s="1">
        <v>6.0251110699027777E-4</v>
      </c>
      <c r="BB61" s="1">
        <v>5.7814974337816238E-2</v>
      </c>
      <c r="BC61" s="1">
        <v>3.599406685680151E-3</v>
      </c>
      <c r="BD61" s="1">
        <v>0.5</v>
      </c>
      <c r="BE61" s="1">
        <v>-1.355140209197998</v>
      </c>
      <c r="BF61" s="1">
        <v>7.355140209197998</v>
      </c>
      <c r="BG61" s="1">
        <v>1</v>
      </c>
      <c r="BH61" s="1">
        <v>0</v>
      </c>
      <c r="BI61" s="1">
        <v>0.15999999642372131</v>
      </c>
      <c r="BJ61" s="1">
        <v>111125</v>
      </c>
      <c r="BK61">
        <f t="shared" si="185"/>
        <v>1.0026129014949627</v>
      </c>
      <c r="BL61">
        <f t="shared" si="186"/>
        <v>1.3815250710819327E-4</v>
      </c>
      <c r="BM61">
        <f t="shared" si="187"/>
        <v>288.15853919982908</v>
      </c>
      <c r="BN61">
        <f t="shared" si="188"/>
        <v>285.30980815887449</v>
      </c>
      <c r="BO61">
        <f t="shared" si="189"/>
        <v>12.246014130577123</v>
      </c>
      <c r="BP61">
        <f t="shared" si="190"/>
        <v>-7.6524845685832524E-2</v>
      </c>
      <c r="BQ61">
        <f t="shared" si="191"/>
        <v>1.7123164336714698</v>
      </c>
      <c r="BR61">
        <f t="shared" si="192"/>
        <v>16.966435285662399</v>
      </c>
      <c r="BS61">
        <f t="shared" si="193"/>
        <v>6.647946210955368</v>
      </c>
      <c r="BT61">
        <f t="shared" si="194"/>
        <v>13.584173679351807</v>
      </c>
      <c r="BU61">
        <f t="shared" si="195"/>
        <v>1.5615144236917731</v>
      </c>
      <c r="BV61">
        <f t="shared" si="196"/>
        <v>2.0497724023445307E-2</v>
      </c>
      <c r="BW61">
        <f t="shared" si="197"/>
        <v>1.0413807093710057</v>
      </c>
      <c r="BX61">
        <f t="shared" si="198"/>
        <v>0.52013371432076738</v>
      </c>
      <c r="BY61">
        <f t="shared" si="199"/>
        <v>1.2814618351290582E-2</v>
      </c>
      <c r="BZ61">
        <f t="shared" si="200"/>
        <v>18.223731663342218</v>
      </c>
      <c r="CA61">
        <f t="shared" si="201"/>
        <v>0.45695862767587114</v>
      </c>
      <c r="CB61">
        <f t="shared" si="202"/>
        <v>60.35148445051113</v>
      </c>
      <c r="CC61">
        <f t="shared" si="203"/>
        <v>394.81148842638441</v>
      </c>
      <c r="CD61">
        <f t="shared" si="204"/>
        <v>4.1426383579209487E-3</v>
      </c>
      <c r="CE61">
        <f t="shared" si="205"/>
        <v>0</v>
      </c>
      <c r="CF61">
        <f t="shared" si="206"/>
        <v>66.996089981600093</v>
      </c>
      <c r="CG61">
        <f t="shared" si="207"/>
        <v>1120.278564453125</v>
      </c>
      <c r="CH61">
        <f t="shared" si="208"/>
        <v>0.74631820698892337</v>
      </c>
      <c r="CI61" t="e">
        <f t="shared" si="209"/>
        <v>#DIV/0!</v>
      </c>
    </row>
    <row r="62" spans="1:87" x14ac:dyDescent="0.25">
      <c r="A62" s="1">
        <v>11</v>
      </c>
      <c r="B62" s="1" t="s">
        <v>289</v>
      </c>
      <c r="C62" s="1">
        <v>2971.9998883530498</v>
      </c>
      <c r="D62" s="1">
        <v>0</v>
      </c>
      <c r="E62">
        <f t="shared" si="168"/>
        <v>-1.3877419682284924</v>
      </c>
      <c r="F62">
        <f t="shared" si="169"/>
        <v>0.21952089045057196</v>
      </c>
      <c r="G62">
        <f t="shared" si="170"/>
        <v>401.70118868864444</v>
      </c>
      <c r="H62" s="1">
        <v>105</v>
      </c>
      <c r="I62" s="1">
        <v>0</v>
      </c>
      <c r="J62" s="1">
        <v>0</v>
      </c>
      <c r="K62" s="1">
        <v>0</v>
      </c>
      <c r="L62" s="1">
        <v>0</v>
      </c>
      <c r="M62" s="1">
        <v>1149.009765625</v>
      </c>
      <c r="N62" s="1">
        <v>266.46759033203125</v>
      </c>
      <c r="O62" t="e">
        <f t="shared" si="171"/>
        <v>#DIV/0!</v>
      </c>
      <c r="P62">
        <f t="shared" si="172"/>
        <v>1</v>
      </c>
      <c r="Q62">
        <f t="shared" si="173"/>
        <v>0.76808935980880277</v>
      </c>
      <c r="R62" s="1">
        <v>-1</v>
      </c>
      <c r="S62" s="1">
        <v>0.87</v>
      </c>
      <c r="T62" s="1">
        <v>0.92</v>
      </c>
      <c r="U62" s="1">
        <v>9.727325439453125</v>
      </c>
      <c r="V62">
        <f t="shared" si="174"/>
        <v>0.8748636627197266</v>
      </c>
      <c r="W62">
        <f t="shared" si="175"/>
        <v>-9.2025484356404105E-3</v>
      </c>
      <c r="X62">
        <f t="shared" si="176"/>
        <v>0.76808935980880277</v>
      </c>
      <c r="Y62" t="e">
        <f t="shared" si="177"/>
        <v>#DIV/0!</v>
      </c>
      <c r="Z62">
        <f t="shared" si="178"/>
        <v>-1</v>
      </c>
      <c r="AA62" s="1">
        <v>48.160869598388672</v>
      </c>
      <c r="AB62" s="1">
        <v>0.5</v>
      </c>
      <c r="AC62">
        <f t="shared" si="179"/>
        <v>16.18141334601421</v>
      </c>
      <c r="AD62">
        <f t="shared" si="180"/>
        <v>1.7020786195045161</v>
      </c>
      <c r="AE62">
        <f t="shared" si="181"/>
        <v>0.78810715575879031</v>
      </c>
      <c r="AF62">
        <f t="shared" si="182"/>
        <v>15.098125457763672</v>
      </c>
      <c r="AG62" s="1">
        <v>1.4930000305175781</v>
      </c>
      <c r="AH62">
        <f t="shared" si="183"/>
        <v>5.3319158355097898</v>
      </c>
      <c r="AI62" s="1">
        <v>1</v>
      </c>
      <c r="AJ62">
        <f t="shared" si="184"/>
        <v>10.66383167101958</v>
      </c>
      <c r="AK62" s="1">
        <v>12.031333923339844</v>
      </c>
      <c r="AL62" s="1">
        <v>15.098125457763672</v>
      </c>
      <c r="AM62" s="1">
        <v>10.214583396911621</v>
      </c>
      <c r="AN62" s="1">
        <v>395.73516845703125</v>
      </c>
      <c r="AO62" s="1">
        <v>396.4462890625</v>
      </c>
      <c r="AP62" s="1">
        <v>7.5737719535827637</v>
      </c>
      <c r="AQ62" s="1">
        <v>9.2557477951049805</v>
      </c>
      <c r="AR62" s="1">
        <v>54.189441680908203</v>
      </c>
      <c r="AS62" s="1">
        <v>66.223777770996094</v>
      </c>
      <c r="AT62" s="1">
        <v>149.68601989746094</v>
      </c>
      <c r="AU62" s="1">
        <v>48.160869598388672</v>
      </c>
      <c r="AV62" s="1">
        <v>6.426426887512207</v>
      </c>
      <c r="AW62" s="1">
        <v>100.92191314697266</v>
      </c>
      <c r="AX62" s="1">
        <v>2.2480728626251221</v>
      </c>
      <c r="AY62" s="1">
        <v>0.30523252487182617</v>
      </c>
      <c r="AZ62" s="1">
        <v>2.835455909371376E-2</v>
      </c>
      <c r="BA62" s="1">
        <v>6.0251110699027777E-4</v>
      </c>
      <c r="BB62" s="1">
        <v>5.7814974337816238E-2</v>
      </c>
      <c r="BC62" s="1">
        <v>3.599406685680151E-3</v>
      </c>
      <c r="BD62" s="1">
        <v>0.75</v>
      </c>
      <c r="BE62" s="1">
        <v>-1.355140209197998</v>
      </c>
      <c r="BF62" s="1">
        <v>7.355140209197998</v>
      </c>
      <c r="BG62" s="1">
        <v>1</v>
      </c>
      <c r="BH62" s="1">
        <v>0</v>
      </c>
      <c r="BI62" s="1">
        <v>0.15999999642372131</v>
      </c>
      <c r="BJ62" s="1">
        <v>111125</v>
      </c>
      <c r="BK62">
        <f t="shared" si="185"/>
        <v>1.002585511304841</v>
      </c>
      <c r="BL62">
        <f t="shared" si="186"/>
        <v>1.7020786195045161E-3</v>
      </c>
      <c r="BM62">
        <f t="shared" si="187"/>
        <v>288.24812545776365</v>
      </c>
      <c r="BN62">
        <f t="shared" si="188"/>
        <v>285.18133392333982</v>
      </c>
      <c r="BO62">
        <f t="shared" si="189"/>
        <v>7.705738963505496</v>
      </c>
      <c r="BP62">
        <f t="shared" si="190"/>
        <v>-0.3308034368027038</v>
      </c>
      <c r="BQ62">
        <f t="shared" si="191"/>
        <v>1.7222149308466588</v>
      </c>
      <c r="BR62">
        <f t="shared" si="192"/>
        <v>17.064826430099437</v>
      </c>
      <c r="BS62">
        <f t="shared" si="193"/>
        <v>7.8090786349944565</v>
      </c>
      <c r="BT62">
        <f t="shared" si="194"/>
        <v>13.564729690551758</v>
      </c>
      <c r="BU62">
        <f t="shared" si="195"/>
        <v>1.5595393652559368</v>
      </c>
      <c r="BV62">
        <f t="shared" si="196"/>
        <v>0.21509308007945391</v>
      </c>
      <c r="BW62">
        <f t="shared" si="197"/>
        <v>0.93410777508786846</v>
      </c>
      <c r="BX62">
        <f t="shared" si="198"/>
        <v>0.62543159016806837</v>
      </c>
      <c r="BY62">
        <f t="shared" si="199"/>
        <v>0.13482409562263731</v>
      </c>
      <c r="BZ62">
        <f t="shared" si="200"/>
        <v>40.540452475871049</v>
      </c>
      <c r="CA62">
        <f t="shared" si="201"/>
        <v>1.0132550102526399</v>
      </c>
      <c r="CB62">
        <f t="shared" si="202"/>
        <v>54.563812256955813</v>
      </c>
      <c r="CC62">
        <f t="shared" si="203"/>
        <v>396.6219718484727</v>
      </c>
      <c r="CD62">
        <f t="shared" si="204"/>
        <v>-1.9091350855480697E-3</v>
      </c>
      <c r="CE62">
        <f t="shared" si="205"/>
        <v>0</v>
      </c>
      <c r="CF62">
        <f t="shared" si="206"/>
        <v>42.134194776613441</v>
      </c>
      <c r="CG62">
        <f t="shared" si="207"/>
        <v>1149.009765625</v>
      </c>
      <c r="CH62">
        <f t="shared" si="208"/>
        <v>0.76808935980880277</v>
      </c>
      <c r="CI62" t="e">
        <f t="shared" si="209"/>
        <v>#DIV/0!</v>
      </c>
    </row>
    <row r="63" spans="1:87" x14ac:dyDescent="0.25">
      <c r="A63" s="1">
        <v>12</v>
      </c>
      <c r="B63" s="1" t="s">
        <v>290</v>
      </c>
      <c r="C63" s="1">
        <v>3176.4998742593452</v>
      </c>
      <c r="D63" s="1">
        <v>0</v>
      </c>
      <c r="E63">
        <f t="shared" si="168"/>
        <v>-1.6214282441108057</v>
      </c>
      <c r="F63">
        <f t="shared" si="169"/>
        <v>3.9025710114463506E-2</v>
      </c>
      <c r="G63">
        <f t="shared" si="170"/>
        <v>447.29125998642729</v>
      </c>
      <c r="H63" s="1">
        <v>106</v>
      </c>
      <c r="I63" s="1">
        <v>0</v>
      </c>
      <c r="J63" s="1">
        <v>0</v>
      </c>
      <c r="K63" s="1">
        <v>0</v>
      </c>
      <c r="L63" s="1">
        <v>0</v>
      </c>
      <c r="M63" s="1">
        <v>1177.95556640625</v>
      </c>
      <c r="N63" s="1">
        <v>242.24432373046875</v>
      </c>
      <c r="O63" t="e">
        <f t="shared" si="171"/>
        <v>#DIV/0!</v>
      </c>
      <c r="P63">
        <f t="shared" si="172"/>
        <v>1</v>
      </c>
      <c r="Q63">
        <f t="shared" si="173"/>
        <v>0.7943519003271774</v>
      </c>
      <c r="R63" s="1">
        <v>-1</v>
      </c>
      <c r="S63" s="1">
        <v>0.87</v>
      </c>
      <c r="T63" s="1">
        <v>0.92</v>
      </c>
      <c r="U63" s="1">
        <v>0</v>
      </c>
      <c r="V63">
        <f t="shared" si="174"/>
        <v>0.87</v>
      </c>
      <c r="W63">
        <f t="shared" si="175"/>
        <v>-2.7174720149700366E-2</v>
      </c>
      <c r="X63">
        <f t="shared" si="176"/>
        <v>0.7943519003271774</v>
      </c>
      <c r="Y63" t="e">
        <f t="shared" si="177"/>
        <v>#DIV/0!</v>
      </c>
      <c r="Z63">
        <f t="shared" si="178"/>
        <v>-1</v>
      </c>
      <c r="AA63" s="1">
        <v>26.284919738769531</v>
      </c>
      <c r="AB63" s="1">
        <v>0.5</v>
      </c>
      <c r="AC63">
        <f t="shared" si="179"/>
        <v>9.0825720358309265</v>
      </c>
      <c r="AD63">
        <f t="shared" si="180"/>
        <v>0.34954120176136144</v>
      </c>
      <c r="AE63">
        <f t="shared" si="181"/>
        <v>0.89600142451210929</v>
      </c>
      <c r="AF63">
        <f t="shared" si="182"/>
        <v>15.064648628234863</v>
      </c>
      <c r="AG63" s="1">
        <v>1.4930000305175781</v>
      </c>
      <c r="AH63">
        <f t="shared" si="183"/>
        <v>5.3319158355097898</v>
      </c>
      <c r="AI63" s="1">
        <v>1</v>
      </c>
      <c r="AJ63">
        <f t="shared" si="184"/>
        <v>10.66383167101958</v>
      </c>
      <c r="AK63" s="1">
        <v>11.755955696105957</v>
      </c>
      <c r="AL63" s="1">
        <v>15.064648628234863</v>
      </c>
      <c r="AM63" s="1">
        <v>9.7860536575317383</v>
      </c>
      <c r="AN63" s="1">
        <v>385.11843872070312</v>
      </c>
      <c r="AO63" s="1">
        <v>386.60049438476562</v>
      </c>
      <c r="AP63" s="1">
        <v>7.8025569915771484</v>
      </c>
      <c r="AQ63" s="1">
        <v>8.1482610702514648</v>
      </c>
      <c r="AR63" s="1">
        <v>56.861457824707031</v>
      </c>
      <c r="AS63" s="1">
        <v>59.380790710449219</v>
      </c>
      <c r="AT63" s="1">
        <v>149.72711181640625</v>
      </c>
      <c r="AU63" s="1">
        <v>26.284919738769531</v>
      </c>
      <c r="AV63" s="1">
        <v>6.4305024147033691</v>
      </c>
      <c r="AW63" s="1">
        <v>100.94285583496094</v>
      </c>
      <c r="AX63" s="1">
        <v>2.2480728626251221</v>
      </c>
      <c r="AY63" s="1">
        <v>0.30523252487182617</v>
      </c>
      <c r="AZ63" s="1">
        <v>2.835455909371376E-2</v>
      </c>
      <c r="BA63" s="1">
        <v>6.0251110699027777E-4</v>
      </c>
      <c r="BB63" s="1">
        <v>5.7814974337816238E-2</v>
      </c>
      <c r="BC63" s="1">
        <v>3.599406685680151E-3</v>
      </c>
      <c r="BD63" s="1">
        <v>0.75</v>
      </c>
      <c r="BE63" s="1">
        <v>-1.355140209197998</v>
      </c>
      <c r="BF63" s="1">
        <v>7.355140209197998</v>
      </c>
      <c r="BG63" s="1">
        <v>1</v>
      </c>
      <c r="BH63" s="1">
        <v>0</v>
      </c>
      <c r="BI63" s="1">
        <v>0.15999999642372131</v>
      </c>
      <c r="BJ63" s="1">
        <v>111125</v>
      </c>
      <c r="BK63">
        <f t="shared" si="185"/>
        <v>1.0028607418346827</v>
      </c>
      <c r="BL63">
        <f t="shared" si="186"/>
        <v>3.4954120176136145E-4</v>
      </c>
      <c r="BM63">
        <f t="shared" si="187"/>
        <v>288.21464862823484</v>
      </c>
      <c r="BN63">
        <f t="shared" si="188"/>
        <v>284.90595569610593</v>
      </c>
      <c r="BO63">
        <f t="shared" si="189"/>
        <v>4.2055870642009268</v>
      </c>
      <c r="BP63">
        <f t="shared" si="190"/>
        <v>-0.15032008373261546</v>
      </c>
      <c r="BQ63">
        <f t="shared" si="191"/>
        <v>1.7185101670321274</v>
      </c>
      <c r="BR63">
        <f t="shared" si="192"/>
        <v>17.024584383087486</v>
      </c>
      <c r="BS63">
        <f t="shared" si="193"/>
        <v>8.8763233128360213</v>
      </c>
      <c r="BT63">
        <f t="shared" si="194"/>
        <v>13.41030216217041</v>
      </c>
      <c r="BU63">
        <f t="shared" si="195"/>
        <v>1.5439309507547736</v>
      </c>
      <c r="BV63">
        <f t="shared" si="196"/>
        <v>3.8883411100685862E-2</v>
      </c>
      <c r="BW63">
        <f t="shared" si="197"/>
        <v>0.82250874252001815</v>
      </c>
      <c r="BX63">
        <f t="shared" si="198"/>
        <v>0.72142220823475545</v>
      </c>
      <c r="BY63">
        <f t="shared" si="199"/>
        <v>2.4314876678528937E-2</v>
      </c>
      <c r="BZ63">
        <f t="shared" si="200"/>
        <v>45.15085717304796</v>
      </c>
      <c r="CA63">
        <f t="shared" si="201"/>
        <v>1.1569857423442893</v>
      </c>
      <c r="CB63">
        <f t="shared" si="202"/>
        <v>47.389668004528616</v>
      </c>
      <c r="CC63">
        <f t="shared" si="203"/>
        <v>386.8057609528322</v>
      </c>
      <c r="CD63">
        <f t="shared" si="204"/>
        <v>-1.9864995286599865E-3</v>
      </c>
      <c r="CE63">
        <f t="shared" si="205"/>
        <v>0</v>
      </c>
      <c r="CF63">
        <f t="shared" si="206"/>
        <v>22.867880172729492</v>
      </c>
      <c r="CG63">
        <f t="shared" si="207"/>
        <v>1177.95556640625</v>
      </c>
      <c r="CH63">
        <f t="shared" si="208"/>
        <v>0.7943519003271774</v>
      </c>
      <c r="CI63" t="e">
        <f t="shared" si="209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I71"/>
  <sheetViews>
    <sheetView topLeftCell="A25" workbookViewId="0">
      <selection activeCell="G67" sqref="G67"/>
    </sheetView>
  </sheetViews>
  <sheetFormatPr defaultRowHeight="15" x14ac:dyDescent="0.25"/>
  <sheetData>
    <row r="3" spans="1:83" x14ac:dyDescent="0.25">
      <c r="E3">
        <v>20</v>
      </c>
    </row>
    <row r="5" spans="1:83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  <c r="X5" s="1" t="s">
        <v>25</v>
      </c>
      <c r="Y5" s="1" t="s">
        <v>26</v>
      </c>
      <c r="Z5" s="1" t="s">
        <v>27</v>
      </c>
      <c r="AA5" s="1" t="s">
        <v>28</v>
      </c>
      <c r="AB5" s="1" t="s">
        <v>29</v>
      </c>
      <c r="AC5" s="1" t="s">
        <v>30</v>
      </c>
      <c r="AD5" s="1" t="s">
        <v>31</v>
      </c>
      <c r="AE5" s="1" t="s">
        <v>32</v>
      </c>
      <c r="AF5" s="1" t="s">
        <v>33</v>
      </c>
      <c r="AG5" s="1" t="s">
        <v>34</v>
      </c>
      <c r="AH5" s="1" t="s">
        <v>35</v>
      </c>
      <c r="AI5" s="1" t="s">
        <v>36</v>
      </c>
      <c r="AJ5" s="1" t="s">
        <v>37</v>
      </c>
      <c r="AK5" s="1" t="s">
        <v>38</v>
      </c>
      <c r="AL5" s="1" t="s">
        <v>39</v>
      </c>
      <c r="AM5" s="1" t="s">
        <v>40</v>
      </c>
      <c r="AN5" s="1" t="s">
        <v>41</v>
      </c>
      <c r="AO5" s="1" t="s">
        <v>42</v>
      </c>
      <c r="AP5" s="1" t="s">
        <v>43</v>
      </c>
      <c r="AQ5" s="1" t="s">
        <v>44</v>
      </c>
      <c r="AR5" s="1" t="s">
        <v>45</v>
      </c>
      <c r="AS5" s="1" t="s">
        <v>46</v>
      </c>
      <c r="AT5" s="1" t="s">
        <v>47</v>
      </c>
      <c r="AU5" s="1" t="s">
        <v>48</v>
      </c>
      <c r="AV5" s="1" t="s">
        <v>49</v>
      </c>
      <c r="AW5" s="1" t="s">
        <v>50</v>
      </c>
      <c r="AX5" s="1" t="s">
        <v>51</v>
      </c>
      <c r="AY5" s="1" t="s">
        <v>52</v>
      </c>
      <c r="AZ5" s="1" t="s">
        <v>53</v>
      </c>
      <c r="BA5" s="1" t="s">
        <v>54</v>
      </c>
      <c r="BB5" s="1" t="s">
        <v>55</v>
      </c>
      <c r="BC5" s="1" t="s">
        <v>56</v>
      </c>
      <c r="BD5" s="1" t="s">
        <v>57</v>
      </c>
      <c r="BE5" s="1" t="s">
        <v>58</v>
      </c>
      <c r="BF5" s="1" t="s">
        <v>59</v>
      </c>
      <c r="BG5" s="1" t="s">
        <v>60</v>
      </c>
      <c r="BH5" s="1" t="s">
        <v>61</v>
      </c>
      <c r="BI5" s="1" t="s">
        <v>62</v>
      </c>
      <c r="BJ5" s="1" t="s">
        <v>63</v>
      </c>
      <c r="BK5" s="1" t="s">
        <v>64</v>
      </c>
      <c r="BL5" s="1" t="s">
        <v>65</v>
      </c>
      <c r="BM5" s="1" t="s">
        <v>66</v>
      </c>
      <c r="BN5" s="1" t="s">
        <v>67</v>
      </c>
      <c r="BO5" s="1" t="s">
        <v>68</v>
      </c>
      <c r="BP5" s="1" t="s">
        <v>69</v>
      </c>
      <c r="BQ5" s="1" t="s">
        <v>70</v>
      </c>
      <c r="BR5" s="1" t="s">
        <v>71</v>
      </c>
      <c r="BS5" s="1" t="s">
        <v>72</v>
      </c>
      <c r="BT5" s="1" t="s">
        <v>73</v>
      </c>
      <c r="BU5" s="1" t="s">
        <v>74</v>
      </c>
      <c r="BV5" s="1" t="s">
        <v>75</v>
      </c>
      <c r="BW5" s="1" t="s">
        <v>76</v>
      </c>
      <c r="BX5" s="1" t="s">
        <v>77</v>
      </c>
      <c r="BY5" s="1" t="s">
        <v>78</v>
      </c>
      <c r="BZ5" s="1" t="s">
        <v>79</v>
      </c>
      <c r="CA5" s="1" t="s">
        <v>80</v>
      </c>
      <c r="CB5" s="1" t="s">
        <v>81</v>
      </c>
      <c r="CC5" s="1" t="s">
        <v>82</v>
      </c>
      <c r="CD5" s="1" t="s">
        <v>83</v>
      </c>
      <c r="CE5" s="1" t="s">
        <v>84</v>
      </c>
    </row>
    <row r="6" spans="1:83" x14ac:dyDescent="0.25">
      <c r="A6" s="1" t="s">
        <v>85</v>
      </c>
      <c r="B6" s="1" t="s">
        <v>85</v>
      </c>
      <c r="C6" s="1" t="s">
        <v>85</v>
      </c>
      <c r="D6" s="1" t="s">
        <v>85</v>
      </c>
      <c r="E6" s="1" t="s">
        <v>86</v>
      </c>
      <c r="F6" s="1" t="s">
        <v>86</v>
      </c>
      <c r="G6" s="1" t="s">
        <v>86</v>
      </c>
      <c r="H6" s="1" t="s">
        <v>85</v>
      </c>
      <c r="I6" s="1" t="s">
        <v>85</v>
      </c>
      <c r="J6" s="1" t="s">
        <v>85</v>
      </c>
      <c r="K6" s="1" t="s">
        <v>85</v>
      </c>
      <c r="L6" s="1" t="s">
        <v>85</v>
      </c>
      <c r="M6" s="1" t="s">
        <v>85</v>
      </c>
      <c r="N6" s="1" t="s">
        <v>85</v>
      </c>
      <c r="O6" s="1" t="s">
        <v>86</v>
      </c>
      <c r="P6" s="1" t="s">
        <v>86</v>
      </c>
      <c r="Q6" s="1" t="s">
        <v>86</v>
      </c>
      <c r="R6" s="1" t="s">
        <v>85</v>
      </c>
      <c r="S6" s="1" t="s">
        <v>85</v>
      </c>
      <c r="T6" s="1" t="s">
        <v>85</v>
      </c>
      <c r="U6" s="1" t="s">
        <v>85</v>
      </c>
      <c r="V6" s="1" t="s">
        <v>86</v>
      </c>
      <c r="W6" s="1" t="s">
        <v>86</v>
      </c>
      <c r="X6" s="1" t="s">
        <v>86</v>
      </c>
      <c r="Y6" s="1" t="s">
        <v>86</v>
      </c>
      <c r="Z6" s="1" t="s">
        <v>86</v>
      </c>
      <c r="AA6" s="1" t="s">
        <v>85</v>
      </c>
      <c r="AB6" s="1" t="s">
        <v>85</v>
      </c>
      <c r="AC6" s="1" t="s">
        <v>86</v>
      </c>
      <c r="AD6" s="1" t="s">
        <v>86</v>
      </c>
      <c r="AE6" s="1" t="s">
        <v>86</v>
      </c>
      <c r="AF6" s="1" t="s">
        <v>86</v>
      </c>
      <c r="AG6" s="1" t="s">
        <v>85</v>
      </c>
      <c r="AH6" s="1" t="s">
        <v>86</v>
      </c>
      <c r="AI6" s="1" t="s">
        <v>85</v>
      </c>
      <c r="AJ6" s="1" t="s">
        <v>86</v>
      </c>
      <c r="AK6" s="1" t="s">
        <v>85</v>
      </c>
      <c r="AL6" s="1" t="s">
        <v>85</v>
      </c>
      <c r="AM6" s="1" t="s">
        <v>85</v>
      </c>
      <c r="AN6" s="1" t="s">
        <v>85</v>
      </c>
      <c r="AO6" s="1" t="s">
        <v>85</v>
      </c>
      <c r="AP6" s="1" t="s">
        <v>85</v>
      </c>
      <c r="AQ6" s="1" t="s">
        <v>85</v>
      </c>
      <c r="AR6" s="1" t="s">
        <v>85</v>
      </c>
      <c r="AS6" s="1" t="s">
        <v>85</v>
      </c>
      <c r="AT6" s="1" t="s">
        <v>85</v>
      </c>
      <c r="AU6" s="1" t="s">
        <v>85</v>
      </c>
      <c r="AV6" s="1" t="s">
        <v>85</v>
      </c>
      <c r="AW6" s="1" t="s">
        <v>85</v>
      </c>
      <c r="AX6" s="1" t="s">
        <v>85</v>
      </c>
      <c r="AY6" s="1" t="s">
        <v>85</v>
      </c>
      <c r="AZ6" s="1" t="s">
        <v>85</v>
      </c>
      <c r="BA6" s="1" t="s">
        <v>85</v>
      </c>
      <c r="BB6" s="1" t="s">
        <v>85</v>
      </c>
      <c r="BC6" s="1" t="s">
        <v>85</v>
      </c>
      <c r="BD6" s="1" t="s">
        <v>85</v>
      </c>
      <c r="BE6" s="1" t="s">
        <v>85</v>
      </c>
      <c r="BF6" s="1" t="s">
        <v>85</v>
      </c>
      <c r="BG6" s="1" t="s">
        <v>86</v>
      </c>
      <c r="BH6" s="1" t="s">
        <v>86</v>
      </c>
      <c r="BI6" s="1" t="s">
        <v>86</v>
      </c>
      <c r="BJ6" s="1" t="s">
        <v>86</v>
      </c>
      <c r="BK6" s="1" t="s">
        <v>86</v>
      </c>
      <c r="BL6" s="1" t="s">
        <v>86</v>
      </c>
      <c r="BM6" s="1" t="s">
        <v>86</v>
      </c>
      <c r="BN6" s="1" t="s">
        <v>86</v>
      </c>
      <c r="BO6" s="1" t="s">
        <v>86</v>
      </c>
      <c r="BP6" s="1" t="s">
        <v>86</v>
      </c>
      <c r="BQ6" s="1" t="s">
        <v>86</v>
      </c>
      <c r="BR6" s="1" t="s">
        <v>86</v>
      </c>
      <c r="BS6" s="1" t="s">
        <v>86</v>
      </c>
      <c r="BT6" s="1" t="s">
        <v>86</v>
      </c>
      <c r="BU6" s="1" t="s">
        <v>86</v>
      </c>
      <c r="BV6" s="1" t="s">
        <v>86</v>
      </c>
      <c r="BW6" s="1" t="s">
        <v>86</v>
      </c>
      <c r="BX6" s="1" t="s">
        <v>86</v>
      </c>
      <c r="BY6" s="1" t="s">
        <v>86</v>
      </c>
      <c r="BZ6" s="1" t="s">
        <v>86</v>
      </c>
      <c r="CA6" s="1" t="s">
        <v>86</v>
      </c>
      <c r="CB6" s="1" t="s">
        <v>86</v>
      </c>
      <c r="CC6" s="1" t="s">
        <v>86</v>
      </c>
      <c r="CD6" s="1" t="s">
        <v>86</v>
      </c>
      <c r="CE6" s="1" t="s">
        <v>86</v>
      </c>
    </row>
    <row r="7" spans="1:83" x14ac:dyDescent="0.25">
      <c r="A7" s="1">
        <v>3</v>
      </c>
      <c r="B7" s="1" t="s">
        <v>98</v>
      </c>
      <c r="C7" s="1">
        <v>207.50000354927033</v>
      </c>
      <c r="D7" s="1">
        <v>0</v>
      </c>
      <c r="E7">
        <f t="shared" ref="E7:E18" si="0">(AN7-AO7*(1000-AP7)/(1000-AQ7))*BG7</f>
        <v>4.2421756602797425</v>
      </c>
      <c r="F7">
        <f t="shared" ref="F7:F18" si="1">IF(BR7&lt;&gt;0,1/(1/BR7-1/AJ7),0)</f>
        <v>4.7644697686739824E-2</v>
      </c>
      <c r="G7">
        <f t="shared" ref="G7:G18" si="2">((BU7-BH7/2)*AO7-E7)/(BU7+BH7/2)</f>
        <v>250.636063432925</v>
      </c>
      <c r="H7" s="1">
        <v>50</v>
      </c>
      <c r="I7" s="1">
        <v>0</v>
      </c>
      <c r="J7" s="1">
        <v>0</v>
      </c>
      <c r="K7" s="1">
        <v>0</v>
      </c>
      <c r="L7" s="1">
        <v>0</v>
      </c>
      <c r="M7" s="1">
        <v>723.63751220703125</v>
      </c>
      <c r="N7" s="1">
        <v>504.255126953125</v>
      </c>
      <c r="O7" t="e">
        <f t="shared" ref="O7:O18" si="3">CA7/K7</f>
        <v>#DIV/0!</v>
      </c>
      <c r="P7">
        <f t="shared" ref="P7:P18" si="4">CC7/M7</f>
        <v>1</v>
      </c>
      <c r="Q7">
        <f t="shared" ref="Q7:Q18" si="5">(M7-N7)/M7</f>
        <v>0.30316613159648004</v>
      </c>
      <c r="R7" s="1">
        <v>-1</v>
      </c>
      <c r="S7" s="1">
        <v>0.87</v>
      </c>
      <c r="T7" s="1">
        <v>0.92</v>
      </c>
      <c r="U7" s="1">
        <v>9.8099803924560547</v>
      </c>
      <c r="V7">
        <f t="shared" ref="V7:V18" si="6">(U7*T7+(100-U7)*S7)/100</f>
        <v>0.87490499019622803</v>
      </c>
      <c r="W7">
        <f t="shared" ref="W7:W18" si="7">(E7-R7)/CB7</f>
        <v>1.3276752046399635E-2</v>
      </c>
      <c r="X7">
        <f t="shared" ref="X7:X18" si="8">(M7-N7)/(M7-L7)</f>
        <v>0.30316613159648004</v>
      </c>
      <c r="Y7" t="e">
        <f t="shared" ref="Y7:Y18" si="9">(K7-M7)/(K7-L7)</f>
        <v>#DIV/0!</v>
      </c>
      <c r="Z7">
        <f t="shared" ref="Z7:Z18" si="10">(K7-M7)/M7</f>
        <v>-1</v>
      </c>
      <c r="AA7" s="1">
        <v>451.29324340820312</v>
      </c>
      <c r="AB7" s="1">
        <v>0.5</v>
      </c>
      <c r="AC7">
        <f t="shared" ref="AC7:AC18" si="11">Q7*AB7*V7*AA7</f>
        <v>59.850862263681535</v>
      </c>
      <c r="AD7">
        <f t="shared" ref="AD7:AD18" si="12">BH7*1000</f>
        <v>0.53989890744142666</v>
      </c>
      <c r="AE7">
        <f t="shared" ref="AE7:AE18" si="13">(BM7-BS7)</f>
        <v>1.1231924723704436</v>
      </c>
      <c r="AF7">
        <f t="shared" ref="AF7:AF18" si="14">(AL7+BL7*D7)</f>
        <v>20.461835861206055</v>
      </c>
      <c r="AG7" s="1">
        <v>1.5499999523162842</v>
      </c>
      <c r="AH7">
        <f t="shared" ref="AH7:AH18" si="15">(AG7*BA7+BB7)</f>
        <v>5.2546729495592217</v>
      </c>
      <c r="AI7" s="1">
        <v>1</v>
      </c>
      <c r="AJ7">
        <f t="shared" ref="AJ7:AJ18" si="16">AH7*(AI7+1)*(AI7+1)/(AI7*AI7+1)</f>
        <v>10.509345899118443</v>
      </c>
      <c r="AK7" s="1">
        <v>18.245859146118164</v>
      </c>
      <c r="AL7" s="1">
        <v>20.461835861206055</v>
      </c>
      <c r="AM7" s="1">
        <v>17.043300628662109</v>
      </c>
      <c r="AN7" s="1">
        <v>404.18856811523437</v>
      </c>
      <c r="AO7" s="1">
        <v>399.56668090820312</v>
      </c>
      <c r="AP7" s="1">
        <v>12.293844223022461</v>
      </c>
      <c r="AQ7" s="1">
        <v>12.846412658691406</v>
      </c>
      <c r="AR7" s="1">
        <v>58.750705718994141</v>
      </c>
      <c r="AS7" s="1">
        <v>61.391361236572266</v>
      </c>
      <c r="AT7" s="1">
        <v>149.50054931640625</v>
      </c>
      <c r="AU7" s="1">
        <v>451.29324340820312</v>
      </c>
      <c r="AV7" s="1">
        <v>16.891145706176758</v>
      </c>
      <c r="AW7" s="1">
        <v>100.52450561523437</v>
      </c>
      <c r="AX7" s="1">
        <v>3.5404791831970215</v>
      </c>
      <c r="AY7" s="1">
        <v>-2.242906391620636E-2</v>
      </c>
      <c r="AZ7" s="1">
        <v>0.75</v>
      </c>
      <c r="BA7" s="1">
        <v>-1.355140209197998</v>
      </c>
      <c r="BB7" s="1">
        <v>7.355140209197998</v>
      </c>
      <c r="BC7" s="1">
        <v>1</v>
      </c>
      <c r="BD7" s="1">
        <v>0</v>
      </c>
      <c r="BE7" s="1">
        <v>0.15999999642372131</v>
      </c>
      <c r="BF7" s="1">
        <v>111115</v>
      </c>
      <c r="BG7">
        <f t="shared" ref="BG7:BG18" si="17">AT7*0.000001/(AG7*0.0001)</f>
        <v>0.96451970268125531</v>
      </c>
      <c r="BH7">
        <f t="shared" ref="BH7:BH18" si="18">(AQ7-AP7)/(1000-AQ7)*BG7</f>
        <v>5.3989890744142661E-4</v>
      </c>
      <c r="BI7">
        <f t="shared" ref="BI7:BI18" si="19">(AL7+273.15)</f>
        <v>293.61183586120603</v>
      </c>
      <c r="BJ7">
        <f t="shared" ref="BJ7:BJ18" si="20">(AK7+273.15)</f>
        <v>291.39585914611814</v>
      </c>
      <c r="BK7">
        <f t="shared" ref="BK7:BK18" si="21">(AU7*BC7+AV7*BD7)*BE7</f>
        <v>72.206917331362092</v>
      </c>
      <c r="BL7">
        <f t="shared" ref="BL7:BL18" si="22">((BK7+0.00000010773*(BJ7^4-BI7^4))-BH7*44100)/(AH7*51.4+0.00000043092*BI7^3)</f>
        <v>8.7186919885357803E-2</v>
      </c>
      <c r="BM7">
        <f t="shared" ref="BM7:BM18" si="23">0.61365*EXP(17.502*AF7/(240.97+AF7))</f>
        <v>2.4145717538146858</v>
      </c>
      <c r="BN7">
        <f t="shared" ref="BN7:BN18" si="24">BM7*1000/AW7</f>
        <v>24.019732691416095</v>
      </c>
      <c r="BO7">
        <f t="shared" ref="BO7:BO18" si="25">(BN7-AQ7)</f>
        <v>11.173320032724689</v>
      </c>
      <c r="BP7">
        <f t="shared" ref="BP7:BP18" si="26">IF(D7,AL7,(AK7+AL7)/2)</f>
        <v>19.353847503662109</v>
      </c>
      <c r="BQ7">
        <f t="shared" ref="BQ7:BQ18" si="27">0.61365*EXP(17.502*BP7/(240.97+BP7))</f>
        <v>2.2543471562367712</v>
      </c>
      <c r="BR7">
        <f t="shared" ref="BR7:BR18" si="28">IF(BO7&lt;&gt;0,(1000-(BN7+AQ7)/2)/BO7*BH7,0)</f>
        <v>4.7429672656941299E-2</v>
      </c>
      <c r="BS7">
        <f t="shared" ref="BS7:BS18" si="29">AQ7*AW7/1000</f>
        <v>1.2913792814442422</v>
      </c>
      <c r="BT7">
        <f t="shared" ref="BT7:BT18" si="30">(BQ7-BS7)</f>
        <v>0.96296787479252899</v>
      </c>
      <c r="BU7">
        <f t="shared" ref="BU7:BU18" si="31">1/(1.6/F7+1.37/AJ7)</f>
        <v>2.9662789363346712E-2</v>
      </c>
      <c r="BV7">
        <f t="shared" ref="BV7:BV18" si="32">G7*AW7*0.001</f>
        <v>25.195066365943308</v>
      </c>
      <c r="BW7">
        <f t="shared" ref="BW7:BW18" si="33">G7/AO7</f>
        <v>0.62726967840070325</v>
      </c>
      <c r="BX7">
        <f t="shared" ref="BX7:BX18" si="34">(1-BH7*AW7/BM7/F7)*100</f>
        <v>52.823067075232856</v>
      </c>
      <c r="BY7">
        <f t="shared" ref="BY7:BY18" si="35">(AO7-E7/(AJ7/1.35))</f>
        <v>399.02174336438719</v>
      </c>
      <c r="BZ7">
        <f t="shared" ref="BZ7:BZ18" si="36">E7*BX7/100/BY7</f>
        <v>5.6158525988705982E-3</v>
      </c>
      <c r="CA7">
        <f t="shared" ref="CA7:CA18" si="37">(K7-J7)</f>
        <v>0</v>
      </c>
      <c r="CB7">
        <f t="shared" ref="CB7:CB18" si="38">AU7*V7</f>
        <v>394.8387106996779</v>
      </c>
      <c r="CC7">
        <f t="shared" ref="CC7:CC18" si="39">(M7-L7)</f>
        <v>723.63751220703125</v>
      </c>
      <c r="CD7">
        <f t="shared" ref="CD7:CD18" si="40">(M7-N7)/(M7-J7)</f>
        <v>0.30316613159648004</v>
      </c>
      <c r="CE7" t="e">
        <f t="shared" ref="CE7:CE18" si="41">(K7-M7)/(K7-J7)</f>
        <v>#DIV/0!</v>
      </c>
    </row>
    <row r="8" spans="1:83" x14ac:dyDescent="0.25">
      <c r="A8" s="1">
        <v>4</v>
      </c>
      <c r="B8" s="1" t="s">
        <v>99</v>
      </c>
      <c r="C8" s="1">
        <v>269.49999927636236</v>
      </c>
      <c r="D8" s="1">
        <v>0</v>
      </c>
      <c r="E8">
        <f t="shared" si="0"/>
        <v>4.0671779964153698</v>
      </c>
      <c r="F8">
        <f t="shared" si="1"/>
        <v>4.8792578708378935E-2</v>
      </c>
      <c r="G8">
        <f t="shared" si="2"/>
        <v>260.15491674094767</v>
      </c>
      <c r="H8" s="1">
        <v>51</v>
      </c>
      <c r="I8" s="1">
        <v>0</v>
      </c>
      <c r="J8" s="1">
        <v>0</v>
      </c>
      <c r="K8" s="1">
        <v>0</v>
      </c>
      <c r="L8" s="1">
        <v>0</v>
      </c>
      <c r="M8" s="1">
        <v>885.23651123046875</v>
      </c>
      <c r="N8" s="1">
        <v>522.5462646484375</v>
      </c>
      <c r="O8" t="e">
        <f t="shared" si="3"/>
        <v>#DIV/0!</v>
      </c>
      <c r="P8">
        <f t="shared" si="4"/>
        <v>1</v>
      </c>
      <c r="Q8">
        <f t="shared" si="5"/>
        <v>0.40970999499093852</v>
      </c>
      <c r="R8" s="1">
        <v>-1</v>
      </c>
      <c r="S8" s="1">
        <v>0.87</v>
      </c>
      <c r="T8" s="1">
        <v>0.92</v>
      </c>
      <c r="U8" s="1">
        <v>9.6554422378540039</v>
      </c>
      <c r="V8">
        <f t="shared" si="6"/>
        <v>0.87482772111892704</v>
      </c>
      <c r="W8">
        <f t="shared" si="7"/>
        <v>1.9215839353874178E-2</v>
      </c>
      <c r="X8">
        <f t="shared" si="8"/>
        <v>0.40970999499093852</v>
      </c>
      <c r="Y8" t="e">
        <f t="shared" si="9"/>
        <v>#DIV/0!</v>
      </c>
      <c r="Z8">
        <f t="shared" si="10"/>
        <v>-1</v>
      </c>
      <c r="AA8" s="1">
        <v>301.428466796875</v>
      </c>
      <c r="AB8" s="1">
        <v>0.5</v>
      </c>
      <c r="AC8">
        <f t="shared" si="11"/>
        <v>54.019848763748378</v>
      </c>
      <c r="AD8">
        <f t="shared" si="12"/>
        <v>0.52890909006459297</v>
      </c>
      <c r="AE8">
        <f t="shared" si="13"/>
        <v>1.0747635431682447</v>
      </c>
      <c r="AF8">
        <f t="shared" si="14"/>
        <v>20.145977020263672</v>
      </c>
      <c r="AG8" s="1">
        <v>1.5499999523162842</v>
      </c>
      <c r="AH8">
        <f t="shared" si="15"/>
        <v>5.2546729495592217</v>
      </c>
      <c r="AI8" s="1">
        <v>1</v>
      </c>
      <c r="AJ8">
        <f t="shared" si="16"/>
        <v>10.509345899118443</v>
      </c>
      <c r="AK8" s="1">
        <v>18.257085800170898</v>
      </c>
      <c r="AL8" s="1">
        <v>20.145977020263672</v>
      </c>
      <c r="AM8" s="1">
        <v>16.999057769775391</v>
      </c>
      <c r="AN8" s="1">
        <v>404.23721313476562</v>
      </c>
      <c r="AO8" s="1">
        <v>399.80136108398437</v>
      </c>
      <c r="AP8" s="1">
        <v>12.323186874389648</v>
      </c>
      <c r="AQ8" s="1">
        <v>12.864476203918457</v>
      </c>
      <c r="AR8" s="1">
        <v>58.847232818603516</v>
      </c>
      <c r="AS8" s="1">
        <v>61.43206787109375</v>
      </c>
      <c r="AT8" s="1">
        <v>149.50648498535156</v>
      </c>
      <c r="AU8" s="1">
        <v>301.428466796875</v>
      </c>
      <c r="AV8" s="1">
        <v>23.679542541503906</v>
      </c>
      <c r="AW8" s="1">
        <v>100.52072143554687</v>
      </c>
      <c r="AX8" s="1">
        <v>3.5404791831970215</v>
      </c>
      <c r="AY8" s="1">
        <v>-2.242906391620636E-2</v>
      </c>
      <c r="AZ8" s="1">
        <v>0.75</v>
      </c>
      <c r="BA8" s="1">
        <v>-1.355140209197998</v>
      </c>
      <c r="BB8" s="1">
        <v>7.355140209197998</v>
      </c>
      <c r="BC8" s="1">
        <v>1</v>
      </c>
      <c r="BD8" s="1">
        <v>0</v>
      </c>
      <c r="BE8" s="1">
        <v>0.15999999642372131</v>
      </c>
      <c r="BF8" s="1">
        <v>111115</v>
      </c>
      <c r="BG8">
        <f t="shared" si="17"/>
        <v>0.96455799732079028</v>
      </c>
      <c r="BH8">
        <f t="shared" si="18"/>
        <v>5.2890909006459298E-4</v>
      </c>
      <c r="BI8">
        <f t="shared" si="19"/>
        <v>293.29597702026365</v>
      </c>
      <c r="BJ8">
        <f t="shared" si="20"/>
        <v>291.40708580017088</v>
      </c>
      <c r="BK8">
        <f t="shared" si="21"/>
        <v>48.228553609507799</v>
      </c>
      <c r="BL8">
        <f t="shared" si="22"/>
        <v>1.6247420466062035E-2</v>
      </c>
      <c r="BM8">
        <f t="shared" si="23"/>
        <v>2.3679099720765535</v>
      </c>
      <c r="BN8">
        <f t="shared" si="24"/>
        <v>23.556436307461635</v>
      </c>
      <c r="BO8">
        <f t="shared" si="25"/>
        <v>10.691960103543177</v>
      </c>
      <c r="BP8">
        <f t="shared" si="26"/>
        <v>19.201531410217285</v>
      </c>
      <c r="BQ8">
        <f t="shared" si="27"/>
        <v>2.2330664727062324</v>
      </c>
      <c r="BR8">
        <f t="shared" si="28"/>
        <v>4.8567092393531575E-2</v>
      </c>
      <c r="BS8">
        <f t="shared" si="29"/>
        <v>1.2931464289083088</v>
      </c>
      <c r="BT8">
        <f t="shared" si="30"/>
        <v>0.9399200437979236</v>
      </c>
      <c r="BU8">
        <f t="shared" si="31"/>
        <v>3.0374611065564723E-2</v>
      </c>
      <c r="BV8">
        <f t="shared" si="32"/>
        <v>26.150959915804691</v>
      </c>
      <c r="BW8">
        <f t="shared" si="33"/>
        <v>0.65071043288994246</v>
      </c>
      <c r="BX8">
        <f t="shared" si="34"/>
        <v>53.983066976785629</v>
      </c>
      <c r="BY8">
        <f t="shared" si="35"/>
        <v>399.27890323095841</v>
      </c>
      <c r="BZ8">
        <f t="shared" si="36"/>
        <v>5.4988816190971752E-3</v>
      </c>
      <c r="CA8">
        <f t="shared" si="37"/>
        <v>0</v>
      </c>
      <c r="CB8">
        <f t="shared" si="38"/>
        <v>263.69797868828232</v>
      </c>
      <c r="CC8">
        <f t="shared" si="39"/>
        <v>885.23651123046875</v>
      </c>
      <c r="CD8">
        <f t="shared" si="40"/>
        <v>0.40970999499093852</v>
      </c>
      <c r="CE8" t="e">
        <f t="shared" si="41"/>
        <v>#DIV/0!</v>
      </c>
    </row>
    <row r="9" spans="1:83" x14ac:dyDescent="0.25">
      <c r="A9" s="1">
        <v>5</v>
      </c>
      <c r="B9" s="1" t="s">
        <v>100</v>
      </c>
      <c r="C9" s="1">
        <v>331.49999500345439</v>
      </c>
      <c r="D9" s="1">
        <v>0</v>
      </c>
      <c r="E9">
        <f t="shared" si="0"/>
        <v>3.8428616754169638</v>
      </c>
      <c r="F9">
        <f t="shared" si="1"/>
        <v>5.0892259012792124E-2</v>
      </c>
      <c r="G9">
        <f t="shared" si="2"/>
        <v>273.03618001128189</v>
      </c>
      <c r="H9" s="1">
        <v>52</v>
      </c>
      <c r="I9" s="1">
        <v>0</v>
      </c>
      <c r="J9" s="1">
        <v>0</v>
      </c>
      <c r="K9" s="1">
        <v>0</v>
      </c>
      <c r="L9" s="1">
        <v>0</v>
      </c>
      <c r="M9" s="1">
        <v>1187.5616455078125</v>
      </c>
      <c r="N9" s="1">
        <v>581.3907470703125</v>
      </c>
      <c r="O9" t="e">
        <f t="shared" si="3"/>
        <v>#DIV/0!</v>
      </c>
      <c r="P9">
        <f t="shared" si="4"/>
        <v>1</v>
      </c>
      <c r="Q9">
        <f t="shared" si="5"/>
        <v>0.51043320633540301</v>
      </c>
      <c r="R9" s="1">
        <v>-1</v>
      </c>
      <c r="S9" s="1">
        <v>0.87</v>
      </c>
      <c r="T9" s="1">
        <v>0.92</v>
      </c>
      <c r="U9" s="1">
        <v>8.8702812194824219</v>
      </c>
      <c r="V9">
        <f t="shared" si="6"/>
        <v>0.87443514060974115</v>
      </c>
      <c r="W9">
        <f t="shared" si="7"/>
        <v>2.7622679441452285E-2</v>
      </c>
      <c r="X9">
        <f t="shared" si="8"/>
        <v>0.51043320633540301</v>
      </c>
      <c r="Y9" t="e">
        <f t="shared" si="9"/>
        <v>#DIV/0!</v>
      </c>
      <c r="Z9">
        <f t="shared" si="10"/>
        <v>-1</v>
      </c>
      <c r="AA9" s="1">
        <v>200.49736022949219</v>
      </c>
      <c r="AB9" s="1">
        <v>0.5</v>
      </c>
      <c r="AC9">
        <f t="shared" si="11"/>
        <v>44.745069319965246</v>
      </c>
      <c r="AD9">
        <f t="shared" si="12"/>
        <v>0.53853882495192618</v>
      </c>
      <c r="AE9">
        <f t="shared" si="13"/>
        <v>1.0494863432351402</v>
      </c>
      <c r="AF9">
        <f t="shared" si="14"/>
        <v>19.99427604675293</v>
      </c>
      <c r="AG9" s="1">
        <v>1.5499999523162842</v>
      </c>
      <c r="AH9">
        <f t="shared" si="15"/>
        <v>5.2546729495592217</v>
      </c>
      <c r="AI9" s="1">
        <v>1</v>
      </c>
      <c r="AJ9">
        <f t="shared" si="16"/>
        <v>10.509345899118443</v>
      </c>
      <c r="AK9" s="1">
        <v>18.509496688842773</v>
      </c>
      <c r="AL9" s="1">
        <v>19.99427604675293</v>
      </c>
      <c r="AM9" s="1">
        <v>17.394598007202148</v>
      </c>
      <c r="AN9" s="1">
        <v>404.28201293945312</v>
      </c>
      <c r="AO9" s="1">
        <v>400.07461547851562</v>
      </c>
      <c r="AP9" s="1">
        <v>12.344744682312012</v>
      </c>
      <c r="AQ9" s="1">
        <v>12.895866394042969</v>
      </c>
      <c r="AR9" s="1">
        <v>58.024272918701172</v>
      </c>
      <c r="AS9" s="1">
        <v>60.614719390869141</v>
      </c>
      <c r="AT9" s="1">
        <v>149.50790405273437</v>
      </c>
      <c r="AU9" s="1">
        <v>200.49736022949219</v>
      </c>
      <c r="AV9" s="1">
        <v>32.375816345214844</v>
      </c>
      <c r="AW9" s="1">
        <v>100.52020263671875</v>
      </c>
      <c r="AX9" s="1">
        <v>3.5404791831970215</v>
      </c>
      <c r="AY9" s="1">
        <v>-2.242906391620636E-2</v>
      </c>
      <c r="AZ9" s="1">
        <v>0.75</v>
      </c>
      <c r="BA9" s="1">
        <v>-1.355140209197998</v>
      </c>
      <c r="BB9" s="1">
        <v>7.355140209197998</v>
      </c>
      <c r="BC9" s="1">
        <v>1</v>
      </c>
      <c r="BD9" s="1">
        <v>0</v>
      </c>
      <c r="BE9" s="1">
        <v>0.15999999642372131</v>
      </c>
      <c r="BF9" s="1">
        <v>111115</v>
      </c>
      <c r="BG9">
        <f t="shared" si="17"/>
        <v>0.96456715259450942</v>
      </c>
      <c r="BH9">
        <f t="shared" si="18"/>
        <v>5.3853882495192619E-4</v>
      </c>
      <c r="BI9">
        <f t="shared" si="19"/>
        <v>293.14427604675291</v>
      </c>
      <c r="BJ9">
        <f t="shared" si="20"/>
        <v>291.65949668884275</v>
      </c>
      <c r="BK9">
        <f t="shared" si="21"/>
        <v>32.079576919684314</v>
      </c>
      <c r="BL9">
        <f t="shared" si="22"/>
        <v>-2.7285134581101038E-2</v>
      </c>
      <c r="BM9">
        <f t="shared" si="23"/>
        <v>2.345781446340391</v>
      </c>
      <c r="BN9">
        <f t="shared" si="24"/>
        <v>23.336417802678671</v>
      </c>
      <c r="BO9">
        <f t="shared" si="25"/>
        <v>10.440551408635702</v>
      </c>
      <c r="BP9">
        <f t="shared" si="26"/>
        <v>19.251886367797852</v>
      </c>
      <c r="BQ9">
        <f t="shared" si="27"/>
        <v>2.2400821931940129</v>
      </c>
      <c r="BR9">
        <f t="shared" si="28"/>
        <v>5.0646997306697854E-2</v>
      </c>
      <c r="BS9">
        <f t="shared" si="29"/>
        <v>1.2962951031052508</v>
      </c>
      <c r="BT9">
        <f t="shared" si="30"/>
        <v>0.94378709008876216</v>
      </c>
      <c r="BU9">
        <f t="shared" si="31"/>
        <v>3.1676317557355671E-2</v>
      </c>
      <c r="BV9">
        <f t="shared" si="32"/>
        <v>27.445652141889674</v>
      </c>
      <c r="BW9">
        <f t="shared" si="33"/>
        <v>0.68246314424301224</v>
      </c>
      <c r="BX9">
        <f t="shared" si="34"/>
        <v>54.654823358079582</v>
      </c>
      <c r="BY9">
        <f t="shared" si="35"/>
        <v>399.58097264749529</v>
      </c>
      <c r="BZ9">
        <f t="shared" si="36"/>
        <v>5.2562794636553988E-3</v>
      </c>
      <c r="CA9">
        <f t="shared" si="37"/>
        <v>0</v>
      </c>
      <c r="CB9">
        <f t="shared" si="38"/>
        <v>175.32193738415793</v>
      </c>
      <c r="CC9">
        <f t="shared" si="39"/>
        <v>1187.5616455078125</v>
      </c>
      <c r="CD9">
        <f t="shared" si="40"/>
        <v>0.51043320633540301</v>
      </c>
      <c r="CE9" t="e">
        <f t="shared" si="41"/>
        <v>#DIV/0!</v>
      </c>
    </row>
    <row r="10" spans="1:83" x14ac:dyDescent="0.25">
      <c r="A10" s="1">
        <v>6</v>
      </c>
      <c r="B10" s="1" t="s">
        <v>101</v>
      </c>
      <c r="C10" s="1">
        <v>393.99999069608748</v>
      </c>
      <c r="D10" s="1">
        <v>0</v>
      </c>
      <c r="E10">
        <f t="shared" si="0"/>
        <v>3.8266454602502202</v>
      </c>
      <c r="F10">
        <f t="shared" si="1"/>
        <v>5.2210127978748883E-2</v>
      </c>
      <c r="G10">
        <f t="shared" si="2"/>
        <v>276.47433797318604</v>
      </c>
      <c r="H10" s="1">
        <v>53</v>
      </c>
      <c r="I10" s="1">
        <v>0</v>
      </c>
      <c r="J10" s="1">
        <v>0</v>
      </c>
      <c r="K10" s="1">
        <v>0</v>
      </c>
      <c r="L10" s="1">
        <v>0</v>
      </c>
      <c r="M10" s="1">
        <v>1351.5684814453125</v>
      </c>
      <c r="N10" s="1">
        <v>606.33642578125</v>
      </c>
      <c r="O10" t="e">
        <f t="shared" si="3"/>
        <v>#DIV/0!</v>
      </c>
      <c r="P10">
        <f t="shared" si="4"/>
        <v>1</v>
      </c>
      <c r="Q10">
        <f t="shared" si="5"/>
        <v>0.55138312700747616</v>
      </c>
      <c r="R10" s="1">
        <v>-1</v>
      </c>
      <c r="S10" s="1">
        <v>0.87</v>
      </c>
      <c r="T10" s="1">
        <v>0.92</v>
      </c>
      <c r="U10" s="1">
        <v>10.178630828857422</v>
      </c>
      <c r="V10">
        <f t="shared" si="6"/>
        <v>0.8750893154144288</v>
      </c>
      <c r="W10">
        <f t="shared" si="7"/>
        <v>3.1762428771595436E-2</v>
      </c>
      <c r="X10">
        <f t="shared" si="8"/>
        <v>0.55138312700747616</v>
      </c>
      <c r="Y10" t="e">
        <f t="shared" si="9"/>
        <v>#DIV/0!</v>
      </c>
      <c r="Z10">
        <f t="shared" si="10"/>
        <v>-1</v>
      </c>
      <c r="AA10" s="1">
        <v>173.65180969238281</v>
      </c>
      <c r="AB10" s="1">
        <v>0.5</v>
      </c>
      <c r="AC10">
        <f t="shared" si="11"/>
        <v>41.89432247084936</v>
      </c>
      <c r="AD10">
        <f t="shared" si="12"/>
        <v>0.55624677607067297</v>
      </c>
      <c r="AE10">
        <f t="shared" si="13"/>
        <v>1.0567055011457849</v>
      </c>
      <c r="AF10">
        <f t="shared" si="14"/>
        <v>20.063848495483398</v>
      </c>
      <c r="AG10" s="1">
        <v>1.5499999523162842</v>
      </c>
      <c r="AH10">
        <f t="shared" si="15"/>
        <v>5.2546729495592217</v>
      </c>
      <c r="AI10" s="1">
        <v>1</v>
      </c>
      <c r="AJ10">
        <f t="shared" si="16"/>
        <v>10.509345899118443</v>
      </c>
      <c r="AK10" s="1">
        <v>18.862798690795898</v>
      </c>
      <c r="AL10" s="1">
        <v>20.063848495483398</v>
      </c>
      <c r="AM10" s="1">
        <v>18.023347854614258</v>
      </c>
      <c r="AN10" s="1">
        <v>404.23098754882812</v>
      </c>
      <c r="AO10" s="1">
        <v>400.03277587890625</v>
      </c>
      <c r="AP10" s="1">
        <v>12.355392456054688</v>
      </c>
      <c r="AQ10" s="1">
        <v>12.924660682678223</v>
      </c>
      <c r="AR10" s="1">
        <v>56.805465698242188</v>
      </c>
      <c r="AS10" s="1">
        <v>59.422752380371094</v>
      </c>
      <c r="AT10" s="1">
        <v>149.49702453613281</v>
      </c>
      <c r="AU10" s="1">
        <v>173.65180969238281</v>
      </c>
      <c r="AV10" s="1">
        <v>43.029220581054687</v>
      </c>
      <c r="AW10" s="1">
        <v>100.52115631103516</v>
      </c>
      <c r="AX10" s="1">
        <v>3.5404791831970215</v>
      </c>
      <c r="AY10" s="1">
        <v>-2.242906391620636E-2</v>
      </c>
      <c r="AZ10" s="1">
        <v>0.75</v>
      </c>
      <c r="BA10" s="1">
        <v>-1.355140209197998</v>
      </c>
      <c r="BB10" s="1">
        <v>7.355140209197998</v>
      </c>
      <c r="BC10" s="1">
        <v>1</v>
      </c>
      <c r="BD10" s="1">
        <v>0</v>
      </c>
      <c r="BE10" s="1">
        <v>0.15999999642372131</v>
      </c>
      <c r="BF10" s="1">
        <v>111115</v>
      </c>
      <c r="BG10">
        <f t="shared" si="17"/>
        <v>0.96449696216266267</v>
      </c>
      <c r="BH10">
        <f t="shared" si="18"/>
        <v>5.5624677607067294E-4</v>
      </c>
      <c r="BI10">
        <f t="shared" si="19"/>
        <v>293.21384849548338</v>
      </c>
      <c r="BJ10">
        <f t="shared" si="20"/>
        <v>292.01279869079588</v>
      </c>
      <c r="BK10">
        <f t="shared" si="21"/>
        <v>27.784288929753984</v>
      </c>
      <c r="BL10">
        <f t="shared" si="22"/>
        <v>-3.4572526635425538E-2</v>
      </c>
      <c r="BM10">
        <f t="shared" si="23"/>
        <v>2.3559073378963729</v>
      </c>
      <c r="BN10">
        <f t="shared" si="24"/>
        <v>23.43693033739747</v>
      </c>
      <c r="BO10">
        <f t="shared" si="25"/>
        <v>10.512269654719248</v>
      </c>
      <c r="BP10">
        <f t="shared" si="26"/>
        <v>19.463323593139648</v>
      </c>
      <c r="BQ10">
        <f t="shared" si="27"/>
        <v>2.2697520914027667</v>
      </c>
      <c r="BR10">
        <f t="shared" si="28"/>
        <v>5.1952031779991463E-2</v>
      </c>
      <c r="BS10">
        <f t="shared" si="29"/>
        <v>1.299201836750588</v>
      </c>
      <c r="BT10">
        <f t="shared" si="30"/>
        <v>0.9705502546521787</v>
      </c>
      <c r="BU10">
        <f t="shared" si="31"/>
        <v>3.2493109971560311E-2</v>
      </c>
      <c r="BV10">
        <f t="shared" si="32"/>
        <v>27.791520143392599</v>
      </c>
      <c r="BW10">
        <f t="shared" si="33"/>
        <v>0.69112921401439731</v>
      </c>
      <c r="BX10">
        <f t="shared" si="34"/>
        <v>54.541822513126334</v>
      </c>
      <c r="BY10">
        <f t="shared" si="35"/>
        <v>399.54121613570936</v>
      </c>
      <c r="BZ10">
        <f t="shared" si="36"/>
        <v>5.2237969221862789E-3</v>
      </c>
      <c r="CA10">
        <f t="shared" si="37"/>
        <v>0</v>
      </c>
      <c r="CB10">
        <f t="shared" si="38"/>
        <v>151.96084326418395</v>
      </c>
      <c r="CC10">
        <f t="shared" si="39"/>
        <v>1351.5684814453125</v>
      </c>
      <c r="CD10">
        <f t="shared" si="40"/>
        <v>0.55138312700747616</v>
      </c>
      <c r="CE10" t="e">
        <f t="shared" si="41"/>
        <v>#DIV/0!</v>
      </c>
    </row>
    <row r="11" spans="1:83" x14ac:dyDescent="0.25">
      <c r="A11" s="1">
        <v>7</v>
      </c>
      <c r="B11" s="1" t="s">
        <v>102</v>
      </c>
      <c r="C11" s="1">
        <v>455.99998642317951</v>
      </c>
      <c r="D11" s="1">
        <v>0</v>
      </c>
      <c r="E11">
        <f t="shared" si="0"/>
        <v>3.4222669549740874</v>
      </c>
      <c r="F11">
        <f t="shared" si="1"/>
        <v>5.0723187328338304E-2</v>
      </c>
      <c r="G11">
        <f t="shared" si="2"/>
        <v>286.03142519439103</v>
      </c>
      <c r="H11" s="1">
        <v>54</v>
      </c>
      <c r="I11" s="1">
        <v>0</v>
      </c>
      <c r="J11" s="1">
        <v>0</v>
      </c>
      <c r="K11" s="1">
        <v>0</v>
      </c>
      <c r="L11" s="1">
        <v>0</v>
      </c>
      <c r="M11" s="1">
        <v>1520.5767822265625</v>
      </c>
      <c r="N11" s="1">
        <v>627.57830810546875</v>
      </c>
      <c r="O11" t="e">
        <f t="shared" si="3"/>
        <v>#DIV/0!</v>
      </c>
      <c r="P11">
        <f t="shared" si="4"/>
        <v>1</v>
      </c>
      <c r="Q11">
        <f t="shared" si="5"/>
        <v>0.58727614715613818</v>
      </c>
      <c r="R11" s="1">
        <v>-1</v>
      </c>
      <c r="S11" s="1">
        <v>0.87</v>
      </c>
      <c r="T11" s="1">
        <v>0.92</v>
      </c>
      <c r="U11" s="1">
        <v>9.3449592590332031</v>
      </c>
      <c r="V11">
        <f t="shared" si="6"/>
        <v>0.87467247962951655</v>
      </c>
      <c r="W11">
        <f t="shared" si="7"/>
        <v>3.4163535498943146E-2</v>
      </c>
      <c r="X11">
        <f t="shared" si="8"/>
        <v>0.58727614715613818</v>
      </c>
      <c r="Y11" t="e">
        <f t="shared" si="9"/>
        <v>#DIV/0!</v>
      </c>
      <c r="Z11">
        <f t="shared" si="10"/>
        <v>-1</v>
      </c>
      <c r="AA11" s="1">
        <v>147.99147033691406</v>
      </c>
      <c r="AB11" s="1">
        <v>0.5</v>
      </c>
      <c r="AC11">
        <f t="shared" si="11"/>
        <v>38.00970627137567</v>
      </c>
      <c r="AD11">
        <f t="shared" si="12"/>
        <v>0.5471282281261467</v>
      </c>
      <c r="AE11">
        <f t="shared" si="13"/>
        <v>1.0696347616499078</v>
      </c>
      <c r="AF11">
        <f t="shared" si="14"/>
        <v>20.158514022827148</v>
      </c>
      <c r="AG11" s="1">
        <v>1.5499999523162842</v>
      </c>
      <c r="AH11">
        <f t="shared" si="15"/>
        <v>5.2546729495592217</v>
      </c>
      <c r="AI11" s="1">
        <v>1</v>
      </c>
      <c r="AJ11">
        <f t="shared" si="16"/>
        <v>10.509345899118443</v>
      </c>
      <c r="AK11" s="1">
        <v>19.091236114501953</v>
      </c>
      <c r="AL11" s="1">
        <v>20.158514022827148</v>
      </c>
      <c r="AM11" s="1">
        <v>18.176076889038086</v>
      </c>
      <c r="AN11" s="1">
        <v>404.15176391601562</v>
      </c>
      <c r="AO11" s="1">
        <v>400.37637329101562</v>
      </c>
      <c r="AP11" s="1">
        <v>12.373625755310059</v>
      </c>
      <c r="AQ11" s="1">
        <v>12.933561325073242</v>
      </c>
      <c r="AR11" s="1">
        <v>56.084617614746094</v>
      </c>
      <c r="AS11" s="1">
        <v>58.622581481933594</v>
      </c>
      <c r="AT11" s="1">
        <v>149.495849609375</v>
      </c>
      <c r="AU11" s="1">
        <v>147.99147033691406</v>
      </c>
      <c r="AV11" s="1">
        <v>51.636245727539062</v>
      </c>
      <c r="AW11" s="1">
        <v>100.52236175537109</v>
      </c>
      <c r="AX11" s="1">
        <v>3.5404791831970215</v>
      </c>
      <c r="AY11" s="1">
        <v>-2.242906391620636E-2</v>
      </c>
      <c r="AZ11" s="1">
        <v>0.75</v>
      </c>
      <c r="BA11" s="1">
        <v>-1.355140209197998</v>
      </c>
      <c r="BB11" s="1">
        <v>7.355140209197998</v>
      </c>
      <c r="BC11" s="1">
        <v>1</v>
      </c>
      <c r="BD11" s="1">
        <v>0</v>
      </c>
      <c r="BE11" s="1">
        <v>0.15999999642372131</v>
      </c>
      <c r="BF11" s="1">
        <v>111115</v>
      </c>
      <c r="BG11">
        <f t="shared" si="17"/>
        <v>0.96448938198979828</v>
      </c>
      <c r="BH11">
        <f t="shared" si="18"/>
        <v>5.4712822812614669E-4</v>
      </c>
      <c r="BI11">
        <f t="shared" si="19"/>
        <v>293.30851402282713</v>
      </c>
      <c r="BJ11">
        <f t="shared" si="20"/>
        <v>292.24123611450193</v>
      </c>
      <c r="BK11">
        <f t="shared" si="21"/>
        <v>23.678634724647509</v>
      </c>
      <c r="BL11">
        <f t="shared" si="22"/>
        <v>-4.2680288383529233E-2</v>
      </c>
      <c r="BM11">
        <f t="shared" si="23"/>
        <v>2.3697468919541969</v>
      </c>
      <c r="BN11">
        <f t="shared" si="24"/>
        <v>23.574325658216811</v>
      </c>
      <c r="BO11">
        <f t="shared" si="25"/>
        <v>10.640764333143569</v>
      </c>
      <c r="BP11">
        <f t="shared" si="26"/>
        <v>19.624875068664551</v>
      </c>
      <c r="BQ11">
        <f t="shared" si="27"/>
        <v>2.2926533523788399</v>
      </c>
      <c r="BR11">
        <f t="shared" si="28"/>
        <v>5.0479548606689441E-2</v>
      </c>
      <c r="BS11">
        <f t="shared" si="29"/>
        <v>1.3001121303042891</v>
      </c>
      <c r="BT11">
        <f t="shared" si="30"/>
        <v>0.99254122207455087</v>
      </c>
      <c r="BU11">
        <f t="shared" si="31"/>
        <v>3.1571517206008523E-2</v>
      </c>
      <c r="BV11">
        <f t="shared" si="32"/>
        <v>28.752554396794942</v>
      </c>
      <c r="BW11">
        <f t="shared" si="33"/>
        <v>0.71440635430924293</v>
      </c>
      <c r="BX11">
        <f t="shared" si="34"/>
        <v>54.244499782111092</v>
      </c>
      <c r="BY11">
        <f t="shared" si="35"/>
        <v>399.93675883417274</v>
      </c>
      <c r="BZ11">
        <f t="shared" si="36"/>
        <v>4.6417128456649349E-3</v>
      </c>
      <c r="CA11">
        <f t="shared" si="37"/>
        <v>0</v>
      </c>
      <c r="CB11">
        <f t="shared" si="38"/>
        <v>129.44406632360668</v>
      </c>
      <c r="CC11">
        <f t="shared" si="39"/>
        <v>1520.5767822265625</v>
      </c>
      <c r="CD11">
        <f t="shared" si="40"/>
        <v>0.58727614715613818</v>
      </c>
      <c r="CE11" t="e">
        <f t="shared" si="41"/>
        <v>#DIV/0!</v>
      </c>
    </row>
    <row r="12" spans="1:83" x14ac:dyDescent="0.25">
      <c r="A12" s="1">
        <v>8</v>
      </c>
      <c r="B12" s="1" t="s">
        <v>103</v>
      </c>
      <c r="C12" s="1">
        <v>517.99998215027153</v>
      </c>
      <c r="D12" s="1">
        <v>0</v>
      </c>
      <c r="E12">
        <f t="shared" si="0"/>
        <v>3.1900927217061716</v>
      </c>
      <c r="F12">
        <f t="shared" si="1"/>
        <v>4.886517756288903E-2</v>
      </c>
      <c r="G12">
        <f t="shared" si="2"/>
        <v>289.73177326364174</v>
      </c>
      <c r="H12" s="1">
        <v>55</v>
      </c>
      <c r="I12" s="1">
        <v>0</v>
      </c>
      <c r="J12" s="1">
        <v>0</v>
      </c>
      <c r="K12" s="1">
        <v>0</v>
      </c>
      <c r="L12" s="1">
        <v>0</v>
      </c>
      <c r="M12" s="1">
        <v>1698.010009765625</v>
      </c>
      <c r="N12" s="1">
        <v>651.666015625</v>
      </c>
      <c r="O12" t="e">
        <f t="shared" si="3"/>
        <v>#DIV/0!</v>
      </c>
      <c r="P12">
        <f t="shared" si="4"/>
        <v>1</v>
      </c>
      <c r="Q12">
        <f t="shared" si="5"/>
        <v>0.61621780090981382</v>
      </c>
      <c r="R12" s="1">
        <v>-1</v>
      </c>
      <c r="S12" s="1">
        <v>0.87</v>
      </c>
      <c r="T12" s="1">
        <v>0.92</v>
      </c>
      <c r="U12" s="1">
        <v>10.913486480712891</v>
      </c>
      <c r="V12">
        <f t="shared" si="6"/>
        <v>0.87545674324035649</v>
      </c>
      <c r="W12">
        <f t="shared" si="7"/>
        <v>3.8092393061934918E-2</v>
      </c>
      <c r="X12">
        <f t="shared" si="8"/>
        <v>0.61621780090981382</v>
      </c>
      <c r="Y12" t="e">
        <f t="shared" si="9"/>
        <v>#DIV/0!</v>
      </c>
      <c r="Z12">
        <f t="shared" si="10"/>
        <v>-1</v>
      </c>
      <c r="AA12" s="1">
        <v>125.64658355712891</v>
      </c>
      <c r="AB12" s="1">
        <v>0.5</v>
      </c>
      <c r="AC12">
        <f t="shared" si="11"/>
        <v>33.89140869122965</v>
      </c>
      <c r="AD12">
        <f t="shared" si="12"/>
        <v>0.53796423211040478</v>
      </c>
      <c r="AE12">
        <f t="shared" si="13"/>
        <v>1.0913559780377913</v>
      </c>
      <c r="AF12">
        <f t="shared" si="14"/>
        <v>20.311864852905273</v>
      </c>
      <c r="AG12" s="1">
        <v>1.5499999523162842</v>
      </c>
      <c r="AH12">
        <f t="shared" si="15"/>
        <v>5.2546729495592217</v>
      </c>
      <c r="AI12" s="1">
        <v>1</v>
      </c>
      <c r="AJ12">
        <f t="shared" si="16"/>
        <v>10.509345899118443</v>
      </c>
      <c r="AK12" s="1">
        <v>19.360359191894531</v>
      </c>
      <c r="AL12" s="1">
        <v>20.311864852905273</v>
      </c>
      <c r="AM12" s="1">
        <v>18.599571228027344</v>
      </c>
      <c r="AN12" s="1">
        <v>404.23703002929687</v>
      </c>
      <c r="AO12" s="1">
        <v>400.70645141601562</v>
      </c>
      <c r="AP12" s="1">
        <v>12.391892433166504</v>
      </c>
      <c r="AQ12" s="1">
        <v>12.942371368408203</v>
      </c>
      <c r="AR12" s="1">
        <v>55.232063293457031</v>
      </c>
      <c r="AS12" s="1">
        <v>57.685615539550781</v>
      </c>
      <c r="AT12" s="1">
        <v>149.51573181152344</v>
      </c>
      <c r="AU12" s="1">
        <v>125.64658355712891</v>
      </c>
      <c r="AV12" s="1">
        <v>58.540939331054687</v>
      </c>
      <c r="AW12" s="1">
        <v>100.51953125</v>
      </c>
      <c r="AX12" s="1">
        <v>3.5404791831970215</v>
      </c>
      <c r="AY12" s="1">
        <v>-2.242906391620636E-2</v>
      </c>
      <c r="AZ12" s="1">
        <v>0.75</v>
      </c>
      <c r="BA12" s="1">
        <v>-1.355140209197998</v>
      </c>
      <c r="BB12" s="1">
        <v>7.355140209197998</v>
      </c>
      <c r="BC12" s="1">
        <v>1</v>
      </c>
      <c r="BD12" s="1">
        <v>0</v>
      </c>
      <c r="BE12" s="1">
        <v>0.15999999642372131</v>
      </c>
      <c r="BF12" s="1">
        <v>111115</v>
      </c>
      <c r="BG12">
        <f t="shared" si="17"/>
        <v>0.96461765426566981</v>
      </c>
      <c r="BH12">
        <f t="shared" si="18"/>
        <v>5.3796423211040483E-4</v>
      </c>
      <c r="BI12">
        <f t="shared" si="19"/>
        <v>293.46186485290525</v>
      </c>
      <c r="BJ12">
        <f t="shared" si="20"/>
        <v>292.51035919189451</v>
      </c>
      <c r="BK12">
        <f t="shared" si="21"/>
        <v>20.103452919793426</v>
      </c>
      <c r="BL12">
        <f t="shared" si="22"/>
        <v>-4.958682391897392E-2</v>
      </c>
      <c r="BM12">
        <f t="shared" si="23"/>
        <v>2.392317081253605</v>
      </c>
      <c r="BN12">
        <f t="shared" si="24"/>
        <v>23.799524843621921</v>
      </c>
      <c r="BO12">
        <f t="shared" si="25"/>
        <v>10.857153475213718</v>
      </c>
      <c r="BP12">
        <f t="shared" si="26"/>
        <v>19.836112022399902</v>
      </c>
      <c r="BQ12">
        <f t="shared" si="27"/>
        <v>2.3229033114000197</v>
      </c>
      <c r="BR12">
        <f t="shared" si="28"/>
        <v>4.8639021298261365E-2</v>
      </c>
      <c r="BS12">
        <f t="shared" si="29"/>
        <v>1.3009611032158137</v>
      </c>
      <c r="BT12">
        <f t="shared" si="30"/>
        <v>1.021942208184206</v>
      </c>
      <c r="BU12">
        <f t="shared" si="31"/>
        <v>3.0419626464252919E-2</v>
      </c>
      <c r="BV12">
        <f t="shared" si="32"/>
        <v>29.123702036692549</v>
      </c>
      <c r="BW12">
        <f t="shared" si="33"/>
        <v>0.72305242962719518</v>
      </c>
      <c r="BX12">
        <f t="shared" si="34"/>
        <v>53.742129732788449</v>
      </c>
      <c r="BY12">
        <f t="shared" si="35"/>
        <v>400.29666138572793</v>
      </c>
      <c r="BZ12">
        <f t="shared" si="36"/>
        <v>4.2828830077189803E-3</v>
      </c>
      <c r="CA12">
        <f t="shared" si="37"/>
        <v>0</v>
      </c>
      <c r="CB12">
        <f t="shared" si="38"/>
        <v>109.9981488402014</v>
      </c>
      <c r="CC12">
        <f t="shared" si="39"/>
        <v>1698.010009765625</v>
      </c>
      <c r="CD12">
        <f t="shared" si="40"/>
        <v>0.61621780090981382</v>
      </c>
      <c r="CE12" t="e">
        <f t="shared" si="41"/>
        <v>#DIV/0!</v>
      </c>
    </row>
    <row r="13" spans="1:83" x14ac:dyDescent="0.25">
      <c r="A13" s="1">
        <v>9</v>
      </c>
      <c r="B13" s="1" t="s">
        <v>104</v>
      </c>
      <c r="C13" s="1">
        <v>579.99997787736356</v>
      </c>
      <c r="D13" s="1">
        <v>0</v>
      </c>
      <c r="E13">
        <f t="shared" si="0"/>
        <v>2.6206852824172255</v>
      </c>
      <c r="F13">
        <f t="shared" si="1"/>
        <v>4.6116063966478694E-2</v>
      </c>
      <c r="G13">
        <f t="shared" si="2"/>
        <v>303.60802417162768</v>
      </c>
      <c r="H13" s="1">
        <v>56</v>
      </c>
      <c r="I13" s="1">
        <v>0</v>
      </c>
      <c r="J13" s="1">
        <v>0</v>
      </c>
      <c r="K13" s="1">
        <v>0</v>
      </c>
      <c r="L13" s="1">
        <v>0</v>
      </c>
      <c r="M13" s="1">
        <v>1883.6517333984375</v>
      </c>
      <c r="N13" s="1">
        <v>666.4044189453125</v>
      </c>
      <c r="O13" t="e">
        <f t="shared" si="3"/>
        <v>#DIV/0!</v>
      </c>
      <c r="P13">
        <f t="shared" si="4"/>
        <v>1</v>
      </c>
      <c r="Q13">
        <f t="shared" si="5"/>
        <v>0.64621675698882919</v>
      </c>
      <c r="R13" s="1">
        <v>-1</v>
      </c>
      <c r="S13" s="1">
        <v>0.87</v>
      </c>
      <c r="T13" s="1">
        <v>0.92</v>
      </c>
      <c r="U13" s="1">
        <v>9.8810501098632812</v>
      </c>
      <c r="V13">
        <f t="shared" si="6"/>
        <v>0.87494052505493158</v>
      </c>
      <c r="W13">
        <f t="shared" si="7"/>
        <v>4.1351111572202774E-2</v>
      </c>
      <c r="X13">
        <f t="shared" si="8"/>
        <v>0.64621675698882919</v>
      </c>
      <c r="Y13" t="e">
        <f t="shared" si="9"/>
        <v>#DIV/0!</v>
      </c>
      <c r="Z13">
        <f t="shared" si="10"/>
        <v>-1</v>
      </c>
      <c r="AA13" s="1">
        <v>100.07487487792969</v>
      </c>
      <c r="AB13" s="1">
        <v>0.5</v>
      </c>
      <c r="AC13">
        <f t="shared" si="11"/>
        <v>28.291228606943641</v>
      </c>
      <c r="AD13">
        <f t="shared" si="12"/>
        <v>0.51043964003037889</v>
      </c>
      <c r="AE13">
        <f t="shared" si="13"/>
        <v>1.0969951866893002</v>
      </c>
      <c r="AF13">
        <f t="shared" si="14"/>
        <v>20.335447311401367</v>
      </c>
      <c r="AG13" s="1">
        <v>1.5499999523162842</v>
      </c>
      <c r="AH13">
        <f t="shared" si="15"/>
        <v>5.2546729495592217</v>
      </c>
      <c r="AI13" s="1">
        <v>1</v>
      </c>
      <c r="AJ13">
        <f t="shared" si="16"/>
        <v>10.509345899118443</v>
      </c>
      <c r="AK13" s="1">
        <v>19.397907257080078</v>
      </c>
      <c r="AL13" s="1">
        <v>20.335447311401367</v>
      </c>
      <c r="AM13" s="1">
        <v>18.598237991333008</v>
      </c>
      <c r="AN13" s="1">
        <v>404.06805419921875</v>
      </c>
      <c r="AO13" s="1">
        <v>401.13839721679687</v>
      </c>
      <c r="AP13" s="1">
        <v>12.398067474365234</v>
      </c>
      <c r="AQ13" s="1">
        <v>12.920495986938477</v>
      </c>
      <c r="AR13" s="1">
        <v>55.132648468017578</v>
      </c>
      <c r="AS13" s="1">
        <v>57.455818176269531</v>
      </c>
      <c r="AT13" s="1">
        <v>149.48628234863281</v>
      </c>
      <c r="AU13" s="1">
        <v>100.07487487792969</v>
      </c>
      <c r="AV13" s="1">
        <v>65.110145568847656</v>
      </c>
      <c r="AW13" s="1">
        <v>100.52318572998047</v>
      </c>
      <c r="AX13" s="1">
        <v>3.5404791831970215</v>
      </c>
      <c r="AY13" s="1">
        <v>-2.242906391620636E-2</v>
      </c>
      <c r="AZ13" s="1">
        <v>0.75</v>
      </c>
      <c r="BA13" s="1">
        <v>-1.355140209197998</v>
      </c>
      <c r="BB13" s="1">
        <v>7.355140209197998</v>
      </c>
      <c r="BC13" s="1">
        <v>1</v>
      </c>
      <c r="BD13" s="1">
        <v>0</v>
      </c>
      <c r="BE13" s="1">
        <v>0.15999999642372131</v>
      </c>
      <c r="BF13" s="1">
        <v>111115</v>
      </c>
      <c r="BG13">
        <f t="shared" si="17"/>
        <v>0.96442765772504668</v>
      </c>
      <c r="BH13">
        <f t="shared" si="18"/>
        <v>5.1043964003037886E-4</v>
      </c>
      <c r="BI13">
        <f t="shared" si="19"/>
        <v>293.48544731140134</v>
      </c>
      <c r="BJ13">
        <f t="shared" si="20"/>
        <v>292.54790725708006</v>
      </c>
      <c r="BK13">
        <f t="shared" si="21"/>
        <v>16.011979622573108</v>
      </c>
      <c r="BL13">
        <f t="shared" si="22"/>
        <v>-5.9300324328852058E-2</v>
      </c>
      <c r="BM13">
        <f t="shared" si="23"/>
        <v>2.3958046045077839</v>
      </c>
      <c r="BN13">
        <f t="shared" si="24"/>
        <v>23.833353341419709</v>
      </c>
      <c r="BO13">
        <f t="shared" si="25"/>
        <v>10.912857354481233</v>
      </c>
      <c r="BP13">
        <f t="shared" si="26"/>
        <v>19.866677284240723</v>
      </c>
      <c r="BQ13">
        <f t="shared" si="27"/>
        <v>2.3273092153959283</v>
      </c>
      <c r="BR13">
        <f t="shared" si="28"/>
        <v>4.5914586156867152E-2</v>
      </c>
      <c r="BS13">
        <f t="shared" si="29"/>
        <v>1.2988094178184837</v>
      </c>
      <c r="BT13">
        <f t="shared" si="30"/>
        <v>1.0284997975774446</v>
      </c>
      <c r="BU13">
        <f t="shared" si="31"/>
        <v>2.8714650111543304E-2</v>
      </c>
      <c r="BV13">
        <f t="shared" si="32"/>
        <v>30.51964580291693</v>
      </c>
      <c r="BW13">
        <f t="shared" si="33"/>
        <v>0.75686602498823241</v>
      </c>
      <c r="BX13">
        <f t="shared" si="34"/>
        <v>53.558417584356292</v>
      </c>
      <c r="BY13">
        <f t="shared" si="35"/>
        <v>400.80175160961784</v>
      </c>
      <c r="BZ13">
        <f t="shared" si="36"/>
        <v>3.5019746333241901E-3</v>
      </c>
      <c r="CA13">
        <f t="shared" si="37"/>
        <v>0</v>
      </c>
      <c r="CB13">
        <f t="shared" si="38"/>
        <v>87.559563570502377</v>
      </c>
      <c r="CC13">
        <f t="shared" si="39"/>
        <v>1883.6517333984375</v>
      </c>
      <c r="CD13">
        <f t="shared" si="40"/>
        <v>0.64621675698882919</v>
      </c>
      <c r="CE13" t="e">
        <f t="shared" si="41"/>
        <v>#DIV/0!</v>
      </c>
    </row>
    <row r="14" spans="1:83" x14ac:dyDescent="0.25">
      <c r="A14" s="1">
        <v>11</v>
      </c>
      <c r="B14" s="1" t="s">
        <v>105</v>
      </c>
      <c r="C14" s="1">
        <v>704.49996929708868</v>
      </c>
      <c r="D14" s="1">
        <v>0</v>
      </c>
      <c r="E14">
        <f t="shared" si="0"/>
        <v>1.3318231871931234</v>
      </c>
      <c r="F14">
        <f t="shared" si="1"/>
        <v>3.9838672500979617E-2</v>
      </c>
      <c r="G14">
        <f t="shared" si="2"/>
        <v>340.5983248603963</v>
      </c>
      <c r="H14" s="1">
        <v>58</v>
      </c>
      <c r="I14" s="1">
        <v>0</v>
      </c>
      <c r="J14" s="1">
        <v>0</v>
      </c>
      <c r="K14" s="1">
        <v>0</v>
      </c>
      <c r="L14" s="1">
        <v>0</v>
      </c>
      <c r="M14" s="1">
        <v>2066.5439453125</v>
      </c>
      <c r="N14" s="1">
        <v>618.4039306640625</v>
      </c>
      <c r="O14" t="e">
        <f t="shared" si="3"/>
        <v>#DIV/0!</v>
      </c>
      <c r="P14">
        <f t="shared" si="4"/>
        <v>1</v>
      </c>
      <c r="Q14">
        <f t="shared" si="5"/>
        <v>0.7007545220285416</v>
      </c>
      <c r="R14" s="1">
        <v>-1</v>
      </c>
      <c r="S14" s="1">
        <v>0.87</v>
      </c>
      <c r="T14" s="1">
        <v>0.92</v>
      </c>
      <c r="U14" s="1">
        <v>12.256671905517578</v>
      </c>
      <c r="V14">
        <f t="shared" si="6"/>
        <v>0.87612833595275885</v>
      </c>
      <c r="W14">
        <f t="shared" si="7"/>
        <v>5.3421427670956388E-2</v>
      </c>
      <c r="X14">
        <f t="shared" si="8"/>
        <v>0.7007545220285416</v>
      </c>
      <c r="Y14" t="e">
        <f t="shared" si="9"/>
        <v>#DIV/0!</v>
      </c>
      <c r="Z14">
        <f t="shared" si="10"/>
        <v>-1</v>
      </c>
      <c r="AA14" s="1">
        <v>49.820995330810547</v>
      </c>
      <c r="AB14" s="1">
        <v>0.5</v>
      </c>
      <c r="AC14">
        <f t="shared" si="11"/>
        <v>15.293822294129397</v>
      </c>
      <c r="AD14">
        <f t="shared" si="12"/>
        <v>0.44032042073811506</v>
      </c>
      <c r="AE14">
        <f t="shared" si="13"/>
        <v>1.094870836698159</v>
      </c>
      <c r="AF14">
        <f t="shared" si="14"/>
        <v>20.262357711791992</v>
      </c>
      <c r="AG14" s="1">
        <v>1.5499999523162842</v>
      </c>
      <c r="AH14">
        <f t="shared" si="15"/>
        <v>5.2546729495592217</v>
      </c>
      <c r="AI14" s="1">
        <v>1</v>
      </c>
      <c r="AJ14">
        <f t="shared" si="16"/>
        <v>10.509345899118443</v>
      </c>
      <c r="AK14" s="1">
        <v>19.410150527954102</v>
      </c>
      <c r="AL14" s="1">
        <v>20.262357711791992</v>
      </c>
      <c r="AM14" s="1">
        <v>18.595975875854492</v>
      </c>
      <c r="AN14" s="1">
        <v>402.40106201171875</v>
      </c>
      <c r="AO14" s="1">
        <v>400.83770751953125</v>
      </c>
      <c r="AP14" s="1">
        <v>12.383662223815918</v>
      </c>
      <c r="AQ14" s="1">
        <v>12.83419132232666</v>
      </c>
      <c r="AR14" s="1">
        <v>55.026897430419922</v>
      </c>
      <c r="AS14" s="1">
        <v>57.028823852539063</v>
      </c>
      <c r="AT14" s="1">
        <v>149.5435791015625</v>
      </c>
      <c r="AU14" s="1">
        <v>49.820995330810547</v>
      </c>
      <c r="AV14" s="1">
        <v>69.76226806640625</v>
      </c>
      <c r="AW14" s="1">
        <v>100.52361297607422</v>
      </c>
      <c r="AX14" s="1">
        <v>3.5404791831970215</v>
      </c>
      <c r="AY14" s="1">
        <v>-2.242906391620636E-2</v>
      </c>
      <c r="AZ14" s="1">
        <v>0.75</v>
      </c>
      <c r="BA14" s="1">
        <v>-1.355140209197998</v>
      </c>
      <c r="BB14" s="1">
        <v>7.355140209197998</v>
      </c>
      <c r="BC14" s="1">
        <v>1</v>
      </c>
      <c r="BD14" s="1">
        <v>0</v>
      </c>
      <c r="BE14" s="1">
        <v>0.15999999642372131</v>
      </c>
      <c r="BF14" s="1">
        <v>111115</v>
      </c>
      <c r="BG14">
        <f t="shared" si="17"/>
        <v>0.96479731420693271</v>
      </c>
      <c r="BH14">
        <f t="shared" si="18"/>
        <v>4.4032042073811504E-4</v>
      </c>
      <c r="BI14">
        <f t="shared" si="19"/>
        <v>293.41235771179197</v>
      </c>
      <c r="BJ14">
        <f t="shared" si="20"/>
        <v>292.56015052795408</v>
      </c>
      <c r="BK14">
        <f t="shared" si="21"/>
        <v>7.9713590747559238</v>
      </c>
      <c r="BL14">
        <f t="shared" si="22"/>
        <v>-7.361068913109764E-2</v>
      </c>
      <c r="BM14">
        <f t="shared" si="23"/>
        <v>2.3850101180446144</v>
      </c>
      <c r="BN14">
        <f t="shared" si="24"/>
        <v>23.72586944932306</v>
      </c>
      <c r="BO14">
        <f t="shared" si="25"/>
        <v>10.8916781269964</v>
      </c>
      <c r="BP14">
        <f t="shared" si="26"/>
        <v>19.836254119873047</v>
      </c>
      <c r="BQ14">
        <f t="shared" si="27"/>
        <v>2.322923777462333</v>
      </c>
      <c r="BR14">
        <f t="shared" si="28"/>
        <v>3.9688222974206704E-2</v>
      </c>
      <c r="BS14">
        <f t="shared" si="29"/>
        <v>1.2901392813464554</v>
      </c>
      <c r="BT14">
        <f t="shared" si="30"/>
        <v>1.0327844961158776</v>
      </c>
      <c r="BU14">
        <f t="shared" si="31"/>
        <v>2.4818612576375205E-2</v>
      </c>
      <c r="BV14">
        <f t="shared" si="32"/>
        <v>34.238174188565672</v>
      </c>
      <c r="BW14">
        <f t="shared" si="33"/>
        <v>0.84971627786240711</v>
      </c>
      <c r="BX14">
        <f t="shared" si="34"/>
        <v>53.415457754878481</v>
      </c>
      <c r="BY14">
        <f t="shared" si="35"/>
        <v>400.66662538749659</v>
      </c>
      <c r="BZ14">
        <f t="shared" si="36"/>
        <v>1.7755395804100317E-3</v>
      </c>
      <c r="CA14">
        <f t="shared" si="37"/>
        <v>0</v>
      </c>
      <c r="CB14">
        <f t="shared" si="38"/>
        <v>43.649585734693211</v>
      </c>
      <c r="CC14">
        <f t="shared" si="39"/>
        <v>2066.5439453125</v>
      </c>
      <c r="CD14">
        <f t="shared" si="40"/>
        <v>0.7007545220285416</v>
      </c>
      <c r="CE14" t="e">
        <f t="shared" si="41"/>
        <v>#DIV/0!</v>
      </c>
    </row>
    <row r="15" spans="1:83" x14ac:dyDescent="0.25">
      <c r="A15" s="1">
        <v>12</v>
      </c>
      <c r="B15" s="1" t="s">
        <v>106</v>
      </c>
      <c r="C15" s="1">
        <v>765.00001550652087</v>
      </c>
      <c r="D15" s="1">
        <v>0</v>
      </c>
      <c r="E15">
        <f t="shared" si="0"/>
        <v>0.69681546090285029</v>
      </c>
      <c r="F15">
        <f t="shared" si="1"/>
        <v>3.7084187572990486E-2</v>
      </c>
      <c r="G15">
        <f t="shared" si="2"/>
        <v>364.55500707395322</v>
      </c>
      <c r="H15" s="1">
        <v>59</v>
      </c>
      <c r="I15" s="1">
        <v>0</v>
      </c>
      <c r="J15" s="1">
        <v>0</v>
      </c>
      <c r="K15" s="1">
        <v>0</v>
      </c>
      <c r="L15" s="1">
        <v>0</v>
      </c>
      <c r="M15" s="1">
        <v>2107.795654296875</v>
      </c>
      <c r="N15" s="1">
        <v>569.339111328125</v>
      </c>
      <c r="O15" t="e">
        <f t="shared" si="3"/>
        <v>#DIV/0!</v>
      </c>
      <c r="P15">
        <f t="shared" si="4"/>
        <v>1</v>
      </c>
      <c r="Q15">
        <f t="shared" si="5"/>
        <v>0.72988884849084346</v>
      </c>
      <c r="R15" s="1">
        <v>-1</v>
      </c>
      <c r="S15" s="1">
        <v>0.87</v>
      </c>
      <c r="T15" s="1">
        <v>0.92</v>
      </c>
      <c r="U15" s="1">
        <v>14.168544769287109</v>
      </c>
      <c r="V15">
        <f t="shared" si="6"/>
        <v>0.8770842723846437</v>
      </c>
      <c r="W15">
        <f t="shared" si="7"/>
        <v>8.4006132743142656E-2</v>
      </c>
      <c r="X15">
        <f t="shared" si="8"/>
        <v>0.72988884849084346</v>
      </c>
      <c r="Y15" t="e">
        <f t="shared" si="9"/>
        <v>#DIV/0!</v>
      </c>
      <c r="Z15">
        <f t="shared" si="10"/>
        <v>-1</v>
      </c>
      <c r="AA15" s="1">
        <v>23.029382705688477</v>
      </c>
      <c r="AB15" s="1">
        <v>0.5</v>
      </c>
      <c r="AC15">
        <f t="shared" si="11"/>
        <v>7.3714063629535298</v>
      </c>
      <c r="AD15">
        <f t="shared" si="12"/>
        <v>0.41078958899818829</v>
      </c>
      <c r="AE15">
        <f t="shared" si="13"/>
        <v>1.0970669977788909</v>
      </c>
      <c r="AF15">
        <f t="shared" si="14"/>
        <v>20.24708366394043</v>
      </c>
      <c r="AG15" s="1">
        <v>1.5499999523162842</v>
      </c>
      <c r="AH15">
        <f t="shared" si="15"/>
        <v>5.2546729495592217</v>
      </c>
      <c r="AI15" s="1">
        <v>1</v>
      </c>
      <c r="AJ15">
        <f t="shared" si="16"/>
        <v>10.509345899118443</v>
      </c>
      <c r="AK15" s="1">
        <v>19.530597686767578</v>
      </c>
      <c r="AL15" s="1">
        <v>20.24708366394043</v>
      </c>
      <c r="AM15" s="1">
        <v>18.791189193725586</v>
      </c>
      <c r="AN15" s="1">
        <v>402.41265869140625</v>
      </c>
      <c r="AO15" s="1">
        <v>401.519287109375</v>
      </c>
      <c r="AP15" s="1">
        <v>12.369478225708008</v>
      </c>
      <c r="AQ15" s="1">
        <v>12.789892196655273</v>
      </c>
      <c r="AR15" s="1">
        <v>54.554050445556641</v>
      </c>
      <c r="AS15" s="1">
        <v>56.408237457275391</v>
      </c>
      <c r="AT15" s="1">
        <v>149.51458740234375</v>
      </c>
      <c r="AU15" s="1">
        <v>23.029382705688477</v>
      </c>
      <c r="AV15" s="1">
        <v>47.328842163085938</v>
      </c>
      <c r="AW15" s="1">
        <v>100.52412414550781</v>
      </c>
      <c r="AX15" s="1">
        <v>3.3466925621032715</v>
      </c>
      <c r="AY15" s="1">
        <v>-3.268297016620636E-2</v>
      </c>
      <c r="AZ15" s="1">
        <v>0.75</v>
      </c>
      <c r="BA15" s="1">
        <v>-1.355140209197998</v>
      </c>
      <c r="BB15" s="1">
        <v>7.355140209197998</v>
      </c>
      <c r="BC15" s="1">
        <v>1</v>
      </c>
      <c r="BD15" s="1">
        <v>0</v>
      </c>
      <c r="BE15" s="1">
        <v>0.15999999642372131</v>
      </c>
      <c r="BF15" s="1">
        <v>111115</v>
      </c>
      <c r="BG15">
        <f t="shared" si="17"/>
        <v>0.96461027098041241</v>
      </c>
      <c r="BH15">
        <f t="shared" si="18"/>
        <v>4.1078958899818828E-4</v>
      </c>
      <c r="BI15">
        <f t="shared" si="19"/>
        <v>293.39708366394041</v>
      </c>
      <c r="BJ15">
        <f t="shared" si="20"/>
        <v>292.68059768676756</v>
      </c>
      <c r="BK15">
        <f t="shared" si="21"/>
        <v>3.6847011505506657</v>
      </c>
      <c r="BL15">
        <f t="shared" si="22"/>
        <v>-7.9012397600484979E-2</v>
      </c>
      <c r="BM15">
        <f t="shared" si="23"/>
        <v>2.3827597087631274</v>
      </c>
      <c r="BN15">
        <f t="shared" si="24"/>
        <v>23.70336204386226</v>
      </c>
      <c r="BO15">
        <f t="shared" si="25"/>
        <v>10.913469847206986</v>
      </c>
      <c r="BP15">
        <f t="shared" si="26"/>
        <v>19.888840675354004</v>
      </c>
      <c r="BQ15">
        <f t="shared" si="27"/>
        <v>2.3305085899126312</v>
      </c>
      <c r="BR15">
        <f t="shared" si="28"/>
        <v>3.695378923377577E-2</v>
      </c>
      <c r="BS15">
        <f t="shared" si="29"/>
        <v>1.2856927109842364</v>
      </c>
      <c r="BT15">
        <f t="shared" si="30"/>
        <v>1.0448158789283948</v>
      </c>
      <c r="BU15">
        <f t="shared" si="31"/>
        <v>2.3107798455945971E-2</v>
      </c>
      <c r="BV15">
        <f t="shared" si="32"/>
        <v>36.646572788968555</v>
      </c>
      <c r="BW15">
        <f t="shared" si="33"/>
        <v>0.90793896776033922</v>
      </c>
      <c r="BX15">
        <f t="shared" si="34"/>
        <v>53.267317643828129</v>
      </c>
      <c r="BY15">
        <f t="shared" si="35"/>
        <v>401.42977622247025</v>
      </c>
      <c r="BZ15">
        <f t="shared" si="36"/>
        <v>9.2463221947124098E-4</v>
      </c>
      <c r="CA15">
        <f t="shared" si="37"/>
        <v>0</v>
      </c>
      <c r="CB15">
        <f t="shared" si="38"/>
        <v>20.198709373886274</v>
      </c>
      <c r="CC15">
        <f t="shared" si="39"/>
        <v>2107.795654296875</v>
      </c>
      <c r="CD15">
        <f t="shared" si="40"/>
        <v>0.72988884849084346</v>
      </c>
      <c r="CE15" t="e">
        <f t="shared" si="41"/>
        <v>#DIV/0!</v>
      </c>
    </row>
    <row r="16" spans="1:83" x14ac:dyDescent="0.25">
      <c r="A16" s="1">
        <v>13</v>
      </c>
      <c r="B16" s="1" t="s">
        <v>107</v>
      </c>
      <c r="C16" s="1">
        <v>827.0000112336129</v>
      </c>
      <c r="D16" s="1">
        <v>0</v>
      </c>
      <c r="E16">
        <f t="shared" si="0"/>
        <v>-0.81805122296715871</v>
      </c>
      <c r="F16">
        <f t="shared" si="1"/>
        <v>3.6206248575100908E-2</v>
      </c>
      <c r="G16">
        <f t="shared" si="2"/>
        <v>430.13078047296329</v>
      </c>
      <c r="H16" s="1">
        <v>60</v>
      </c>
      <c r="I16" s="1">
        <v>0</v>
      </c>
      <c r="J16" s="1">
        <v>0</v>
      </c>
      <c r="K16" s="1">
        <v>0</v>
      </c>
      <c r="L16" s="1">
        <v>0</v>
      </c>
      <c r="M16" s="1">
        <v>2190.849609375</v>
      </c>
      <c r="N16" s="1">
        <v>492.41937255859375</v>
      </c>
      <c r="O16" t="e">
        <f t="shared" si="3"/>
        <v>#DIV/0!</v>
      </c>
      <c r="P16">
        <f t="shared" si="4"/>
        <v>1</v>
      </c>
      <c r="Q16">
        <f t="shared" si="5"/>
        <v>0.77523816767182396</v>
      </c>
      <c r="R16" s="1">
        <v>-1</v>
      </c>
      <c r="S16" s="1">
        <v>0.87</v>
      </c>
      <c r="T16" s="1">
        <v>0.92</v>
      </c>
      <c r="U16" s="1">
        <v>0</v>
      </c>
      <c r="V16">
        <f t="shared" si="6"/>
        <v>0.87</v>
      </c>
      <c r="W16">
        <f t="shared" si="7"/>
        <v>0.44730295031394968</v>
      </c>
      <c r="X16">
        <f t="shared" si="8"/>
        <v>0.77523816767182396</v>
      </c>
      <c r="Y16" t="e">
        <f t="shared" si="9"/>
        <v>#DIV/0!</v>
      </c>
      <c r="Z16">
        <f t="shared" si="10"/>
        <v>-1</v>
      </c>
      <c r="AA16" s="1">
        <v>0.46755006909370422</v>
      </c>
      <c r="AB16" s="1">
        <v>0.5</v>
      </c>
      <c r="AC16">
        <f t="shared" si="11"/>
        <v>0.1576712566036815</v>
      </c>
      <c r="AD16">
        <f t="shared" si="12"/>
        <v>0.40200907233935801</v>
      </c>
      <c r="AE16">
        <f t="shared" si="13"/>
        <v>1.0995797664546039</v>
      </c>
      <c r="AF16">
        <f t="shared" si="14"/>
        <v>20.240041732788086</v>
      </c>
      <c r="AG16" s="1">
        <v>1.5499999523162842</v>
      </c>
      <c r="AH16">
        <f t="shared" si="15"/>
        <v>5.2546729495592217</v>
      </c>
      <c r="AI16" s="1">
        <v>1</v>
      </c>
      <c r="AJ16">
        <f t="shared" si="16"/>
        <v>10.509345899118443</v>
      </c>
      <c r="AK16" s="1">
        <v>19.765264511108398</v>
      </c>
      <c r="AL16" s="1">
        <v>20.240041732788086</v>
      </c>
      <c r="AM16" s="1">
        <v>19.187871932983398</v>
      </c>
      <c r="AN16" s="1">
        <v>400.59942626953125</v>
      </c>
      <c r="AO16" s="1">
        <v>401.28033447265625</v>
      </c>
      <c r="AP16" s="1">
        <v>12.343147277832031</v>
      </c>
      <c r="AQ16" s="1">
        <v>12.754638671875</v>
      </c>
      <c r="AR16" s="1">
        <v>53.65020751953125</v>
      </c>
      <c r="AS16" s="1">
        <v>55.438774108886719</v>
      </c>
      <c r="AT16" s="1">
        <v>149.49679565429688</v>
      </c>
      <c r="AU16" s="1">
        <v>0.46755006909370422</v>
      </c>
      <c r="AV16" s="1">
        <v>74.8345947265625</v>
      </c>
      <c r="AW16" s="1">
        <v>100.52366638183594</v>
      </c>
      <c r="AX16" s="1">
        <v>3.3466925621032715</v>
      </c>
      <c r="AY16" s="1">
        <v>-3.268297016620636E-2</v>
      </c>
      <c r="AZ16" s="1">
        <v>0.75</v>
      </c>
      <c r="BA16" s="1">
        <v>-1.355140209197998</v>
      </c>
      <c r="BB16" s="1">
        <v>7.355140209197998</v>
      </c>
      <c r="BC16" s="1">
        <v>1</v>
      </c>
      <c r="BD16" s="1">
        <v>0</v>
      </c>
      <c r="BE16" s="1">
        <v>0.15999999642372131</v>
      </c>
      <c r="BF16" s="1">
        <v>111115</v>
      </c>
      <c r="BG16">
        <f t="shared" si="17"/>
        <v>0.96449548550561104</v>
      </c>
      <c r="BH16">
        <f t="shared" si="18"/>
        <v>4.0200907233935802E-4</v>
      </c>
      <c r="BI16">
        <f t="shared" si="19"/>
        <v>293.39004173278806</v>
      </c>
      <c r="BJ16">
        <f t="shared" si="20"/>
        <v>292.91526451110838</v>
      </c>
      <c r="BK16">
        <f t="shared" si="21"/>
        <v>7.4808009382903329E-2</v>
      </c>
      <c r="BL16">
        <f t="shared" si="22"/>
        <v>-8.117538845435672E-2</v>
      </c>
      <c r="BM16">
        <f t="shared" si="23"/>
        <v>2.3817228091270293</v>
      </c>
      <c r="BN16">
        <f t="shared" si="24"/>
        <v>23.693155003719536</v>
      </c>
      <c r="BO16">
        <f t="shared" si="25"/>
        <v>10.938516331844536</v>
      </c>
      <c r="BP16">
        <f t="shared" si="26"/>
        <v>20.002653121948242</v>
      </c>
      <c r="BQ16">
        <f t="shared" si="27"/>
        <v>2.3469986610992972</v>
      </c>
      <c r="BR16">
        <f t="shared" si="28"/>
        <v>3.6081940960144145E-2</v>
      </c>
      <c r="BS16">
        <f t="shared" si="29"/>
        <v>1.2821430426724254</v>
      </c>
      <c r="BT16">
        <f t="shared" si="30"/>
        <v>1.0648556184268718</v>
      </c>
      <c r="BU16">
        <f t="shared" si="31"/>
        <v>2.2562348513928385E-2</v>
      </c>
      <c r="BV16">
        <f t="shared" si="32"/>
        <v>43.238323076822873</v>
      </c>
      <c r="BW16">
        <f t="shared" si="33"/>
        <v>1.0718959877219525</v>
      </c>
      <c r="BX16">
        <f t="shared" si="34"/>
        <v>53.13707093555395</v>
      </c>
      <c r="BY16">
        <f t="shared" si="35"/>
        <v>401.38541895285192</v>
      </c>
      <c r="BZ16">
        <f t="shared" si="36"/>
        <v>-1.082970227895313E-3</v>
      </c>
      <c r="CA16">
        <f t="shared" si="37"/>
        <v>0</v>
      </c>
      <c r="CB16">
        <f t="shared" si="38"/>
        <v>0.40676856011152268</v>
      </c>
      <c r="CC16">
        <f t="shared" si="39"/>
        <v>2190.849609375</v>
      </c>
      <c r="CD16">
        <f t="shared" si="40"/>
        <v>0.77523816767182396</v>
      </c>
      <c r="CE16" t="e">
        <f t="shared" si="41"/>
        <v>#DIV/0!</v>
      </c>
    </row>
    <row r="17" spans="1:83" x14ac:dyDescent="0.25">
      <c r="A17" s="1">
        <v>14</v>
      </c>
      <c r="B17" s="1" t="s">
        <v>108</v>
      </c>
      <c r="C17" s="1">
        <v>1012.5000036871061</v>
      </c>
      <c r="D17" s="1">
        <v>0</v>
      </c>
      <c r="E17">
        <f t="shared" si="0"/>
        <v>-0.93478409641872207</v>
      </c>
      <c r="F17">
        <f t="shared" si="1"/>
        <v>2.4542621036731292E-2</v>
      </c>
      <c r="G17">
        <f t="shared" si="2"/>
        <v>453.07162502327634</v>
      </c>
      <c r="H17" s="1">
        <v>60</v>
      </c>
      <c r="I17" s="1">
        <v>0</v>
      </c>
      <c r="J17" s="1">
        <v>0</v>
      </c>
      <c r="K17" s="1">
        <v>0</v>
      </c>
      <c r="L17" s="1">
        <v>0</v>
      </c>
      <c r="M17" s="1">
        <v>2190.849609375</v>
      </c>
      <c r="N17" s="1">
        <v>492.41937255859375</v>
      </c>
      <c r="O17" t="e">
        <f t="shared" si="3"/>
        <v>#DIV/0!</v>
      </c>
      <c r="P17">
        <f t="shared" si="4"/>
        <v>1</v>
      </c>
      <c r="Q17">
        <f t="shared" si="5"/>
        <v>0.77523816767182396</v>
      </c>
      <c r="R17" s="1">
        <v>-1</v>
      </c>
      <c r="S17" s="1">
        <v>0.87</v>
      </c>
      <c r="T17" s="1">
        <v>0.92</v>
      </c>
      <c r="U17" s="1">
        <v>0</v>
      </c>
      <c r="V17">
        <f t="shared" si="6"/>
        <v>0.87</v>
      </c>
      <c r="W17">
        <f t="shared" si="7"/>
        <v>0.12108049503144715</v>
      </c>
      <c r="X17">
        <f t="shared" si="8"/>
        <v>0.77523816767182396</v>
      </c>
      <c r="Y17" t="e">
        <f t="shared" si="9"/>
        <v>#DIV/0!</v>
      </c>
      <c r="Z17">
        <f t="shared" si="10"/>
        <v>-1</v>
      </c>
      <c r="AA17" s="1">
        <v>0.46755006909370422</v>
      </c>
      <c r="AB17" s="1">
        <v>0.5</v>
      </c>
      <c r="AC17">
        <f t="shared" si="11"/>
        <v>0.1576712566036815</v>
      </c>
      <c r="AD17">
        <f t="shared" si="12"/>
        <v>0.28321928760596621</v>
      </c>
      <c r="AE17">
        <f t="shared" si="13"/>
        <v>1.1414613314380904</v>
      </c>
      <c r="AF17">
        <f t="shared" si="14"/>
        <v>20.431159973144531</v>
      </c>
      <c r="AG17" s="1">
        <v>1.5499999523162842</v>
      </c>
      <c r="AH17">
        <f t="shared" si="15"/>
        <v>5.2546729495592217</v>
      </c>
      <c r="AI17" s="1">
        <v>1</v>
      </c>
      <c r="AJ17">
        <f t="shared" si="16"/>
        <v>10.509345899118443</v>
      </c>
      <c r="AK17" s="1">
        <v>19.603609085083008</v>
      </c>
      <c r="AL17" s="1">
        <v>20.431159973144531</v>
      </c>
      <c r="AM17" s="1">
        <v>18.572355270385742</v>
      </c>
      <c r="AN17" s="1">
        <v>399.04721069335937</v>
      </c>
      <c r="AO17" s="1">
        <v>399.89895629882812</v>
      </c>
      <c r="AP17" s="1">
        <v>12.329483032226563</v>
      </c>
      <c r="AQ17" s="1">
        <v>12.619415283203125</v>
      </c>
      <c r="AR17" s="1">
        <v>54.131023406982422</v>
      </c>
      <c r="AS17" s="1">
        <v>55.403938293457031</v>
      </c>
      <c r="AT17" s="1">
        <v>149.50047302246094</v>
      </c>
      <c r="AU17" s="1">
        <v>0.619098961353302</v>
      </c>
      <c r="AV17" s="1">
        <v>66.56317138671875</v>
      </c>
      <c r="AW17" s="1">
        <v>100.52317047119141</v>
      </c>
      <c r="AX17" s="1">
        <v>3.3466925621032715</v>
      </c>
      <c r="AY17" s="1">
        <v>-3.268297016620636E-2</v>
      </c>
      <c r="AZ17" s="1">
        <v>1</v>
      </c>
      <c r="BA17" s="1">
        <v>-1.355140209197998</v>
      </c>
      <c r="BB17" s="1">
        <v>7.355140209197998</v>
      </c>
      <c r="BC17" s="1">
        <v>1</v>
      </c>
      <c r="BD17" s="1">
        <v>0</v>
      </c>
      <c r="BE17" s="1">
        <v>0.15999999642372131</v>
      </c>
      <c r="BF17" s="1">
        <v>111115</v>
      </c>
      <c r="BG17">
        <f t="shared" si="17"/>
        <v>0.96451921046223821</v>
      </c>
      <c r="BH17">
        <f t="shared" si="18"/>
        <v>2.832192876059662E-4</v>
      </c>
      <c r="BI17">
        <f t="shared" si="19"/>
        <v>293.58115997314451</v>
      </c>
      <c r="BJ17">
        <f t="shared" si="20"/>
        <v>292.75360908508299</v>
      </c>
      <c r="BK17">
        <f t="shared" si="21"/>
        <v>9.90558316024579E-2</v>
      </c>
      <c r="BL17">
        <f t="shared" si="22"/>
        <v>-7.6074029242607685E-2</v>
      </c>
      <c r="BM17">
        <f t="shared" si="23"/>
        <v>2.4100049651982762</v>
      </c>
      <c r="BN17">
        <f t="shared" si="24"/>
        <v>23.974621511653886</v>
      </c>
      <c r="BO17">
        <f t="shared" si="25"/>
        <v>11.355206228450761</v>
      </c>
      <c r="BP17">
        <f t="shared" si="26"/>
        <v>20.01738452911377</v>
      </c>
      <c r="BQ17">
        <f t="shared" si="27"/>
        <v>2.3491405222258273</v>
      </c>
      <c r="BR17">
        <f t="shared" si="28"/>
        <v>2.4485439849916937E-2</v>
      </c>
      <c r="BS17">
        <f t="shared" si="29"/>
        <v>1.2685436337601859</v>
      </c>
      <c r="BT17">
        <f t="shared" si="30"/>
        <v>1.0805968884656414</v>
      </c>
      <c r="BU17">
        <f t="shared" si="31"/>
        <v>1.5308527026197774E-2</v>
      </c>
      <c r="BV17">
        <f t="shared" si="32"/>
        <v>45.54419619787452</v>
      </c>
      <c r="BW17">
        <f t="shared" si="33"/>
        <v>1.1329652600661315</v>
      </c>
      <c r="BX17">
        <f t="shared" si="34"/>
        <v>51.86620268284868</v>
      </c>
      <c r="BY17">
        <f t="shared" si="35"/>
        <v>400.01903594434356</v>
      </c>
      <c r="BZ17">
        <f t="shared" si="36"/>
        <v>-1.2120348546688351E-3</v>
      </c>
      <c r="CA17">
        <f t="shared" si="37"/>
        <v>0</v>
      </c>
      <c r="CB17">
        <f t="shared" si="38"/>
        <v>0.53861609637737273</v>
      </c>
      <c r="CC17">
        <f t="shared" si="39"/>
        <v>2190.849609375</v>
      </c>
      <c r="CD17">
        <f t="shared" si="40"/>
        <v>0.77523816767182396</v>
      </c>
      <c r="CE17" t="e">
        <f t="shared" si="41"/>
        <v>#DIV/0!</v>
      </c>
    </row>
    <row r="18" spans="1:83" x14ac:dyDescent="0.25">
      <c r="A18" s="1">
        <v>15</v>
      </c>
      <c r="B18" s="1" t="s">
        <v>109</v>
      </c>
      <c r="C18" s="1">
        <v>1014.0000035837293</v>
      </c>
      <c r="D18" s="1">
        <v>0</v>
      </c>
      <c r="E18">
        <f t="shared" si="0"/>
        <v>-0.88441402045121575</v>
      </c>
      <c r="F18">
        <f t="shared" si="1"/>
        <v>2.4464986488615791E-2</v>
      </c>
      <c r="G18">
        <f t="shared" si="2"/>
        <v>450.08122763769069</v>
      </c>
      <c r="H18" s="1">
        <v>60</v>
      </c>
      <c r="I18" s="1">
        <v>0</v>
      </c>
      <c r="J18" s="1">
        <v>0</v>
      </c>
      <c r="K18" s="1">
        <v>0</v>
      </c>
      <c r="L18" s="1">
        <v>0</v>
      </c>
      <c r="M18" s="1">
        <v>2190.849609375</v>
      </c>
      <c r="N18" s="1">
        <v>492.41937255859375</v>
      </c>
      <c r="O18" t="e">
        <f t="shared" si="3"/>
        <v>#DIV/0!</v>
      </c>
      <c r="P18">
        <f t="shared" si="4"/>
        <v>1</v>
      </c>
      <c r="Q18">
        <f t="shared" si="5"/>
        <v>0.77523816767182396</v>
      </c>
      <c r="R18" s="1">
        <v>-1</v>
      </c>
      <c r="S18" s="1">
        <v>0.87</v>
      </c>
      <c r="T18" s="1">
        <v>0.92</v>
      </c>
      <c r="U18" s="1">
        <v>0</v>
      </c>
      <c r="V18">
        <f t="shared" si="6"/>
        <v>0.87</v>
      </c>
      <c r="W18">
        <f t="shared" si="7"/>
        <v>0.28908682595195812</v>
      </c>
      <c r="X18">
        <f t="shared" si="8"/>
        <v>0.77523816767182396</v>
      </c>
      <c r="Y18" t="e">
        <f t="shared" si="9"/>
        <v>#DIV/0!</v>
      </c>
      <c r="Z18">
        <f t="shared" si="10"/>
        <v>-1</v>
      </c>
      <c r="AA18" s="1">
        <v>0.46755006909370422</v>
      </c>
      <c r="AB18" s="1">
        <v>0.5</v>
      </c>
      <c r="AC18">
        <f t="shared" si="11"/>
        <v>0.1576712566036815</v>
      </c>
      <c r="AD18">
        <f t="shared" si="12"/>
        <v>0.28159060900880994</v>
      </c>
      <c r="AE18">
        <f t="shared" si="13"/>
        <v>1.1385053928721764</v>
      </c>
      <c r="AF18">
        <f t="shared" si="14"/>
        <v>20.411706924438477</v>
      </c>
      <c r="AG18" s="1">
        <v>1.5499999523162842</v>
      </c>
      <c r="AH18">
        <f t="shared" si="15"/>
        <v>5.2546729495592217</v>
      </c>
      <c r="AI18" s="1">
        <v>1</v>
      </c>
      <c r="AJ18">
        <f t="shared" si="16"/>
        <v>10.509345899118443</v>
      </c>
      <c r="AK18" s="1">
        <v>19.595569610595703</v>
      </c>
      <c r="AL18" s="1">
        <v>20.411706924438477</v>
      </c>
      <c r="AM18" s="1">
        <v>18.510635375976562</v>
      </c>
      <c r="AN18" s="1">
        <v>399.16827392578125</v>
      </c>
      <c r="AO18" s="1">
        <v>399.96844482421875</v>
      </c>
      <c r="AP18" s="1">
        <v>12.33180046081543</v>
      </c>
      <c r="AQ18" s="1">
        <v>12.620062828063965</v>
      </c>
      <c r="AR18" s="1">
        <v>54.168193817138672</v>
      </c>
      <c r="AS18" s="1">
        <v>55.434402465820313</v>
      </c>
      <c r="AT18" s="1">
        <v>149.50172424316406</v>
      </c>
      <c r="AU18" s="1">
        <v>0.45957627892494202</v>
      </c>
      <c r="AV18" s="1">
        <v>65.312004089355469</v>
      </c>
      <c r="AW18" s="1">
        <v>100.5230712890625</v>
      </c>
      <c r="AX18" s="1">
        <v>3.3466925621032715</v>
      </c>
      <c r="AY18" s="1">
        <v>-3.268297016620636E-2</v>
      </c>
      <c r="AZ18" s="1">
        <v>1</v>
      </c>
      <c r="BA18" s="1">
        <v>-1.355140209197998</v>
      </c>
      <c r="BB18" s="1">
        <v>7.355140209197998</v>
      </c>
      <c r="BC18" s="1">
        <v>1</v>
      </c>
      <c r="BD18" s="1">
        <v>0</v>
      </c>
      <c r="BE18" s="1">
        <v>0.15999999642372131</v>
      </c>
      <c r="BF18" s="1">
        <v>111115</v>
      </c>
      <c r="BG18">
        <f t="shared" si="17"/>
        <v>0.96452728285411948</v>
      </c>
      <c r="BH18">
        <f t="shared" si="18"/>
        <v>2.8159060900880993E-4</v>
      </c>
      <c r="BI18">
        <f t="shared" si="19"/>
        <v>293.56170692443845</v>
      </c>
      <c r="BJ18">
        <f t="shared" si="20"/>
        <v>292.74556961059568</v>
      </c>
      <c r="BK18">
        <f t="shared" si="21"/>
        <v>7.3532202984417872E-2</v>
      </c>
      <c r="BL18">
        <f t="shared" si="22"/>
        <v>-7.5464366788038986E-2</v>
      </c>
      <c r="BM18">
        <f t="shared" si="23"/>
        <v>2.4071128682100982</v>
      </c>
      <c r="BN18">
        <f t="shared" si="24"/>
        <v>23.945874686699966</v>
      </c>
      <c r="BO18">
        <f t="shared" si="25"/>
        <v>11.325811858636001</v>
      </c>
      <c r="BP18">
        <f t="shared" si="26"/>
        <v>20.00363826751709</v>
      </c>
      <c r="BQ18">
        <f t="shared" si="27"/>
        <v>2.3471418421395231</v>
      </c>
      <c r="BR18">
        <f t="shared" si="28"/>
        <v>2.440816606812524E-2</v>
      </c>
      <c r="BS18">
        <f t="shared" si="29"/>
        <v>1.2686074753379217</v>
      </c>
      <c r="BT18">
        <f t="shared" si="30"/>
        <v>1.0785343668016014</v>
      </c>
      <c r="BU18">
        <f t="shared" si="31"/>
        <v>1.5260198596823623E-2</v>
      </c>
      <c r="BV18">
        <f t="shared" si="32"/>
        <v>45.243547331692348</v>
      </c>
      <c r="BW18">
        <f t="shared" si="33"/>
        <v>1.1252918410488504</v>
      </c>
      <c r="BX18">
        <f t="shared" si="34"/>
        <v>51.933502034678881</v>
      </c>
      <c r="BY18">
        <f t="shared" si="35"/>
        <v>400.08205407631402</v>
      </c>
      <c r="BZ18">
        <f t="shared" si="36"/>
        <v>-1.1480324314131981E-3</v>
      </c>
      <c r="CA18">
        <f t="shared" si="37"/>
        <v>0</v>
      </c>
      <c r="CB18">
        <f t="shared" si="38"/>
        <v>0.39983136266469954</v>
      </c>
      <c r="CC18">
        <f t="shared" si="39"/>
        <v>2190.849609375</v>
      </c>
      <c r="CD18">
        <f t="shared" si="40"/>
        <v>0.77523816767182396</v>
      </c>
      <c r="CE18" t="e">
        <f t="shared" si="41"/>
        <v>#DIV/0!</v>
      </c>
    </row>
    <row r="20" spans="1:83" x14ac:dyDescent="0.25">
      <c r="A20" s="1">
        <v>2</v>
      </c>
      <c r="B20" s="1" t="s">
        <v>161</v>
      </c>
      <c r="C20" s="1">
        <v>178.49999141972512</v>
      </c>
      <c r="D20" s="1">
        <v>0</v>
      </c>
      <c r="E20">
        <f t="shared" ref="E20:E31" si="42">(AN20-AO20*(1000-AP20)/(1000-AQ20))*BG20</f>
        <v>4.4662995555185789</v>
      </c>
      <c r="F20">
        <f t="shared" ref="F20:F31" si="43">IF(BR20&lt;&gt;0,1/(1/BR20-1/AJ20),0)</f>
        <v>6.3819968386836734E-2</v>
      </c>
      <c r="G20">
        <f t="shared" ref="G20:G31" si="44">((BU20-BH20/2)*AO20-E20)/(BU20+BH20/2)</f>
        <v>281.43029081135217</v>
      </c>
      <c r="H20" s="1">
        <v>4</v>
      </c>
      <c r="I20" s="1">
        <v>3</v>
      </c>
      <c r="J20" s="1">
        <v>0</v>
      </c>
      <c r="K20" s="1">
        <v>0</v>
      </c>
      <c r="L20" s="1">
        <v>359.94580078125</v>
      </c>
      <c r="M20" s="1">
        <v>699.68865966796875</v>
      </c>
      <c r="N20" s="1">
        <v>450.37213134765625</v>
      </c>
      <c r="O20" t="e">
        <f t="shared" ref="O20:O31" si="45">CA20/K20</f>
        <v>#DIV/0!</v>
      </c>
      <c r="P20">
        <f t="shared" ref="P20:P31" si="46">CC20/M20</f>
        <v>0.4855629060044232</v>
      </c>
      <c r="Q20">
        <f t="shared" ref="Q20:Q31" si="47">(M20-N20)/M20</f>
        <v>0.35632495235612865</v>
      </c>
      <c r="R20" s="1">
        <v>-1</v>
      </c>
      <c r="S20" s="1">
        <v>0.87</v>
      </c>
      <c r="T20" s="1">
        <v>0.92</v>
      </c>
      <c r="U20" s="1">
        <v>9.699894905090332</v>
      </c>
      <c r="V20">
        <f t="shared" ref="V20:V31" si="48">(U20*T20+(100-U20)*S20)/100</f>
        <v>0.8748499474525453</v>
      </c>
      <c r="W20">
        <f t="shared" ref="W20:W31" si="49">(E20-R20)/CB20</f>
        <v>1.2491586230392399E-2</v>
      </c>
      <c r="X20">
        <f t="shared" ref="X20:X31" si="50">(M20-N20)/(M20-L20)</f>
        <v>0.73383890727617229</v>
      </c>
      <c r="Y20">
        <f t="shared" ref="Y20:Y31" si="51">(K20-M20)/(K20-L20)</f>
        <v>1.9438722667393773</v>
      </c>
      <c r="Z20">
        <f t="shared" ref="Z20:Z31" si="52">(K20-M20)/M20</f>
        <v>-1</v>
      </c>
      <c r="AA20" s="1">
        <v>500.1983642578125</v>
      </c>
      <c r="AB20" s="1">
        <v>0.5</v>
      </c>
      <c r="AC20">
        <f t="shared" ref="AC20:AC31" si="53">Q20*AB20*V20*AA20</f>
        <v>77.963634592117742</v>
      </c>
      <c r="AD20">
        <f t="shared" ref="AD20:AD31" si="54">BH20*1000</f>
        <v>0.70903685349267853</v>
      </c>
      <c r="AE20">
        <f t="shared" ref="AE20:AE31" si="55">(BM20-BS20)</f>
        <v>1.1133049139894304</v>
      </c>
      <c r="AF20">
        <f t="shared" ref="AF20:AF31" si="56">(AL20+BL20*D20)</f>
        <v>19.760343551635742</v>
      </c>
      <c r="AG20" s="1">
        <v>1.8600000143051147</v>
      </c>
      <c r="AH20">
        <f t="shared" ref="AH20:AH31" si="57">(AG20*BA20+BB20)</f>
        <v>4.8345794007042855</v>
      </c>
      <c r="AI20" s="1">
        <v>1</v>
      </c>
      <c r="AJ20">
        <f t="shared" ref="AJ20:AJ31" si="58">AH20*(AI20+1)*(AI20+1)/(AI20*AI20+1)</f>
        <v>9.669158801408571</v>
      </c>
      <c r="AK20" s="1">
        <v>20.215791702270508</v>
      </c>
      <c r="AL20" s="1">
        <v>19.760343551635742</v>
      </c>
      <c r="AM20" s="1">
        <v>20.833850860595703</v>
      </c>
      <c r="AN20" s="1">
        <v>406.03643798828125</v>
      </c>
      <c r="AO20" s="1">
        <v>400.12747192382813</v>
      </c>
      <c r="AP20" s="1">
        <v>10.960927963256836</v>
      </c>
      <c r="AQ20" s="1">
        <v>11.832527160644531</v>
      </c>
      <c r="AR20" s="1">
        <v>46.692066192626953</v>
      </c>
      <c r="AS20" s="1">
        <v>50.404960632324219</v>
      </c>
      <c r="AT20" s="1">
        <v>149.51869201660156</v>
      </c>
      <c r="AU20" s="1">
        <v>500.1983642578125</v>
      </c>
      <c r="AV20" s="1">
        <v>24.54597282409668</v>
      </c>
      <c r="AW20" s="1">
        <v>101.30617523193359</v>
      </c>
      <c r="AX20" s="1">
        <v>2.7878317832946777</v>
      </c>
      <c r="AY20" s="1">
        <v>-3.9787925779819489E-2</v>
      </c>
      <c r="AZ20" s="1">
        <v>0.75</v>
      </c>
      <c r="BA20" s="1">
        <v>-1.355140209197998</v>
      </c>
      <c r="BB20" s="1">
        <v>7.355140209197998</v>
      </c>
      <c r="BC20" s="1">
        <v>1</v>
      </c>
      <c r="BD20" s="1">
        <v>0</v>
      </c>
      <c r="BE20" s="1">
        <v>0.15999999642372131</v>
      </c>
      <c r="BF20" s="1">
        <v>111115</v>
      </c>
      <c r="BG20">
        <f t="shared" ref="BG20:BG31" si="59">AT20*0.000001/(AG20*0.0001)</f>
        <v>0.80386392939067186</v>
      </c>
      <c r="BH20">
        <f t="shared" ref="BH20:BH31" si="60">(AQ20-AP20)/(1000-AQ20)*BG20</f>
        <v>7.0903685349267857E-4</v>
      </c>
      <c r="BI20">
        <f t="shared" ref="BI20:BI31" si="61">(AL20+273.15)</f>
        <v>292.91034355163572</v>
      </c>
      <c r="BJ20">
        <f t="shared" ref="BJ20:BJ31" si="62">(AK20+273.15)</f>
        <v>293.36579170227049</v>
      </c>
      <c r="BK20">
        <f t="shared" ref="BK20:BK31" si="63">(AU20*BC20+AV20*BD20)*BE20</f>
        <v>80.031736492401251</v>
      </c>
      <c r="BL20">
        <f t="shared" ref="BL20:BL31" si="64">((BK20+0.00000010773*(BJ20^4-BI20^4))-BH20*44100)/(AH20*51.4+0.00000043092*BI20^3)</f>
        <v>0.20710138135805276</v>
      </c>
      <c r="BM20">
        <f t="shared" ref="BM20:BM31" si="65">0.61365*EXP(17.502*AF20/(240.97+AF20))</f>
        <v>2.3120129839622989</v>
      </c>
      <c r="BN20">
        <f t="shared" ref="BN20:BN31" si="66">BM20*1000/AW20</f>
        <v>22.822034083007306</v>
      </c>
      <c r="BO20">
        <f t="shared" ref="BO20:BO31" si="67">(BN20-AQ20)</f>
        <v>10.989506922362775</v>
      </c>
      <c r="BP20">
        <f t="shared" ref="BP20:BP31" si="68">IF(D20,AL20,(AK20+AL20)/2)</f>
        <v>19.988067626953125</v>
      </c>
      <c r="BQ20">
        <f t="shared" ref="BQ20:BQ31" si="69">0.61365*EXP(17.502*BP20/(240.97+BP20))</f>
        <v>2.3448797007974211</v>
      </c>
      <c r="BR20">
        <f t="shared" ref="BR20:BR31" si="70">IF(BO20&lt;&gt;0,(1000-(BN20+AQ20)/2)/BO20*BH20,0)</f>
        <v>6.3401495434081856E-2</v>
      </c>
      <c r="BS20">
        <f t="shared" ref="BS20:BS31" si="71">AQ20*AW20/1000</f>
        <v>1.1987080699728685</v>
      </c>
      <c r="BT20">
        <f t="shared" ref="BT20:BT31" si="72">(BQ20-BS20)</f>
        <v>1.1461716308245526</v>
      </c>
      <c r="BU20">
        <f t="shared" ref="BU20:BU31" si="73">1/(1.6/F20+1.37/AJ20)</f>
        <v>3.9663320536980885E-2</v>
      </c>
      <c r="BV20">
        <f t="shared" ref="BV20:BV31" si="74">G20*AW20*0.001</f>
        <v>28.510626356508876</v>
      </c>
      <c r="BW20">
        <f t="shared" ref="BW20:BW31" si="75">G20/AO20</f>
        <v>0.70335158307982359</v>
      </c>
      <c r="BX20">
        <f t="shared" ref="BX20:BX31" si="76">(1-BH20*AW20/BM20/F20)*100</f>
        <v>51.319181163962902</v>
      </c>
      <c r="BY20">
        <f t="shared" ref="BY20:BY31" si="77">(AO20-E20/(AJ20/1.35))</f>
        <v>399.50389085294205</v>
      </c>
      <c r="BZ20">
        <f t="shared" ref="BZ20:BZ31" si="78">E20*BX20/100/BY20</f>
        <v>5.7372867015844983E-3</v>
      </c>
      <c r="CA20">
        <f t="shared" ref="CA20:CA31" si="79">(K20-J20)</f>
        <v>0</v>
      </c>
      <c r="CB20">
        <f t="shared" ref="CB20:CB31" si="80">AU20*V20</f>
        <v>437.59851268679637</v>
      </c>
      <c r="CC20">
        <f t="shared" ref="CC20:CC31" si="81">(M20-L20)</f>
        <v>339.74285888671875</v>
      </c>
      <c r="CD20">
        <f t="shared" ref="CD20:CD31" si="82">(M20-N20)/(M20-J20)</f>
        <v>0.35632495235612865</v>
      </c>
      <c r="CE20" t="e">
        <f t="shared" ref="CE20:CE31" si="83">(K20-M20)/(K20-J20)</f>
        <v>#DIV/0!</v>
      </c>
    </row>
    <row r="21" spans="1:83" x14ac:dyDescent="0.25">
      <c r="A21" s="1">
        <v>3</v>
      </c>
      <c r="B21" s="1" t="s">
        <v>162</v>
      </c>
      <c r="C21" s="1">
        <v>252.4999863198027</v>
      </c>
      <c r="D21" s="1">
        <v>0</v>
      </c>
      <c r="E21">
        <f t="shared" si="42"/>
        <v>4.5115288111860279</v>
      </c>
      <c r="F21">
        <f t="shared" si="43"/>
        <v>6.4221211116682678E-2</v>
      </c>
      <c r="G21">
        <f t="shared" si="44"/>
        <v>281.07030980045153</v>
      </c>
      <c r="H21" s="1">
        <v>5</v>
      </c>
      <c r="I21" s="1">
        <v>4</v>
      </c>
      <c r="J21" s="1">
        <v>0</v>
      </c>
      <c r="K21" s="1">
        <v>0</v>
      </c>
      <c r="L21" s="1">
        <v>367.770263671875</v>
      </c>
      <c r="M21" s="1">
        <v>743.32489013671875</v>
      </c>
      <c r="N21" s="1">
        <v>456.92849731445312</v>
      </c>
      <c r="O21" t="e">
        <f t="shared" si="45"/>
        <v>#DIV/0!</v>
      </c>
      <c r="P21">
        <f t="shared" si="46"/>
        <v>0.50523617794605058</v>
      </c>
      <c r="Q21">
        <f t="shared" si="47"/>
        <v>0.38529100346631623</v>
      </c>
      <c r="R21" s="1">
        <v>-1</v>
      </c>
      <c r="S21" s="1">
        <v>0.87</v>
      </c>
      <c r="T21" s="1">
        <v>0.92</v>
      </c>
      <c r="U21" s="1">
        <v>9.9087457656860352</v>
      </c>
      <c r="V21">
        <f t="shared" si="48"/>
        <v>0.87495437288284295</v>
      </c>
      <c r="W21">
        <f t="shared" si="49"/>
        <v>1.3988544421793123E-2</v>
      </c>
      <c r="X21">
        <f t="shared" si="50"/>
        <v>0.76259583197832248</v>
      </c>
      <c r="Y21">
        <f t="shared" si="51"/>
        <v>2.0211663735812908</v>
      </c>
      <c r="Z21">
        <f t="shared" si="52"/>
        <v>-1</v>
      </c>
      <c r="AA21" s="1">
        <v>450.31265258789062</v>
      </c>
      <c r="AB21" s="1">
        <v>0.5</v>
      </c>
      <c r="AC21">
        <f t="shared" si="53"/>
        <v>75.902910348093627</v>
      </c>
      <c r="AD21">
        <f t="shared" si="54"/>
        <v>0.71275809004281221</v>
      </c>
      <c r="AE21">
        <f t="shared" si="55"/>
        <v>1.1121057511567025</v>
      </c>
      <c r="AF21">
        <f t="shared" si="56"/>
        <v>19.756168365478516</v>
      </c>
      <c r="AG21" s="1">
        <v>1.8600000143051147</v>
      </c>
      <c r="AH21">
        <f t="shared" si="57"/>
        <v>4.8345794007042855</v>
      </c>
      <c r="AI21" s="1">
        <v>1</v>
      </c>
      <c r="AJ21">
        <f t="shared" si="58"/>
        <v>9.669158801408571</v>
      </c>
      <c r="AK21" s="1">
        <v>20.432113647460938</v>
      </c>
      <c r="AL21" s="1">
        <v>19.756168365478516</v>
      </c>
      <c r="AM21" s="1">
        <v>20.944423675537109</v>
      </c>
      <c r="AN21" s="1">
        <v>406.15997314453125</v>
      </c>
      <c r="AO21" s="1">
        <v>400.19244384765625</v>
      </c>
      <c r="AP21" s="1">
        <v>10.963230133056641</v>
      </c>
      <c r="AQ21" s="1">
        <v>11.839454650878906</v>
      </c>
      <c r="AR21" s="1">
        <v>46.07806396484375</v>
      </c>
      <c r="AS21" s="1">
        <v>49.76080322265625</v>
      </c>
      <c r="AT21" s="1">
        <v>149.50895690917969</v>
      </c>
      <c r="AU21" s="1">
        <v>450.31265258789062</v>
      </c>
      <c r="AV21" s="1">
        <v>24.979583740234375</v>
      </c>
      <c r="AW21" s="1">
        <v>101.297607421875</v>
      </c>
      <c r="AX21" s="1">
        <v>2.7878317832946777</v>
      </c>
      <c r="AY21" s="1">
        <v>-3.9787925779819489E-2</v>
      </c>
      <c r="AZ21" s="1">
        <v>0.75</v>
      </c>
      <c r="BA21" s="1">
        <v>-1.355140209197998</v>
      </c>
      <c r="BB21" s="1">
        <v>7.355140209197998</v>
      </c>
      <c r="BC21" s="1">
        <v>1</v>
      </c>
      <c r="BD21" s="1">
        <v>0</v>
      </c>
      <c r="BE21" s="1">
        <v>0.15999999642372131</v>
      </c>
      <c r="BF21" s="1">
        <v>111115</v>
      </c>
      <c r="BG21">
        <f t="shared" si="59"/>
        <v>0.80381159010386005</v>
      </c>
      <c r="BH21">
        <f t="shared" si="60"/>
        <v>7.1275809004281226E-4</v>
      </c>
      <c r="BI21">
        <f t="shared" si="61"/>
        <v>292.90616836547849</v>
      </c>
      <c r="BJ21">
        <f t="shared" si="62"/>
        <v>293.58211364746091</v>
      </c>
      <c r="BK21">
        <f t="shared" si="63"/>
        <v>72.050022803618958</v>
      </c>
      <c r="BL21">
        <f t="shared" si="64"/>
        <v>0.18495034610803843</v>
      </c>
      <c r="BM21">
        <f t="shared" si="65"/>
        <v>2.3114141804705262</v>
      </c>
      <c r="BN21">
        <f t="shared" si="66"/>
        <v>22.818053054739583</v>
      </c>
      <c r="BO21">
        <f t="shared" si="67"/>
        <v>10.978598403860676</v>
      </c>
      <c r="BP21">
        <f t="shared" si="68"/>
        <v>20.094141006469727</v>
      </c>
      <c r="BQ21">
        <f t="shared" si="69"/>
        <v>2.3603282028268677</v>
      </c>
      <c r="BR21">
        <f t="shared" si="70"/>
        <v>6.3797477125819679E-2</v>
      </c>
      <c r="BS21">
        <f t="shared" si="71"/>
        <v>1.1993084293138236</v>
      </c>
      <c r="BT21">
        <f t="shared" si="72"/>
        <v>1.1610197735130441</v>
      </c>
      <c r="BU21">
        <f t="shared" si="73"/>
        <v>3.991127777190253E-2</v>
      </c>
      <c r="BV21">
        <f t="shared" si="74"/>
        <v>28.471749900110925</v>
      </c>
      <c r="BW21">
        <f t="shared" si="75"/>
        <v>0.70233787299454442</v>
      </c>
      <c r="BX21">
        <f t="shared" si="76"/>
        <v>51.360950617216638</v>
      </c>
      <c r="BY21">
        <f t="shared" si="77"/>
        <v>399.5625479052901</v>
      </c>
      <c r="BZ21">
        <f t="shared" si="78"/>
        <v>5.7992524498167008E-3</v>
      </c>
      <c r="CA21">
        <f t="shared" si="79"/>
        <v>0</v>
      </c>
      <c r="CB21">
        <f t="shared" si="80"/>
        <v>394.00302454624739</v>
      </c>
      <c r="CC21">
        <f t="shared" si="81"/>
        <v>375.55462646484375</v>
      </c>
      <c r="CD21">
        <f t="shared" si="82"/>
        <v>0.38529100346631623</v>
      </c>
      <c r="CE21" t="e">
        <f t="shared" si="83"/>
        <v>#DIV/0!</v>
      </c>
    </row>
    <row r="22" spans="1:83" x14ac:dyDescent="0.25">
      <c r="A22" s="1">
        <v>4</v>
      </c>
      <c r="B22" s="1" t="s">
        <v>163</v>
      </c>
      <c r="C22" s="1">
        <v>326.49998121988028</v>
      </c>
      <c r="D22" s="1">
        <v>0</v>
      </c>
      <c r="E22">
        <f t="shared" si="42"/>
        <v>4.2276041684264847</v>
      </c>
      <c r="F22">
        <f t="shared" si="43"/>
        <v>6.5575865445652776E-2</v>
      </c>
      <c r="G22">
        <f t="shared" si="44"/>
        <v>290.64477501461408</v>
      </c>
      <c r="H22" s="1">
        <v>6</v>
      </c>
      <c r="I22" s="1">
        <v>5</v>
      </c>
      <c r="J22" s="1">
        <v>0</v>
      </c>
      <c r="K22" s="1">
        <v>0</v>
      </c>
      <c r="L22" s="1">
        <v>404.84326171875</v>
      </c>
      <c r="M22" s="1">
        <v>1010.6948852539062</v>
      </c>
      <c r="N22" s="1">
        <v>520.573974609375</v>
      </c>
      <c r="O22" t="e">
        <f t="shared" si="45"/>
        <v>#DIV/0!</v>
      </c>
      <c r="P22">
        <f t="shared" si="46"/>
        <v>0.59944067430691961</v>
      </c>
      <c r="Q22">
        <f t="shared" si="47"/>
        <v>0.48493459083984908</v>
      </c>
      <c r="R22" s="1">
        <v>-1</v>
      </c>
      <c r="S22" s="1">
        <v>0.87</v>
      </c>
      <c r="T22" s="1">
        <v>0.92</v>
      </c>
      <c r="U22" s="1">
        <v>9.8018503189086914</v>
      </c>
      <c r="V22">
        <f t="shared" si="48"/>
        <v>0.87490092515945439</v>
      </c>
      <c r="W22">
        <f t="shared" si="49"/>
        <v>1.9943815116251377E-2</v>
      </c>
      <c r="X22">
        <f t="shared" si="50"/>
        <v>0.80897845545855929</v>
      </c>
      <c r="Y22">
        <f t="shared" si="51"/>
        <v>2.4965090957992762</v>
      </c>
      <c r="Z22">
        <f t="shared" si="52"/>
        <v>-1</v>
      </c>
      <c r="AA22" s="1">
        <v>299.595703125</v>
      </c>
      <c r="AB22" s="1">
        <v>0.5</v>
      </c>
      <c r="AC22">
        <f t="shared" si="53"/>
        <v>63.554692863726075</v>
      </c>
      <c r="AD22">
        <f t="shared" si="54"/>
        <v>0.70772453407589253</v>
      </c>
      <c r="AE22">
        <f t="shared" si="55"/>
        <v>1.0817516027565506</v>
      </c>
      <c r="AF22">
        <f t="shared" si="56"/>
        <v>19.552389144897461</v>
      </c>
      <c r="AG22" s="1">
        <v>1.8600000143051147</v>
      </c>
      <c r="AH22">
        <f t="shared" si="57"/>
        <v>4.8345794007042855</v>
      </c>
      <c r="AI22" s="1">
        <v>1</v>
      </c>
      <c r="AJ22">
        <f t="shared" si="58"/>
        <v>9.669158801408571</v>
      </c>
      <c r="AK22" s="1">
        <v>20.790620803833008</v>
      </c>
      <c r="AL22" s="1">
        <v>19.552389144897461</v>
      </c>
      <c r="AM22" s="1">
        <v>21.533500671386719</v>
      </c>
      <c r="AN22" s="1">
        <v>406.005615234375</v>
      </c>
      <c r="AO22" s="1">
        <v>400.39508056640625</v>
      </c>
      <c r="AP22" s="1">
        <v>10.982312202453613</v>
      </c>
      <c r="AQ22" s="1">
        <v>11.852113723754883</v>
      </c>
      <c r="AR22" s="1">
        <v>45.149887084960938</v>
      </c>
      <c r="AS22" s="1">
        <v>48.725765228271484</v>
      </c>
      <c r="AT22" s="1">
        <v>149.54743957519531</v>
      </c>
      <c r="AU22" s="1">
        <v>299.595703125</v>
      </c>
      <c r="AV22" s="1">
        <v>24.87474250793457</v>
      </c>
      <c r="AW22" s="1">
        <v>101.29850006103516</v>
      </c>
      <c r="AX22" s="1">
        <v>2.7878317832946777</v>
      </c>
      <c r="AY22" s="1">
        <v>-3.9787925779819489E-2</v>
      </c>
      <c r="AZ22" s="1">
        <v>0.75</v>
      </c>
      <c r="BA22" s="1">
        <v>-1.355140209197998</v>
      </c>
      <c r="BB22" s="1">
        <v>7.355140209197998</v>
      </c>
      <c r="BC22" s="1">
        <v>1</v>
      </c>
      <c r="BD22" s="1">
        <v>0</v>
      </c>
      <c r="BE22" s="1">
        <v>0.15999999642372131</v>
      </c>
      <c r="BF22" s="1">
        <v>111115</v>
      </c>
      <c r="BG22">
        <f t="shared" si="59"/>
        <v>0.80401848615611626</v>
      </c>
      <c r="BH22">
        <f t="shared" si="60"/>
        <v>7.0772453407589252E-4</v>
      </c>
      <c r="BI22">
        <f t="shared" si="61"/>
        <v>292.70238914489744</v>
      </c>
      <c r="BJ22">
        <f t="shared" si="62"/>
        <v>293.94062080383299</v>
      </c>
      <c r="BK22">
        <f t="shared" si="63"/>
        <v>47.935311428562272</v>
      </c>
      <c r="BL22">
        <f t="shared" si="64"/>
        <v>0.11642898871707494</v>
      </c>
      <c r="BM22">
        <f t="shared" si="65"/>
        <v>2.2823529455257301</v>
      </c>
      <c r="BN22">
        <f t="shared" si="66"/>
        <v>22.530964862762524</v>
      </c>
      <c r="BO22">
        <f t="shared" si="67"/>
        <v>10.678851139007641</v>
      </c>
      <c r="BP22">
        <f t="shared" si="68"/>
        <v>20.171504974365234</v>
      </c>
      <c r="BQ22">
        <f t="shared" si="69"/>
        <v>2.3716516414260558</v>
      </c>
      <c r="BR22">
        <f t="shared" si="70"/>
        <v>6.5134128277038614E-2</v>
      </c>
      <c r="BS22">
        <f t="shared" si="71"/>
        <v>1.2006013427691795</v>
      </c>
      <c r="BT22">
        <f t="shared" si="72"/>
        <v>1.1710502986568763</v>
      </c>
      <c r="BU22">
        <f t="shared" si="73"/>
        <v>4.074828836103344E-2</v>
      </c>
      <c r="BV22">
        <f t="shared" si="74"/>
        <v>29.441879759557434</v>
      </c>
      <c r="BW22">
        <f t="shared" si="75"/>
        <v>0.72589497004674142</v>
      </c>
      <c r="BX22">
        <f t="shared" si="76"/>
        <v>52.099457734878541</v>
      </c>
      <c r="BY22">
        <f t="shared" si="77"/>
        <v>399.80482594916441</v>
      </c>
      <c r="BZ22">
        <f t="shared" si="78"/>
        <v>5.5090851935023343E-3</v>
      </c>
      <c r="CA22">
        <f t="shared" si="79"/>
        <v>0</v>
      </c>
      <c r="CB22">
        <f t="shared" si="80"/>
        <v>262.11655783785972</v>
      </c>
      <c r="CC22">
        <f t="shared" si="81"/>
        <v>605.85162353515625</v>
      </c>
      <c r="CD22">
        <f t="shared" si="82"/>
        <v>0.48493459083984908</v>
      </c>
      <c r="CE22" t="e">
        <f t="shared" si="83"/>
        <v>#DIV/0!</v>
      </c>
    </row>
    <row r="23" spans="1:83" x14ac:dyDescent="0.25">
      <c r="A23" s="1">
        <v>5</v>
      </c>
      <c r="B23" s="1" t="s">
        <v>164</v>
      </c>
      <c r="C23" s="1">
        <v>400.99997608549893</v>
      </c>
      <c r="D23" s="1">
        <v>0</v>
      </c>
      <c r="E23">
        <f t="shared" si="42"/>
        <v>3.9739885620889708</v>
      </c>
      <c r="F23">
        <f t="shared" si="43"/>
        <v>6.6830608928887078E-2</v>
      </c>
      <c r="G23">
        <f t="shared" si="44"/>
        <v>299.03691564478322</v>
      </c>
      <c r="H23" s="1">
        <v>7</v>
      </c>
      <c r="I23" s="1">
        <v>6</v>
      </c>
      <c r="J23" s="1">
        <v>0</v>
      </c>
      <c r="K23" s="1">
        <v>0</v>
      </c>
      <c r="L23" s="1">
        <v>451.97802734375</v>
      </c>
      <c r="M23" s="1">
        <v>1400.7490234375</v>
      </c>
      <c r="N23" s="1">
        <v>594.5445556640625</v>
      </c>
      <c r="O23" t="e">
        <f t="shared" si="45"/>
        <v>#DIV/0!</v>
      </c>
      <c r="P23">
        <f t="shared" si="46"/>
        <v>0.67733118511510648</v>
      </c>
      <c r="Q23">
        <f t="shared" si="47"/>
        <v>0.57555240395240548</v>
      </c>
      <c r="R23" s="1">
        <v>-1</v>
      </c>
      <c r="S23" s="1">
        <v>0.87</v>
      </c>
      <c r="T23" s="1">
        <v>0.92</v>
      </c>
      <c r="U23" s="1">
        <v>9.0644702911376953</v>
      </c>
      <c r="V23">
        <f t="shared" si="48"/>
        <v>0.87453223514556877</v>
      </c>
      <c r="W23">
        <f t="shared" si="49"/>
        <v>2.8704722845859166E-2</v>
      </c>
      <c r="X23">
        <f t="shared" si="50"/>
        <v>0.84973557485706996</v>
      </c>
      <c r="Y23">
        <f t="shared" si="51"/>
        <v>3.0991529204851505</v>
      </c>
      <c r="Z23">
        <f t="shared" si="52"/>
        <v>-1</v>
      </c>
      <c r="AA23" s="1">
        <v>198.14157104492187</v>
      </c>
      <c r="AB23" s="1">
        <v>0.5</v>
      </c>
      <c r="AC23">
        <f t="shared" si="53"/>
        <v>49.866203020229676</v>
      </c>
      <c r="AD23">
        <f t="shared" si="54"/>
        <v>0.70943582711119058</v>
      </c>
      <c r="AE23">
        <f t="shared" si="55"/>
        <v>1.0642229437292825</v>
      </c>
      <c r="AF23">
        <f t="shared" si="56"/>
        <v>19.446277618408203</v>
      </c>
      <c r="AG23" s="1">
        <v>1.8600000143051147</v>
      </c>
      <c r="AH23">
        <f t="shared" si="57"/>
        <v>4.8345794007042855</v>
      </c>
      <c r="AI23" s="1">
        <v>1</v>
      </c>
      <c r="AJ23">
        <f t="shared" si="58"/>
        <v>9.669158801408571</v>
      </c>
      <c r="AK23" s="1">
        <v>21.192621231079102</v>
      </c>
      <c r="AL23" s="1">
        <v>19.446277618408203</v>
      </c>
      <c r="AM23" s="1">
        <v>22.125982284545898</v>
      </c>
      <c r="AN23" s="1">
        <v>406.01699829101562</v>
      </c>
      <c r="AO23" s="1">
        <v>400.719482421875</v>
      </c>
      <c r="AP23" s="1">
        <v>11.004810333251953</v>
      </c>
      <c r="AQ23" s="1">
        <v>11.876903533935547</v>
      </c>
      <c r="AR23" s="1">
        <v>44.138755798339844</v>
      </c>
      <c r="AS23" s="1">
        <v>47.636600494384766</v>
      </c>
      <c r="AT23" s="1">
        <v>149.51136779785156</v>
      </c>
      <c r="AU23" s="1">
        <v>198.14157104492187</v>
      </c>
      <c r="AV23" s="1">
        <v>25.441524505615234</v>
      </c>
      <c r="AW23" s="1">
        <v>101.29950714111328</v>
      </c>
      <c r="AX23" s="1">
        <v>2.7878317832946777</v>
      </c>
      <c r="AY23" s="1">
        <v>-3.9787925779819489E-2</v>
      </c>
      <c r="AZ23" s="1">
        <v>0.5</v>
      </c>
      <c r="BA23" s="1">
        <v>-1.355140209197998</v>
      </c>
      <c r="BB23" s="1">
        <v>7.355140209197998</v>
      </c>
      <c r="BC23" s="1">
        <v>1</v>
      </c>
      <c r="BD23" s="1">
        <v>0</v>
      </c>
      <c r="BE23" s="1">
        <v>0.15999999642372131</v>
      </c>
      <c r="BF23" s="1">
        <v>111115</v>
      </c>
      <c r="BG23">
        <f t="shared" si="59"/>
        <v>0.80382455187081348</v>
      </c>
      <c r="BH23">
        <f t="shared" si="60"/>
        <v>7.0943582711119053E-4</v>
      </c>
      <c r="BI23">
        <f t="shared" si="61"/>
        <v>292.59627761840818</v>
      </c>
      <c r="BJ23">
        <f t="shared" si="62"/>
        <v>294.34262123107908</v>
      </c>
      <c r="BK23">
        <f t="shared" si="63"/>
        <v>31.702650658578023</v>
      </c>
      <c r="BL23">
        <f t="shared" si="64"/>
        <v>7.4961454387885526E-2</v>
      </c>
      <c r="BM23">
        <f t="shared" si="65"/>
        <v>2.2673474180794999</v>
      </c>
      <c r="BN23">
        <f t="shared" si="66"/>
        <v>22.382610558223313</v>
      </c>
      <c r="BO23">
        <f t="shared" si="67"/>
        <v>10.505707024287766</v>
      </c>
      <c r="BP23">
        <f t="shared" si="68"/>
        <v>20.319449424743652</v>
      </c>
      <c r="BQ23">
        <f t="shared" si="69"/>
        <v>2.3934382502344009</v>
      </c>
      <c r="BR23">
        <f t="shared" si="70"/>
        <v>6.6371864562848271E-2</v>
      </c>
      <c r="BS23">
        <f t="shared" si="71"/>
        <v>1.2031244743502174</v>
      </c>
      <c r="BT23">
        <f t="shared" si="72"/>
        <v>1.1903137758841835</v>
      </c>
      <c r="BU23">
        <f t="shared" si="73"/>
        <v>4.1523388181813489E-2</v>
      </c>
      <c r="BV23">
        <f t="shared" si="74"/>
        <v>30.292292171815205</v>
      </c>
      <c r="BW23">
        <f t="shared" si="75"/>
        <v>0.74625000471017533</v>
      </c>
      <c r="BX23">
        <f t="shared" si="76"/>
        <v>52.572857359769742</v>
      </c>
      <c r="BY23">
        <f t="shared" si="77"/>
        <v>400.16463740701823</v>
      </c>
      <c r="BZ23">
        <f t="shared" si="78"/>
        <v>5.2209494366579363E-3</v>
      </c>
      <c r="CA23">
        <f t="shared" si="79"/>
        <v>0</v>
      </c>
      <c r="CB23">
        <f t="shared" si="80"/>
        <v>173.28119100117004</v>
      </c>
      <c r="CC23">
        <f t="shared" si="81"/>
        <v>948.77099609375</v>
      </c>
      <c r="CD23">
        <f t="shared" si="82"/>
        <v>0.57555240395240548</v>
      </c>
      <c r="CE23" t="e">
        <f t="shared" si="83"/>
        <v>#DIV/0!</v>
      </c>
    </row>
    <row r="24" spans="1:83" x14ac:dyDescent="0.25">
      <c r="A24" s="1">
        <v>6</v>
      </c>
      <c r="B24" s="1" t="s">
        <v>165</v>
      </c>
      <c r="C24" s="1">
        <v>475.99997091665864</v>
      </c>
      <c r="D24" s="1">
        <v>0</v>
      </c>
      <c r="E24">
        <f t="shared" si="42"/>
        <v>3.6757556720598861</v>
      </c>
      <c r="F24">
        <f t="shared" si="43"/>
        <v>6.5839375678868259E-2</v>
      </c>
      <c r="G24">
        <f t="shared" si="44"/>
        <v>305.13488167284123</v>
      </c>
      <c r="H24" s="1">
        <v>8</v>
      </c>
      <c r="I24" s="1">
        <v>7</v>
      </c>
      <c r="J24" s="1">
        <v>0</v>
      </c>
      <c r="K24" s="1">
        <v>0</v>
      </c>
      <c r="L24" s="1">
        <v>458.95166015625</v>
      </c>
      <c r="M24" s="1">
        <v>1521.9591064453125</v>
      </c>
      <c r="N24" s="1">
        <v>594.88677978515625</v>
      </c>
      <c r="O24" t="e">
        <f t="shared" si="45"/>
        <v>#DIV/0!</v>
      </c>
      <c r="P24">
        <f t="shared" si="46"/>
        <v>0.69844678597956722</v>
      </c>
      <c r="Q24">
        <f t="shared" si="47"/>
        <v>0.60913090419717408</v>
      </c>
      <c r="R24" s="1">
        <v>-1</v>
      </c>
      <c r="S24" s="1">
        <v>0.87</v>
      </c>
      <c r="T24" s="1">
        <v>0.92</v>
      </c>
      <c r="U24" s="1">
        <v>10.178630828857422</v>
      </c>
      <c r="V24">
        <f t="shared" si="48"/>
        <v>0.8750893154144288</v>
      </c>
      <c r="W24">
        <f t="shared" si="49"/>
        <v>3.0445880446313862E-2</v>
      </c>
      <c r="X24">
        <f t="shared" si="50"/>
        <v>0.87212213789898363</v>
      </c>
      <c r="Y24">
        <f t="shared" si="51"/>
        <v>3.3161642904334672</v>
      </c>
      <c r="Z24">
        <f t="shared" si="52"/>
        <v>-1</v>
      </c>
      <c r="AA24" s="1">
        <v>175.49748229980469</v>
      </c>
      <c r="AB24" s="1">
        <v>0.5</v>
      </c>
      <c r="AC24">
        <f t="shared" si="53"/>
        <v>46.773935234836244</v>
      </c>
      <c r="AD24">
        <f t="shared" si="54"/>
        <v>0.70797055778747042</v>
      </c>
      <c r="AE24">
        <f t="shared" si="55"/>
        <v>1.0778701613250241</v>
      </c>
      <c r="AF24">
        <f t="shared" si="56"/>
        <v>19.567422866821289</v>
      </c>
      <c r="AG24" s="1">
        <v>1.8600000143051147</v>
      </c>
      <c r="AH24">
        <f t="shared" si="57"/>
        <v>4.8345794007042855</v>
      </c>
      <c r="AI24" s="1">
        <v>1</v>
      </c>
      <c r="AJ24">
        <f t="shared" si="58"/>
        <v>9.669158801408571</v>
      </c>
      <c r="AK24" s="1">
        <v>21.621858596801758</v>
      </c>
      <c r="AL24" s="1">
        <v>19.567422866821289</v>
      </c>
      <c r="AM24" s="1">
        <v>22.716472625732422</v>
      </c>
      <c r="AN24" s="1">
        <v>406.01742553710937</v>
      </c>
      <c r="AO24" s="1">
        <v>401.09298706054687</v>
      </c>
      <c r="AP24" s="1">
        <v>11.040556907653809</v>
      </c>
      <c r="AQ24" s="1">
        <v>11.910526275634766</v>
      </c>
      <c r="AR24" s="1">
        <v>43.135890960693359</v>
      </c>
      <c r="AS24" s="1">
        <v>46.534900665283203</v>
      </c>
      <c r="AT24" s="1">
        <v>149.56172180175781</v>
      </c>
      <c r="AU24" s="1">
        <v>175.49748229980469</v>
      </c>
      <c r="AV24" s="1">
        <v>25.494373321533203</v>
      </c>
      <c r="AW24" s="1">
        <v>101.30667114257812</v>
      </c>
      <c r="AX24" s="1">
        <v>2.7878317832946777</v>
      </c>
      <c r="AY24" s="1">
        <v>-3.9787925779819489E-2</v>
      </c>
      <c r="AZ24" s="1">
        <v>0.5</v>
      </c>
      <c r="BA24" s="1">
        <v>-1.355140209197998</v>
      </c>
      <c r="BB24" s="1">
        <v>7.355140209197998</v>
      </c>
      <c r="BC24" s="1">
        <v>1</v>
      </c>
      <c r="BD24" s="1">
        <v>0</v>
      </c>
      <c r="BE24" s="1">
        <v>0.15999999642372131</v>
      </c>
      <c r="BF24" s="1">
        <v>111115</v>
      </c>
      <c r="BG24">
        <f t="shared" si="59"/>
        <v>0.80409527231984024</v>
      </c>
      <c r="BH24">
        <f t="shared" si="60"/>
        <v>7.0797055778747044E-4</v>
      </c>
      <c r="BI24">
        <f t="shared" si="61"/>
        <v>292.71742286682127</v>
      </c>
      <c r="BJ24">
        <f t="shared" si="62"/>
        <v>294.77185859680174</v>
      </c>
      <c r="BK24">
        <f t="shared" si="63"/>
        <v>28.079596540340845</v>
      </c>
      <c r="BL24">
        <f t="shared" si="64"/>
        <v>7.441860918250652E-2</v>
      </c>
      <c r="BM24">
        <f t="shared" si="65"/>
        <v>2.2844859298657911</v>
      </c>
      <c r="BN24">
        <f t="shared" si="66"/>
        <v>22.550202312448167</v>
      </c>
      <c r="BO24">
        <f t="shared" si="67"/>
        <v>10.639676036813402</v>
      </c>
      <c r="BP24">
        <f t="shared" si="68"/>
        <v>20.594640731811523</v>
      </c>
      <c r="BQ24">
        <f t="shared" si="69"/>
        <v>2.4344302837699012</v>
      </c>
      <c r="BR24">
        <f t="shared" si="70"/>
        <v>6.5394093275016787E-2</v>
      </c>
      <c r="BS24">
        <f t="shared" si="71"/>
        <v>1.206615768540767</v>
      </c>
      <c r="BT24">
        <f t="shared" si="72"/>
        <v>1.2278145152291342</v>
      </c>
      <c r="BU24">
        <f t="shared" si="73"/>
        <v>4.0911082240260403E-2</v>
      </c>
      <c r="BV24">
        <f t="shared" si="74"/>
        <v>30.912199111760017</v>
      </c>
      <c r="BW24">
        <f t="shared" si="75"/>
        <v>0.76075845630973271</v>
      </c>
      <c r="BX24">
        <f t="shared" si="76"/>
        <v>52.315300453677146</v>
      </c>
      <c r="BY24">
        <f t="shared" si="77"/>
        <v>400.57978107653116</v>
      </c>
      <c r="BZ24">
        <f t="shared" si="78"/>
        <v>4.8004984640346122E-3</v>
      </c>
      <c r="CA24">
        <f t="shared" si="79"/>
        <v>0</v>
      </c>
      <c r="CB24">
        <f t="shared" si="80"/>
        <v>153.57597164269191</v>
      </c>
      <c r="CC24">
        <f t="shared" si="81"/>
        <v>1063.0074462890625</v>
      </c>
      <c r="CD24">
        <f t="shared" si="82"/>
        <v>0.60913090419717408</v>
      </c>
      <c r="CE24" t="e">
        <f t="shared" si="83"/>
        <v>#DIV/0!</v>
      </c>
    </row>
    <row r="25" spans="1:83" x14ac:dyDescent="0.25">
      <c r="A25" s="1">
        <v>7</v>
      </c>
      <c r="B25" s="1" t="s">
        <v>166</v>
      </c>
      <c r="C25" s="1">
        <v>550.99996574781835</v>
      </c>
      <c r="D25" s="1">
        <v>0</v>
      </c>
      <c r="E25">
        <f t="shared" si="42"/>
        <v>3.0248076697069006</v>
      </c>
      <c r="F25">
        <f t="shared" si="43"/>
        <v>6.3643402688593753E-2</v>
      </c>
      <c r="G25">
        <f t="shared" si="44"/>
        <v>317.26442473769248</v>
      </c>
      <c r="H25" s="1">
        <v>9</v>
      </c>
      <c r="I25" s="1">
        <v>8</v>
      </c>
      <c r="J25" s="1">
        <v>0</v>
      </c>
      <c r="K25" s="1">
        <v>0</v>
      </c>
      <c r="L25" s="1">
        <v>471.28857421875</v>
      </c>
      <c r="M25" s="1">
        <v>1663.6055908203125</v>
      </c>
      <c r="N25" s="1">
        <v>599.5516357421875</v>
      </c>
      <c r="O25" t="e">
        <f t="shared" si="45"/>
        <v>#DIV/0!</v>
      </c>
      <c r="P25">
        <f t="shared" si="46"/>
        <v>0.71670654581873527</v>
      </c>
      <c r="Q25">
        <f t="shared" si="47"/>
        <v>0.63960710456223424</v>
      </c>
      <c r="R25" s="1">
        <v>-1</v>
      </c>
      <c r="S25" s="1">
        <v>0.87</v>
      </c>
      <c r="T25" s="1">
        <v>0.92</v>
      </c>
      <c r="U25" s="1">
        <v>9.3449592590332031</v>
      </c>
      <c r="V25">
        <f t="shared" si="48"/>
        <v>0.87467247962951655</v>
      </c>
      <c r="W25">
        <f t="shared" si="49"/>
        <v>3.07258557228605E-2</v>
      </c>
      <c r="X25">
        <f t="shared" si="50"/>
        <v>0.89242537031885771</v>
      </c>
      <c r="Y25">
        <f t="shared" si="51"/>
        <v>3.5299085991593442</v>
      </c>
      <c r="Z25">
        <f t="shared" si="52"/>
        <v>-1</v>
      </c>
      <c r="AA25" s="1">
        <v>149.75994873046875</v>
      </c>
      <c r="AB25" s="1">
        <v>0.5</v>
      </c>
      <c r="AC25">
        <f t="shared" si="53"/>
        <v>41.891356961065675</v>
      </c>
      <c r="AD25">
        <f t="shared" si="54"/>
        <v>0.70328197471091614</v>
      </c>
      <c r="AE25">
        <f t="shared" si="55"/>
        <v>1.1072661398453987</v>
      </c>
      <c r="AF25">
        <f t="shared" si="56"/>
        <v>19.799291610717773</v>
      </c>
      <c r="AG25" s="1">
        <v>1.8600000143051147</v>
      </c>
      <c r="AH25">
        <f t="shared" si="57"/>
        <v>4.8345794007042855</v>
      </c>
      <c r="AI25" s="1">
        <v>1</v>
      </c>
      <c r="AJ25">
        <f t="shared" si="58"/>
        <v>9.669158801408571</v>
      </c>
      <c r="AK25" s="1">
        <v>21.926357269287109</v>
      </c>
      <c r="AL25" s="1">
        <v>19.799291610717773</v>
      </c>
      <c r="AM25" s="1">
        <v>22.822944641113281</v>
      </c>
      <c r="AN25" s="1">
        <v>404.22711181640625</v>
      </c>
      <c r="AO25" s="1">
        <v>400.11447143554687</v>
      </c>
      <c r="AP25" s="1">
        <v>11.082440376281738</v>
      </c>
      <c r="AQ25" s="1">
        <v>11.946813583374023</v>
      </c>
      <c r="AR25" s="1">
        <v>42.503170013427734</v>
      </c>
      <c r="AS25" s="1">
        <v>45.818195343017578</v>
      </c>
      <c r="AT25" s="1">
        <v>149.52763366699219</v>
      </c>
      <c r="AU25" s="1">
        <v>149.75994873046875</v>
      </c>
      <c r="AV25" s="1">
        <v>25.017276763916016</v>
      </c>
      <c r="AW25" s="1">
        <v>101.31063842773437</v>
      </c>
      <c r="AX25" s="1">
        <v>2.7878317832946777</v>
      </c>
      <c r="AY25" s="1">
        <v>-3.9787925779819489E-2</v>
      </c>
      <c r="AZ25" s="1">
        <v>0.75</v>
      </c>
      <c r="BA25" s="1">
        <v>-1.355140209197998</v>
      </c>
      <c r="BB25" s="1">
        <v>7.355140209197998</v>
      </c>
      <c r="BC25" s="1">
        <v>1</v>
      </c>
      <c r="BD25" s="1">
        <v>0</v>
      </c>
      <c r="BE25" s="1">
        <v>0.15999999642372131</v>
      </c>
      <c r="BF25" s="1">
        <v>111115</v>
      </c>
      <c r="BG25">
        <f t="shared" si="59"/>
        <v>0.80391200277949904</v>
      </c>
      <c r="BH25">
        <f t="shared" si="60"/>
        <v>7.0328197471091608E-4</v>
      </c>
      <c r="BI25">
        <f t="shared" si="61"/>
        <v>292.94929161071775</v>
      </c>
      <c r="BJ25">
        <f t="shared" si="62"/>
        <v>295.07635726928709</v>
      </c>
      <c r="BK25">
        <f t="shared" si="63"/>
        <v>23.961591261291687</v>
      </c>
      <c r="BL25">
        <f t="shared" si="64"/>
        <v>6.2633825972763499E-2</v>
      </c>
      <c r="BM25">
        <f t="shared" si="65"/>
        <v>2.31760545115415</v>
      </c>
      <c r="BN25">
        <f t="shared" si="66"/>
        <v>22.87622985228067</v>
      </c>
      <c r="BO25">
        <f t="shared" si="67"/>
        <v>10.929416268906646</v>
      </c>
      <c r="BP25">
        <f t="shared" si="68"/>
        <v>20.862824440002441</v>
      </c>
      <c r="BQ25">
        <f t="shared" si="69"/>
        <v>2.4749688513744927</v>
      </c>
      <c r="BR25">
        <f t="shared" si="70"/>
        <v>6.3227234495626936E-2</v>
      </c>
      <c r="BS25">
        <f t="shared" si="71"/>
        <v>1.2103393113087513</v>
      </c>
      <c r="BT25">
        <f t="shared" si="72"/>
        <v>1.2646295400657415</v>
      </c>
      <c r="BU25">
        <f t="shared" si="73"/>
        <v>3.9554202123945108E-2</v>
      </c>
      <c r="BV25">
        <f t="shared" si="74"/>
        <v>32.142261420583509</v>
      </c>
      <c r="BW25">
        <f t="shared" si="75"/>
        <v>0.79293414107067495</v>
      </c>
      <c r="BX25">
        <f t="shared" si="76"/>
        <v>51.695049229523079</v>
      </c>
      <c r="BY25">
        <f t="shared" si="77"/>
        <v>399.69215027628434</v>
      </c>
      <c r="BZ25">
        <f t="shared" si="78"/>
        <v>3.9122004594598428E-3</v>
      </c>
      <c r="CA25">
        <f t="shared" si="79"/>
        <v>0</v>
      </c>
      <c r="CB25">
        <f t="shared" si="80"/>
        <v>130.99090570526837</v>
      </c>
      <c r="CC25">
        <f t="shared" si="81"/>
        <v>1192.3170166015625</v>
      </c>
      <c r="CD25">
        <f t="shared" si="82"/>
        <v>0.63960710456223424</v>
      </c>
      <c r="CE25" t="e">
        <f t="shared" si="83"/>
        <v>#DIV/0!</v>
      </c>
    </row>
    <row r="26" spans="1:83" x14ac:dyDescent="0.25">
      <c r="A26" s="1">
        <v>8</v>
      </c>
      <c r="B26" s="1" t="s">
        <v>167</v>
      </c>
      <c r="C26" s="1">
        <v>624.99996064789593</v>
      </c>
      <c r="D26" s="1">
        <v>0</v>
      </c>
      <c r="E26">
        <f t="shared" si="42"/>
        <v>2.801348496793663</v>
      </c>
      <c r="F26">
        <f t="shared" si="43"/>
        <v>5.9922319082918403E-2</v>
      </c>
      <c r="G26">
        <f t="shared" si="44"/>
        <v>318.69358555649478</v>
      </c>
      <c r="H26" s="1">
        <v>10</v>
      </c>
      <c r="I26" s="1">
        <v>9</v>
      </c>
      <c r="J26" s="1">
        <v>0</v>
      </c>
      <c r="K26" s="1">
        <v>0</v>
      </c>
      <c r="L26" s="1">
        <v>478.048583984375</v>
      </c>
      <c r="M26" s="1">
        <v>1779.828369140625</v>
      </c>
      <c r="N26" s="1">
        <v>597.0706787109375</v>
      </c>
      <c r="O26" t="e">
        <f t="shared" si="45"/>
        <v>#DIV/0!</v>
      </c>
      <c r="P26">
        <f t="shared" si="46"/>
        <v>0.73140748160161273</v>
      </c>
      <c r="Q26">
        <f t="shared" si="47"/>
        <v>0.66453468825242512</v>
      </c>
      <c r="R26" s="1">
        <v>-1</v>
      </c>
      <c r="S26" s="1">
        <v>0.87</v>
      </c>
      <c r="T26" s="1">
        <v>0.92</v>
      </c>
      <c r="U26" s="1">
        <v>10.913486480712891</v>
      </c>
      <c r="V26">
        <f t="shared" si="48"/>
        <v>0.87545674324035649</v>
      </c>
      <c r="W26">
        <f t="shared" si="49"/>
        <v>3.4175635942888964E-2</v>
      </c>
      <c r="X26">
        <f t="shared" si="50"/>
        <v>0.90856971656517427</v>
      </c>
      <c r="Y26">
        <f t="shared" si="51"/>
        <v>3.7231118944153145</v>
      </c>
      <c r="Z26">
        <f t="shared" si="52"/>
        <v>-1</v>
      </c>
      <c r="AA26" s="1">
        <v>127.05342864990234</v>
      </c>
      <c r="AB26" s="1">
        <v>0.5</v>
      </c>
      <c r="AC26">
        <f t="shared" si="53"/>
        <v>36.958023875210749</v>
      </c>
      <c r="AD26">
        <f t="shared" si="54"/>
        <v>0.67959965621776397</v>
      </c>
      <c r="AE26">
        <f t="shared" si="55"/>
        <v>1.1359884077374616</v>
      </c>
      <c r="AF26">
        <f t="shared" si="56"/>
        <v>20.017000198364258</v>
      </c>
      <c r="AG26" s="1">
        <v>1.8600000143051147</v>
      </c>
      <c r="AH26">
        <f t="shared" si="57"/>
        <v>4.8345794007042855</v>
      </c>
      <c r="AI26" s="1">
        <v>1</v>
      </c>
      <c r="AJ26">
        <f t="shared" si="58"/>
        <v>9.669158801408571</v>
      </c>
      <c r="AK26" s="1">
        <v>21.951255798339844</v>
      </c>
      <c r="AL26" s="1">
        <v>20.017000198364258</v>
      </c>
      <c r="AM26" s="1">
        <v>22.635858535766602</v>
      </c>
      <c r="AN26" s="1">
        <v>404.27252197265625</v>
      </c>
      <c r="AO26" s="1">
        <v>400.44943237304687</v>
      </c>
      <c r="AP26" s="1">
        <v>11.136789321899414</v>
      </c>
      <c r="AQ26" s="1">
        <v>11.972016334533691</v>
      </c>
      <c r="AR26" s="1">
        <v>42.653926849365234</v>
      </c>
      <c r="AS26" s="1">
        <v>45.85284423828125</v>
      </c>
      <c r="AT26" s="1">
        <v>149.53085327148437</v>
      </c>
      <c r="AU26" s="1">
        <v>127.05342864990234</v>
      </c>
      <c r="AV26" s="1">
        <v>24.725246429443359</v>
      </c>
      <c r="AW26" s="1">
        <v>101.32764434814453</v>
      </c>
      <c r="AX26" s="1">
        <v>2.7878317832946777</v>
      </c>
      <c r="AY26" s="1">
        <v>-3.9787925779819489E-2</v>
      </c>
      <c r="AZ26" s="1">
        <v>1</v>
      </c>
      <c r="BA26" s="1">
        <v>-1.355140209197998</v>
      </c>
      <c r="BB26" s="1">
        <v>7.355140209197998</v>
      </c>
      <c r="BC26" s="1">
        <v>1</v>
      </c>
      <c r="BD26" s="1">
        <v>0</v>
      </c>
      <c r="BE26" s="1">
        <v>0.15999999642372131</v>
      </c>
      <c r="BF26" s="1">
        <v>111115</v>
      </c>
      <c r="BG26">
        <f t="shared" si="59"/>
        <v>0.80392931248093691</v>
      </c>
      <c r="BH26">
        <f t="shared" si="60"/>
        <v>6.7959965621776396E-4</v>
      </c>
      <c r="BI26">
        <f t="shared" si="61"/>
        <v>293.16700019836424</v>
      </c>
      <c r="BJ26">
        <f t="shared" si="62"/>
        <v>295.10125579833982</v>
      </c>
      <c r="BK26">
        <f t="shared" si="63"/>
        <v>20.328548129605906</v>
      </c>
      <c r="BL26">
        <f t="shared" si="64"/>
        <v>4.4605742500082639E-2</v>
      </c>
      <c r="BM26">
        <f t="shared" si="65"/>
        <v>2.3490846210132683</v>
      </c>
      <c r="BN26">
        <f t="shared" si="66"/>
        <v>23.183057655443104</v>
      </c>
      <c r="BO26">
        <f t="shared" si="67"/>
        <v>11.211041320909413</v>
      </c>
      <c r="BP26">
        <f t="shared" si="68"/>
        <v>20.984127998352051</v>
      </c>
      <c r="BQ26">
        <f t="shared" si="69"/>
        <v>2.4934984189706029</v>
      </c>
      <c r="BR26">
        <f t="shared" si="70"/>
        <v>5.955325192438559E-2</v>
      </c>
      <c r="BS26">
        <f t="shared" si="71"/>
        <v>1.2130962132758067</v>
      </c>
      <c r="BT26">
        <f t="shared" si="72"/>
        <v>1.2804022056947961</v>
      </c>
      <c r="BU26">
        <f t="shared" si="73"/>
        <v>3.7253765807183786E-2</v>
      </c>
      <c r="BV26">
        <f t="shared" si="74"/>
        <v>32.292470293303474</v>
      </c>
      <c r="BW26">
        <f t="shared" si="75"/>
        <v>0.79583977349631807</v>
      </c>
      <c r="BX26">
        <f t="shared" si="76"/>
        <v>51.079169368493616</v>
      </c>
      <c r="BY26">
        <f t="shared" si="77"/>
        <v>400.05831039973515</v>
      </c>
      <c r="BZ26">
        <f t="shared" si="78"/>
        <v>3.5767424549917118E-3</v>
      </c>
      <c r="CA26">
        <f t="shared" si="79"/>
        <v>0</v>
      </c>
      <c r="CB26">
        <f t="shared" si="80"/>
        <v>111.22978086336451</v>
      </c>
      <c r="CC26">
        <f t="shared" si="81"/>
        <v>1301.77978515625</v>
      </c>
      <c r="CD26">
        <f t="shared" si="82"/>
        <v>0.66453468825242512</v>
      </c>
      <c r="CE26" t="e">
        <f t="shared" si="83"/>
        <v>#DIV/0!</v>
      </c>
    </row>
    <row r="27" spans="1:83" x14ac:dyDescent="0.25">
      <c r="A27" s="1">
        <v>9</v>
      </c>
      <c r="B27" s="1" t="s">
        <v>168</v>
      </c>
      <c r="C27" s="1">
        <v>700.49995544459671</v>
      </c>
      <c r="D27" s="1">
        <v>0</v>
      </c>
      <c r="E27">
        <f t="shared" si="42"/>
        <v>2.3694590673669431</v>
      </c>
      <c r="F27">
        <f t="shared" si="43"/>
        <v>5.4940599189913793E-2</v>
      </c>
      <c r="G27">
        <f t="shared" si="44"/>
        <v>325.17113452249311</v>
      </c>
      <c r="H27" s="1">
        <v>11</v>
      </c>
      <c r="I27" s="1">
        <v>10</v>
      </c>
      <c r="J27" s="1">
        <v>0</v>
      </c>
      <c r="K27" s="1">
        <v>0</v>
      </c>
      <c r="L27" s="1">
        <v>483.005126953125</v>
      </c>
      <c r="M27" s="1">
        <v>1873.2994384765625</v>
      </c>
      <c r="N27" s="1">
        <v>584.90496826171875</v>
      </c>
      <c r="O27" t="e">
        <f t="shared" si="45"/>
        <v>#DIV/0!</v>
      </c>
      <c r="P27">
        <f t="shared" si="46"/>
        <v>0.74216341657267404</v>
      </c>
      <c r="Q27">
        <f t="shared" si="47"/>
        <v>0.68776749928597347</v>
      </c>
      <c r="R27" s="1">
        <v>-1</v>
      </c>
      <c r="S27" s="1">
        <v>0.87</v>
      </c>
      <c r="T27" s="1">
        <v>0.92</v>
      </c>
      <c r="U27" s="1">
        <v>9.8810501098632812</v>
      </c>
      <c r="V27">
        <f t="shared" si="48"/>
        <v>0.87494052505493158</v>
      </c>
      <c r="W27">
        <f t="shared" si="49"/>
        <v>3.8059771959449408E-2</v>
      </c>
      <c r="X27">
        <f t="shared" si="50"/>
        <v>0.92670628048752113</v>
      </c>
      <c r="Y27">
        <f t="shared" si="51"/>
        <v>3.8784255775785246</v>
      </c>
      <c r="Z27">
        <f t="shared" si="52"/>
        <v>-1</v>
      </c>
      <c r="AA27" s="1">
        <v>101.18484497070312</v>
      </c>
      <c r="AB27" s="1">
        <v>0.5</v>
      </c>
      <c r="AC27">
        <f t="shared" si="53"/>
        <v>30.444276428908687</v>
      </c>
      <c r="AD27">
        <f t="shared" si="54"/>
        <v>0.63081817245255589</v>
      </c>
      <c r="AE27">
        <f t="shared" si="55"/>
        <v>1.1494356616011698</v>
      </c>
      <c r="AF27">
        <f t="shared" si="56"/>
        <v>20.127752304077148</v>
      </c>
      <c r="AG27" s="1">
        <v>1.8600000143051147</v>
      </c>
      <c r="AH27">
        <f t="shared" si="57"/>
        <v>4.8345794007042855</v>
      </c>
      <c r="AI27" s="1">
        <v>1</v>
      </c>
      <c r="AJ27">
        <f t="shared" si="58"/>
        <v>9.669158801408571</v>
      </c>
      <c r="AK27" s="1">
        <v>21.622390747070313</v>
      </c>
      <c r="AL27" s="1">
        <v>20.127752304077148</v>
      </c>
      <c r="AM27" s="1">
        <v>21.755701065063477</v>
      </c>
      <c r="AN27" s="1">
        <v>404.47869873046875</v>
      </c>
      <c r="AO27" s="1">
        <v>401.21575927734375</v>
      </c>
      <c r="AP27" s="1">
        <v>11.222561836242676</v>
      </c>
      <c r="AQ27" s="1">
        <v>11.99799919128418</v>
      </c>
      <c r="AR27" s="1">
        <v>43.857433319091797</v>
      </c>
      <c r="AS27" s="1">
        <v>46.8878173828125</v>
      </c>
      <c r="AT27" s="1">
        <v>149.49554443359375</v>
      </c>
      <c r="AU27" s="1">
        <v>101.18484497070312</v>
      </c>
      <c r="AV27" s="1">
        <v>24.834478378295898</v>
      </c>
      <c r="AW27" s="1">
        <v>101.33408355712891</v>
      </c>
      <c r="AX27" s="1">
        <v>2.7878317832946777</v>
      </c>
      <c r="AY27" s="1">
        <v>-3.9787925779819489E-2</v>
      </c>
      <c r="AZ27" s="1">
        <v>0.5</v>
      </c>
      <c r="BA27" s="1">
        <v>-1.355140209197998</v>
      </c>
      <c r="BB27" s="1">
        <v>7.355140209197998</v>
      </c>
      <c r="BC27" s="1">
        <v>1</v>
      </c>
      <c r="BD27" s="1">
        <v>0</v>
      </c>
      <c r="BE27" s="1">
        <v>0.15999999642372131</v>
      </c>
      <c r="BF27" s="1">
        <v>111115</v>
      </c>
      <c r="BG27">
        <f t="shared" si="59"/>
        <v>0.80373948002061935</v>
      </c>
      <c r="BH27">
        <f t="shared" si="60"/>
        <v>6.3081817245255593E-4</v>
      </c>
      <c r="BI27">
        <f t="shared" si="61"/>
        <v>293.27775230407713</v>
      </c>
      <c r="BJ27">
        <f t="shared" si="62"/>
        <v>294.77239074707029</v>
      </c>
      <c r="BK27">
        <f t="shared" si="63"/>
        <v>16.189574833447296</v>
      </c>
      <c r="BL27">
        <f t="shared" si="64"/>
        <v>1.8282946250011201E-2</v>
      </c>
      <c r="BM27">
        <f t="shared" si="65"/>
        <v>2.3652419141691259</v>
      </c>
      <c r="BN27">
        <f t="shared" si="66"/>
        <v>23.341030294468279</v>
      </c>
      <c r="BO27">
        <f t="shared" si="67"/>
        <v>11.343031103184099</v>
      </c>
      <c r="BP27">
        <f t="shared" si="68"/>
        <v>20.87507152557373</v>
      </c>
      <c r="BQ27">
        <f t="shared" si="69"/>
        <v>2.4768341495154473</v>
      </c>
      <c r="BR27">
        <f t="shared" si="70"/>
        <v>5.4630187982150843E-2</v>
      </c>
      <c r="BS27">
        <f t="shared" si="71"/>
        <v>1.215806252567956</v>
      </c>
      <c r="BT27">
        <f t="shared" si="72"/>
        <v>1.2610278969474913</v>
      </c>
      <c r="BU27">
        <f t="shared" si="73"/>
        <v>3.4171620968138715E-2</v>
      </c>
      <c r="BV27">
        <f t="shared" si="74"/>
        <v>32.950918916068723</v>
      </c>
      <c r="BW27">
        <f t="shared" si="75"/>
        <v>0.81046451193288205</v>
      </c>
      <c r="BX27">
        <f t="shared" si="76"/>
        <v>50.808418869339221</v>
      </c>
      <c r="BY27">
        <f t="shared" si="77"/>
        <v>400.88493735098552</v>
      </c>
      <c r="BZ27">
        <f t="shared" si="78"/>
        <v>3.0030679023275494E-3</v>
      </c>
      <c r="CA27">
        <f t="shared" si="79"/>
        <v>0</v>
      </c>
      <c r="CB27">
        <f t="shared" si="80"/>
        <v>88.530721386268851</v>
      </c>
      <c r="CC27">
        <f t="shared" si="81"/>
        <v>1390.2943115234375</v>
      </c>
      <c r="CD27">
        <f t="shared" si="82"/>
        <v>0.68776749928597347</v>
      </c>
      <c r="CE27" t="e">
        <f t="shared" si="83"/>
        <v>#DIV/0!</v>
      </c>
    </row>
    <row r="28" spans="1:83" x14ac:dyDescent="0.25">
      <c r="A28" s="1">
        <v>10</v>
      </c>
      <c r="B28" s="1" t="s">
        <v>169</v>
      </c>
      <c r="C28" s="1">
        <v>774.49995034467429</v>
      </c>
      <c r="D28" s="1">
        <v>0</v>
      </c>
      <c r="E28">
        <f t="shared" si="42"/>
        <v>1.7160706451575711</v>
      </c>
      <c r="F28">
        <f t="shared" si="43"/>
        <v>5.0129365041036891E-2</v>
      </c>
      <c r="G28">
        <f t="shared" si="44"/>
        <v>338.57886520397636</v>
      </c>
      <c r="H28" s="1">
        <v>12</v>
      </c>
      <c r="I28" s="1">
        <v>11</v>
      </c>
      <c r="J28" s="1">
        <v>0</v>
      </c>
      <c r="K28" s="1">
        <v>0</v>
      </c>
      <c r="L28" s="1">
        <v>486.0810546875</v>
      </c>
      <c r="M28" s="1">
        <v>1932.9158935546875</v>
      </c>
      <c r="N28" s="1">
        <v>563.6239013671875</v>
      </c>
      <c r="O28" t="e">
        <f t="shared" si="45"/>
        <v>#DIV/0!</v>
      </c>
      <c r="P28">
        <f t="shared" si="46"/>
        <v>0.7485244669422304</v>
      </c>
      <c r="Q28">
        <f t="shared" si="47"/>
        <v>0.70840743601592149</v>
      </c>
      <c r="R28" s="1">
        <v>-1</v>
      </c>
      <c r="S28" s="1">
        <v>0.87</v>
      </c>
      <c r="T28" s="1">
        <v>0.92</v>
      </c>
      <c r="U28" s="1">
        <v>8.1733760833740234</v>
      </c>
      <c r="V28">
        <f t="shared" si="48"/>
        <v>0.87408668804168699</v>
      </c>
      <c r="W28">
        <f t="shared" si="49"/>
        <v>4.1244230356461416E-2</v>
      </c>
      <c r="X28">
        <f t="shared" si="50"/>
        <v>0.94640518420167408</v>
      </c>
      <c r="Y28">
        <f t="shared" si="51"/>
        <v>3.9765299941536565</v>
      </c>
      <c r="Z28">
        <f t="shared" si="52"/>
        <v>-1</v>
      </c>
      <c r="AA28" s="1">
        <v>75.339607238769531</v>
      </c>
      <c r="AB28" s="1">
        <v>0.5</v>
      </c>
      <c r="AC28">
        <f t="shared" si="53"/>
        <v>23.325500623298126</v>
      </c>
      <c r="AD28">
        <f t="shared" si="54"/>
        <v>0.57713525993567849</v>
      </c>
      <c r="AE28">
        <f t="shared" si="55"/>
        <v>1.1519070399180464</v>
      </c>
      <c r="AF28">
        <f t="shared" si="56"/>
        <v>20.17228889465332</v>
      </c>
      <c r="AG28" s="1">
        <v>1.8600000143051147</v>
      </c>
      <c r="AH28">
        <f t="shared" si="57"/>
        <v>4.8345794007042855</v>
      </c>
      <c r="AI28" s="1">
        <v>1</v>
      </c>
      <c r="AJ28">
        <f t="shared" si="58"/>
        <v>9.669158801408571</v>
      </c>
      <c r="AK28" s="1">
        <v>21.192766189575195</v>
      </c>
      <c r="AL28" s="1">
        <v>20.17228889465332</v>
      </c>
      <c r="AM28" s="1">
        <v>21.022554397583008</v>
      </c>
      <c r="AN28" s="1">
        <v>402.8536376953125</v>
      </c>
      <c r="AO28" s="1">
        <v>400.43130493164062</v>
      </c>
      <c r="AP28" s="1">
        <v>11.328775405883789</v>
      </c>
      <c r="AQ28" s="1">
        <v>12.038103103637695</v>
      </c>
      <c r="AR28" s="1">
        <v>45.452846527099609</v>
      </c>
      <c r="AS28" s="1">
        <v>48.298782348632813</v>
      </c>
      <c r="AT28" s="1">
        <v>149.51467895507812</v>
      </c>
      <c r="AU28" s="1">
        <v>75.339607238769531</v>
      </c>
      <c r="AV28" s="1">
        <v>24.957111358642578</v>
      </c>
      <c r="AW28" s="1">
        <v>101.33320617675781</v>
      </c>
      <c r="AX28" s="1">
        <v>2.7878317832946777</v>
      </c>
      <c r="AY28" s="1">
        <v>-3.9787925779819489E-2</v>
      </c>
      <c r="AZ28" s="1">
        <v>0.75</v>
      </c>
      <c r="BA28" s="1">
        <v>-1.355140209197998</v>
      </c>
      <c r="BB28" s="1">
        <v>7.355140209197998</v>
      </c>
      <c r="BC28" s="1">
        <v>1</v>
      </c>
      <c r="BD28" s="1">
        <v>0</v>
      </c>
      <c r="BE28" s="1">
        <v>0.15999999642372131</v>
      </c>
      <c r="BF28" s="1">
        <v>111115</v>
      </c>
      <c r="BG28">
        <f t="shared" si="59"/>
        <v>0.80384235379124946</v>
      </c>
      <c r="BH28">
        <f t="shared" si="60"/>
        <v>5.7713525993567845E-4</v>
      </c>
      <c r="BI28">
        <f t="shared" si="61"/>
        <v>293.3222888946533</v>
      </c>
      <c r="BJ28">
        <f t="shared" si="62"/>
        <v>294.34276618957517</v>
      </c>
      <c r="BK28">
        <f t="shared" si="63"/>
        <v>12.054336888767693</v>
      </c>
      <c r="BL28">
        <f t="shared" si="64"/>
        <v>-8.6421012246924549E-3</v>
      </c>
      <c r="BM28">
        <f t="shared" si="65"/>
        <v>2.3717666236960331</v>
      </c>
      <c r="BN28">
        <f t="shared" si="66"/>
        <v>23.405621051394611</v>
      </c>
      <c r="BO28">
        <f t="shared" si="67"/>
        <v>11.367517947756916</v>
      </c>
      <c r="BP28">
        <f t="shared" si="68"/>
        <v>20.682527542114258</v>
      </c>
      <c r="BQ28">
        <f t="shared" si="69"/>
        <v>2.4476506751188172</v>
      </c>
      <c r="BR28">
        <f t="shared" si="70"/>
        <v>4.9870811822284512E-2</v>
      </c>
      <c r="BS28">
        <f t="shared" si="71"/>
        <v>1.2198595837779866</v>
      </c>
      <c r="BT28">
        <f t="shared" si="72"/>
        <v>1.2277910913408305</v>
      </c>
      <c r="BU28">
        <f t="shared" si="73"/>
        <v>3.1192384115655555E-2</v>
      </c>
      <c r="BV28">
        <f t="shared" si="74"/>
        <v>34.309281954807233</v>
      </c>
      <c r="BW28">
        <f t="shared" si="75"/>
        <v>0.84553545398199237</v>
      </c>
      <c r="BX28">
        <f t="shared" si="76"/>
        <v>50.811312412021749</v>
      </c>
      <c r="BY28">
        <f t="shared" si="77"/>
        <v>400.19170855944895</v>
      </c>
      <c r="BZ28">
        <f t="shared" si="78"/>
        <v>2.1788507809438543E-3</v>
      </c>
      <c r="CA28">
        <f t="shared" si="79"/>
        <v>0</v>
      </c>
      <c r="CB28">
        <f t="shared" si="80"/>
        <v>65.853347769697564</v>
      </c>
      <c r="CC28">
        <f t="shared" si="81"/>
        <v>1446.8348388671875</v>
      </c>
      <c r="CD28">
        <f t="shared" si="82"/>
        <v>0.70840743601592149</v>
      </c>
      <c r="CE28" t="e">
        <f t="shared" si="83"/>
        <v>#DIV/0!</v>
      </c>
    </row>
    <row r="29" spans="1:83" x14ac:dyDescent="0.25">
      <c r="A29" s="1">
        <v>11</v>
      </c>
      <c r="B29" s="1" t="s">
        <v>170</v>
      </c>
      <c r="C29" s="1">
        <v>848.49994524475187</v>
      </c>
      <c r="D29" s="1">
        <v>0</v>
      </c>
      <c r="E29">
        <f t="shared" si="42"/>
        <v>1.3960167670779191</v>
      </c>
      <c r="F29">
        <f t="shared" si="43"/>
        <v>4.6816086831454384E-2</v>
      </c>
      <c r="G29">
        <f t="shared" si="44"/>
        <v>346.18706746405826</v>
      </c>
      <c r="H29" s="1">
        <v>13</v>
      </c>
      <c r="I29" s="1">
        <v>12</v>
      </c>
      <c r="J29" s="1">
        <v>0</v>
      </c>
      <c r="K29" s="1">
        <v>0</v>
      </c>
      <c r="L29" s="1">
        <v>488.554443359375</v>
      </c>
      <c r="M29" s="1">
        <v>1963.638916015625</v>
      </c>
      <c r="N29" s="1">
        <v>542.0572509765625</v>
      </c>
      <c r="O29" t="e">
        <f t="shared" si="45"/>
        <v>#DIV/0!</v>
      </c>
      <c r="P29">
        <f t="shared" si="46"/>
        <v>0.75119944946360617</v>
      </c>
      <c r="Q29">
        <f t="shared" si="47"/>
        <v>0.72395268470415197</v>
      </c>
      <c r="R29" s="1">
        <v>-1</v>
      </c>
      <c r="S29" s="1">
        <v>0.87</v>
      </c>
      <c r="T29" s="1">
        <v>0.92</v>
      </c>
      <c r="U29" s="1">
        <v>12.256671905517578</v>
      </c>
      <c r="V29">
        <f t="shared" si="48"/>
        <v>0.87612833595275885</v>
      </c>
      <c r="W29">
        <f t="shared" si="49"/>
        <v>5.4278168542496688E-2</v>
      </c>
      <c r="X29">
        <f t="shared" si="50"/>
        <v>0.96372898731633816</v>
      </c>
      <c r="Y29">
        <f t="shared" si="51"/>
        <v>4.019283710763828</v>
      </c>
      <c r="Z29">
        <f t="shared" si="52"/>
        <v>-1</v>
      </c>
      <c r="AA29" s="1">
        <v>50.384498596191406</v>
      </c>
      <c r="AB29" s="1">
        <v>0.5</v>
      </c>
      <c r="AC29">
        <f t="shared" si="53"/>
        <v>15.978825536128101</v>
      </c>
      <c r="AD29">
        <f t="shared" si="54"/>
        <v>0.53015343832195927</v>
      </c>
      <c r="AE29">
        <f t="shared" si="55"/>
        <v>1.1326578128825056</v>
      </c>
      <c r="AF29">
        <f t="shared" si="56"/>
        <v>20.074825286865234</v>
      </c>
      <c r="AG29" s="1">
        <v>1.8600000143051147</v>
      </c>
      <c r="AH29">
        <f t="shared" si="57"/>
        <v>4.8345794007042855</v>
      </c>
      <c r="AI29" s="1">
        <v>1</v>
      </c>
      <c r="AJ29">
        <f t="shared" si="58"/>
        <v>9.669158801408571</v>
      </c>
      <c r="AK29" s="1">
        <v>20.739709854125977</v>
      </c>
      <c r="AL29" s="1">
        <v>20.074825286865234</v>
      </c>
      <c r="AM29" s="1">
        <v>20.497241973876953</v>
      </c>
      <c r="AN29" s="1">
        <v>402.89236450195312</v>
      </c>
      <c r="AO29" s="1">
        <v>400.89163208007812</v>
      </c>
      <c r="AP29" s="1">
        <v>11.436243057250977</v>
      </c>
      <c r="AQ29" s="1">
        <v>12.087682723999023</v>
      </c>
      <c r="AR29" s="1">
        <v>47.178543090820313</v>
      </c>
      <c r="AS29" s="1">
        <v>49.865962982177734</v>
      </c>
      <c r="AT29" s="1">
        <v>149.54046630859375</v>
      </c>
      <c r="AU29" s="1">
        <v>50.384498596191406</v>
      </c>
      <c r="AV29" s="1">
        <v>24.581253051757813</v>
      </c>
      <c r="AW29" s="1">
        <v>101.33047485351562</v>
      </c>
      <c r="AX29" s="1">
        <v>2.7878317832946777</v>
      </c>
      <c r="AY29" s="1">
        <v>-3.9787925779819489E-2</v>
      </c>
      <c r="AZ29" s="1">
        <v>1</v>
      </c>
      <c r="BA29" s="1">
        <v>-1.355140209197998</v>
      </c>
      <c r="BB29" s="1">
        <v>7.355140209197998</v>
      </c>
      <c r="BC29" s="1">
        <v>1</v>
      </c>
      <c r="BD29" s="1">
        <v>0</v>
      </c>
      <c r="BE29" s="1">
        <v>0.15999999642372131</v>
      </c>
      <c r="BF29" s="1">
        <v>111115</v>
      </c>
      <c r="BG29">
        <f t="shared" si="59"/>
        <v>0.80398099547575097</v>
      </c>
      <c r="BH29">
        <f t="shared" si="60"/>
        <v>5.3015343832195925E-4</v>
      </c>
      <c r="BI29">
        <f t="shared" si="61"/>
        <v>293.22482528686521</v>
      </c>
      <c r="BJ29">
        <f t="shared" si="62"/>
        <v>293.88970985412595</v>
      </c>
      <c r="BK29">
        <f t="shared" si="63"/>
        <v>8.0615195952016165</v>
      </c>
      <c r="BL29">
        <f t="shared" si="64"/>
        <v>-3.111556827510208E-2</v>
      </c>
      <c r="BM29">
        <f t="shared" si="65"/>
        <v>2.3575084431839639</v>
      </c>
      <c r="BN29">
        <f t="shared" si="66"/>
        <v>23.265542242765591</v>
      </c>
      <c r="BO29">
        <f t="shared" si="67"/>
        <v>11.177859518766567</v>
      </c>
      <c r="BP29">
        <f t="shared" si="68"/>
        <v>20.407267570495605</v>
      </c>
      <c r="BQ29">
        <f t="shared" si="69"/>
        <v>2.406453292926352</v>
      </c>
      <c r="BR29">
        <f t="shared" si="70"/>
        <v>4.65905051465055E-2</v>
      </c>
      <c r="BS29">
        <f t="shared" si="71"/>
        <v>1.2248506303014584</v>
      </c>
      <c r="BT29">
        <f t="shared" si="72"/>
        <v>1.1816026626248937</v>
      </c>
      <c r="BU29">
        <f t="shared" si="73"/>
        <v>2.9139249144875246E-2</v>
      </c>
      <c r="BV29">
        <f t="shared" si="74"/>
        <v>35.079299934279071</v>
      </c>
      <c r="BW29">
        <f t="shared" si="75"/>
        <v>0.86354276258604312</v>
      </c>
      <c r="BX29">
        <f t="shared" si="76"/>
        <v>51.326419643470153</v>
      </c>
      <c r="BY29">
        <f t="shared" si="77"/>
        <v>400.6967213671337</v>
      </c>
      <c r="BZ29">
        <f t="shared" si="78"/>
        <v>1.7881988695063716E-3</v>
      </c>
      <c r="CA29">
        <f t="shared" si="79"/>
        <v>0</v>
      </c>
      <c r="CB29">
        <f t="shared" si="80"/>
        <v>44.143286912895292</v>
      </c>
      <c r="CC29">
        <f t="shared" si="81"/>
        <v>1475.08447265625</v>
      </c>
      <c r="CD29">
        <f t="shared" si="82"/>
        <v>0.72395268470415197</v>
      </c>
      <c r="CE29" t="e">
        <f t="shared" si="83"/>
        <v>#DIV/0!</v>
      </c>
    </row>
    <row r="30" spans="1:83" x14ac:dyDescent="0.25">
      <c r="A30" s="1">
        <v>12</v>
      </c>
      <c r="B30" s="1" t="s">
        <v>171</v>
      </c>
      <c r="C30" s="1">
        <v>922.49994014482945</v>
      </c>
      <c r="D30" s="1">
        <v>0</v>
      </c>
      <c r="E30">
        <f t="shared" si="42"/>
        <v>0.43719028334513954</v>
      </c>
      <c r="F30">
        <f t="shared" si="43"/>
        <v>4.4036666457916138E-2</v>
      </c>
      <c r="G30">
        <f t="shared" si="44"/>
        <v>377.46365179238535</v>
      </c>
      <c r="H30" s="1">
        <v>14</v>
      </c>
      <c r="I30" s="1">
        <v>13</v>
      </c>
      <c r="J30" s="1">
        <v>0</v>
      </c>
      <c r="K30" s="1">
        <v>0</v>
      </c>
      <c r="L30" s="1">
        <v>486.758544921875</v>
      </c>
      <c r="M30" s="1">
        <v>1988.483154296875</v>
      </c>
      <c r="N30" s="1">
        <v>516.609130859375</v>
      </c>
      <c r="O30" t="e">
        <f t="shared" si="45"/>
        <v>#DIV/0!</v>
      </c>
      <c r="P30">
        <f t="shared" si="46"/>
        <v>0.75521112971460291</v>
      </c>
      <c r="Q30">
        <f t="shared" si="47"/>
        <v>0.74019939281706049</v>
      </c>
      <c r="R30" s="1">
        <v>-1</v>
      </c>
      <c r="S30" s="1">
        <v>0.87</v>
      </c>
      <c r="T30" s="1">
        <v>0.92</v>
      </c>
      <c r="U30" s="1">
        <v>14.168544769287109</v>
      </c>
      <c r="V30">
        <f t="shared" si="48"/>
        <v>0.8770842723846437</v>
      </c>
      <c r="W30">
        <f t="shared" si="49"/>
        <v>7.0233135355356607E-2</v>
      </c>
      <c r="X30">
        <f t="shared" si="50"/>
        <v>0.98012246336568765</v>
      </c>
      <c r="Y30">
        <f t="shared" si="51"/>
        <v>4.0851530497857569</v>
      </c>
      <c r="Z30">
        <f t="shared" si="52"/>
        <v>-1</v>
      </c>
      <c r="AA30" s="1">
        <v>23.330867767333984</v>
      </c>
      <c r="AB30" s="1">
        <v>0.5</v>
      </c>
      <c r="AC30">
        <f t="shared" si="53"/>
        <v>7.5734008578154413</v>
      </c>
      <c r="AD30">
        <f t="shared" si="54"/>
        <v>0.48666623945967313</v>
      </c>
      <c r="AE30">
        <f t="shared" si="55"/>
        <v>1.1051820513915394</v>
      </c>
      <c r="AF30">
        <f t="shared" si="56"/>
        <v>19.91728401184082</v>
      </c>
      <c r="AG30" s="1">
        <v>1.8600000143051147</v>
      </c>
      <c r="AH30">
        <f t="shared" si="57"/>
        <v>4.8345794007042855</v>
      </c>
      <c r="AI30" s="1">
        <v>1</v>
      </c>
      <c r="AJ30">
        <f t="shared" si="58"/>
        <v>9.669158801408571</v>
      </c>
      <c r="AK30" s="1">
        <v>20.376369476318359</v>
      </c>
      <c r="AL30" s="1">
        <v>19.91728401184082</v>
      </c>
      <c r="AM30" s="1">
        <v>20.159616470336914</v>
      </c>
      <c r="AN30" s="1">
        <v>401.09945678710937</v>
      </c>
      <c r="AO30" s="1">
        <v>400.31341552734375</v>
      </c>
      <c r="AP30" s="1">
        <v>11.534772872924805</v>
      </c>
      <c r="AQ30" s="1">
        <v>12.132704734802246</v>
      </c>
      <c r="AR30" s="1">
        <v>48.664150238037109</v>
      </c>
      <c r="AS30" s="1">
        <v>51.186767578125</v>
      </c>
      <c r="AT30" s="1">
        <v>149.55160522460937</v>
      </c>
      <c r="AU30" s="1">
        <v>23.330867767333984</v>
      </c>
      <c r="AV30" s="1">
        <v>24.592863082885742</v>
      </c>
      <c r="AW30" s="1">
        <v>101.33256530761719</v>
      </c>
      <c r="AX30" s="1">
        <v>2.7878317832946777</v>
      </c>
      <c r="AY30" s="1">
        <v>-3.9787925779819489E-2</v>
      </c>
      <c r="AZ30" s="1">
        <v>0.75</v>
      </c>
      <c r="BA30" s="1">
        <v>-1.355140209197998</v>
      </c>
      <c r="BB30" s="1">
        <v>7.355140209197998</v>
      </c>
      <c r="BC30" s="1">
        <v>1</v>
      </c>
      <c r="BD30" s="1">
        <v>0</v>
      </c>
      <c r="BE30" s="1">
        <v>0.15999999642372131</v>
      </c>
      <c r="BF30" s="1">
        <v>111115</v>
      </c>
      <c r="BG30">
        <f t="shared" si="59"/>
        <v>0.80404088212053582</v>
      </c>
      <c r="BH30">
        <f t="shared" si="60"/>
        <v>4.8666623945967314E-4</v>
      </c>
      <c r="BI30">
        <f t="shared" si="61"/>
        <v>293.0672840118408</v>
      </c>
      <c r="BJ30">
        <f t="shared" si="62"/>
        <v>293.52636947631834</v>
      </c>
      <c r="BK30">
        <f t="shared" si="63"/>
        <v>3.7329387593357524</v>
      </c>
      <c r="BL30">
        <f t="shared" si="64"/>
        <v>-4.9115267843282122E-2</v>
      </c>
      <c r="BM30">
        <f t="shared" si="65"/>
        <v>2.3346201462889242</v>
      </c>
      <c r="BN30">
        <f t="shared" si="66"/>
        <v>23.039189220184781</v>
      </c>
      <c r="BO30">
        <f t="shared" si="67"/>
        <v>10.906484485382535</v>
      </c>
      <c r="BP30">
        <f t="shared" si="68"/>
        <v>20.14682674407959</v>
      </c>
      <c r="BQ30">
        <f t="shared" si="69"/>
        <v>2.3680344340671242</v>
      </c>
      <c r="BR30">
        <f t="shared" si="70"/>
        <v>4.3837017640064056E-2</v>
      </c>
      <c r="BS30">
        <f t="shared" si="71"/>
        <v>1.2294380948973849</v>
      </c>
      <c r="BT30">
        <f t="shared" si="72"/>
        <v>1.1385963391697393</v>
      </c>
      <c r="BU30">
        <f t="shared" si="73"/>
        <v>2.7416003546327679E-2</v>
      </c>
      <c r="BV30">
        <f t="shared" si="74"/>
        <v>38.249360146503562</v>
      </c>
      <c r="BW30">
        <f t="shared" si="75"/>
        <v>0.94292031481168881</v>
      </c>
      <c r="BX30">
        <f t="shared" si="76"/>
        <v>52.032222969852306</v>
      </c>
      <c r="BY30">
        <f t="shared" si="77"/>
        <v>400.25237537952552</v>
      </c>
      <c r="BZ30">
        <f t="shared" si="78"/>
        <v>5.6834096941204204E-4</v>
      </c>
      <c r="CA30">
        <f t="shared" si="79"/>
        <v>0</v>
      </c>
      <c r="CB30">
        <f t="shared" si="80"/>
        <v>20.463137179814463</v>
      </c>
      <c r="CC30">
        <f t="shared" si="81"/>
        <v>1501.724609375</v>
      </c>
      <c r="CD30">
        <f t="shared" si="82"/>
        <v>0.74019939281706049</v>
      </c>
      <c r="CE30" t="e">
        <f t="shared" si="83"/>
        <v>#DIV/0!</v>
      </c>
    </row>
    <row r="31" spans="1:83" x14ac:dyDescent="0.25">
      <c r="A31" s="1">
        <v>13</v>
      </c>
      <c r="B31" s="1" t="s">
        <v>172</v>
      </c>
      <c r="C31" s="1">
        <v>996.9999350104481</v>
      </c>
      <c r="D31" s="1">
        <v>0</v>
      </c>
      <c r="E31">
        <f t="shared" si="42"/>
        <v>-0.25031808267697636</v>
      </c>
      <c r="F31">
        <f t="shared" si="43"/>
        <v>4.2576758193722787E-2</v>
      </c>
      <c r="G31">
        <f t="shared" si="44"/>
        <v>403.58551011475987</v>
      </c>
      <c r="H31" s="1">
        <v>15</v>
      </c>
      <c r="I31" s="1">
        <v>14</v>
      </c>
      <c r="J31" s="1">
        <v>0</v>
      </c>
      <c r="K31" s="1">
        <v>0</v>
      </c>
      <c r="L31" s="1">
        <v>475.052734375</v>
      </c>
      <c r="M31" s="1">
        <v>2018.373046875</v>
      </c>
      <c r="N31" s="1">
        <v>460.208984375</v>
      </c>
      <c r="O31" t="e">
        <f t="shared" si="45"/>
        <v>#DIV/0!</v>
      </c>
      <c r="P31">
        <f t="shared" si="46"/>
        <v>0.76463581144699044</v>
      </c>
      <c r="Q31">
        <f t="shared" si="47"/>
        <v>0.77199012586522053</v>
      </c>
      <c r="R31" s="1">
        <v>-1</v>
      </c>
      <c r="S31" s="1">
        <v>0.87</v>
      </c>
      <c r="T31" s="1">
        <v>0.92</v>
      </c>
      <c r="U31" s="1">
        <v>0</v>
      </c>
      <c r="V31">
        <f t="shared" si="48"/>
        <v>0.87</v>
      </c>
      <c r="W31">
        <f t="shared" si="49"/>
        <v>2.3039501843406471</v>
      </c>
      <c r="X31">
        <f t="shared" si="50"/>
        <v>1.009618061707459</v>
      </c>
      <c r="Y31">
        <f t="shared" si="51"/>
        <v>4.2487347210630402</v>
      </c>
      <c r="Z31">
        <f t="shared" si="52"/>
        <v>-1</v>
      </c>
      <c r="AA31" s="1">
        <v>0.37401127815246582</v>
      </c>
      <c r="AB31" s="1">
        <v>0.5</v>
      </c>
      <c r="AC31">
        <f t="shared" si="53"/>
        <v>0.12559886095773132</v>
      </c>
      <c r="AD31">
        <f t="shared" si="54"/>
        <v>0.46260624884305346</v>
      </c>
      <c r="AE31">
        <f t="shared" si="55"/>
        <v>1.086462985309149</v>
      </c>
      <c r="AF31">
        <f t="shared" si="56"/>
        <v>19.825075149536133</v>
      </c>
      <c r="AG31" s="1">
        <v>1.8600000143051147</v>
      </c>
      <c r="AH31">
        <f t="shared" si="57"/>
        <v>4.8345794007042855</v>
      </c>
      <c r="AI31" s="1">
        <v>1</v>
      </c>
      <c r="AJ31">
        <f t="shared" si="58"/>
        <v>9.669158801408571</v>
      </c>
      <c r="AK31" s="1">
        <v>20.311578750610352</v>
      </c>
      <c r="AL31" s="1">
        <v>19.825075149536133</v>
      </c>
      <c r="AM31" s="1">
        <v>20.159389495849609</v>
      </c>
      <c r="AN31" s="1">
        <v>401.08416748046875</v>
      </c>
      <c r="AO31" s="1">
        <v>401.16470336914062</v>
      </c>
      <c r="AP31" s="1">
        <v>11.617436408996582</v>
      </c>
      <c r="AQ31" s="1">
        <v>12.185929298400879</v>
      </c>
      <c r="AR31" s="1">
        <v>49.210208892822266</v>
      </c>
      <c r="AS31" s="1">
        <v>51.6182861328125</v>
      </c>
      <c r="AT31" s="1">
        <v>149.51150512695312</v>
      </c>
      <c r="AU31" s="1">
        <v>0.37401127815246582</v>
      </c>
      <c r="AV31" s="1">
        <v>24.352170944213867</v>
      </c>
      <c r="AW31" s="1">
        <v>101.33418273925781</v>
      </c>
      <c r="AX31" s="1">
        <v>2.7878317832946777</v>
      </c>
      <c r="AY31" s="1">
        <v>-3.9787925779819489E-2</v>
      </c>
      <c r="AZ31" s="1">
        <v>0.75</v>
      </c>
      <c r="BA31" s="1">
        <v>-1.355140209197998</v>
      </c>
      <c r="BB31" s="1">
        <v>7.355140209197998</v>
      </c>
      <c r="BC31" s="1">
        <v>1</v>
      </c>
      <c r="BD31" s="1">
        <v>0</v>
      </c>
      <c r="BE31" s="1">
        <v>0.15999999642372131</v>
      </c>
      <c r="BF31" s="1">
        <v>111115</v>
      </c>
      <c r="BG31">
        <f t="shared" si="59"/>
        <v>0.8038252901993107</v>
      </c>
      <c r="BH31">
        <f t="shared" si="60"/>
        <v>4.6260624884305349E-4</v>
      </c>
      <c r="BI31">
        <f t="shared" si="61"/>
        <v>292.97507514953611</v>
      </c>
      <c r="BJ31">
        <f t="shared" si="62"/>
        <v>293.46157875061033</v>
      </c>
      <c r="BK31">
        <f t="shared" si="63"/>
        <v>5.9841803166825969E-2</v>
      </c>
      <c r="BL31">
        <f t="shared" si="64"/>
        <v>-5.8056263530095409E-2</v>
      </c>
      <c r="BM31">
        <f t="shared" si="65"/>
        <v>2.3213141716809793</v>
      </c>
      <c r="BN31">
        <f t="shared" si="66"/>
        <v>22.907513624044658</v>
      </c>
      <c r="BO31">
        <f t="shared" si="67"/>
        <v>10.721584325643779</v>
      </c>
      <c r="BP31">
        <f t="shared" si="68"/>
        <v>20.068326950073242</v>
      </c>
      <c r="BQ31">
        <f t="shared" si="69"/>
        <v>2.3565604626226642</v>
      </c>
      <c r="BR31">
        <f t="shared" si="70"/>
        <v>4.2390099452124907E-2</v>
      </c>
      <c r="BS31">
        <f t="shared" si="71"/>
        <v>1.2348511863718303</v>
      </c>
      <c r="BT31">
        <f t="shared" si="72"/>
        <v>1.1217092762508338</v>
      </c>
      <c r="BU31">
        <f t="shared" si="73"/>
        <v>2.6510519286760657E-2</v>
      </c>
      <c r="BV31">
        <f t="shared" si="74"/>
        <v>40.897007832885663</v>
      </c>
      <c r="BW31">
        <f t="shared" si="75"/>
        <v>1.0060344460150366</v>
      </c>
      <c r="BX31">
        <f t="shared" si="76"/>
        <v>52.569145341019642</v>
      </c>
      <c r="BY31">
        <f t="shared" si="77"/>
        <v>401.19965257398405</v>
      </c>
      <c r="BZ31">
        <f t="shared" si="78"/>
        <v>-3.27991502118879E-4</v>
      </c>
      <c r="CA31">
        <f t="shared" si="79"/>
        <v>0</v>
      </c>
      <c r="CB31">
        <f t="shared" si="80"/>
        <v>0.32538981199264527</v>
      </c>
      <c r="CC31">
        <f t="shared" si="81"/>
        <v>1543.3203125</v>
      </c>
      <c r="CD31">
        <f t="shared" si="82"/>
        <v>0.77199012586522053</v>
      </c>
      <c r="CE31" t="e">
        <f t="shared" si="83"/>
        <v>#DIV/0!</v>
      </c>
    </row>
    <row r="32" spans="1:83" x14ac:dyDescent="0.25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R32" s="1"/>
      <c r="S32" s="1"/>
      <c r="T32" s="1"/>
      <c r="U32" s="1"/>
      <c r="AA32" s="1"/>
      <c r="AB32" s="1"/>
      <c r="AG32" s="1"/>
      <c r="AI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1:87" x14ac:dyDescent="0.25">
      <c r="A33" s="1">
        <v>1</v>
      </c>
      <c r="B33" s="1" t="s">
        <v>179</v>
      </c>
      <c r="C33" s="1">
        <v>248.49998666439205</v>
      </c>
      <c r="D33" s="1">
        <v>0</v>
      </c>
      <c r="E33">
        <f t="shared" ref="E33:E44" si="84">(AN33-AO33*(1000-AP33)/(1000-AQ33))*BK33</f>
        <v>3.0107304314159804</v>
      </c>
      <c r="F33">
        <f t="shared" ref="F33:F44" si="85">IF(BV33&lt;&gt;0,1/(1/BV33-1/AJ33),0)</f>
        <v>6.8146501491861231E-2</v>
      </c>
      <c r="G33">
        <f t="shared" ref="G33:G44" si="86">((BY33-BL33/2)*AO33-E33)/(BY33+BL33/2)</f>
        <v>318.75056568422957</v>
      </c>
      <c r="H33" s="1">
        <v>43</v>
      </c>
      <c r="I33" s="1">
        <v>0</v>
      </c>
      <c r="J33" s="1">
        <v>0</v>
      </c>
      <c r="K33" s="1">
        <v>0</v>
      </c>
      <c r="L33" s="1">
        <v>0</v>
      </c>
      <c r="M33" s="1">
        <v>214.08091735839844</v>
      </c>
      <c r="N33" s="1">
        <v>141.03903198242187</v>
      </c>
      <c r="O33" t="e">
        <f t="shared" ref="O33:O44" si="87">CE33/K33</f>
        <v>#DIV/0!</v>
      </c>
      <c r="P33">
        <f t="shared" ref="P33:P44" si="88">CG33/M33</f>
        <v>1</v>
      </c>
      <c r="Q33">
        <f t="shared" ref="Q33:Q44" si="89">(M33-N33)/M33</f>
        <v>0.3411882118091602</v>
      </c>
      <c r="R33" s="1">
        <v>-1</v>
      </c>
      <c r="S33" s="1">
        <v>0.87</v>
      </c>
      <c r="T33" s="1">
        <v>0.92</v>
      </c>
      <c r="U33" s="1">
        <v>9.9331893920898437</v>
      </c>
      <c r="V33">
        <f t="shared" ref="V33:V44" si="90">(U33*T33+(100-U33)*S33)/100</f>
        <v>0.87496659469604476</v>
      </c>
      <c r="W33">
        <f t="shared" ref="W33:W44" si="91">(E33-R33)/CF33</f>
        <v>7.6102912667332812E-3</v>
      </c>
      <c r="X33">
        <f t="shared" ref="X33:X44" si="92">(M33-N33)/(M33-L33)</f>
        <v>0.3411882118091602</v>
      </c>
      <c r="Y33" t="e">
        <f t="shared" ref="Y33:Y44" si="93">(K33-M33)/(K33-L33)</f>
        <v>#DIV/0!</v>
      </c>
      <c r="Z33">
        <f t="shared" ref="Z33:Z44" si="94">(K33-M33)/M33</f>
        <v>-1</v>
      </c>
      <c r="AA33" s="1">
        <v>602.32476806640625</v>
      </c>
      <c r="AB33" s="1">
        <v>0.5</v>
      </c>
      <c r="AC33">
        <f t="shared" ref="AC33:AC44" si="95">Q33*AB33*V33*AA33</f>
        <v>89.905490866369419</v>
      </c>
      <c r="AD33">
        <f t="shared" ref="AD33:AD44" si="96">BL33*1000</f>
        <v>0.77690603304036832</v>
      </c>
      <c r="AE33">
        <f t="shared" ref="AE33:AE44" si="97">(BQ33-BW33)</f>
        <v>1.1433747396586864</v>
      </c>
      <c r="AF33">
        <f t="shared" ref="AF33:AF44" si="98">(AL33+BP33*D33)</f>
        <v>20.521244049072266</v>
      </c>
      <c r="AG33" s="1">
        <v>1.9299999475479126</v>
      </c>
      <c r="AH33">
        <f t="shared" ref="AH33:AH44" si="99">(AG33*BE33+BF33)</f>
        <v>4.7397196765257945</v>
      </c>
      <c r="AI33" s="1">
        <v>1</v>
      </c>
      <c r="AJ33">
        <f t="shared" ref="AJ33:AJ44" si="100">AH33*(AI33+1)*(AI33+1)/(AI33*AI33+1)</f>
        <v>9.479439353051589</v>
      </c>
      <c r="AK33" s="1">
        <v>16.280427932739258</v>
      </c>
      <c r="AL33" s="1">
        <v>20.521244049072266</v>
      </c>
      <c r="AM33" s="1">
        <v>13.846051216125488</v>
      </c>
      <c r="AN33" s="1">
        <v>400.71591186523437</v>
      </c>
      <c r="AO33" s="1">
        <v>396.43707275390625</v>
      </c>
      <c r="AP33" s="1">
        <v>11.6314697265625</v>
      </c>
      <c r="AQ33" s="1">
        <v>12.620494842529297</v>
      </c>
      <c r="AR33" s="1">
        <v>63.507961273193359</v>
      </c>
      <c r="AS33" s="1">
        <v>68.908050537109375</v>
      </c>
      <c r="AT33" s="1">
        <v>149.69337463378906</v>
      </c>
      <c r="AU33" s="1">
        <v>602.32476806640625</v>
      </c>
      <c r="AV33" s="1">
        <v>6.5006828308105469</v>
      </c>
      <c r="AW33" s="1">
        <v>101.42730712890625</v>
      </c>
      <c r="AX33" s="1">
        <v>2.6561577320098877</v>
      </c>
      <c r="AY33" s="1">
        <v>0.25917899608612061</v>
      </c>
      <c r="AZ33" s="1">
        <v>1.4898180961608887E-2</v>
      </c>
      <c r="BA33" s="1">
        <v>1.6694518271833658E-3</v>
      </c>
      <c r="BB33" s="1">
        <v>1.4636354520916939E-2</v>
      </c>
      <c r="BC33" s="1">
        <v>3.3097104169428349E-3</v>
      </c>
      <c r="BD33" s="1">
        <v>1</v>
      </c>
      <c r="BE33" s="1">
        <v>-1.355140209197998</v>
      </c>
      <c r="BF33" s="1">
        <v>7.355140209197998</v>
      </c>
      <c r="BG33" s="1">
        <v>1</v>
      </c>
      <c r="BH33" s="1">
        <v>0</v>
      </c>
      <c r="BI33" s="1">
        <v>0.15999999642372131</v>
      </c>
      <c r="BJ33" s="1">
        <v>111115</v>
      </c>
      <c r="BK33">
        <f t="shared" ref="BK33:BK44" si="101">AT33*0.000001/(AG33*0.0001)</f>
        <v>0.77561336115048196</v>
      </c>
      <c r="BL33">
        <f t="shared" ref="BL33:BL44" si="102">(AQ33-AP33)/(1000-AQ33)*BK33</f>
        <v>7.7690603304036835E-4</v>
      </c>
      <c r="BM33">
        <f t="shared" ref="BM33:BM44" si="103">(AL33+273.15)</f>
        <v>293.67124404907224</v>
      </c>
      <c r="BN33">
        <f t="shared" ref="BN33:BN44" si="104">(AK33+273.15)</f>
        <v>289.43042793273924</v>
      </c>
      <c r="BO33">
        <f t="shared" ref="BO33:BO44" si="105">(AU33*BG33+AV33*BH33)*BI33</f>
        <v>96.37196073654377</v>
      </c>
      <c r="BP33">
        <f t="shared" ref="BP33:BP44" si="106">((BO33+0.00000010773*(BN33^4-BM33^4))-BL33*44100)/(AH33*0.92*2*29.3+0.00000043092*BM33^3)</f>
        <v>6.3126013629496838E-2</v>
      </c>
      <c r="BQ33">
        <f t="shared" ref="BQ33:BQ44" si="107">0.61365*EXP(17.502*AF33/(240.97+AF33))</f>
        <v>2.4234375461706827</v>
      </c>
      <c r="BR33">
        <f t="shared" ref="BR33:BR44" si="108">BQ33*1000/AW33</f>
        <v>23.893344058623988</v>
      </c>
      <c r="BS33">
        <f t="shared" ref="BS33:BS44" si="109">(BR33-AQ33)</f>
        <v>11.272849216094691</v>
      </c>
      <c r="BT33">
        <f t="shared" ref="BT33:BT44" si="110">IF(D33,AL33,(AK33+AL33)/2)</f>
        <v>18.400835990905762</v>
      </c>
      <c r="BU33">
        <f t="shared" ref="BU33:BU44" si="111">0.61365*EXP(17.502*BT33/(240.97+BT33))</f>
        <v>2.1240687288067619</v>
      </c>
      <c r="BV33">
        <f t="shared" ref="BV33:BV44" si="112">IF(BS33&lt;&gt;0,(1000-(BR33+AQ33)/2)/BS33*BL33,0)</f>
        <v>6.7660101501713948E-2</v>
      </c>
      <c r="BW33">
        <f t="shared" ref="BW33:BW44" si="113">AQ33*AW33/1000</f>
        <v>1.2800628065119963</v>
      </c>
      <c r="BX33">
        <f t="shared" ref="BX33:BX44" si="114">(BU33-BW33)</f>
        <v>0.84400592229476556</v>
      </c>
      <c r="BY33">
        <f t="shared" ref="BY33:BY44" si="115">1/(1.6/F33+1.37/AJ33)</f>
        <v>4.2330996089137304E-2</v>
      </c>
      <c r="BZ33">
        <f t="shared" ref="BZ33:BZ44" si="116">G33*AW33*0.001</f>
        <v>32.330011523166959</v>
      </c>
      <c r="CA33">
        <f t="shared" ref="CA33:CA44" si="117">G33/AO33</f>
        <v>0.80403823857840451</v>
      </c>
      <c r="CB33">
        <f t="shared" ref="CB33:CB44" si="118">(1-BL33*AW33/BQ33/F33)*100</f>
        <v>52.285762036866124</v>
      </c>
      <c r="CC33">
        <f t="shared" ref="CC33:CC44" si="119">(AO33-E33/(AJ33/1.35))</f>
        <v>396.00830413890338</v>
      </c>
      <c r="CD33">
        <f t="shared" ref="CD33:CD44" si="120">E33*CB33/100/CC33</f>
        <v>3.9751271185200039E-3</v>
      </c>
      <c r="CE33">
        <f t="shared" ref="CE33:CE44" si="121">(K33-J33)</f>
        <v>0</v>
      </c>
      <c r="CF33">
        <f t="shared" ref="CF33:CF44" si="122">AU33*V33</f>
        <v>527.01405121614846</v>
      </c>
      <c r="CG33">
        <f t="shared" ref="CG33:CG44" si="123">(M33-L33)</f>
        <v>214.08091735839844</v>
      </c>
      <c r="CH33">
        <f t="shared" ref="CH33:CH44" si="124">(M33-N33)/(M33-J33)</f>
        <v>0.3411882118091602</v>
      </c>
      <c r="CI33" t="e">
        <f t="shared" ref="CI33:CI44" si="125">(K33-M33)/(K33-J33)</f>
        <v>#DIV/0!</v>
      </c>
    </row>
    <row r="34" spans="1:87" x14ac:dyDescent="0.25">
      <c r="A34" s="1">
        <v>3</v>
      </c>
      <c r="B34" s="1" t="s">
        <v>180</v>
      </c>
      <c r="C34" s="1">
        <v>509.99996864236891</v>
      </c>
      <c r="D34" s="1">
        <v>0</v>
      </c>
      <c r="E34">
        <f t="shared" si="84"/>
        <v>2.5762215125185111</v>
      </c>
      <c r="F34">
        <f t="shared" si="85"/>
        <v>7.2888974843014945E-2</v>
      </c>
      <c r="G34">
        <f t="shared" si="86"/>
        <v>332.90781695961584</v>
      </c>
      <c r="H34" s="1">
        <v>45</v>
      </c>
      <c r="I34" s="1">
        <v>0</v>
      </c>
      <c r="J34" s="1">
        <v>0</v>
      </c>
      <c r="K34" s="1">
        <v>0</v>
      </c>
      <c r="L34" s="1">
        <v>0</v>
      </c>
      <c r="M34" s="1">
        <v>231.41940307617187</v>
      </c>
      <c r="N34" s="1">
        <v>132.57209777832031</v>
      </c>
      <c r="O34" t="e">
        <f t="shared" si="87"/>
        <v>#DIV/0!</v>
      </c>
      <c r="P34">
        <f t="shared" si="88"/>
        <v>1</v>
      </c>
      <c r="Q34">
        <f t="shared" si="89"/>
        <v>0.42713490737557513</v>
      </c>
      <c r="R34" s="1">
        <v>-1</v>
      </c>
      <c r="S34" s="1">
        <v>0.87</v>
      </c>
      <c r="T34" s="1">
        <v>0.92</v>
      </c>
      <c r="U34" s="1">
        <v>9.9606723785400391</v>
      </c>
      <c r="V34">
        <f t="shared" si="90"/>
        <v>0.87498033618926996</v>
      </c>
      <c r="W34">
        <f t="shared" si="91"/>
        <v>9.0551864365115212E-3</v>
      </c>
      <c r="X34">
        <f t="shared" si="92"/>
        <v>0.42713490737557513</v>
      </c>
      <c r="Y34" t="e">
        <f t="shared" si="93"/>
        <v>#DIV/0!</v>
      </c>
      <c r="Z34">
        <f t="shared" si="94"/>
        <v>-1</v>
      </c>
      <c r="AA34" s="1">
        <v>451.36587524414062</v>
      </c>
      <c r="AB34" s="1">
        <v>0.5</v>
      </c>
      <c r="AC34">
        <f t="shared" si="95"/>
        <v>84.345532541713666</v>
      </c>
      <c r="AD34">
        <f t="shared" si="96"/>
        <v>0.80737583713016614</v>
      </c>
      <c r="AE34">
        <f t="shared" si="97"/>
        <v>1.1123090406273146</v>
      </c>
      <c r="AF34">
        <f t="shared" si="98"/>
        <v>19.935970306396484</v>
      </c>
      <c r="AG34" s="1">
        <v>1.9299999475479126</v>
      </c>
      <c r="AH34">
        <f t="shared" si="99"/>
        <v>4.7397196765257945</v>
      </c>
      <c r="AI34" s="1">
        <v>1</v>
      </c>
      <c r="AJ34">
        <f t="shared" si="100"/>
        <v>9.479439353051589</v>
      </c>
      <c r="AK34" s="1">
        <v>16.138668060302734</v>
      </c>
      <c r="AL34" s="1">
        <v>19.935970306396484</v>
      </c>
      <c r="AM34" s="1">
        <v>14.030405044555664</v>
      </c>
      <c r="AN34" s="1">
        <v>400.069091796875</v>
      </c>
      <c r="AO34" s="1">
        <v>396.33596801757812</v>
      </c>
      <c r="AP34" s="1">
        <v>11.048988342285156</v>
      </c>
      <c r="AQ34" s="1">
        <v>12.07710075378418</v>
      </c>
      <c r="AR34" s="1">
        <v>60.878768920898437</v>
      </c>
      <c r="AS34" s="1">
        <v>66.543556213378906</v>
      </c>
      <c r="AT34" s="1">
        <v>149.7322998046875</v>
      </c>
      <c r="AU34" s="1">
        <v>451.36587524414062</v>
      </c>
      <c r="AV34" s="1">
        <v>6.5516281127929687</v>
      </c>
      <c r="AW34" s="1">
        <v>101.43292999267578</v>
      </c>
      <c r="AX34" s="1">
        <v>2.6561577320098877</v>
      </c>
      <c r="AY34" s="1">
        <v>0.25917899608612061</v>
      </c>
      <c r="AZ34" s="1">
        <v>1.4898180961608887E-2</v>
      </c>
      <c r="BA34" s="1">
        <v>1.6694518271833658E-3</v>
      </c>
      <c r="BB34" s="1">
        <v>1.4636354520916939E-2</v>
      </c>
      <c r="BC34" s="1">
        <v>3.3097104169428349E-3</v>
      </c>
      <c r="BD34" s="1">
        <v>1</v>
      </c>
      <c r="BE34" s="1">
        <v>-1.355140209197998</v>
      </c>
      <c r="BF34" s="1">
        <v>7.355140209197998</v>
      </c>
      <c r="BG34" s="1">
        <v>1</v>
      </c>
      <c r="BH34" s="1">
        <v>0</v>
      </c>
      <c r="BI34" s="1">
        <v>0.15999999642372131</v>
      </c>
      <c r="BJ34" s="1">
        <v>111115</v>
      </c>
      <c r="BK34">
        <f t="shared" si="101"/>
        <v>0.7758150459792712</v>
      </c>
      <c r="BL34">
        <f t="shared" si="102"/>
        <v>8.0737583713016612E-4</v>
      </c>
      <c r="BM34">
        <f t="shared" si="103"/>
        <v>293.08597030639646</v>
      </c>
      <c r="BN34">
        <f t="shared" si="104"/>
        <v>289.28866806030271</v>
      </c>
      <c r="BO34">
        <f t="shared" si="105"/>
        <v>72.218538424852341</v>
      </c>
      <c r="BP34">
        <f t="shared" si="106"/>
        <v>-1.4224906255601017E-2</v>
      </c>
      <c r="BQ34">
        <f t="shared" si="107"/>
        <v>2.3373247559003971</v>
      </c>
      <c r="BR34">
        <f t="shared" si="108"/>
        <v>23.043056688485382</v>
      </c>
      <c r="BS34">
        <f t="shared" si="109"/>
        <v>10.965955934701203</v>
      </c>
      <c r="BT34">
        <f t="shared" si="110"/>
        <v>18.037319183349609</v>
      </c>
      <c r="BU34">
        <f t="shared" si="111"/>
        <v>2.0761434814268447</v>
      </c>
      <c r="BV34">
        <f t="shared" si="112"/>
        <v>7.2332796027620661E-2</v>
      </c>
      <c r="BW34">
        <f t="shared" si="113"/>
        <v>1.2250157152730825</v>
      </c>
      <c r="BX34">
        <f t="shared" si="114"/>
        <v>0.85112776615376218</v>
      </c>
      <c r="BY34">
        <f t="shared" si="115"/>
        <v>4.5257639870019899E-2</v>
      </c>
      <c r="BZ34">
        <f t="shared" si="116"/>
        <v>33.767815291679241</v>
      </c>
      <c r="CA34">
        <f t="shared" si="117"/>
        <v>0.83996367683906714</v>
      </c>
      <c r="CB34">
        <f t="shared" si="118"/>
        <v>51.930033714669108</v>
      </c>
      <c r="CC34">
        <f t="shared" si="119"/>
        <v>395.96907933224884</v>
      </c>
      <c r="CD34">
        <f t="shared" si="120"/>
        <v>3.3786292158759085E-3</v>
      </c>
      <c r="CE34">
        <f t="shared" si="121"/>
        <v>0</v>
      </c>
      <c r="CF34">
        <f t="shared" si="122"/>
        <v>394.93626526548223</v>
      </c>
      <c r="CG34">
        <f t="shared" si="123"/>
        <v>231.41940307617187</v>
      </c>
      <c r="CH34">
        <f t="shared" si="124"/>
        <v>0.42713490737557513</v>
      </c>
      <c r="CI34" t="e">
        <f t="shared" si="125"/>
        <v>#DIV/0!</v>
      </c>
    </row>
    <row r="35" spans="1:87" x14ac:dyDescent="0.25">
      <c r="A35" s="1">
        <v>4</v>
      </c>
      <c r="B35" s="1" t="s">
        <v>181</v>
      </c>
      <c r="C35" s="1">
        <v>636.99995988979936</v>
      </c>
      <c r="D35" s="1">
        <v>0</v>
      </c>
      <c r="E35">
        <f t="shared" si="84"/>
        <v>2.2778886581059345</v>
      </c>
      <c r="F35">
        <f t="shared" si="85"/>
        <v>7.6133063710669843E-2</v>
      </c>
      <c r="G35">
        <f t="shared" si="86"/>
        <v>341.93224917886369</v>
      </c>
      <c r="H35" s="1">
        <v>46</v>
      </c>
      <c r="I35" s="1">
        <v>0</v>
      </c>
      <c r="J35" s="1">
        <v>0</v>
      </c>
      <c r="K35" s="1">
        <v>0</v>
      </c>
      <c r="L35" s="1">
        <v>0</v>
      </c>
      <c r="M35" s="1">
        <v>294.55758666992187</v>
      </c>
      <c r="N35" s="1">
        <v>130.89016723632812</v>
      </c>
      <c r="O35" t="e">
        <f t="shared" si="87"/>
        <v>#DIV/0!</v>
      </c>
      <c r="P35">
        <f t="shared" si="88"/>
        <v>1</v>
      </c>
      <c r="Q35">
        <f t="shared" si="89"/>
        <v>0.55563810555318593</v>
      </c>
      <c r="R35" s="1">
        <v>-1</v>
      </c>
      <c r="S35" s="1">
        <v>0.87</v>
      </c>
      <c r="T35" s="1">
        <v>0.92</v>
      </c>
      <c r="U35" s="1">
        <v>9.536829948425293</v>
      </c>
      <c r="V35">
        <f t="shared" si="90"/>
        <v>0.87476841497421265</v>
      </c>
      <c r="W35">
        <f t="shared" si="91"/>
        <v>1.2490282192095829E-2</v>
      </c>
      <c r="X35">
        <f t="shared" si="92"/>
        <v>0.55563810555318593</v>
      </c>
      <c r="Y35" t="e">
        <f t="shared" si="93"/>
        <v>#DIV/0!</v>
      </c>
      <c r="Z35">
        <f t="shared" si="94"/>
        <v>-1</v>
      </c>
      <c r="AA35" s="1">
        <v>300.0052490234375</v>
      </c>
      <c r="AB35" s="1">
        <v>0.5</v>
      </c>
      <c r="AC35">
        <f t="shared" si="95"/>
        <v>72.909475390269179</v>
      </c>
      <c r="AD35">
        <f t="shared" si="96"/>
        <v>0.84545778597853349</v>
      </c>
      <c r="AE35">
        <f t="shared" si="97"/>
        <v>1.1155287267433853</v>
      </c>
      <c r="AF35">
        <f t="shared" si="98"/>
        <v>19.960899353027344</v>
      </c>
      <c r="AG35" s="1">
        <v>1.9299999475479126</v>
      </c>
      <c r="AH35">
        <f t="shared" si="99"/>
        <v>4.7397196765257945</v>
      </c>
      <c r="AI35" s="1">
        <v>1</v>
      </c>
      <c r="AJ35">
        <f t="shared" si="100"/>
        <v>9.479439353051589</v>
      </c>
      <c r="AK35" s="1">
        <v>16.250816345214844</v>
      </c>
      <c r="AL35" s="1">
        <v>19.960899353027344</v>
      </c>
      <c r="AM35" s="1">
        <v>14.14814567565918</v>
      </c>
      <c r="AN35" s="1">
        <v>400.11062622070312</v>
      </c>
      <c r="AO35" s="1">
        <v>396.74069213867187</v>
      </c>
      <c r="AP35" s="1">
        <v>11.003582000732422</v>
      </c>
      <c r="AQ35" s="1">
        <v>12.080649375915527</v>
      </c>
      <c r="AR35" s="1">
        <v>60.198139190673828</v>
      </c>
      <c r="AS35" s="1">
        <v>66.090530395507813</v>
      </c>
      <c r="AT35" s="1">
        <v>149.66761779785156</v>
      </c>
      <c r="AU35" s="1">
        <v>300.0052490234375</v>
      </c>
      <c r="AV35" s="1">
        <v>6.5090923309326172</v>
      </c>
      <c r="AW35" s="1">
        <v>101.43564605712891</v>
      </c>
      <c r="AX35" s="1">
        <v>2.6561577320098877</v>
      </c>
      <c r="AY35" s="1">
        <v>0.25917899608612061</v>
      </c>
      <c r="AZ35" s="1">
        <v>1.4898180961608887E-2</v>
      </c>
      <c r="BA35" s="1">
        <v>1.6694518271833658E-3</v>
      </c>
      <c r="BB35" s="1">
        <v>1.4636354520916939E-2</v>
      </c>
      <c r="BC35" s="1">
        <v>3.3097104169428349E-3</v>
      </c>
      <c r="BD35" s="1">
        <v>1</v>
      </c>
      <c r="BE35" s="1">
        <v>-1.355140209197998</v>
      </c>
      <c r="BF35" s="1">
        <v>7.355140209197998</v>
      </c>
      <c r="BG35" s="1">
        <v>1</v>
      </c>
      <c r="BH35" s="1">
        <v>0</v>
      </c>
      <c r="BI35" s="1">
        <v>0.15999999642372131</v>
      </c>
      <c r="BJ35" s="1">
        <v>111115</v>
      </c>
      <c r="BK35">
        <f t="shared" si="101"/>
        <v>0.77547990603837058</v>
      </c>
      <c r="BL35">
        <f t="shared" si="102"/>
        <v>8.4545778597853354E-4</v>
      </c>
      <c r="BM35">
        <f t="shared" si="103"/>
        <v>293.11089935302732</v>
      </c>
      <c r="BN35">
        <f t="shared" si="104"/>
        <v>289.40081634521482</v>
      </c>
      <c r="BO35">
        <f t="shared" si="105"/>
        <v>48.000838770847622</v>
      </c>
      <c r="BP35">
        <f t="shared" si="106"/>
        <v>-0.10806433459743736</v>
      </c>
      <c r="BQ35">
        <f t="shared" si="107"/>
        <v>2.3409372009790279</v>
      </c>
      <c r="BR35">
        <f t="shared" si="108"/>
        <v>23.078052853930696</v>
      </c>
      <c r="BS35">
        <f t="shared" si="109"/>
        <v>10.997403478015169</v>
      </c>
      <c r="BT35">
        <f t="shared" si="110"/>
        <v>18.105857849121094</v>
      </c>
      <c r="BU35">
        <f t="shared" si="111"/>
        <v>2.0851062138384644</v>
      </c>
      <c r="BV35">
        <f t="shared" si="112"/>
        <v>7.5526481170433396E-2</v>
      </c>
      <c r="BW35">
        <f t="shared" si="113"/>
        <v>1.2254084742356426</v>
      </c>
      <c r="BX35">
        <f t="shared" si="114"/>
        <v>0.85969773960282181</v>
      </c>
      <c r="BY35">
        <f t="shared" si="115"/>
        <v>4.7258176167668454E-2</v>
      </c>
      <c r="BZ35">
        <f t="shared" si="116"/>
        <v>34.684118603225222</v>
      </c>
      <c r="CA35">
        <f t="shared" si="117"/>
        <v>0.86185323551169513</v>
      </c>
      <c r="CB35">
        <f t="shared" si="118"/>
        <v>51.880682652368115</v>
      </c>
      <c r="CC35">
        <f t="shared" si="119"/>
        <v>396.41629007501467</v>
      </c>
      <c r="CD35">
        <f t="shared" si="120"/>
        <v>2.9811695822656407E-3</v>
      </c>
      <c r="CE35">
        <f t="shared" si="121"/>
        <v>0</v>
      </c>
      <c r="CF35">
        <f t="shared" si="122"/>
        <v>262.43511617217638</v>
      </c>
      <c r="CG35">
        <f t="shared" si="123"/>
        <v>294.55758666992187</v>
      </c>
      <c r="CH35">
        <f t="shared" si="124"/>
        <v>0.55563810555318593</v>
      </c>
      <c r="CI35" t="e">
        <f t="shared" si="125"/>
        <v>#DIV/0!</v>
      </c>
    </row>
    <row r="36" spans="1:87" x14ac:dyDescent="0.25">
      <c r="A36" s="1">
        <v>5</v>
      </c>
      <c r="B36" s="1" t="s">
        <v>182</v>
      </c>
      <c r="C36" s="1">
        <v>794.99994900077581</v>
      </c>
      <c r="D36" s="1">
        <v>0</v>
      </c>
      <c r="E36">
        <f t="shared" si="84"/>
        <v>1.8574346324070476</v>
      </c>
      <c r="F36">
        <f t="shared" si="85"/>
        <v>7.1485385348564717E-2</v>
      </c>
      <c r="G36">
        <f t="shared" si="86"/>
        <v>348.66496793902661</v>
      </c>
      <c r="H36" s="1">
        <v>47</v>
      </c>
      <c r="I36" s="1">
        <v>0</v>
      </c>
      <c r="J36" s="1">
        <v>0</v>
      </c>
      <c r="K36" s="1">
        <v>0</v>
      </c>
      <c r="L36" s="1">
        <v>0</v>
      </c>
      <c r="M36" s="1">
        <v>408.17498779296875</v>
      </c>
      <c r="N36" s="1">
        <v>141.32081604003906</v>
      </c>
      <c r="O36" t="e">
        <f t="shared" si="87"/>
        <v>#DIV/0!</v>
      </c>
      <c r="P36">
        <f t="shared" si="88"/>
        <v>1</v>
      </c>
      <c r="Q36">
        <f t="shared" si="89"/>
        <v>0.65377394434634328</v>
      </c>
      <c r="R36" s="1">
        <v>-1</v>
      </c>
      <c r="S36" s="1">
        <v>0.87</v>
      </c>
      <c r="T36" s="1">
        <v>0.92</v>
      </c>
      <c r="U36" s="1">
        <v>9.3268299102783203</v>
      </c>
      <c r="V36">
        <f t="shared" si="90"/>
        <v>0.87466341495513911</v>
      </c>
      <c r="W36">
        <f t="shared" si="91"/>
        <v>1.6243082939123733E-2</v>
      </c>
      <c r="X36">
        <f t="shared" si="92"/>
        <v>0.65377394434634328</v>
      </c>
      <c r="Y36" t="e">
        <f t="shared" si="93"/>
        <v>#DIV/0!</v>
      </c>
      <c r="Z36">
        <f t="shared" si="94"/>
        <v>-1</v>
      </c>
      <c r="AA36" s="1">
        <v>201.12538146972656</v>
      </c>
      <c r="AB36" s="1">
        <v>0.5</v>
      </c>
      <c r="AC36">
        <f t="shared" si="95"/>
        <v>57.50497973020196</v>
      </c>
      <c r="AD36">
        <f t="shared" si="96"/>
        <v>0.78338608852630121</v>
      </c>
      <c r="AE36">
        <f t="shared" si="97"/>
        <v>1.1001554707921046</v>
      </c>
      <c r="AF36">
        <f t="shared" si="98"/>
        <v>20.000686645507813</v>
      </c>
      <c r="AG36" s="1">
        <v>1.9299999475479126</v>
      </c>
      <c r="AH36">
        <f t="shared" si="99"/>
        <v>4.7397196765257945</v>
      </c>
      <c r="AI36" s="1">
        <v>1</v>
      </c>
      <c r="AJ36">
        <f t="shared" si="100"/>
        <v>9.479439353051589</v>
      </c>
      <c r="AK36" s="1">
        <v>16.40312385559082</v>
      </c>
      <c r="AL36" s="1">
        <v>20.000686645507813</v>
      </c>
      <c r="AM36" s="1">
        <v>14.340071678161621</v>
      </c>
      <c r="AN36" s="1">
        <v>399.8831787109375</v>
      </c>
      <c r="AO36" s="1">
        <v>397.08706665039062</v>
      </c>
      <c r="AP36" s="1">
        <v>11.291355133056641</v>
      </c>
      <c r="AQ36" s="1">
        <v>12.289053916931152</v>
      </c>
      <c r="AR36" s="1">
        <v>61.176456451416016</v>
      </c>
      <c r="AS36" s="1">
        <v>66.581977844238281</v>
      </c>
      <c r="AT36" s="1">
        <v>149.679931640625</v>
      </c>
      <c r="AU36" s="1">
        <v>201.12538146972656</v>
      </c>
      <c r="AV36" s="1">
        <v>6.8129477500915527</v>
      </c>
      <c r="AW36" s="1">
        <v>101.4364013671875</v>
      </c>
      <c r="AX36" s="1">
        <v>2.6561577320098877</v>
      </c>
      <c r="AY36" s="1">
        <v>0.25917899608612061</v>
      </c>
      <c r="AZ36" s="1">
        <v>1.4898180961608887E-2</v>
      </c>
      <c r="BA36" s="1">
        <v>1.6694518271833658E-3</v>
      </c>
      <c r="BB36" s="1">
        <v>1.4636354520916939E-2</v>
      </c>
      <c r="BC36" s="1">
        <v>3.3097104169428349E-3</v>
      </c>
      <c r="BD36" s="1">
        <v>1</v>
      </c>
      <c r="BE36" s="1">
        <v>-1.355140209197998</v>
      </c>
      <c r="BF36" s="1">
        <v>7.355140209197998</v>
      </c>
      <c r="BG36" s="1">
        <v>1</v>
      </c>
      <c r="BH36" s="1">
        <v>0</v>
      </c>
      <c r="BI36" s="1">
        <v>0.15999999642372131</v>
      </c>
      <c r="BJ36" s="1">
        <v>111115</v>
      </c>
      <c r="BK36">
        <f t="shared" si="101"/>
        <v>0.77554370833426745</v>
      </c>
      <c r="BL36">
        <f t="shared" si="102"/>
        <v>7.8338608852630115E-4</v>
      </c>
      <c r="BM36">
        <f t="shared" si="103"/>
        <v>293.15068664550779</v>
      </c>
      <c r="BN36">
        <f t="shared" si="104"/>
        <v>289.5531238555908</v>
      </c>
      <c r="BO36">
        <f t="shared" si="105"/>
        <v>32.180060315875835</v>
      </c>
      <c r="BP36">
        <f t="shared" si="106"/>
        <v>-0.15282201561250278</v>
      </c>
      <c r="BQ36">
        <f t="shared" si="107"/>
        <v>2.3467128763329406</v>
      </c>
      <c r="BR36">
        <f t="shared" si="108"/>
        <v>23.134819894074553</v>
      </c>
      <c r="BS36">
        <f t="shared" si="109"/>
        <v>10.845765977143401</v>
      </c>
      <c r="BT36">
        <f t="shared" si="110"/>
        <v>18.201905250549316</v>
      </c>
      <c r="BU36">
        <f t="shared" si="111"/>
        <v>2.0977233347475255</v>
      </c>
      <c r="BV36">
        <f t="shared" si="112"/>
        <v>7.0950341836192865E-2</v>
      </c>
      <c r="BW36">
        <f t="shared" si="113"/>
        <v>1.2465574055408359</v>
      </c>
      <c r="BX36">
        <f t="shared" si="114"/>
        <v>0.85116592920668954</v>
      </c>
      <c r="BY36">
        <f t="shared" si="115"/>
        <v>4.4391725561377653E-2</v>
      </c>
      <c r="BZ36">
        <f t="shared" si="116"/>
        <v>35.367319630540671</v>
      </c>
      <c r="CA36">
        <f t="shared" si="117"/>
        <v>0.87805672161567394</v>
      </c>
      <c r="CB36">
        <f t="shared" si="118"/>
        <v>52.631190540414529</v>
      </c>
      <c r="CC36">
        <f t="shared" si="119"/>
        <v>396.82254291007655</v>
      </c>
      <c r="CD36">
        <f t="shared" si="120"/>
        <v>2.4635444180582549E-3</v>
      </c>
      <c r="CE36">
        <f t="shared" si="121"/>
        <v>0</v>
      </c>
      <c r="CF36">
        <f t="shared" si="122"/>
        <v>175.91701299046608</v>
      </c>
      <c r="CG36">
        <f t="shared" si="123"/>
        <v>408.17498779296875</v>
      </c>
      <c r="CH36">
        <f t="shared" si="124"/>
        <v>0.65377394434634328</v>
      </c>
      <c r="CI36" t="e">
        <f t="shared" si="125"/>
        <v>#DIV/0!</v>
      </c>
    </row>
    <row r="37" spans="1:87" x14ac:dyDescent="0.25">
      <c r="A37" s="1">
        <v>6</v>
      </c>
      <c r="B37" s="1" t="s">
        <v>183</v>
      </c>
      <c r="C37" s="1">
        <v>939.49993904214352</v>
      </c>
      <c r="D37" s="1">
        <v>0</v>
      </c>
      <c r="E37">
        <f t="shared" si="84"/>
        <v>1.7467846579483386</v>
      </c>
      <c r="F37">
        <f t="shared" si="85"/>
        <v>8.308908119800032E-2</v>
      </c>
      <c r="G37">
        <f t="shared" si="86"/>
        <v>356.17123585318535</v>
      </c>
      <c r="H37" s="1">
        <v>48</v>
      </c>
      <c r="I37" s="1">
        <v>0</v>
      </c>
      <c r="J37" s="1">
        <v>0</v>
      </c>
      <c r="K37" s="1">
        <v>0</v>
      </c>
      <c r="L37" s="1">
        <v>0</v>
      </c>
      <c r="M37" s="1">
        <v>452.45895385742187</v>
      </c>
      <c r="N37" s="1">
        <v>141.91691589355469</v>
      </c>
      <c r="O37" t="e">
        <f t="shared" si="87"/>
        <v>#DIV/0!</v>
      </c>
      <c r="P37">
        <f t="shared" si="88"/>
        <v>1</v>
      </c>
      <c r="Q37">
        <f t="shared" si="89"/>
        <v>0.68634300485458999</v>
      </c>
      <c r="R37" s="1">
        <v>-1</v>
      </c>
      <c r="S37" s="1">
        <v>0.87</v>
      </c>
      <c r="T37" s="1">
        <v>0.92</v>
      </c>
      <c r="U37" s="1">
        <v>10.709210395812988</v>
      </c>
      <c r="V37">
        <f t="shared" si="90"/>
        <v>0.87535460519790664</v>
      </c>
      <c r="W37">
        <f t="shared" si="91"/>
        <v>1.8067516884676959E-2</v>
      </c>
      <c r="X37">
        <f t="shared" si="92"/>
        <v>0.68634300485458999</v>
      </c>
      <c r="Y37" t="e">
        <f t="shared" si="93"/>
        <v>#DIV/0!</v>
      </c>
      <c r="Z37">
        <f t="shared" si="94"/>
        <v>-1</v>
      </c>
      <c r="AA37" s="1">
        <v>173.67692565917969</v>
      </c>
      <c r="AB37" s="1">
        <v>0.5</v>
      </c>
      <c r="AC37">
        <f t="shared" si="95"/>
        <v>52.17198489028717</v>
      </c>
      <c r="AD37">
        <f t="shared" si="96"/>
        <v>0.99085530488885232</v>
      </c>
      <c r="AE37">
        <f t="shared" si="97"/>
        <v>1.1994961263685968</v>
      </c>
      <c r="AF37">
        <f t="shared" si="98"/>
        <v>19.851001739501953</v>
      </c>
      <c r="AG37" s="1">
        <v>1.9299999475479126</v>
      </c>
      <c r="AH37">
        <f t="shared" si="99"/>
        <v>4.7397196765257945</v>
      </c>
      <c r="AI37" s="1">
        <v>1</v>
      </c>
      <c r="AJ37">
        <f t="shared" si="100"/>
        <v>9.479439353051589</v>
      </c>
      <c r="AK37" s="1">
        <v>16.343910217285156</v>
      </c>
      <c r="AL37" s="1">
        <v>19.851001739501953</v>
      </c>
      <c r="AM37" s="1">
        <v>14.299738883972168</v>
      </c>
      <c r="AN37" s="1">
        <v>400.062744140625</v>
      </c>
      <c r="AO37" s="1">
        <v>397.30276489257812</v>
      </c>
      <c r="AP37" s="1">
        <v>9.8326988220214844</v>
      </c>
      <c r="AQ37" s="1">
        <v>11.096166610717773</v>
      </c>
      <c r="AR37" s="1">
        <v>53.474617004394531</v>
      </c>
      <c r="AS37" s="1">
        <v>60.345920562744141</v>
      </c>
      <c r="AT37" s="1">
        <v>149.67781066894531</v>
      </c>
      <c r="AU37" s="1">
        <v>173.67692565917969</v>
      </c>
      <c r="AV37" s="1">
        <v>6.8068480491638184</v>
      </c>
      <c r="AW37" s="1">
        <v>101.43616485595703</v>
      </c>
      <c r="AX37" s="1">
        <v>2.6561577320098877</v>
      </c>
      <c r="AY37" s="1">
        <v>0.25917899608612061</v>
      </c>
      <c r="AZ37" s="1">
        <v>1.4898180961608887E-2</v>
      </c>
      <c r="BA37" s="1">
        <v>1.6694518271833658E-3</v>
      </c>
      <c r="BB37" s="1">
        <v>1.4636354520916939E-2</v>
      </c>
      <c r="BC37" s="1">
        <v>3.3097104169428349E-3</v>
      </c>
      <c r="BD37" s="1">
        <v>1</v>
      </c>
      <c r="BE37" s="1">
        <v>-1.355140209197998</v>
      </c>
      <c r="BF37" s="1">
        <v>7.355140209197998</v>
      </c>
      <c r="BG37" s="1">
        <v>1</v>
      </c>
      <c r="BH37" s="1">
        <v>0</v>
      </c>
      <c r="BI37" s="1">
        <v>0.15999999642372131</v>
      </c>
      <c r="BJ37" s="1">
        <v>111115</v>
      </c>
      <c r="BK37">
        <f t="shared" si="101"/>
        <v>0.77553271884340047</v>
      </c>
      <c r="BL37">
        <f t="shared" si="102"/>
        <v>9.9085530488885235E-4</v>
      </c>
      <c r="BM37">
        <f t="shared" si="103"/>
        <v>293.00100173950193</v>
      </c>
      <c r="BN37">
        <f t="shared" si="104"/>
        <v>289.49391021728513</v>
      </c>
      <c r="BO37">
        <f t="shared" si="105"/>
        <v>27.788307484351662</v>
      </c>
      <c r="BP37">
        <f t="shared" si="106"/>
        <v>-0.19989691979618943</v>
      </c>
      <c r="BQ37">
        <f t="shared" si="107"/>
        <v>2.3250487119625309</v>
      </c>
      <c r="BR37">
        <f t="shared" si="108"/>
        <v>22.921299472078651</v>
      </c>
      <c r="BS37">
        <f t="shared" si="109"/>
        <v>11.825132861360878</v>
      </c>
      <c r="BT37">
        <f t="shared" si="110"/>
        <v>18.097455978393555</v>
      </c>
      <c r="BU37">
        <f t="shared" si="111"/>
        <v>2.0840056876204112</v>
      </c>
      <c r="BV37">
        <f t="shared" si="112"/>
        <v>8.2367117811245727E-2</v>
      </c>
      <c r="BW37">
        <f t="shared" si="113"/>
        <v>1.1255525855939341</v>
      </c>
      <c r="BX37">
        <f t="shared" si="114"/>
        <v>0.95845310202647704</v>
      </c>
      <c r="BY37">
        <f t="shared" si="115"/>
        <v>5.1543829340389105E-2</v>
      </c>
      <c r="BZ37">
        <f t="shared" si="116"/>
        <v>36.128644196953658</v>
      </c>
      <c r="CA37">
        <f t="shared" si="117"/>
        <v>0.89647308633627598</v>
      </c>
      <c r="CB37">
        <f t="shared" si="118"/>
        <v>47.973208110949884</v>
      </c>
      <c r="CC37">
        <f t="shared" si="119"/>
        <v>397.05399920081061</v>
      </c>
      <c r="CD37">
        <f t="shared" si="120"/>
        <v>2.1105155492562779E-3</v>
      </c>
      <c r="CE37">
        <f t="shared" si="121"/>
        <v>0</v>
      </c>
      <c r="CF37">
        <f t="shared" si="122"/>
        <v>152.02889669237743</v>
      </c>
      <c r="CG37">
        <f t="shared" si="123"/>
        <v>452.45895385742187</v>
      </c>
      <c r="CH37">
        <f t="shared" si="124"/>
        <v>0.68634300485458999</v>
      </c>
      <c r="CI37" t="e">
        <f t="shared" si="125"/>
        <v>#DIV/0!</v>
      </c>
    </row>
    <row r="38" spans="1:87" x14ac:dyDescent="0.25">
      <c r="A38" s="1">
        <v>7</v>
      </c>
      <c r="B38" s="1" t="s">
        <v>184</v>
      </c>
      <c r="C38" s="1">
        <v>1074.499929738231</v>
      </c>
      <c r="D38" s="1">
        <v>0</v>
      </c>
      <c r="E38">
        <f t="shared" si="84"/>
        <v>1.4894250716474784</v>
      </c>
      <c r="F38">
        <f t="shared" si="85"/>
        <v>7.624425474351465E-2</v>
      </c>
      <c r="G38">
        <f t="shared" si="86"/>
        <v>359.12531385844005</v>
      </c>
      <c r="H38" s="1">
        <v>49</v>
      </c>
      <c r="I38" s="1">
        <v>0</v>
      </c>
      <c r="J38" s="1">
        <v>0</v>
      </c>
      <c r="K38" s="1">
        <v>0</v>
      </c>
      <c r="L38" s="1">
        <v>0</v>
      </c>
      <c r="M38" s="1">
        <v>499.66925048828125</v>
      </c>
      <c r="N38" s="1">
        <v>143.89778137207031</v>
      </c>
      <c r="O38" t="e">
        <f t="shared" si="87"/>
        <v>#DIV/0!</v>
      </c>
      <c r="P38">
        <f t="shared" si="88"/>
        <v>1</v>
      </c>
      <c r="Q38">
        <f t="shared" si="89"/>
        <v>0.71201393475493613</v>
      </c>
      <c r="R38" s="1">
        <v>-1</v>
      </c>
      <c r="S38" s="1">
        <v>0.87</v>
      </c>
      <c r="T38" s="1">
        <v>0.92</v>
      </c>
      <c r="U38" s="1">
        <v>10.097982406616211</v>
      </c>
      <c r="V38">
        <f t="shared" si="90"/>
        <v>0.87504899120330815</v>
      </c>
      <c r="W38">
        <f t="shared" si="91"/>
        <v>1.9001176631239215E-2</v>
      </c>
      <c r="X38">
        <f t="shared" si="92"/>
        <v>0.71201393475493613</v>
      </c>
      <c r="Y38" t="e">
        <f t="shared" si="93"/>
        <v>#DIV/0!</v>
      </c>
      <c r="Z38">
        <f t="shared" si="94"/>
        <v>-1</v>
      </c>
      <c r="AA38" s="1">
        <v>149.72219848632812</v>
      </c>
      <c r="AB38" s="1">
        <v>0.5</v>
      </c>
      <c r="AC38">
        <f t="shared" si="95"/>
        <v>46.641988939442612</v>
      </c>
      <c r="AD38">
        <f t="shared" si="96"/>
        <v>0.91299981834235944</v>
      </c>
      <c r="AE38">
        <f t="shared" si="97"/>
        <v>1.2034845578704112</v>
      </c>
      <c r="AF38">
        <f t="shared" si="98"/>
        <v>19.905412673950195</v>
      </c>
      <c r="AG38" s="1">
        <v>1.9299999475479126</v>
      </c>
      <c r="AH38">
        <f t="shared" si="99"/>
        <v>4.7397196765257945</v>
      </c>
      <c r="AI38" s="1">
        <v>1</v>
      </c>
      <c r="AJ38">
        <f t="shared" si="100"/>
        <v>9.479439353051589</v>
      </c>
      <c r="AK38" s="1">
        <v>16.568923950195312</v>
      </c>
      <c r="AL38" s="1">
        <v>19.905412673950195</v>
      </c>
      <c r="AM38" s="1">
        <v>14.615811347961426</v>
      </c>
      <c r="AN38" s="1">
        <v>400.28802490234375</v>
      </c>
      <c r="AO38" s="1">
        <v>397.89846801757812</v>
      </c>
      <c r="AP38" s="1">
        <v>9.9703187942504883</v>
      </c>
      <c r="AQ38" s="1">
        <v>11.134762763977051</v>
      </c>
      <c r="AR38" s="1">
        <v>53.449783325195313</v>
      </c>
      <c r="AS38" s="1">
        <v>59.692241668701172</v>
      </c>
      <c r="AT38" s="1">
        <v>149.63958740234375</v>
      </c>
      <c r="AU38" s="1">
        <v>149.72219848632812</v>
      </c>
      <c r="AV38" s="1">
        <v>6.6074361801147461</v>
      </c>
      <c r="AW38" s="1">
        <v>101.43177795410156</v>
      </c>
      <c r="AX38" s="1">
        <v>2.6561577320098877</v>
      </c>
      <c r="AY38" s="1">
        <v>0.25917899608612061</v>
      </c>
      <c r="AZ38" s="1">
        <v>1.4898180961608887E-2</v>
      </c>
      <c r="BA38" s="1">
        <v>1.6694518271833658E-3</v>
      </c>
      <c r="BB38" s="1">
        <v>1.4636354520916939E-2</v>
      </c>
      <c r="BC38" s="1">
        <v>3.3097104169428349E-3</v>
      </c>
      <c r="BD38" s="1">
        <v>1</v>
      </c>
      <c r="BE38" s="1">
        <v>-1.355140209197998</v>
      </c>
      <c r="BF38" s="1">
        <v>7.355140209197998</v>
      </c>
      <c r="BG38" s="1">
        <v>1</v>
      </c>
      <c r="BH38" s="1">
        <v>0</v>
      </c>
      <c r="BI38" s="1">
        <v>0.15999999642372131</v>
      </c>
      <c r="BJ38" s="1">
        <v>111115</v>
      </c>
      <c r="BK38">
        <f t="shared" si="101"/>
        <v>0.77533467082453844</v>
      </c>
      <c r="BL38">
        <f t="shared" si="102"/>
        <v>9.1299981834235943E-4</v>
      </c>
      <c r="BM38">
        <f t="shared" si="103"/>
        <v>293.05541267395017</v>
      </c>
      <c r="BN38">
        <f t="shared" si="104"/>
        <v>289.71892395019529</v>
      </c>
      <c r="BO38">
        <f t="shared" si="105"/>
        <v>23.955551222364193</v>
      </c>
      <c r="BP38">
        <f t="shared" si="106"/>
        <v>-0.19476446948566709</v>
      </c>
      <c r="BQ38">
        <f t="shared" si="107"/>
        <v>2.3329033421177297</v>
      </c>
      <c r="BR38">
        <f t="shared" si="108"/>
        <v>22.999728380718921</v>
      </c>
      <c r="BS38">
        <f t="shared" si="109"/>
        <v>11.86496561674187</v>
      </c>
      <c r="BT38">
        <f t="shared" si="110"/>
        <v>18.237168312072754</v>
      </c>
      <c r="BU38">
        <f t="shared" si="111"/>
        <v>2.1023723905448408</v>
      </c>
      <c r="BV38">
        <f t="shared" si="112"/>
        <v>7.5635906181549722E-2</v>
      </c>
      <c r="BW38">
        <f t="shared" si="113"/>
        <v>1.1294187842473185</v>
      </c>
      <c r="BX38">
        <f t="shared" si="114"/>
        <v>0.97295360629752237</v>
      </c>
      <c r="BY38">
        <f t="shared" si="115"/>
        <v>4.7326723840490754E-2</v>
      </c>
      <c r="BZ38">
        <f t="shared" si="116"/>
        <v>36.426719092986325</v>
      </c>
      <c r="CA38">
        <f t="shared" si="117"/>
        <v>0.90255515596148217</v>
      </c>
      <c r="CB38">
        <f t="shared" si="118"/>
        <v>47.935600915914691</v>
      </c>
      <c r="CC38">
        <f t="shared" si="119"/>
        <v>397.68635380155365</v>
      </c>
      <c r="CD38">
        <f t="shared" si="120"/>
        <v>1.7952963471378797E-3</v>
      </c>
      <c r="CE38">
        <f t="shared" si="121"/>
        <v>0</v>
      </c>
      <c r="CF38">
        <f t="shared" si="122"/>
        <v>131.0142587462029</v>
      </c>
      <c r="CG38">
        <f t="shared" si="123"/>
        <v>499.66925048828125</v>
      </c>
      <c r="CH38">
        <f t="shared" si="124"/>
        <v>0.71201393475493613</v>
      </c>
      <c r="CI38" t="e">
        <f t="shared" si="125"/>
        <v>#DIV/0!</v>
      </c>
    </row>
    <row r="39" spans="1:87" x14ac:dyDescent="0.25">
      <c r="A39" s="1">
        <v>8</v>
      </c>
      <c r="B39" s="1" t="s">
        <v>185</v>
      </c>
      <c r="C39" s="1">
        <v>1278.9999156445265</v>
      </c>
      <c r="D39" s="1">
        <v>0</v>
      </c>
      <c r="E39">
        <f t="shared" si="84"/>
        <v>1.4428802154783957</v>
      </c>
      <c r="F39">
        <f t="shared" si="85"/>
        <v>5.7350529046817922E-2</v>
      </c>
      <c r="G39">
        <f t="shared" si="86"/>
        <v>350.05797037866938</v>
      </c>
      <c r="H39" s="1">
        <v>50</v>
      </c>
      <c r="I39" s="1">
        <v>0</v>
      </c>
      <c r="J39" s="1">
        <v>0</v>
      </c>
      <c r="K39" s="1">
        <v>0</v>
      </c>
      <c r="L39" s="1">
        <v>0</v>
      </c>
      <c r="M39" s="1">
        <v>554.3558349609375</v>
      </c>
      <c r="N39" s="1">
        <v>146.27310180664062</v>
      </c>
      <c r="O39" t="e">
        <f t="shared" si="87"/>
        <v>#DIV/0!</v>
      </c>
      <c r="P39">
        <f t="shared" si="88"/>
        <v>1</v>
      </c>
      <c r="Q39">
        <f t="shared" si="89"/>
        <v>0.73613860884688309</v>
      </c>
      <c r="R39" s="1">
        <v>-1</v>
      </c>
      <c r="S39" s="1">
        <v>0.87</v>
      </c>
      <c r="T39" s="1">
        <v>0.92</v>
      </c>
      <c r="U39" s="1">
        <v>9.2839689254760742</v>
      </c>
      <c r="V39">
        <f t="shared" si="90"/>
        <v>0.874641984462738</v>
      </c>
      <c r="W39">
        <f t="shared" si="91"/>
        <v>2.2256604648290792E-2</v>
      </c>
      <c r="X39">
        <f t="shared" si="92"/>
        <v>0.73613860884688309</v>
      </c>
      <c r="Y39" t="e">
        <f t="shared" si="93"/>
        <v>#DIV/0!</v>
      </c>
      <c r="Z39">
        <f t="shared" si="94"/>
        <v>-1</v>
      </c>
      <c r="AA39" s="1">
        <v>125.49110412597656</v>
      </c>
      <c r="AB39" s="1">
        <v>0.5</v>
      </c>
      <c r="AC39">
        <f t="shared" si="95"/>
        <v>40.399208949868765</v>
      </c>
      <c r="AD39">
        <f t="shared" si="96"/>
        <v>0.66096611188825272</v>
      </c>
      <c r="AE39">
        <f t="shared" si="97"/>
        <v>1.1555600403232562</v>
      </c>
      <c r="AF39">
        <f t="shared" si="98"/>
        <v>19.970365524291992</v>
      </c>
      <c r="AG39" s="1">
        <v>1.9299999475479126</v>
      </c>
      <c r="AH39">
        <f t="shared" si="99"/>
        <v>4.7397196765257945</v>
      </c>
      <c r="AI39" s="1">
        <v>1</v>
      </c>
      <c r="AJ39">
        <f t="shared" si="100"/>
        <v>9.479439353051589</v>
      </c>
      <c r="AK39" s="1">
        <v>16.538394927978516</v>
      </c>
      <c r="AL39" s="1">
        <v>19.970365524291992</v>
      </c>
      <c r="AM39" s="1">
        <v>14.617668151855469</v>
      </c>
      <c r="AN39" s="1">
        <v>399.64828491210937</v>
      </c>
      <c r="AO39" s="1">
        <v>397.44857788085937</v>
      </c>
      <c r="AP39" s="1">
        <v>10.858065605163574</v>
      </c>
      <c r="AQ39" s="1">
        <v>11.700547218322754</v>
      </c>
      <c r="AR39" s="1">
        <v>58.319210052490234</v>
      </c>
      <c r="AS39" s="1">
        <v>62.844223022460938</v>
      </c>
      <c r="AT39" s="1">
        <v>149.64582824707031</v>
      </c>
      <c r="AU39" s="1">
        <v>125.49110412597656</v>
      </c>
      <c r="AV39" s="1">
        <v>6.8058843612670898</v>
      </c>
      <c r="AW39" s="1">
        <v>101.42689514160156</v>
      </c>
      <c r="AX39" s="1">
        <v>2.6561577320098877</v>
      </c>
      <c r="AY39" s="1">
        <v>0.25917899608612061</v>
      </c>
      <c r="AZ39" s="1">
        <v>1.4898180961608887E-2</v>
      </c>
      <c r="BA39" s="1">
        <v>1.6694518271833658E-3</v>
      </c>
      <c r="BB39" s="1">
        <v>1.4636354520916939E-2</v>
      </c>
      <c r="BC39" s="1">
        <v>3.3097104169428349E-3</v>
      </c>
      <c r="BD39" s="1">
        <v>0.75</v>
      </c>
      <c r="BE39" s="1">
        <v>-1.355140209197998</v>
      </c>
      <c r="BF39" s="1">
        <v>7.355140209197998</v>
      </c>
      <c r="BG39" s="1">
        <v>1</v>
      </c>
      <c r="BH39" s="1">
        <v>0</v>
      </c>
      <c r="BI39" s="1">
        <v>0.15999999642372131</v>
      </c>
      <c r="BJ39" s="1">
        <v>111115</v>
      </c>
      <c r="BK39">
        <f t="shared" si="101"/>
        <v>0.77536700680845638</v>
      </c>
      <c r="BL39">
        <f t="shared" si="102"/>
        <v>6.6096611188825271E-4</v>
      </c>
      <c r="BM39">
        <f t="shared" si="103"/>
        <v>293.12036552429197</v>
      </c>
      <c r="BN39">
        <f t="shared" si="104"/>
        <v>289.68839492797849</v>
      </c>
      <c r="BO39">
        <f t="shared" si="105"/>
        <v>20.078576211365089</v>
      </c>
      <c r="BP39">
        <f t="shared" si="106"/>
        <v>-0.17143477390754111</v>
      </c>
      <c r="BQ39">
        <f t="shared" si="107"/>
        <v>2.3423102161354361</v>
      </c>
      <c r="BR39">
        <f t="shared" si="108"/>
        <v>23.093580976380562</v>
      </c>
      <c r="BS39">
        <f t="shared" si="109"/>
        <v>11.393033758057808</v>
      </c>
      <c r="BT39">
        <f t="shared" si="110"/>
        <v>18.254380226135254</v>
      </c>
      <c r="BU39">
        <f t="shared" si="111"/>
        <v>2.1046448766179098</v>
      </c>
      <c r="BV39">
        <f t="shared" si="112"/>
        <v>5.7005645367654158E-2</v>
      </c>
      <c r="BW39">
        <f t="shared" si="113"/>
        <v>1.1867501758121799</v>
      </c>
      <c r="BX39">
        <f t="shared" si="114"/>
        <v>0.91789470080572988</v>
      </c>
      <c r="BY39">
        <f t="shared" si="115"/>
        <v>3.5659354309972802E-2</v>
      </c>
      <c r="BZ39">
        <f t="shared" si="116"/>
        <v>35.505293055079164</v>
      </c>
      <c r="CA39">
        <f t="shared" si="117"/>
        <v>0.88076292094220054</v>
      </c>
      <c r="CB39">
        <f t="shared" si="118"/>
        <v>50.094261853267497</v>
      </c>
      <c r="CC39">
        <f t="shared" si="119"/>
        <v>397.24309228003966</v>
      </c>
      <c r="CD39">
        <f t="shared" si="120"/>
        <v>1.8195412517360884E-3</v>
      </c>
      <c r="CE39">
        <f t="shared" si="121"/>
        <v>0</v>
      </c>
      <c r="CF39">
        <f t="shared" si="122"/>
        <v>109.75978834516422</v>
      </c>
      <c r="CG39">
        <f t="shared" si="123"/>
        <v>554.3558349609375</v>
      </c>
      <c r="CH39">
        <f t="shared" si="124"/>
        <v>0.73613860884688309</v>
      </c>
      <c r="CI39" t="e">
        <f t="shared" si="125"/>
        <v>#DIV/0!</v>
      </c>
    </row>
    <row r="40" spans="1:87" x14ac:dyDescent="0.25">
      <c r="A40" s="1">
        <v>9</v>
      </c>
      <c r="B40" s="1" t="s">
        <v>186</v>
      </c>
      <c r="C40" s="1">
        <v>1414.499906306155</v>
      </c>
      <c r="D40" s="1">
        <v>0</v>
      </c>
      <c r="E40">
        <f t="shared" si="84"/>
        <v>0.82360469275777859</v>
      </c>
      <c r="F40">
        <f t="shared" si="85"/>
        <v>6.6573241559848326E-2</v>
      </c>
      <c r="G40">
        <f t="shared" si="86"/>
        <v>371.49718181431791</v>
      </c>
      <c r="H40" s="1">
        <v>51</v>
      </c>
      <c r="I40" s="1">
        <v>0</v>
      </c>
      <c r="J40" s="1">
        <v>0</v>
      </c>
      <c r="K40" s="1">
        <v>0</v>
      </c>
      <c r="L40" s="1">
        <v>0</v>
      </c>
      <c r="M40" s="1">
        <v>627.9627685546875</v>
      </c>
      <c r="N40" s="1">
        <v>150.82427978515625</v>
      </c>
      <c r="O40" t="e">
        <f t="shared" si="87"/>
        <v>#DIV/0!</v>
      </c>
      <c r="P40">
        <f t="shared" si="88"/>
        <v>1</v>
      </c>
      <c r="Q40">
        <f t="shared" si="89"/>
        <v>0.75981971012024829</v>
      </c>
      <c r="R40" s="1">
        <v>-1</v>
      </c>
      <c r="S40" s="1">
        <v>0.87</v>
      </c>
      <c r="T40" s="1">
        <v>0.92</v>
      </c>
      <c r="U40" s="1">
        <v>8.1461887359619141</v>
      </c>
      <c r="V40">
        <f t="shared" si="90"/>
        <v>0.87407309436798086</v>
      </c>
      <c r="W40">
        <f t="shared" si="91"/>
        <v>2.0756650995878E-2</v>
      </c>
      <c r="X40">
        <f t="shared" si="92"/>
        <v>0.75981971012024829</v>
      </c>
      <c r="Y40" t="e">
        <f t="shared" si="93"/>
        <v>#DIV/0!</v>
      </c>
      <c r="Z40">
        <f t="shared" si="94"/>
        <v>-1</v>
      </c>
      <c r="AA40" s="1">
        <v>100.5137939453125</v>
      </c>
      <c r="AB40" s="1">
        <v>0.5</v>
      </c>
      <c r="AC40">
        <f t="shared" si="95"/>
        <v>33.377513292011898</v>
      </c>
      <c r="AD40">
        <f t="shared" si="96"/>
        <v>0.7533654037306623</v>
      </c>
      <c r="AE40">
        <f t="shared" si="97"/>
        <v>1.135622692695671</v>
      </c>
      <c r="AF40">
        <f t="shared" si="98"/>
        <v>19.982194900512695</v>
      </c>
      <c r="AG40" s="1">
        <v>1.9299999475479126</v>
      </c>
      <c r="AH40">
        <f t="shared" si="99"/>
        <v>4.7397196765257945</v>
      </c>
      <c r="AI40" s="1">
        <v>1</v>
      </c>
      <c r="AJ40">
        <f t="shared" si="100"/>
        <v>9.479439353051589</v>
      </c>
      <c r="AK40" s="1">
        <v>16.753532409667969</v>
      </c>
      <c r="AL40" s="1">
        <v>19.982194900512695</v>
      </c>
      <c r="AM40" s="1">
        <v>14.879336357116699</v>
      </c>
      <c r="AN40" s="1">
        <v>399.8714599609375</v>
      </c>
      <c r="AO40" s="1">
        <v>398.42251586914062</v>
      </c>
      <c r="AP40" s="1">
        <v>10.954020500183105</v>
      </c>
      <c r="AQ40" s="1">
        <v>11.913813591003418</v>
      </c>
      <c r="AR40" s="1">
        <v>58.036808013916016</v>
      </c>
      <c r="AS40" s="1">
        <v>63.122001647949219</v>
      </c>
      <c r="AT40" s="1">
        <v>149.68565368652344</v>
      </c>
      <c r="AU40" s="1">
        <v>100.5137939453125</v>
      </c>
      <c r="AV40" s="1">
        <v>6.7025666236877441</v>
      </c>
      <c r="AW40" s="1">
        <v>101.42884063720703</v>
      </c>
      <c r="AX40" s="1">
        <v>2.6561577320098877</v>
      </c>
      <c r="AY40" s="1">
        <v>0.25917899608612061</v>
      </c>
      <c r="AZ40" s="1">
        <v>1.4898180961608887E-2</v>
      </c>
      <c r="BA40" s="1">
        <v>1.6694518271833658E-3</v>
      </c>
      <c r="BB40" s="1">
        <v>1.4636354520916939E-2</v>
      </c>
      <c r="BC40" s="1">
        <v>3.3097104169428349E-3</v>
      </c>
      <c r="BD40" s="1">
        <v>1</v>
      </c>
      <c r="BE40" s="1">
        <v>-1.355140209197998</v>
      </c>
      <c r="BF40" s="1">
        <v>7.355140209197998</v>
      </c>
      <c r="BG40" s="1">
        <v>1</v>
      </c>
      <c r="BH40" s="1">
        <v>0</v>
      </c>
      <c r="BI40" s="1">
        <v>0.15999999642372131</v>
      </c>
      <c r="BJ40" s="1">
        <v>111115</v>
      </c>
      <c r="BK40">
        <f t="shared" si="101"/>
        <v>0.77557335624128276</v>
      </c>
      <c r="BL40">
        <f t="shared" si="102"/>
        <v>7.5336540373066227E-4</v>
      </c>
      <c r="BM40">
        <f t="shared" si="103"/>
        <v>293.13219490051267</v>
      </c>
      <c r="BN40">
        <f t="shared" si="104"/>
        <v>289.90353240966795</v>
      </c>
      <c r="BO40">
        <f t="shared" si="105"/>
        <v>16.082206671784661</v>
      </c>
      <c r="BP40">
        <f t="shared" si="106"/>
        <v>-0.19374515469377926</v>
      </c>
      <c r="BQ40">
        <f t="shared" si="107"/>
        <v>2.3440269927989479</v>
      </c>
      <c r="BR40">
        <f t="shared" si="108"/>
        <v>23.110063943086136</v>
      </c>
      <c r="BS40">
        <f t="shared" si="109"/>
        <v>11.196250352082718</v>
      </c>
      <c r="BT40">
        <f t="shared" si="110"/>
        <v>18.367863655090332</v>
      </c>
      <c r="BU40">
        <f t="shared" si="111"/>
        <v>2.1196820784011274</v>
      </c>
      <c r="BV40">
        <f t="shared" si="112"/>
        <v>6.6108964308183291E-2</v>
      </c>
      <c r="BW40">
        <f t="shared" si="113"/>
        <v>1.2084043001032769</v>
      </c>
      <c r="BX40">
        <f t="shared" si="114"/>
        <v>0.9112777782978505</v>
      </c>
      <c r="BY40">
        <f t="shared" si="115"/>
        <v>4.1359565769289265E-2</v>
      </c>
      <c r="BZ40">
        <f t="shared" si="116"/>
        <v>37.680528451415981</v>
      </c>
      <c r="CA40">
        <f t="shared" si="117"/>
        <v>0.93242014950865337</v>
      </c>
      <c r="CB40">
        <f t="shared" si="118"/>
        <v>51.032850721482781</v>
      </c>
      <c r="CC40">
        <f t="shared" si="119"/>
        <v>398.30522345407127</v>
      </c>
      <c r="CD40">
        <f t="shared" si="120"/>
        <v>1.0552433878353844E-3</v>
      </c>
      <c r="CE40">
        <f t="shared" si="121"/>
        <v>0</v>
      </c>
      <c r="CF40">
        <f t="shared" si="122"/>
        <v>87.85640290044492</v>
      </c>
      <c r="CG40">
        <f t="shared" si="123"/>
        <v>627.9627685546875</v>
      </c>
      <c r="CH40">
        <f t="shared" si="124"/>
        <v>0.75981971012024829</v>
      </c>
      <c r="CI40" t="e">
        <f t="shared" si="125"/>
        <v>#DIV/0!</v>
      </c>
    </row>
    <row r="41" spans="1:87" x14ac:dyDescent="0.25">
      <c r="A41" s="1">
        <v>10</v>
      </c>
      <c r="B41" s="1" t="s">
        <v>187</v>
      </c>
      <c r="C41" s="1">
        <v>1538.4998977603391</v>
      </c>
      <c r="D41" s="1">
        <v>0</v>
      </c>
      <c r="E41">
        <f t="shared" si="84"/>
        <v>0.43580435030833453</v>
      </c>
      <c r="F41">
        <f t="shared" si="85"/>
        <v>6.5603274509472606E-2</v>
      </c>
      <c r="G41">
        <f t="shared" si="86"/>
        <v>382.08241153296922</v>
      </c>
      <c r="H41" s="1">
        <v>52</v>
      </c>
      <c r="I41" s="1">
        <v>0</v>
      </c>
      <c r="J41" s="1">
        <v>0</v>
      </c>
      <c r="K41" s="1">
        <v>0</v>
      </c>
      <c r="L41" s="1">
        <v>0</v>
      </c>
      <c r="M41" s="1">
        <v>705.6865234375</v>
      </c>
      <c r="N41" s="1">
        <v>151.35151672363281</v>
      </c>
      <c r="O41" t="e">
        <f t="shared" si="87"/>
        <v>#DIV/0!</v>
      </c>
      <c r="P41">
        <f t="shared" si="88"/>
        <v>1</v>
      </c>
      <c r="Q41">
        <f t="shared" si="89"/>
        <v>0.78552585078941584</v>
      </c>
      <c r="R41" s="1">
        <v>-1</v>
      </c>
      <c r="S41" s="1">
        <v>0.87</v>
      </c>
      <c r="T41" s="1">
        <v>0.92</v>
      </c>
      <c r="U41" s="1">
        <v>10.671531677246094</v>
      </c>
      <c r="V41">
        <f t="shared" si="90"/>
        <v>0.87533576583862316</v>
      </c>
      <c r="W41">
        <f t="shared" si="91"/>
        <v>2.1853895595633836E-2</v>
      </c>
      <c r="X41">
        <f t="shared" si="92"/>
        <v>0.78552585078941584</v>
      </c>
      <c r="Y41" t="e">
        <f t="shared" si="93"/>
        <v>#DIV/0!</v>
      </c>
      <c r="Z41">
        <f t="shared" si="94"/>
        <v>-1</v>
      </c>
      <c r="AA41" s="1">
        <v>75.057090759277344</v>
      </c>
      <c r="AB41" s="1">
        <v>0.5</v>
      </c>
      <c r="AC41">
        <f t="shared" si="95"/>
        <v>25.804585477850296</v>
      </c>
      <c r="AD41">
        <f t="shared" si="96"/>
        <v>0.73947132224066325</v>
      </c>
      <c r="AE41">
        <f t="shared" si="97"/>
        <v>1.1309763765355312</v>
      </c>
      <c r="AF41">
        <f t="shared" si="98"/>
        <v>19.991384506225586</v>
      </c>
      <c r="AG41" s="1">
        <v>1.9299999475479126</v>
      </c>
      <c r="AH41">
        <f t="shared" si="99"/>
        <v>4.7397196765257945</v>
      </c>
      <c r="AI41" s="1">
        <v>1</v>
      </c>
      <c r="AJ41">
        <f t="shared" si="100"/>
        <v>9.479439353051589</v>
      </c>
      <c r="AK41" s="1">
        <v>16.641521453857422</v>
      </c>
      <c r="AL41" s="1">
        <v>19.991384506225586</v>
      </c>
      <c r="AM41" s="1">
        <v>14.69134521484375</v>
      </c>
      <c r="AN41" s="1">
        <v>400.81051635742187</v>
      </c>
      <c r="AO41" s="1">
        <v>399.86724853515625</v>
      </c>
      <c r="AP41" s="1">
        <v>11.03092098236084</v>
      </c>
      <c r="AQ41" s="1">
        <v>11.973057746887207</v>
      </c>
      <c r="AR41" s="1">
        <v>58.860198974609375</v>
      </c>
      <c r="AS41" s="1">
        <v>63.887371063232422</v>
      </c>
      <c r="AT41" s="1">
        <v>149.6695556640625</v>
      </c>
      <c r="AU41" s="1">
        <v>75.057090759277344</v>
      </c>
      <c r="AV41" s="1">
        <v>7.3155784606933594</v>
      </c>
      <c r="AW41" s="1">
        <v>101.42647552490234</v>
      </c>
      <c r="AX41" s="1">
        <v>2.6561577320098877</v>
      </c>
      <c r="AY41" s="1">
        <v>0.25917899608612061</v>
      </c>
      <c r="AZ41" s="1">
        <v>1.4898180961608887E-2</v>
      </c>
      <c r="BA41" s="1">
        <v>1.6694518271833658E-3</v>
      </c>
      <c r="BB41" s="1">
        <v>1.4636354520916939E-2</v>
      </c>
      <c r="BC41" s="1">
        <v>3.3097104169428349E-3</v>
      </c>
      <c r="BD41" s="1">
        <v>1</v>
      </c>
      <c r="BE41" s="1">
        <v>-1.355140209197998</v>
      </c>
      <c r="BF41" s="1">
        <v>7.355140209197998</v>
      </c>
      <c r="BG41" s="1">
        <v>1</v>
      </c>
      <c r="BH41" s="1">
        <v>0</v>
      </c>
      <c r="BI41" s="1">
        <v>0.15999999642372131</v>
      </c>
      <c r="BJ41" s="1">
        <v>111115</v>
      </c>
      <c r="BK41">
        <f t="shared" si="101"/>
        <v>0.77548994679621308</v>
      </c>
      <c r="BL41">
        <f t="shared" si="102"/>
        <v>7.3947132224066331E-4</v>
      </c>
      <c r="BM41">
        <f t="shared" si="103"/>
        <v>293.14138450622556</v>
      </c>
      <c r="BN41">
        <f t="shared" si="104"/>
        <v>289.7915214538574</v>
      </c>
      <c r="BO41">
        <f t="shared" si="105"/>
        <v>12.009134253059301</v>
      </c>
      <c r="BP41">
        <f t="shared" si="106"/>
        <v>-0.21152123378250093</v>
      </c>
      <c r="BQ41">
        <f t="shared" si="107"/>
        <v>2.3453614250584289</v>
      </c>
      <c r="BR41">
        <f t="shared" si="108"/>
        <v>23.123759481148419</v>
      </c>
      <c r="BS41">
        <f t="shared" si="109"/>
        <v>11.150701734261212</v>
      </c>
      <c r="BT41">
        <f t="shared" si="110"/>
        <v>18.316452980041504</v>
      </c>
      <c r="BU41">
        <f t="shared" si="111"/>
        <v>2.1128582367633326</v>
      </c>
      <c r="BV41">
        <f t="shared" si="112"/>
        <v>6.5152381853012573E-2</v>
      </c>
      <c r="BW41">
        <f t="shared" si="113"/>
        <v>1.2143850485228977</v>
      </c>
      <c r="BX41">
        <f t="shared" si="114"/>
        <v>0.89847318824043487</v>
      </c>
      <c r="BY41">
        <f t="shared" si="115"/>
        <v>4.0760509907810709E-2</v>
      </c>
      <c r="BZ41">
        <f t="shared" si="116"/>
        <v>38.753272361844374</v>
      </c>
      <c r="CA41">
        <f t="shared" si="117"/>
        <v>0.95552314657592319</v>
      </c>
      <c r="CB41">
        <f t="shared" si="118"/>
        <v>51.254180566951725</v>
      </c>
      <c r="CC41">
        <f t="shared" si="119"/>
        <v>399.80518411858009</v>
      </c>
      <c r="CD41">
        <f t="shared" si="120"/>
        <v>5.5869197673888806E-4</v>
      </c>
      <c r="CE41">
        <f t="shared" si="121"/>
        <v>0</v>
      </c>
      <c r="CF41">
        <f t="shared" si="122"/>
        <v>65.700156021391081</v>
      </c>
      <c r="CG41">
        <f t="shared" si="123"/>
        <v>705.6865234375</v>
      </c>
      <c r="CH41">
        <f t="shared" si="124"/>
        <v>0.78552585078941584</v>
      </c>
      <c r="CI41" t="e">
        <f t="shared" si="125"/>
        <v>#DIV/0!</v>
      </c>
    </row>
    <row r="42" spans="1:87" x14ac:dyDescent="0.25">
      <c r="A42" s="1">
        <v>11</v>
      </c>
      <c r="B42" s="1" t="s">
        <v>188</v>
      </c>
      <c r="C42" s="1">
        <v>1701.9998864922673</v>
      </c>
      <c r="D42" s="1">
        <v>0</v>
      </c>
      <c r="E42">
        <f t="shared" si="84"/>
        <v>0.62435614952771434</v>
      </c>
      <c r="F42">
        <f t="shared" si="85"/>
        <v>6.3319451298496005E-2</v>
      </c>
      <c r="G42">
        <f t="shared" si="86"/>
        <v>376.2971960076091</v>
      </c>
      <c r="H42" s="1">
        <v>53</v>
      </c>
      <c r="I42" s="1">
        <v>0</v>
      </c>
      <c r="J42" s="1">
        <v>0</v>
      </c>
      <c r="K42" s="1">
        <v>0</v>
      </c>
      <c r="L42" s="1">
        <v>0</v>
      </c>
      <c r="M42" s="1">
        <v>739.31646728515625</v>
      </c>
      <c r="N42" s="1">
        <v>142.54412841796875</v>
      </c>
      <c r="O42" t="e">
        <f t="shared" si="87"/>
        <v>#DIV/0!</v>
      </c>
      <c r="P42">
        <f t="shared" si="88"/>
        <v>1</v>
      </c>
      <c r="Q42">
        <f t="shared" si="89"/>
        <v>0.80719470656266457</v>
      </c>
      <c r="R42" s="1">
        <v>-1</v>
      </c>
      <c r="S42" s="1">
        <v>0.87</v>
      </c>
      <c r="T42" s="1">
        <v>0.92</v>
      </c>
      <c r="U42" s="1">
        <v>9.144770622253418</v>
      </c>
      <c r="V42">
        <f t="shared" si="90"/>
        <v>0.8745723853111268</v>
      </c>
      <c r="W42">
        <f t="shared" si="91"/>
        <v>3.6786848213296724E-2</v>
      </c>
      <c r="X42">
        <f t="shared" si="92"/>
        <v>0.80719470656266457</v>
      </c>
      <c r="Y42" t="e">
        <f t="shared" si="93"/>
        <v>#DIV/0!</v>
      </c>
      <c r="Z42">
        <f t="shared" si="94"/>
        <v>-1</v>
      </c>
      <c r="AA42" s="1">
        <v>50.488552093505859</v>
      </c>
      <c r="AB42" s="1">
        <v>0.5</v>
      </c>
      <c r="AC42">
        <f t="shared" si="95"/>
        <v>17.821201722268718</v>
      </c>
      <c r="AD42">
        <f t="shared" si="96"/>
        <v>0.70141457208999602</v>
      </c>
      <c r="AE42">
        <f t="shared" si="97"/>
        <v>1.1112706065347198</v>
      </c>
      <c r="AF42">
        <f t="shared" si="98"/>
        <v>19.911029815673828</v>
      </c>
      <c r="AG42" s="1">
        <v>1.9299999475479126</v>
      </c>
      <c r="AH42">
        <f t="shared" si="99"/>
        <v>4.7397196765257945</v>
      </c>
      <c r="AI42" s="1">
        <v>1</v>
      </c>
      <c r="AJ42">
        <f t="shared" si="100"/>
        <v>9.479439353051589</v>
      </c>
      <c r="AK42" s="1">
        <v>16.424915313720703</v>
      </c>
      <c r="AL42" s="1">
        <v>19.911029815673828</v>
      </c>
      <c r="AM42" s="1">
        <v>14.376842498779297</v>
      </c>
      <c r="AN42" s="1">
        <v>400.24069213867187</v>
      </c>
      <c r="AO42" s="1">
        <v>399.07467651367187</v>
      </c>
      <c r="AP42" s="1">
        <v>11.158422470092773</v>
      </c>
      <c r="AQ42" s="1">
        <v>12.051961898803711</v>
      </c>
      <c r="AR42" s="1">
        <v>60.36932373046875</v>
      </c>
      <c r="AS42" s="1">
        <v>65.20355224609375</v>
      </c>
      <c r="AT42" s="1">
        <v>149.67610168457031</v>
      </c>
      <c r="AU42" s="1">
        <v>50.488552093505859</v>
      </c>
      <c r="AV42" s="1">
        <v>6.5860447883605957</v>
      </c>
      <c r="AW42" s="1">
        <v>101.43119812011719</v>
      </c>
      <c r="AX42" s="1">
        <v>2.6561577320098877</v>
      </c>
      <c r="AY42" s="1">
        <v>0.25917899608612061</v>
      </c>
      <c r="AZ42" s="1">
        <v>1.4898180961608887E-2</v>
      </c>
      <c r="BA42" s="1">
        <v>1.6694518271833658E-3</v>
      </c>
      <c r="BB42" s="1">
        <v>1.4636354520916939E-2</v>
      </c>
      <c r="BC42" s="1">
        <v>3.3097104169428349E-3</v>
      </c>
      <c r="BD42" s="1">
        <v>1</v>
      </c>
      <c r="BE42" s="1">
        <v>-1.355140209197998</v>
      </c>
      <c r="BF42" s="1">
        <v>7.355140209197998</v>
      </c>
      <c r="BG42" s="1">
        <v>1</v>
      </c>
      <c r="BH42" s="1">
        <v>0</v>
      </c>
      <c r="BI42" s="1">
        <v>0.15999999642372131</v>
      </c>
      <c r="BJ42" s="1">
        <v>111115</v>
      </c>
      <c r="BK42">
        <f t="shared" si="101"/>
        <v>0.77552386400183859</v>
      </c>
      <c r="BL42">
        <f t="shared" si="102"/>
        <v>7.0141457208999607E-4</v>
      </c>
      <c r="BM42">
        <f t="shared" si="103"/>
        <v>293.06102981567381</v>
      </c>
      <c r="BN42">
        <f t="shared" si="104"/>
        <v>289.57491531372068</v>
      </c>
      <c r="BO42">
        <f t="shared" si="105"/>
        <v>8.0781681543998047</v>
      </c>
      <c r="BP42">
        <f t="shared" si="106"/>
        <v>-0.22523008451992899</v>
      </c>
      <c r="BQ42">
        <f t="shared" si="107"/>
        <v>2.3337155416283828</v>
      </c>
      <c r="BR42">
        <f t="shared" si="108"/>
        <v>23.007867252684349</v>
      </c>
      <c r="BS42">
        <f t="shared" si="109"/>
        <v>10.955905353880638</v>
      </c>
      <c r="BT42">
        <f t="shared" si="110"/>
        <v>18.167972564697266</v>
      </c>
      <c r="BU42">
        <f t="shared" si="111"/>
        <v>2.093258190412107</v>
      </c>
      <c r="BV42">
        <f t="shared" si="112"/>
        <v>6.2899305196625024E-2</v>
      </c>
      <c r="BW42">
        <f t="shared" si="113"/>
        <v>1.222444935093663</v>
      </c>
      <c r="BX42">
        <f t="shared" si="114"/>
        <v>0.870813255318444</v>
      </c>
      <c r="BY42">
        <f t="shared" si="115"/>
        <v>3.93495985816655E-2</v>
      </c>
      <c r="BZ42">
        <f t="shared" si="116"/>
        <v>38.168275440292369</v>
      </c>
      <c r="CA42">
        <f t="shared" si="117"/>
        <v>0.94292426493946568</v>
      </c>
      <c r="CB42">
        <f t="shared" si="118"/>
        <v>51.853881715552852</v>
      </c>
      <c r="CC42">
        <f t="shared" si="119"/>
        <v>398.9857597781488</v>
      </c>
      <c r="CD42">
        <f t="shared" si="120"/>
        <v>8.1143973519230391E-4</v>
      </c>
      <c r="CE42">
        <f t="shared" si="121"/>
        <v>0</v>
      </c>
      <c r="CF42">
        <f t="shared" si="122"/>
        <v>44.155893435322504</v>
      </c>
      <c r="CG42">
        <f t="shared" si="123"/>
        <v>739.31646728515625</v>
      </c>
      <c r="CH42">
        <f t="shared" si="124"/>
        <v>0.80719470656266457</v>
      </c>
      <c r="CI42" t="e">
        <f t="shared" si="125"/>
        <v>#DIV/0!</v>
      </c>
    </row>
    <row r="43" spans="1:87" x14ac:dyDescent="0.25">
      <c r="A43" s="1">
        <v>12</v>
      </c>
      <c r="B43" s="1" t="s">
        <v>189</v>
      </c>
      <c r="C43" s="1">
        <v>1905.9998724330217</v>
      </c>
      <c r="D43" s="1">
        <v>0</v>
      </c>
      <c r="E43">
        <f t="shared" si="84"/>
        <v>0.10113664278984059</v>
      </c>
      <c r="F43">
        <f t="shared" si="85"/>
        <v>5.9153481952919265E-2</v>
      </c>
      <c r="G43">
        <f t="shared" si="86"/>
        <v>390.12933214006068</v>
      </c>
      <c r="H43" s="1">
        <v>54</v>
      </c>
      <c r="I43" s="1">
        <v>0</v>
      </c>
      <c r="J43" s="1">
        <v>0</v>
      </c>
      <c r="K43" s="1">
        <v>0</v>
      </c>
      <c r="L43" s="1">
        <v>0</v>
      </c>
      <c r="M43" s="1">
        <v>765.63134765625</v>
      </c>
      <c r="N43" s="1">
        <v>126.36727142333984</v>
      </c>
      <c r="O43" t="e">
        <f t="shared" si="87"/>
        <v>#DIV/0!</v>
      </c>
      <c r="P43">
        <f t="shared" si="88"/>
        <v>1</v>
      </c>
      <c r="Q43">
        <f t="shared" si="89"/>
        <v>0.83495023837493698</v>
      </c>
      <c r="R43" s="1">
        <v>-1</v>
      </c>
      <c r="S43" s="1">
        <v>0.87</v>
      </c>
      <c r="T43" s="1">
        <v>0.92</v>
      </c>
      <c r="U43" s="1">
        <v>0</v>
      </c>
      <c r="V43">
        <f t="shared" si="90"/>
        <v>0.87</v>
      </c>
      <c r="W43">
        <f t="shared" si="91"/>
        <v>5.0695470066214297E-2</v>
      </c>
      <c r="X43">
        <f t="shared" si="92"/>
        <v>0.83495023837493698</v>
      </c>
      <c r="Y43" t="e">
        <f t="shared" si="93"/>
        <v>#DIV/0!</v>
      </c>
      <c r="Z43">
        <f t="shared" si="94"/>
        <v>-1</v>
      </c>
      <c r="AA43" s="1">
        <v>24.966220855712891</v>
      </c>
      <c r="AB43" s="1">
        <v>0.5</v>
      </c>
      <c r="AC43">
        <f t="shared" si="95"/>
        <v>9.0678151438374783</v>
      </c>
      <c r="AD43">
        <f t="shared" si="96"/>
        <v>0.64755985371494784</v>
      </c>
      <c r="AE43">
        <f t="shared" si="97"/>
        <v>1.0977644614947466</v>
      </c>
      <c r="AF43">
        <f t="shared" si="98"/>
        <v>19.923746109008789</v>
      </c>
      <c r="AG43" s="1">
        <v>1.9299999475479126</v>
      </c>
      <c r="AH43">
        <f t="shared" si="99"/>
        <v>4.7397196765257945</v>
      </c>
      <c r="AI43" s="1">
        <v>1</v>
      </c>
      <c r="AJ43">
        <f t="shared" si="100"/>
        <v>9.479439353051589</v>
      </c>
      <c r="AK43" s="1">
        <v>16.495481491088867</v>
      </c>
      <c r="AL43" s="1">
        <v>19.923746109008789</v>
      </c>
      <c r="AM43" s="1">
        <v>14.492922782897949</v>
      </c>
      <c r="AN43" s="1">
        <v>400.29904174804687</v>
      </c>
      <c r="AO43" s="1">
        <v>399.83474731445312</v>
      </c>
      <c r="AP43" s="1">
        <v>11.376901626586914</v>
      </c>
      <c r="AQ43" s="1">
        <v>12.201750755310059</v>
      </c>
      <c r="AR43" s="1">
        <v>61.283088684082031</v>
      </c>
      <c r="AS43" s="1">
        <v>65.726242065429688</v>
      </c>
      <c r="AT43" s="1">
        <v>149.66868591308594</v>
      </c>
      <c r="AU43" s="1">
        <v>24.966220855712891</v>
      </c>
      <c r="AV43" s="1">
        <v>6.547612190246582</v>
      </c>
      <c r="AW43" s="1">
        <v>101.44369506835937</v>
      </c>
      <c r="AX43" s="1">
        <v>2.6561577320098877</v>
      </c>
      <c r="AY43" s="1">
        <v>0.25917899608612061</v>
      </c>
      <c r="AZ43" s="1">
        <v>1.4898180961608887E-2</v>
      </c>
      <c r="BA43" s="1">
        <v>1.6694518271833658E-3</v>
      </c>
      <c r="BB43" s="1">
        <v>1.4636354520916939E-2</v>
      </c>
      <c r="BC43" s="1">
        <v>3.3097104169428349E-3</v>
      </c>
      <c r="BD43" s="1">
        <v>0.75</v>
      </c>
      <c r="BE43" s="1">
        <v>-1.355140209197998</v>
      </c>
      <c r="BF43" s="1">
        <v>7.355140209197998</v>
      </c>
      <c r="BG43" s="1">
        <v>1</v>
      </c>
      <c r="BH43" s="1">
        <v>0</v>
      </c>
      <c r="BI43" s="1">
        <v>0.15999999642372131</v>
      </c>
      <c r="BJ43" s="1">
        <v>111115</v>
      </c>
      <c r="BK43">
        <f t="shared" si="101"/>
        <v>0.77548544031434674</v>
      </c>
      <c r="BL43">
        <f t="shared" si="102"/>
        <v>6.4755985371494783E-4</v>
      </c>
      <c r="BM43">
        <f t="shared" si="103"/>
        <v>293.07374610900877</v>
      </c>
      <c r="BN43">
        <f t="shared" si="104"/>
        <v>289.64548149108884</v>
      </c>
      <c r="BO43">
        <f t="shared" si="105"/>
        <v>3.994595247627899</v>
      </c>
      <c r="BP43">
        <f t="shared" si="106"/>
        <v>-0.22938793667972066</v>
      </c>
      <c r="BQ43">
        <f t="shared" si="107"/>
        <v>2.3355551444165439</v>
      </c>
      <c r="BR43">
        <f t="shared" si="108"/>
        <v>23.023167115932583</v>
      </c>
      <c r="BS43">
        <f t="shared" si="109"/>
        <v>10.821416360622525</v>
      </c>
      <c r="BT43">
        <f t="shared" si="110"/>
        <v>18.209613800048828</v>
      </c>
      <c r="BU43">
        <f t="shared" si="111"/>
        <v>2.0987388533260538</v>
      </c>
      <c r="BV43">
        <f t="shared" si="112"/>
        <v>5.8786642264122273E-2</v>
      </c>
      <c r="BW43">
        <f t="shared" si="113"/>
        <v>1.2377906829217973</v>
      </c>
      <c r="BX43">
        <f t="shared" si="114"/>
        <v>0.86094817040425653</v>
      </c>
      <c r="BY43">
        <f t="shared" si="115"/>
        <v>3.6774434503055606E-2</v>
      </c>
      <c r="BZ43">
        <f t="shared" si="116"/>
        <v>39.576161006839008</v>
      </c>
      <c r="CA43">
        <f t="shared" si="117"/>
        <v>0.97572643388404778</v>
      </c>
      <c r="CB43">
        <f t="shared" si="118"/>
        <v>52.451750074156401</v>
      </c>
      <c r="CC43">
        <f t="shared" si="119"/>
        <v>399.82034409262945</v>
      </c>
      <c r="CD43">
        <f t="shared" si="120"/>
        <v>1.3267943938647975E-4</v>
      </c>
      <c r="CE43">
        <f t="shared" si="121"/>
        <v>0</v>
      </c>
      <c r="CF43">
        <f t="shared" si="122"/>
        <v>21.720612144470216</v>
      </c>
      <c r="CG43">
        <f t="shared" si="123"/>
        <v>765.63134765625</v>
      </c>
      <c r="CH43">
        <f t="shared" si="124"/>
        <v>0.83495023837493698</v>
      </c>
      <c r="CI43" t="e">
        <f t="shared" si="125"/>
        <v>#DIV/0!</v>
      </c>
    </row>
    <row r="44" spans="1:87" x14ac:dyDescent="0.25">
      <c r="A44" s="1">
        <v>13</v>
      </c>
      <c r="B44" s="1" t="s">
        <v>190</v>
      </c>
      <c r="C44" s="1">
        <v>2030.4998638527468</v>
      </c>
      <c r="D44" s="1">
        <v>0</v>
      </c>
      <c r="E44">
        <f t="shared" si="84"/>
        <v>-0.89685303241953684</v>
      </c>
      <c r="F44">
        <f t="shared" si="85"/>
        <v>5.8201095469824528E-2</v>
      </c>
      <c r="G44">
        <f t="shared" si="86"/>
        <v>418.68265359169772</v>
      </c>
      <c r="H44" s="1">
        <v>55</v>
      </c>
      <c r="I44" s="1">
        <v>0</v>
      </c>
      <c r="J44" s="1">
        <v>0</v>
      </c>
      <c r="K44" s="1">
        <v>0</v>
      </c>
      <c r="L44" s="1">
        <v>0</v>
      </c>
      <c r="M44" s="1">
        <v>790.8817138671875</v>
      </c>
      <c r="N44" s="1">
        <v>99.283531188964844</v>
      </c>
      <c r="O44" t="e">
        <f t="shared" si="87"/>
        <v>#DIV/0!</v>
      </c>
      <c r="P44">
        <f t="shared" si="88"/>
        <v>1</v>
      </c>
      <c r="Q44">
        <f t="shared" si="89"/>
        <v>0.87446475313799266</v>
      </c>
      <c r="R44" s="1">
        <v>-1</v>
      </c>
      <c r="S44" s="1">
        <v>0.87</v>
      </c>
      <c r="T44" s="1">
        <v>0.92</v>
      </c>
      <c r="U44" s="1">
        <v>0</v>
      </c>
      <c r="V44">
        <f t="shared" si="90"/>
        <v>0.87</v>
      </c>
      <c r="W44">
        <f t="shared" si="91"/>
        <v>0.95144074850732485</v>
      </c>
      <c r="X44">
        <f t="shared" si="92"/>
        <v>0.87446475313799266</v>
      </c>
      <c r="Y44" t="e">
        <f t="shared" si="93"/>
        <v>#DIV/0!</v>
      </c>
      <c r="Z44">
        <f t="shared" si="94"/>
        <v>-1</v>
      </c>
      <c r="AA44" s="1">
        <v>0.12461073696613312</v>
      </c>
      <c r="AB44" s="1">
        <v>0.5</v>
      </c>
      <c r="AC44">
        <f t="shared" si="95"/>
        <v>4.7400948342653328E-2</v>
      </c>
      <c r="AD44">
        <f t="shared" si="96"/>
        <v>0.62287637932963724</v>
      </c>
      <c r="AE44">
        <f t="shared" si="97"/>
        <v>1.0731862847138711</v>
      </c>
      <c r="AF44">
        <f t="shared" si="98"/>
        <v>19.858358383178711</v>
      </c>
      <c r="AG44" s="1">
        <v>1.9299999475479126</v>
      </c>
      <c r="AH44">
        <f t="shared" si="99"/>
        <v>4.7397196765257945</v>
      </c>
      <c r="AI44" s="1">
        <v>1</v>
      </c>
      <c r="AJ44">
        <f t="shared" si="100"/>
        <v>9.479439353051589</v>
      </c>
      <c r="AK44" s="1">
        <v>16.723997116088867</v>
      </c>
      <c r="AL44" s="1">
        <v>19.858358383178711</v>
      </c>
      <c r="AM44" s="1">
        <v>14.841346740722656</v>
      </c>
      <c r="AN44" s="1">
        <v>400.11752319335937</v>
      </c>
      <c r="AO44" s="1">
        <v>400.95211791992187</v>
      </c>
      <c r="AP44" s="1">
        <v>11.556087493896484</v>
      </c>
      <c r="AQ44" s="1">
        <v>12.349507331848145</v>
      </c>
      <c r="AR44" s="1">
        <v>61.357643127441406</v>
      </c>
      <c r="AS44" s="1">
        <v>65.570350646972656</v>
      </c>
      <c r="AT44" s="1">
        <v>149.64402770996094</v>
      </c>
      <c r="AU44" s="1">
        <v>0.12461073696613312</v>
      </c>
      <c r="AV44" s="1">
        <v>6.1961870193481445</v>
      </c>
      <c r="AW44" s="1">
        <v>101.45530700683594</v>
      </c>
      <c r="AX44" s="1">
        <v>2.6561577320098877</v>
      </c>
      <c r="AY44" s="1">
        <v>0.25917899608612061</v>
      </c>
      <c r="AZ44" s="1">
        <v>1.4898180961608887E-2</v>
      </c>
      <c r="BA44" s="1">
        <v>1.6694518271833658E-3</v>
      </c>
      <c r="BB44" s="1">
        <v>1.4636354520916939E-2</v>
      </c>
      <c r="BC44" s="1">
        <v>3.3097104169428349E-3</v>
      </c>
      <c r="BD44" s="1">
        <v>1</v>
      </c>
      <c r="BE44" s="1">
        <v>-1.355140209197998</v>
      </c>
      <c r="BF44" s="1">
        <v>7.355140209197998</v>
      </c>
      <c r="BG44" s="1">
        <v>1</v>
      </c>
      <c r="BH44" s="1">
        <v>0</v>
      </c>
      <c r="BI44" s="1">
        <v>0.15999999642372131</v>
      </c>
      <c r="BJ44" s="1">
        <v>111115</v>
      </c>
      <c r="BK44">
        <f t="shared" si="101"/>
        <v>0.77535767760038221</v>
      </c>
      <c r="BL44">
        <f t="shared" si="102"/>
        <v>6.2287637932963722E-4</v>
      </c>
      <c r="BM44">
        <f t="shared" si="103"/>
        <v>293.00835838317869</v>
      </c>
      <c r="BN44">
        <f t="shared" si="104"/>
        <v>289.87399711608884</v>
      </c>
      <c r="BO44">
        <f t="shared" si="105"/>
        <v>1.9937717468938576E-2</v>
      </c>
      <c r="BP44">
        <f t="shared" si="106"/>
        <v>-0.2285735010898744</v>
      </c>
      <c r="BQ44">
        <f t="shared" si="107"/>
        <v>2.3261093424496959</v>
      </c>
      <c r="BR44">
        <f t="shared" si="108"/>
        <v>22.927428944579166</v>
      </c>
      <c r="BS44">
        <f t="shared" si="109"/>
        <v>10.577921612731021</v>
      </c>
      <c r="BT44">
        <f t="shared" si="110"/>
        <v>18.291177749633789</v>
      </c>
      <c r="BU44">
        <f t="shared" si="111"/>
        <v>2.1095104750959539</v>
      </c>
      <c r="BV44">
        <f t="shared" si="112"/>
        <v>5.784593765776707E-2</v>
      </c>
      <c r="BW44">
        <f t="shared" si="113"/>
        <v>1.2529230577358248</v>
      </c>
      <c r="BX44">
        <f t="shared" si="114"/>
        <v>0.85658741736012911</v>
      </c>
      <c r="BY44">
        <f t="shared" si="115"/>
        <v>3.6185452874665743E-2</v>
      </c>
      <c r="BZ44">
        <f t="shared" si="116"/>
        <v>42.477577158582434</v>
      </c>
      <c r="CA44">
        <f t="shared" si="117"/>
        <v>1.0442210799727387</v>
      </c>
      <c r="CB44">
        <f t="shared" si="118"/>
        <v>53.321666061224079</v>
      </c>
      <c r="CC44">
        <f t="shared" si="119"/>
        <v>401.07984188635839</v>
      </c>
      <c r="CD44">
        <f t="shared" si="120"/>
        <v>-1.1923236449819005E-3</v>
      </c>
      <c r="CE44">
        <f t="shared" si="121"/>
        <v>0</v>
      </c>
      <c r="CF44">
        <f t="shared" si="122"/>
        <v>0.10841134116053582</v>
      </c>
      <c r="CG44">
        <f t="shared" si="123"/>
        <v>790.8817138671875</v>
      </c>
      <c r="CH44">
        <f t="shared" si="124"/>
        <v>0.87446475313799266</v>
      </c>
      <c r="CI44" t="e">
        <f t="shared" si="125"/>
        <v>#DIV/0!</v>
      </c>
    </row>
    <row r="46" spans="1:87" x14ac:dyDescent="0.25">
      <c r="A46" s="1">
        <v>1</v>
      </c>
      <c r="B46" s="1" t="s">
        <v>234</v>
      </c>
      <c r="C46" s="1">
        <v>101.99999655410647</v>
      </c>
      <c r="D46" s="1">
        <v>0</v>
      </c>
      <c r="E46">
        <f t="shared" ref="E46:E58" si="126">(AN46-AO46*(1000-AP46)/(1000-AQ46))*BG46</f>
        <v>10.090731009322516</v>
      </c>
      <c r="F46">
        <f t="shared" ref="F46:F58" si="127">IF(BR46&lt;&gt;0,1/(1/BR46-1/AJ46),0)</f>
        <v>9.3380508800629841E-2</v>
      </c>
      <c r="G46">
        <f t="shared" ref="G46:G58" si="128">((BU46-BH46/2)*AO46-E46)/(BU46+BH46/2)</f>
        <v>220.8366856013875</v>
      </c>
      <c r="H46" s="1">
        <v>43</v>
      </c>
      <c r="I46" s="1">
        <v>41</v>
      </c>
      <c r="J46" s="1">
        <v>567.294189453125</v>
      </c>
      <c r="K46" s="1">
        <v>2432.202880859375</v>
      </c>
      <c r="L46" s="1">
        <v>422.90185546875</v>
      </c>
      <c r="M46" s="1">
        <v>894.47357177734375</v>
      </c>
      <c r="N46" s="1">
        <v>568.11505126953125</v>
      </c>
      <c r="O46">
        <f t="shared" ref="O46:O58" si="129">CA46/K46</f>
        <v>0.76675704402887568</v>
      </c>
      <c r="P46">
        <f t="shared" ref="P46:P58" si="130">CC46/M46</f>
        <v>0.52720586855525275</v>
      </c>
      <c r="Q46">
        <f t="shared" ref="Q46:Q58" si="131">(M46-N46)/M46</f>
        <v>0.36486099847458781</v>
      </c>
      <c r="R46" s="1">
        <v>-1</v>
      </c>
      <c r="S46" s="1">
        <v>0.87</v>
      </c>
      <c r="T46" s="1">
        <v>0.92</v>
      </c>
      <c r="U46" s="1">
        <v>9.9884357452392578</v>
      </c>
      <c r="V46">
        <f t="shared" ref="V46:V58" si="132">(U46*T46+(100-U46)*S46)/100</f>
        <v>0.87499421787261966</v>
      </c>
      <c r="W46">
        <f t="shared" ref="W46:W58" si="133">(E46-R46)/CB46</f>
        <v>2.1205487669400558E-2</v>
      </c>
      <c r="X46">
        <f t="shared" ref="X46:X58" si="134">(M46-N46)/(M46-L46)</f>
        <v>0.69206551033744657</v>
      </c>
      <c r="Y46">
        <f t="shared" ref="Y46:Y58" si="135">(K46-M46)/(K46-L46)</f>
        <v>0.76530559117346975</v>
      </c>
      <c r="Z46">
        <f t="shared" ref="Z46:Z58" si="136">(K46-M46)/M46</f>
        <v>1.7191444863222962</v>
      </c>
      <c r="AA46" s="1">
        <v>597.7322998046875</v>
      </c>
      <c r="AB46" s="1">
        <v>0.5</v>
      </c>
      <c r="AC46">
        <f t="shared" ref="AC46:AC58" si="137">Q46*AB46*V46*AA46</f>
        <v>95.413396120893736</v>
      </c>
      <c r="AD46">
        <f t="shared" ref="AD46:AD58" si="138">BH46*1000</f>
        <v>0.81440636137105604</v>
      </c>
      <c r="AE46">
        <f t="shared" ref="AE46:AE58" si="139">(BM46-BS46)</f>
        <v>0.88462373500318758</v>
      </c>
      <c r="AF46">
        <f t="shared" ref="AF46:AF58" si="140">(AL46+BL46*D46)</f>
        <v>19.992336273193359</v>
      </c>
      <c r="AG46" s="1">
        <v>2</v>
      </c>
      <c r="AH46">
        <f t="shared" ref="AH46:AH58" si="141">(AG46*BA46+BB46)</f>
        <v>4.644859790802002</v>
      </c>
      <c r="AI46" s="1">
        <v>1</v>
      </c>
      <c r="AJ46">
        <f t="shared" ref="AJ46:AJ58" si="142">AH46*(AI46+1)*(AI46+1)/(AI46*AI46+1)</f>
        <v>9.2897195816040039</v>
      </c>
      <c r="AK46" s="1">
        <v>18.966543197631836</v>
      </c>
      <c r="AL46" s="1">
        <v>19.992336273193359</v>
      </c>
      <c r="AM46" s="1">
        <v>18.240781784057617</v>
      </c>
      <c r="AN46" s="1">
        <v>413.51324462890625</v>
      </c>
      <c r="AO46" s="1">
        <v>399.58740234375</v>
      </c>
      <c r="AP46" s="1">
        <v>13.203490257263184</v>
      </c>
      <c r="AQ46" s="1">
        <v>14.276762962341309</v>
      </c>
      <c r="AR46" s="1">
        <v>61.395290374755859</v>
      </c>
      <c r="AS46" s="1">
        <v>66.385932922363281</v>
      </c>
      <c r="AT46" s="1">
        <v>149.59465026855469</v>
      </c>
      <c r="AU46" s="1">
        <v>597.7322998046875</v>
      </c>
      <c r="AV46" s="1">
        <v>16.207082748413086</v>
      </c>
      <c r="AW46" s="1">
        <v>102.32543182373047</v>
      </c>
      <c r="AX46" s="1">
        <v>3.0793380737304687</v>
      </c>
      <c r="AY46" s="1">
        <v>-9.0587802231311798E-2</v>
      </c>
      <c r="AZ46" s="1">
        <v>0.5</v>
      </c>
      <c r="BA46" s="1">
        <v>-1.355140209197998</v>
      </c>
      <c r="BB46" s="1">
        <v>7.355140209197998</v>
      </c>
      <c r="BC46" s="1">
        <v>1</v>
      </c>
      <c r="BD46" s="1">
        <v>0</v>
      </c>
      <c r="BE46" s="1">
        <v>0.15999999642372131</v>
      </c>
      <c r="BF46" s="1">
        <v>111115</v>
      </c>
      <c r="BG46">
        <f t="shared" ref="BG46:BG58" si="143">AT46*0.000001/(AG46*0.0001)</f>
        <v>0.74797325134277337</v>
      </c>
      <c r="BH46">
        <f t="shared" ref="BH46:BH58" si="144">(AQ46-AP46)/(1000-AQ46)*BG46</f>
        <v>8.1440636137105607E-4</v>
      </c>
      <c r="BI46">
        <f t="shared" ref="BI46:BI58" si="145">(AL46+273.15)</f>
        <v>293.14233627319334</v>
      </c>
      <c r="BJ46">
        <f t="shared" ref="BJ46:BJ58" si="146">(AK46+273.15)</f>
        <v>292.11654319763181</v>
      </c>
      <c r="BK46">
        <f t="shared" ref="BK46:BK58" si="147">(AU46*BC46+AV46*BD46)*BE46</f>
        <v>95.637165831092716</v>
      </c>
      <c r="BL46">
        <f t="shared" ref="BL46:BL58" si="148">((BK46+0.00000010773*(BJ46^4-BI46^4))-BH46*44100)/(AH46*51.4+0.00000043092*BI46^3)</f>
        <v>0.19489159838782996</v>
      </c>
      <c r="BM46">
        <f t="shared" ref="BM46:BM58" si="149">0.61365*EXP(17.502*AF46/(240.97+AF46))</f>
        <v>2.3454996701698034</v>
      </c>
      <c r="BN46">
        <f t="shared" ref="BN46:BN58" si="150">BM46*1000/AW46</f>
        <v>22.921962100392079</v>
      </c>
      <c r="BO46">
        <f t="shared" ref="BO46:BO58" si="151">(BN46-AQ46)</f>
        <v>8.6451991380507707</v>
      </c>
      <c r="BP46">
        <f t="shared" ref="BP46:BP58" si="152">IF(D46,AL46,(AK46+AL46)/2)</f>
        <v>19.479439735412598</v>
      </c>
      <c r="BQ46">
        <f t="shared" ref="BQ46:BQ58" si="153">0.61365*EXP(17.502*BP46/(240.97+BP46))</f>
        <v>2.272027648859162</v>
      </c>
      <c r="BR46">
        <f t="shared" ref="BR46:BR58" si="154">IF(BO46&lt;&gt;0,(1000-(BN46+AQ46)/2)/BO46*BH46,0)</f>
        <v>9.2451187005077248E-2</v>
      </c>
      <c r="BS46">
        <f t="shared" ref="BS46:BS58" si="155">AQ46*AW46/1000</f>
        <v>1.4608759351666158</v>
      </c>
      <c r="BT46">
        <f t="shared" ref="BT46:BT58" si="156">(BQ46-BS46)</f>
        <v>0.81115171369254613</v>
      </c>
      <c r="BU46">
        <f t="shared" ref="BU46:BU58" si="157">1/(1.6/F46+1.37/AJ46)</f>
        <v>5.7864773131040541E-2</v>
      </c>
      <c r="BV46">
        <f t="shared" ref="BV46:BV58" si="158">G46*AW46*0.001</f>
        <v>22.597209216683375</v>
      </c>
      <c r="BW46">
        <f t="shared" ref="BW46:BW58" si="159">G46/AO46</f>
        <v>0.55266178139272271</v>
      </c>
      <c r="BX46">
        <f t="shared" ref="BX46:BX58" si="160">(1-BH46*AW46/BM46/F46)*100</f>
        <v>61.951886256723874</v>
      </c>
      <c r="BY46">
        <f t="shared" ref="BY46:BY58" si="161">(AO46-E46/(AJ46/1.35))</f>
        <v>398.12099781529025</v>
      </c>
      <c r="BZ46">
        <f t="shared" ref="BZ46:BZ58" si="162">E46*BX46/100/BY46</f>
        <v>1.5702256931114721E-2</v>
      </c>
      <c r="CA46">
        <f t="shared" ref="CA46:CA58" si="163">(K46-J46)</f>
        <v>1864.90869140625</v>
      </c>
      <c r="CB46">
        <f t="shared" ref="CB46:CB58" si="164">AU46*V46</f>
        <v>523.01230616480473</v>
      </c>
      <c r="CC46">
        <f t="shared" ref="CC46:CC58" si="165">(M46-L46)</f>
        <v>471.57171630859375</v>
      </c>
      <c r="CD46">
        <f t="shared" ref="CD46:CD58" si="166">(M46-N46)/(M46-J46)</f>
        <v>0.99749109552510606</v>
      </c>
      <c r="CE46">
        <f t="shared" ref="CE46:CE58" si="167">(K46-M46)/(K46-J46)</f>
        <v>0.82456010643743294</v>
      </c>
    </row>
    <row r="47" spans="1:87" x14ac:dyDescent="0.25">
      <c r="A47" s="1">
        <v>2</v>
      </c>
      <c r="B47" s="1" t="s">
        <v>235</v>
      </c>
      <c r="C47" s="1">
        <v>176.99999138526618</v>
      </c>
      <c r="D47" s="1">
        <v>0</v>
      </c>
      <c r="E47">
        <f t="shared" si="126"/>
        <v>10.393624067497118</v>
      </c>
      <c r="F47">
        <f t="shared" si="127"/>
        <v>0.10026008748518797</v>
      </c>
      <c r="G47">
        <f t="shared" si="128"/>
        <v>228.47040339714982</v>
      </c>
      <c r="H47" s="1">
        <v>44</v>
      </c>
      <c r="I47" s="1">
        <v>42</v>
      </c>
      <c r="J47" s="1">
        <v>567.294189453125</v>
      </c>
      <c r="K47" s="1">
        <v>2432.202880859375</v>
      </c>
      <c r="L47" s="1">
        <v>429.45703125</v>
      </c>
      <c r="M47" s="1">
        <v>948.005615234375</v>
      </c>
      <c r="N47" s="1">
        <v>565.94952392578125</v>
      </c>
      <c r="O47">
        <f t="shared" si="129"/>
        <v>0.76675704402887568</v>
      </c>
      <c r="P47">
        <f t="shared" si="130"/>
        <v>0.54698893725030784</v>
      </c>
      <c r="Q47">
        <f t="shared" si="131"/>
        <v>0.40301036741658769</v>
      </c>
      <c r="R47" s="1">
        <v>-1</v>
      </c>
      <c r="S47" s="1">
        <v>0.87</v>
      </c>
      <c r="T47" s="1">
        <v>0.92</v>
      </c>
      <c r="U47" s="1">
        <v>9.699894905090332</v>
      </c>
      <c r="V47">
        <f t="shared" si="132"/>
        <v>0.8748499474525453</v>
      </c>
      <c r="W47">
        <f t="shared" si="133"/>
        <v>2.6135650662889417E-2</v>
      </c>
      <c r="X47">
        <f t="shared" si="134"/>
        <v>0.73677974081615838</v>
      </c>
      <c r="Y47">
        <f t="shared" si="135"/>
        <v>0.7410811840725996</v>
      </c>
      <c r="Z47">
        <f t="shared" si="136"/>
        <v>1.5655996565569525</v>
      </c>
      <c r="AA47" s="1">
        <v>498.30471801757812</v>
      </c>
      <c r="AB47" s="1">
        <v>0.5</v>
      </c>
      <c r="AC47">
        <f t="shared" si="137"/>
        <v>87.844543854582795</v>
      </c>
      <c r="AD47">
        <f t="shared" si="138"/>
        <v>0.82146700507756243</v>
      </c>
      <c r="AE47">
        <f t="shared" si="139"/>
        <v>0.83169731350667897</v>
      </c>
      <c r="AF47">
        <f t="shared" si="140"/>
        <v>19.653738021850586</v>
      </c>
      <c r="AG47" s="1">
        <v>2</v>
      </c>
      <c r="AH47">
        <f t="shared" si="141"/>
        <v>4.644859790802002</v>
      </c>
      <c r="AI47" s="1">
        <v>1</v>
      </c>
      <c r="AJ47">
        <f t="shared" si="142"/>
        <v>9.2897195816040039</v>
      </c>
      <c r="AK47" s="1">
        <v>19.099729537963867</v>
      </c>
      <c r="AL47" s="1">
        <v>19.653738021850586</v>
      </c>
      <c r="AM47" s="1">
        <v>18.796987533569336</v>
      </c>
      <c r="AN47" s="1">
        <v>414.36062622070313</v>
      </c>
      <c r="AO47" s="1">
        <v>400.0274658203125</v>
      </c>
      <c r="AP47" s="1">
        <v>13.238103866577148</v>
      </c>
      <c r="AQ47" s="1">
        <v>14.320490837097168</v>
      </c>
      <c r="AR47" s="1">
        <v>61.035148620605469</v>
      </c>
      <c r="AS47" s="1">
        <v>66.025566101074219</v>
      </c>
      <c r="AT47" s="1">
        <v>149.61436462402344</v>
      </c>
      <c r="AU47" s="1">
        <v>498.30471801757812</v>
      </c>
      <c r="AV47" s="1">
        <v>16.141292572021484</v>
      </c>
      <c r="AW47" s="1">
        <v>102.30577087402344</v>
      </c>
      <c r="AX47" s="1">
        <v>3.0793380737304687</v>
      </c>
      <c r="AY47" s="1">
        <v>-9.0587802231311798E-2</v>
      </c>
      <c r="AZ47" s="1">
        <v>0.5</v>
      </c>
      <c r="BA47" s="1">
        <v>-1.355140209197998</v>
      </c>
      <c r="BB47" s="1">
        <v>7.355140209197998</v>
      </c>
      <c r="BC47" s="1">
        <v>1</v>
      </c>
      <c r="BD47" s="1">
        <v>0</v>
      </c>
      <c r="BE47" s="1">
        <v>0.15999999642372131</v>
      </c>
      <c r="BF47" s="1">
        <v>111115</v>
      </c>
      <c r="BG47">
        <f t="shared" si="143"/>
        <v>0.74807182312011711</v>
      </c>
      <c r="BH47">
        <f t="shared" si="144"/>
        <v>8.2146700507756238E-4</v>
      </c>
      <c r="BI47">
        <f t="shared" si="145"/>
        <v>292.80373802185056</v>
      </c>
      <c r="BJ47">
        <f t="shared" si="146"/>
        <v>292.24972953796384</v>
      </c>
      <c r="BK47">
        <f t="shared" si="147"/>
        <v>79.728753100735958</v>
      </c>
      <c r="BL47">
        <f t="shared" si="148"/>
        <v>0.15036692833195608</v>
      </c>
      <c r="BM47">
        <f t="shared" si="149"/>
        <v>2.296766167890294</v>
      </c>
      <c r="BN47">
        <f t="shared" si="150"/>
        <v>22.450015754423767</v>
      </c>
      <c r="BO47">
        <f t="shared" si="151"/>
        <v>8.1295249173265987</v>
      </c>
      <c r="BP47">
        <f t="shared" si="152"/>
        <v>19.376733779907227</v>
      </c>
      <c r="BQ47">
        <f t="shared" si="153"/>
        <v>2.2575600013579562</v>
      </c>
      <c r="BR47">
        <f t="shared" si="154"/>
        <v>9.9189575567507487E-2</v>
      </c>
      <c r="BS47">
        <f t="shared" si="155"/>
        <v>1.465068854383615</v>
      </c>
      <c r="BT47">
        <f t="shared" si="156"/>
        <v>0.7924911469743412</v>
      </c>
      <c r="BU47">
        <f t="shared" si="157"/>
        <v>6.2088782870304157E-2</v>
      </c>
      <c r="BV47">
        <f t="shared" si="158"/>
        <v>23.373840741444518</v>
      </c>
      <c r="BW47">
        <f t="shared" si="159"/>
        <v>0.57113679164164188</v>
      </c>
      <c r="BX47">
        <f t="shared" si="160"/>
        <v>63.503989324355302</v>
      </c>
      <c r="BY47">
        <f t="shared" si="161"/>
        <v>398.51704428736258</v>
      </c>
      <c r="BZ47">
        <f t="shared" si="162"/>
        <v>1.6562317754915401E-2</v>
      </c>
      <c r="CA47">
        <f t="shared" si="163"/>
        <v>1864.90869140625</v>
      </c>
      <c r="CB47">
        <f t="shared" si="164"/>
        <v>435.9418563730336</v>
      </c>
      <c r="CC47">
        <f t="shared" si="165"/>
        <v>518.548583984375</v>
      </c>
      <c r="CD47">
        <f t="shared" si="166"/>
        <v>1.0035319810131371</v>
      </c>
      <c r="CE47">
        <f t="shared" si="167"/>
        <v>0.79585519251659909</v>
      </c>
    </row>
    <row r="48" spans="1:87" x14ac:dyDescent="0.25">
      <c r="A48" s="1">
        <v>3</v>
      </c>
      <c r="B48" s="1" t="s">
        <v>236</v>
      </c>
      <c r="C48" s="1">
        <v>252.49998618196696</v>
      </c>
      <c r="D48" s="1">
        <v>0</v>
      </c>
      <c r="E48">
        <f t="shared" si="126"/>
        <v>9.24088944971645</v>
      </c>
      <c r="F48">
        <f t="shared" si="127"/>
        <v>0.10617004719620629</v>
      </c>
      <c r="G48">
        <f t="shared" si="128"/>
        <v>254.06839074539525</v>
      </c>
      <c r="H48" s="1">
        <v>45</v>
      </c>
      <c r="I48" s="1">
        <v>43</v>
      </c>
      <c r="J48" s="1">
        <v>567.294189453125</v>
      </c>
      <c r="K48" s="1">
        <v>2432.20288085938</v>
      </c>
      <c r="L48" s="1">
        <v>436.82470703125</v>
      </c>
      <c r="M48" s="1">
        <v>997.72308349609375</v>
      </c>
      <c r="N48" s="1">
        <v>570.8045654296875</v>
      </c>
      <c r="O48">
        <f t="shared" si="129"/>
        <v>0.76675704402887612</v>
      </c>
      <c r="P48">
        <f t="shared" si="130"/>
        <v>0.56217840976417555</v>
      </c>
      <c r="Q48">
        <f t="shared" si="131"/>
        <v>0.42789279423149451</v>
      </c>
      <c r="R48" s="1">
        <v>-1</v>
      </c>
      <c r="S48" s="1">
        <v>0.87</v>
      </c>
      <c r="T48" s="1">
        <v>0.92</v>
      </c>
      <c r="U48" s="1">
        <v>9.9087457656860352</v>
      </c>
      <c r="V48">
        <f t="shared" si="132"/>
        <v>0.87495437288284295</v>
      </c>
      <c r="W48">
        <f t="shared" si="133"/>
        <v>2.6096996888265545E-2</v>
      </c>
      <c r="X48">
        <f t="shared" si="134"/>
        <v>0.76113345301002999</v>
      </c>
      <c r="Y48">
        <f t="shared" si="135"/>
        <v>0.71890121691129805</v>
      </c>
      <c r="Z48">
        <f t="shared" si="136"/>
        <v>1.4377534419037048</v>
      </c>
      <c r="AA48" s="1">
        <v>448.499267578125</v>
      </c>
      <c r="AB48" s="1">
        <v>0.5</v>
      </c>
      <c r="AC48">
        <f t="shared" si="137"/>
        <v>83.956073965456184</v>
      </c>
      <c r="AD48">
        <f t="shared" si="138"/>
        <v>0.8508960491089852</v>
      </c>
      <c r="AE48">
        <f t="shared" si="139"/>
        <v>0.81430614818295344</v>
      </c>
      <c r="AF48">
        <f t="shared" si="140"/>
        <v>19.588037490844727</v>
      </c>
      <c r="AG48" s="1">
        <v>2</v>
      </c>
      <c r="AH48">
        <f t="shared" si="141"/>
        <v>4.644859790802002</v>
      </c>
      <c r="AI48" s="1">
        <v>1</v>
      </c>
      <c r="AJ48">
        <f t="shared" si="142"/>
        <v>9.2897195816040039</v>
      </c>
      <c r="AK48" s="1">
        <v>19.680784225463867</v>
      </c>
      <c r="AL48" s="1">
        <v>19.588037490844727</v>
      </c>
      <c r="AM48" s="1">
        <v>19.78009033203125</v>
      </c>
      <c r="AN48" s="1">
        <v>411.72756958007813</v>
      </c>
      <c r="AO48" s="1">
        <v>398.92056274414062</v>
      </c>
      <c r="AP48" s="1">
        <v>13.273602485656738</v>
      </c>
      <c r="AQ48" s="1">
        <v>14.394708633422852</v>
      </c>
      <c r="AR48" s="1">
        <v>59.043804168701172</v>
      </c>
      <c r="AS48" s="1">
        <v>64.030723571777344</v>
      </c>
      <c r="AT48" s="1">
        <v>149.61074829101563</v>
      </c>
      <c r="AU48" s="1">
        <v>448.499267578125</v>
      </c>
      <c r="AV48" s="1">
        <v>16.177639007568359</v>
      </c>
      <c r="AW48" s="1">
        <v>102.33673095703125</v>
      </c>
      <c r="AX48" s="1">
        <v>3.0793380737304687</v>
      </c>
      <c r="AY48" s="1">
        <v>-9.0587802231311798E-2</v>
      </c>
      <c r="AZ48" s="1">
        <v>0.75</v>
      </c>
      <c r="BA48" s="1">
        <v>-1.355140209197998</v>
      </c>
      <c r="BB48" s="1">
        <v>7.355140209197998</v>
      </c>
      <c r="BC48" s="1">
        <v>1</v>
      </c>
      <c r="BD48" s="1">
        <v>0</v>
      </c>
      <c r="BE48" s="1">
        <v>0.15999999642372131</v>
      </c>
      <c r="BF48" s="1">
        <v>111115</v>
      </c>
      <c r="BG48">
        <f t="shared" si="143"/>
        <v>0.74805374145507808</v>
      </c>
      <c r="BH48">
        <f t="shared" si="144"/>
        <v>8.5089604910898518E-4</v>
      </c>
      <c r="BI48">
        <f t="shared" si="145"/>
        <v>292.7380374908447</v>
      </c>
      <c r="BJ48">
        <f t="shared" si="146"/>
        <v>292.83078422546384</v>
      </c>
      <c r="BK48">
        <f t="shared" si="147"/>
        <v>71.759881208541628</v>
      </c>
      <c r="BL48">
        <f t="shared" si="148"/>
        <v>0.14120459236376043</v>
      </c>
      <c r="BM48">
        <f t="shared" si="149"/>
        <v>2.2874135728064027</v>
      </c>
      <c r="BN48">
        <f t="shared" si="150"/>
        <v>22.351833514858246</v>
      </c>
      <c r="BO48">
        <f t="shared" si="151"/>
        <v>7.9571248814353943</v>
      </c>
      <c r="BP48">
        <f t="shared" si="152"/>
        <v>19.634410858154297</v>
      </c>
      <c r="BQ48">
        <f t="shared" si="153"/>
        <v>2.2940114365039377</v>
      </c>
      <c r="BR48">
        <f t="shared" si="154"/>
        <v>0.10497036527496559</v>
      </c>
      <c r="BS48">
        <f t="shared" si="155"/>
        <v>1.4731074246234492</v>
      </c>
      <c r="BT48">
        <f t="shared" si="156"/>
        <v>0.82090401188048845</v>
      </c>
      <c r="BU48">
        <f t="shared" si="157"/>
        <v>6.5713217680415062E-2</v>
      </c>
      <c r="BV48">
        <f t="shared" si="158"/>
        <v>26.000528548397401</v>
      </c>
      <c r="BW48">
        <f t="shared" si="159"/>
        <v>0.63688968299272519</v>
      </c>
      <c r="BX48">
        <f t="shared" si="160"/>
        <v>64.144040988043628</v>
      </c>
      <c r="BY48">
        <f t="shared" si="161"/>
        <v>397.57765883326033</v>
      </c>
      <c r="BZ48">
        <f t="shared" si="162"/>
        <v>1.4908986419611265E-2</v>
      </c>
      <c r="CA48">
        <f t="shared" si="163"/>
        <v>1864.908691406255</v>
      </c>
      <c r="CB48">
        <f t="shared" si="164"/>
        <v>392.41639540223275</v>
      </c>
      <c r="CC48">
        <f t="shared" si="165"/>
        <v>560.89837646484375</v>
      </c>
      <c r="CD48">
        <f t="shared" si="166"/>
        <v>0.99184446949276583</v>
      </c>
      <c r="CE48">
        <f t="shared" si="167"/>
        <v>0.76919572736915121</v>
      </c>
    </row>
    <row r="49" spans="1:87" x14ac:dyDescent="0.25">
      <c r="A49" s="1">
        <v>4</v>
      </c>
      <c r="B49" s="1" t="s">
        <v>237</v>
      </c>
      <c r="C49" s="1">
        <v>327.49998101312667</v>
      </c>
      <c r="D49" s="1">
        <v>0</v>
      </c>
      <c r="E49">
        <f t="shared" si="126"/>
        <v>7.0167831081531222</v>
      </c>
      <c r="F49">
        <f t="shared" si="127"/>
        <v>0.10092941563759948</v>
      </c>
      <c r="G49">
        <f t="shared" si="128"/>
        <v>281.831641501337</v>
      </c>
      <c r="H49" s="1">
        <v>46</v>
      </c>
      <c r="I49" s="1">
        <v>44</v>
      </c>
      <c r="J49" s="1">
        <v>567.294189453125</v>
      </c>
      <c r="K49" s="1">
        <v>2432.20288085938</v>
      </c>
      <c r="L49" s="1">
        <v>472.783203125</v>
      </c>
      <c r="M49" s="1">
        <v>1276.38671875</v>
      </c>
      <c r="N49" s="1">
        <v>629.556640625</v>
      </c>
      <c r="O49">
        <f t="shared" si="129"/>
        <v>0.76675704402887612</v>
      </c>
      <c r="P49">
        <f t="shared" si="130"/>
        <v>0.62959250814830681</v>
      </c>
      <c r="Q49">
        <f t="shared" si="131"/>
        <v>0.50676653761992929</v>
      </c>
      <c r="R49" s="1">
        <v>-1</v>
      </c>
      <c r="S49" s="1">
        <v>0.87</v>
      </c>
      <c r="T49" s="1">
        <v>0.92</v>
      </c>
      <c r="U49" s="1">
        <v>9.8018503189086914</v>
      </c>
      <c r="V49">
        <f t="shared" si="132"/>
        <v>0.87490092515945439</v>
      </c>
      <c r="W49">
        <f t="shared" si="133"/>
        <v>3.0729913386356309E-2</v>
      </c>
      <c r="X49">
        <f t="shared" si="134"/>
        <v>0.80491195664062021</v>
      </c>
      <c r="Y49">
        <f t="shared" si="135"/>
        <v>0.58987677588591769</v>
      </c>
      <c r="Z49">
        <f t="shared" si="136"/>
        <v>0.90553759697633174</v>
      </c>
      <c r="AA49" s="1">
        <v>298.18096923828125</v>
      </c>
      <c r="AB49" s="1">
        <v>0.5</v>
      </c>
      <c r="AC49">
        <f t="shared" si="137"/>
        <v>66.102324589897023</v>
      </c>
      <c r="AD49">
        <f t="shared" si="138"/>
        <v>0.78524614584366748</v>
      </c>
      <c r="AE49">
        <f t="shared" si="139"/>
        <v>0.79002599500909421</v>
      </c>
      <c r="AF49">
        <f t="shared" si="140"/>
        <v>19.521560668945313</v>
      </c>
      <c r="AG49" s="1">
        <v>2</v>
      </c>
      <c r="AH49">
        <f t="shared" si="141"/>
        <v>4.644859790802002</v>
      </c>
      <c r="AI49" s="1">
        <v>1</v>
      </c>
      <c r="AJ49">
        <f t="shared" si="142"/>
        <v>9.2897195816040039</v>
      </c>
      <c r="AK49" s="1">
        <v>20.490835189819336</v>
      </c>
      <c r="AL49" s="1">
        <v>19.521560668945313</v>
      </c>
      <c r="AM49" s="1">
        <v>20.960803985595703</v>
      </c>
      <c r="AN49" s="1">
        <v>408.1746826171875</v>
      </c>
      <c r="AO49" s="1">
        <v>398.37420654296875</v>
      </c>
      <c r="AP49" s="1">
        <v>13.505328178405762</v>
      </c>
      <c r="AQ49" s="1">
        <v>14.540020942687988</v>
      </c>
      <c r="AR49" s="1">
        <v>57.136512756347656</v>
      </c>
      <c r="AS49" s="1">
        <v>61.513950347900391</v>
      </c>
      <c r="AT49" s="1">
        <v>149.57650756835937</v>
      </c>
      <c r="AU49" s="1">
        <v>298.18096923828125</v>
      </c>
      <c r="AV49" s="1">
        <v>15.847186088562012</v>
      </c>
      <c r="AW49" s="1">
        <v>102.33537292480469</v>
      </c>
      <c r="AX49" s="1">
        <v>3.0793380737304687</v>
      </c>
      <c r="AY49" s="1">
        <v>-9.0587802231311798E-2</v>
      </c>
      <c r="AZ49" s="1">
        <v>0.5</v>
      </c>
      <c r="BA49" s="1">
        <v>-1.355140209197998</v>
      </c>
      <c r="BB49" s="1">
        <v>7.355140209197998</v>
      </c>
      <c r="BC49" s="1">
        <v>1</v>
      </c>
      <c r="BD49" s="1">
        <v>0</v>
      </c>
      <c r="BE49" s="1">
        <v>0.15999999642372131</v>
      </c>
      <c r="BF49" s="1">
        <v>111115</v>
      </c>
      <c r="BG49">
        <f t="shared" si="143"/>
        <v>0.74788253784179681</v>
      </c>
      <c r="BH49">
        <f t="shared" si="144"/>
        <v>7.8524614584366752E-4</v>
      </c>
      <c r="BI49">
        <f t="shared" si="145"/>
        <v>292.67156066894529</v>
      </c>
      <c r="BJ49">
        <f t="shared" si="146"/>
        <v>293.64083518981931</v>
      </c>
      <c r="BK49">
        <f t="shared" si="147"/>
        <v>47.708954011746755</v>
      </c>
      <c r="BL49">
        <f t="shared" si="148"/>
        <v>9.4581380356007466E-2</v>
      </c>
      <c r="BM49">
        <f t="shared" si="149"/>
        <v>2.2779844605135398</v>
      </c>
      <c r="BN49">
        <f t="shared" si="150"/>
        <v>22.25999080677008</v>
      </c>
      <c r="BO49">
        <f t="shared" si="151"/>
        <v>7.719969864082092</v>
      </c>
      <c r="BP49">
        <f t="shared" si="152"/>
        <v>20.006197929382324</v>
      </c>
      <c r="BQ49">
        <f t="shared" si="153"/>
        <v>2.3475138991309334</v>
      </c>
      <c r="BR49">
        <f t="shared" si="154"/>
        <v>9.984464003327867E-2</v>
      </c>
      <c r="BS49">
        <f t="shared" si="155"/>
        <v>1.4879584655044455</v>
      </c>
      <c r="BT49">
        <f t="shared" si="156"/>
        <v>0.8595554336264879</v>
      </c>
      <c r="BU49">
        <f t="shared" si="157"/>
        <v>6.2499462027712512E-2</v>
      </c>
      <c r="BV49">
        <f t="shared" si="158"/>
        <v>28.841346135049186</v>
      </c>
      <c r="BW49">
        <f t="shared" si="159"/>
        <v>0.70745454116377027</v>
      </c>
      <c r="BX49">
        <f t="shared" si="160"/>
        <v>65.048720903901966</v>
      </c>
      <c r="BY49">
        <f t="shared" si="161"/>
        <v>397.35451406325546</v>
      </c>
      <c r="BZ49">
        <f t="shared" si="162"/>
        <v>1.1486789501347051E-2</v>
      </c>
      <c r="CA49">
        <f t="shared" si="163"/>
        <v>1864.908691406255</v>
      </c>
      <c r="CB49">
        <f t="shared" si="164"/>
        <v>260.8788058515151</v>
      </c>
      <c r="CC49">
        <f t="shared" si="165"/>
        <v>803.603515625</v>
      </c>
      <c r="CD49">
        <f t="shared" si="166"/>
        <v>0.9121941797446188</v>
      </c>
      <c r="CE49">
        <f t="shared" si="167"/>
        <v>0.61977091287929176</v>
      </c>
    </row>
    <row r="50" spans="1:87" x14ac:dyDescent="0.25">
      <c r="A50" s="1">
        <v>5</v>
      </c>
      <c r="B50" s="1" t="s">
        <v>238</v>
      </c>
      <c r="C50" s="1">
        <v>402.49997584428638</v>
      </c>
      <c r="D50" s="1">
        <v>0</v>
      </c>
      <c r="E50">
        <f t="shared" si="126"/>
        <v>5.385622652732537</v>
      </c>
      <c r="F50">
        <f t="shared" si="127"/>
        <v>1.8261137580361273E-2</v>
      </c>
      <c r="G50">
        <f t="shared" si="128"/>
        <v>-74.162637683060666</v>
      </c>
      <c r="H50" s="1">
        <v>47</v>
      </c>
      <c r="I50" s="1">
        <v>45</v>
      </c>
      <c r="J50" s="1">
        <v>567.294189453125</v>
      </c>
      <c r="K50" s="1">
        <v>2432.20288085938</v>
      </c>
      <c r="L50" s="1">
        <v>515.292724609375</v>
      </c>
      <c r="M50" s="1">
        <v>1653.765625</v>
      </c>
      <c r="N50" s="1">
        <v>713.71234130859375</v>
      </c>
      <c r="O50">
        <f t="shared" si="129"/>
        <v>0.76675704402887612</v>
      </c>
      <c r="P50">
        <f t="shared" si="130"/>
        <v>0.68841248311145964</v>
      </c>
      <c r="Q50">
        <f t="shared" si="131"/>
        <v>0.56843198908031856</v>
      </c>
      <c r="R50" s="1">
        <v>-1</v>
      </c>
      <c r="S50" s="1">
        <v>0.87</v>
      </c>
      <c r="T50" s="1">
        <v>0.92</v>
      </c>
      <c r="U50" s="1">
        <v>8.8702812194824219</v>
      </c>
      <c r="V50">
        <f t="shared" si="132"/>
        <v>0.87443514060974115</v>
      </c>
      <c r="W50">
        <f t="shared" si="133"/>
        <v>3.624299787601766E-2</v>
      </c>
      <c r="X50">
        <f t="shared" si="134"/>
        <v>0.82571423822987933</v>
      </c>
      <c r="Y50">
        <f t="shared" si="135"/>
        <v>0.40608958814335561</v>
      </c>
      <c r="Z50">
        <f t="shared" si="136"/>
        <v>0.47070591146153495</v>
      </c>
      <c r="AA50" s="1">
        <v>201.48908996582031</v>
      </c>
      <c r="AB50" s="1">
        <v>0.5</v>
      </c>
      <c r="AC50">
        <f t="shared" si="137"/>
        <v>50.075771855657734</v>
      </c>
      <c r="AD50">
        <f t="shared" si="138"/>
        <v>0.12209378454470175</v>
      </c>
      <c r="AE50">
        <f t="shared" si="139"/>
        <v>0.67223611421797691</v>
      </c>
      <c r="AF50">
        <f t="shared" si="140"/>
        <v>19.789222717285156</v>
      </c>
      <c r="AG50" s="1">
        <v>2</v>
      </c>
      <c r="AH50">
        <f t="shared" si="141"/>
        <v>4.644859790802002</v>
      </c>
      <c r="AI50" s="1">
        <v>1</v>
      </c>
      <c r="AJ50">
        <f t="shared" si="142"/>
        <v>9.2897195816040039</v>
      </c>
      <c r="AK50" s="1">
        <v>21.25604248046875</v>
      </c>
      <c r="AL50" s="1">
        <v>19.789222717285156</v>
      </c>
      <c r="AM50" s="1">
        <v>21.931175231933594</v>
      </c>
      <c r="AN50" s="1">
        <v>407.52310180664062</v>
      </c>
      <c r="AO50" s="1">
        <v>400.25494384765625</v>
      </c>
      <c r="AP50" s="1">
        <v>15.904751777648926</v>
      </c>
      <c r="AQ50" s="1">
        <v>16.065418243408203</v>
      </c>
      <c r="AR50" s="1">
        <v>64.188407897949219</v>
      </c>
      <c r="AS50" s="1">
        <v>64.836822509765625</v>
      </c>
      <c r="AT50" s="1">
        <v>149.54246520996094</v>
      </c>
      <c r="AU50" s="1">
        <v>201.48908996582031</v>
      </c>
      <c r="AV50" s="1">
        <v>15.88927173614502</v>
      </c>
      <c r="AW50" s="1">
        <v>102.32677459716797</v>
      </c>
      <c r="AX50" s="1">
        <v>3.0793380737304687</v>
      </c>
      <c r="AY50" s="1">
        <v>-9.0587802231311798E-2</v>
      </c>
      <c r="AZ50" s="1">
        <v>0.25</v>
      </c>
      <c r="BA50" s="1">
        <v>-1.355140209197998</v>
      </c>
      <c r="BB50" s="1">
        <v>7.355140209197998</v>
      </c>
      <c r="BC50" s="1">
        <v>1</v>
      </c>
      <c r="BD50" s="1">
        <v>0</v>
      </c>
      <c r="BE50" s="1">
        <v>0.15999999642372131</v>
      </c>
      <c r="BF50" s="1">
        <v>111115</v>
      </c>
      <c r="BG50">
        <f t="shared" si="143"/>
        <v>0.74771232604980464</v>
      </c>
      <c r="BH50">
        <f t="shared" si="144"/>
        <v>1.2209378454470176E-4</v>
      </c>
      <c r="BI50">
        <f t="shared" si="145"/>
        <v>292.93922271728513</v>
      </c>
      <c r="BJ50">
        <f t="shared" si="146"/>
        <v>294.40604248046873</v>
      </c>
      <c r="BK50">
        <f t="shared" si="147"/>
        <v>32.238253673950112</v>
      </c>
      <c r="BL50">
        <f t="shared" si="148"/>
        <v>0.17174170522903026</v>
      </c>
      <c r="BM50">
        <f t="shared" si="149"/>
        <v>2.3161585456204383</v>
      </c>
      <c r="BN50">
        <f t="shared" si="150"/>
        <v>22.634921844634604</v>
      </c>
      <c r="BO50">
        <f t="shared" si="151"/>
        <v>6.5695036012264012</v>
      </c>
      <c r="BP50">
        <f t="shared" si="152"/>
        <v>20.522632598876953</v>
      </c>
      <c r="BQ50">
        <f t="shared" si="153"/>
        <v>2.4236451072592784</v>
      </c>
      <c r="BR50">
        <f t="shared" si="154"/>
        <v>1.8225311426892609E-2</v>
      </c>
      <c r="BS50">
        <f t="shared" si="155"/>
        <v>1.6439224314024614</v>
      </c>
      <c r="BT50">
        <f t="shared" si="156"/>
        <v>0.77972267585681698</v>
      </c>
      <c r="BU50">
        <f t="shared" si="157"/>
        <v>1.1394032989200718E-2</v>
      </c>
      <c r="BV50">
        <f t="shared" si="158"/>
        <v>-7.5888235097259837</v>
      </c>
      <c r="BW50">
        <f t="shared" si="159"/>
        <v>-0.18528849880062495</v>
      </c>
      <c r="BX50">
        <f t="shared" si="160"/>
        <v>70.461616272672117</v>
      </c>
      <c r="BY50">
        <f t="shared" si="161"/>
        <v>399.47229475719428</v>
      </c>
      <c r="BZ50">
        <f t="shared" si="162"/>
        <v>9.4995242905870202E-3</v>
      </c>
      <c r="CA50">
        <f t="shared" si="163"/>
        <v>1864.908691406255</v>
      </c>
      <c r="CB50">
        <f t="shared" si="164"/>
        <v>176.18914071559087</v>
      </c>
      <c r="CC50">
        <f t="shared" si="165"/>
        <v>1138.472900390625</v>
      </c>
      <c r="CD50">
        <f t="shared" si="166"/>
        <v>0.86523515753382951</v>
      </c>
      <c r="CE50">
        <f t="shared" si="167"/>
        <v>0.41741306662708016</v>
      </c>
    </row>
    <row r="51" spans="1:87" x14ac:dyDescent="0.25">
      <c r="A51" s="1">
        <v>6</v>
      </c>
      <c r="B51" s="1" t="s">
        <v>239</v>
      </c>
      <c r="C51" s="1">
        <v>477.49997067544609</v>
      </c>
      <c r="D51" s="1">
        <v>0</v>
      </c>
      <c r="E51">
        <f t="shared" si="126"/>
        <v>5.4607272095122177</v>
      </c>
      <c r="F51">
        <f t="shared" si="127"/>
        <v>4.8955787772469464E-2</v>
      </c>
      <c r="G51">
        <f t="shared" si="128"/>
        <v>217.77767109281589</v>
      </c>
      <c r="H51" s="1">
        <v>48</v>
      </c>
      <c r="I51" s="1">
        <v>46</v>
      </c>
      <c r="J51" s="1">
        <v>567.294189453125</v>
      </c>
      <c r="K51" s="1">
        <v>2432.20288085938</v>
      </c>
      <c r="L51" s="1">
        <v>526.012939453125</v>
      </c>
      <c r="M51" s="1">
        <v>1800.5858154296875</v>
      </c>
      <c r="N51" s="1">
        <v>727.928955078125</v>
      </c>
      <c r="O51">
        <f t="shared" si="129"/>
        <v>0.76675704402887612</v>
      </c>
      <c r="P51">
        <f t="shared" si="130"/>
        <v>0.70786566519319238</v>
      </c>
      <c r="Q51">
        <f t="shared" si="131"/>
        <v>0.5957265969551061</v>
      </c>
      <c r="R51" s="1">
        <v>-1</v>
      </c>
      <c r="S51" s="1">
        <v>0.87</v>
      </c>
      <c r="T51" s="1">
        <v>0.92</v>
      </c>
      <c r="U51" s="1">
        <v>10.178630828857422</v>
      </c>
      <c r="V51">
        <f t="shared" si="132"/>
        <v>0.8750893154144288</v>
      </c>
      <c r="W51">
        <f t="shared" si="133"/>
        <v>4.2354450022904694E-2</v>
      </c>
      <c r="X51">
        <f t="shared" si="134"/>
        <v>0.84158142744855258</v>
      </c>
      <c r="Y51">
        <f t="shared" si="135"/>
        <v>0.33135053947652726</v>
      </c>
      <c r="Z51">
        <f t="shared" si="136"/>
        <v>0.35078420590521253</v>
      </c>
      <c r="AA51" s="1">
        <v>174.31307983398438</v>
      </c>
      <c r="AB51" s="1">
        <v>0.5</v>
      </c>
      <c r="AC51">
        <f t="shared" si="137"/>
        <v>45.435922698755149</v>
      </c>
      <c r="AD51">
        <f t="shared" si="138"/>
        <v>0.33151899752289554</v>
      </c>
      <c r="AE51">
        <f t="shared" si="139"/>
        <v>0.68297020364497141</v>
      </c>
      <c r="AF51">
        <f t="shared" si="140"/>
        <v>20.004451751708984</v>
      </c>
      <c r="AG51" s="1">
        <v>2</v>
      </c>
      <c r="AH51">
        <f t="shared" si="141"/>
        <v>4.644859790802002</v>
      </c>
      <c r="AI51" s="1">
        <v>1</v>
      </c>
      <c r="AJ51">
        <f t="shared" si="142"/>
        <v>9.2897195816040039</v>
      </c>
      <c r="AK51" s="1">
        <v>21.414592742919922</v>
      </c>
      <c r="AL51" s="1">
        <v>20.004451751708984</v>
      </c>
      <c r="AM51" s="1">
        <v>21.926507949829102</v>
      </c>
      <c r="AN51" s="1">
        <v>407.8980712890625</v>
      </c>
      <c r="AO51" s="1">
        <v>400.41763305664062</v>
      </c>
      <c r="AP51" s="1">
        <v>15.827475547790527</v>
      </c>
      <c r="AQ51" s="1">
        <v>16.263622283935547</v>
      </c>
      <c r="AR51" s="1">
        <v>63.262016296386719</v>
      </c>
      <c r="AS51" s="1">
        <v>65.005287170410156</v>
      </c>
      <c r="AT51" s="1">
        <v>149.54934692382812</v>
      </c>
      <c r="AU51" s="1">
        <v>174.31307983398438</v>
      </c>
      <c r="AV51" s="1">
        <v>15.876473426818848</v>
      </c>
      <c r="AW51" s="1">
        <v>102.33205413818359</v>
      </c>
      <c r="AX51" s="1">
        <v>3.0793380737304687</v>
      </c>
      <c r="AY51" s="1">
        <v>-9.0587802231311798E-2</v>
      </c>
      <c r="AZ51" s="1">
        <v>0.5</v>
      </c>
      <c r="BA51" s="1">
        <v>-1.355140209197998</v>
      </c>
      <c r="BB51" s="1">
        <v>7.355140209197998</v>
      </c>
      <c r="BC51" s="1">
        <v>1</v>
      </c>
      <c r="BD51" s="1">
        <v>0</v>
      </c>
      <c r="BE51" s="1">
        <v>0.15999999642372131</v>
      </c>
      <c r="BF51" s="1">
        <v>111115</v>
      </c>
      <c r="BG51">
        <f t="shared" si="143"/>
        <v>0.74774673461914054</v>
      </c>
      <c r="BH51">
        <f t="shared" si="144"/>
        <v>3.3151899752289555E-4</v>
      </c>
      <c r="BI51">
        <f t="shared" si="145"/>
        <v>293.15445175170896</v>
      </c>
      <c r="BJ51">
        <f t="shared" si="146"/>
        <v>294.5645927429199</v>
      </c>
      <c r="BK51">
        <f t="shared" si="147"/>
        <v>27.890092150045348</v>
      </c>
      <c r="BL51">
        <f t="shared" si="148"/>
        <v>0.114942834061489</v>
      </c>
      <c r="BM51">
        <f t="shared" si="149"/>
        <v>2.3472600796876328</v>
      </c>
      <c r="BN51">
        <f t="shared" si="150"/>
        <v>22.937681642919252</v>
      </c>
      <c r="BO51">
        <f t="shared" si="151"/>
        <v>6.6740593589837047</v>
      </c>
      <c r="BP51">
        <f t="shared" si="152"/>
        <v>20.709522247314453</v>
      </c>
      <c r="BQ51">
        <f t="shared" si="153"/>
        <v>2.4517239632115571</v>
      </c>
      <c r="BR51">
        <f t="shared" si="154"/>
        <v>4.8699148681631992E-2</v>
      </c>
      <c r="BS51">
        <f t="shared" si="155"/>
        <v>1.6642898760426614</v>
      </c>
      <c r="BT51">
        <f t="shared" si="156"/>
        <v>0.78743408716889562</v>
      </c>
      <c r="BU51">
        <f t="shared" si="157"/>
        <v>3.0459921768745259E-2</v>
      </c>
      <c r="BV51">
        <f t="shared" si="158"/>
        <v>22.285636428357574</v>
      </c>
      <c r="BW51">
        <f t="shared" si="159"/>
        <v>0.54387632590098844</v>
      </c>
      <c r="BX51">
        <f t="shared" si="160"/>
        <v>70.477382737123932</v>
      </c>
      <c r="BY51">
        <f t="shared" si="161"/>
        <v>399.6240696268639</v>
      </c>
      <c r="BZ51">
        <f t="shared" si="162"/>
        <v>9.6304950281690446E-3</v>
      </c>
      <c r="CA51">
        <f t="shared" si="163"/>
        <v>1864.908691406255</v>
      </c>
      <c r="CB51">
        <f t="shared" si="164"/>
        <v>152.53951369970207</v>
      </c>
      <c r="CC51">
        <f t="shared" si="165"/>
        <v>1274.5728759765625</v>
      </c>
      <c r="CD51">
        <f t="shared" si="166"/>
        <v>0.86975119084441699</v>
      </c>
      <c r="CE51">
        <f t="shared" si="167"/>
        <v>0.33868524949251788</v>
      </c>
    </row>
    <row r="52" spans="1:87" x14ac:dyDescent="0.25">
      <c r="A52" s="1">
        <v>7</v>
      </c>
      <c r="B52" s="1" t="s">
        <v>240</v>
      </c>
      <c r="C52" s="1">
        <v>552.99996547214687</v>
      </c>
      <c r="D52" s="1">
        <v>0</v>
      </c>
      <c r="E52">
        <f t="shared" si="126"/>
        <v>5.3343041149487656</v>
      </c>
      <c r="F52">
        <f t="shared" si="127"/>
        <v>7.8817446893175533E-2</v>
      </c>
      <c r="G52">
        <f t="shared" si="128"/>
        <v>288.12905739287902</v>
      </c>
      <c r="H52" s="1">
        <v>49</v>
      </c>
      <c r="I52" s="1">
        <v>47</v>
      </c>
      <c r="J52" s="1">
        <v>567.294189453125</v>
      </c>
      <c r="K52" s="1">
        <v>2432.20288085938</v>
      </c>
      <c r="L52" s="1">
        <v>534.439453125</v>
      </c>
      <c r="M52" s="1">
        <v>1925.7078857421875</v>
      </c>
      <c r="N52" s="1">
        <v>727.8363037109375</v>
      </c>
      <c r="O52">
        <f t="shared" si="129"/>
        <v>0.76675704402887612</v>
      </c>
      <c r="P52">
        <f t="shared" si="130"/>
        <v>0.72247117172757402</v>
      </c>
      <c r="Q52">
        <f t="shared" si="131"/>
        <v>0.62204220634926577</v>
      </c>
      <c r="R52" s="1">
        <v>-1</v>
      </c>
      <c r="S52" s="1">
        <v>0.87</v>
      </c>
      <c r="T52" s="1">
        <v>0.92</v>
      </c>
      <c r="U52" s="1">
        <v>9.3449592590332031</v>
      </c>
      <c r="V52">
        <f t="shared" si="132"/>
        <v>0.87467247962951655</v>
      </c>
      <c r="W52">
        <f t="shared" si="133"/>
        <v>4.8650885105609394E-2</v>
      </c>
      <c r="X52">
        <f t="shared" si="134"/>
        <v>0.86099242529198439</v>
      </c>
      <c r="Y52">
        <f t="shared" si="135"/>
        <v>0.26689048156116324</v>
      </c>
      <c r="Z52">
        <f t="shared" si="136"/>
        <v>0.26301756297891682</v>
      </c>
      <c r="AA52" s="1">
        <v>148.85475158691406</v>
      </c>
      <c r="AB52" s="1">
        <v>0.5</v>
      </c>
      <c r="AC52">
        <f t="shared" si="137"/>
        <v>40.49468471947349</v>
      </c>
      <c r="AD52">
        <f t="shared" si="138"/>
        <v>0.51615626118518565</v>
      </c>
      <c r="AE52">
        <f t="shared" si="139"/>
        <v>0.66244451382041136</v>
      </c>
      <c r="AF52">
        <f t="shared" si="140"/>
        <v>20.051200866699219</v>
      </c>
      <c r="AG52" s="1">
        <v>2</v>
      </c>
      <c r="AH52">
        <f t="shared" si="141"/>
        <v>4.644859790802002</v>
      </c>
      <c r="AI52" s="1">
        <v>1</v>
      </c>
      <c r="AJ52">
        <f t="shared" si="142"/>
        <v>9.2897195816040039</v>
      </c>
      <c r="AK52" s="1">
        <v>21.378196716308594</v>
      </c>
      <c r="AL52" s="1">
        <v>20.051200866699219</v>
      </c>
      <c r="AM52" s="1">
        <v>21.736412048339844</v>
      </c>
      <c r="AN52" s="1">
        <v>408.24786376953125</v>
      </c>
      <c r="AO52" s="1">
        <v>400.83822631835937</v>
      </c>
      <c r="AP52" s="1">
        <v>15.852619171142578</v>
      </c>
      <c r="AQ52" s="1">
        <v>16.531408309936523</v>
      </c>
      <c r="AR52" s="1">
        <v>63.501197814941406</v>
      </c>
      <c r="AS52" s="1">
        <v>66.220237731933594</v>
      </c>
      <c r="AT52" s="1">
        <v>149.56735229492187</v>
      </c>
      <c r="AU52" s="1">
        <v>148.85475158691406</v>
      </c>
      <c r="AV52" s="1">
        <v>15.796217918395996</v>
      </c>
      <c r="AW52" s="1">
        <v>102.32759094238281</v>
      </c>
      <c r="AX52" s="1">
        <v>3.0793380737304687</v>
      </c>
      <c r="AY52" s="1">
        <v>-9.0587802231311798E-2</v>
      </c>
      <c r="AZ52" s="1">
        <v>0.5</v>
      </c>
      <c r="BA52" s="1">
        <v>-1.355140209197998</v>
      </c>
      <c r="BB52" s="1">
        <v>7.355140209197998</v>
      </c>
      <c r="BC52" s="1">
        <v>1</v>
      </c>
      <c r="BD52" s="1">
        <v>0</v>
      </c>
      <c r="BE52" s="1">
        <v>0.15999999642372131</v>
      </c>
      <c r="BF52" s="1">
        <v>111115</v>
      </c>
      <c r="BG52">
        <f t="shared" si="143"/>
        <v>0.7478367614746092</v>
      </c>
      <c r="BH52">
        <f t="shared" si="144"/>
        <v>5.161562611851856E-4</v>
      </c>
      <c r="BI52">
        <f t="shared" si="145"/>
        <v>293.2012008666992</v>
      </c>
      <c r="BJ52">
        <f t="shared" si="146"/>
        <v>294.52819671630857</v>
      </c>
      <c r="BK52">
        <f t="shared" si="147"/>
        <v>23.816759721560175</v>
      </c>
      <c r="BL52">
        <f t="shared" si="148"/>
        <v>6.2360790336961049E-2</v>
      </c>
      <c r="BM52">
        <f t="shared" si="149"/>
        <v>2.3540637010611039</v>
      </c>
      <c r="BN52">
        <f t="shared" si="150"/>
        <v>23.005170740182844</v>
      </c>
      <c r="BO52">
        <f t="shared" si="151"/>
        <v>6.473762430246321</v>
      </c>
      <c r="BP52">
        <f t="shared" si="152"/>
        <v>20.714698791503906</v>
      </c>
      <c r="BQ52">
        <f t="shared" si="153"/>
        <v>2.4525057409858722</v>
      </c>
      <c r="BR52">
        <f t="shared" si="154"/>
        <v>7.8154356176251188E-2</v>
      </c>
      <c r="BS52">
        <f t="shared" si="155"/>
        <v>1.6916191872406925</v>
      </c>
      <c r="BT52">
        <f t="shared" si="156"/>
        <v>0.76088655374517966</v>
      </c>
      <c r="BU52">
        <f t="shared" si="157"/>
        <v>4.890561749428611E-2</v>
      </c>
      <c r="BV52">
        <f t="shared" si="158"/>
        <v>29.483552323512864</v>
      </c>
      <c r="BW52">
        <f t="shared" si="159"/>
        <v>0.71881631659560608</v>
      </c>
      <c r="BX52">
        <f t="shared" si="160"/>
        <v>71.533545689038576</v>
      </c>
      <c r="BY52">
        <f t="shared" si="161"/>
        <v>400.06303493697027</v>
      </c>
      <c r="BZ52">
        <f t="shared" si="162"/>
        <v>9.5380391039135131E-3</v>
      </c>
      <c r="CA52">
        <f t="shared" si="163"/>
        <v>1864.908691406255</v>
      </c>
      <c r="CB52">
        <f t="shared" si="164"/>
        <v>130.19915467516185</v>
      </c>
      <c r="CC52">
        <f t="shared" si="165"/>
        <v>1391.2684326171875</v>
      </c>
      <c r="CD52">
        <f t="shared" si="166"/>
        <v>0.88181647851727041</v>
      </c>
      <c r="CE52">
        <f t="shared" si="167"/>
        <v>0.27159238275374453</v>
      </c>
    </row>
    <row r="53" spans="1:87" x14ac:dyDescent="0.25">
      <c r="A53" s="1">
        <v>8</v>
      </c>
      <c r="B53" s="1" t="s">
        <v>241</v>
      </c>
      <c r="C53" s="1">
        <v>627.99996030330658</v>
      </c>
      <c r="D53" s="1">
        <v>0</v>
      </c>
      <c r="E53">
        <f t="shared" si="126"/>
        <v>4.1962001889346325</v>
      </c>
      <c r="F53">
        <f t="shared" si="127"/>
        <v>8.62888237799605E-2</v>
      </c>
      <c r="G53">
        <f t="shared" si="128"/>
        <v>318.11208380999091</v>
      </c>
      <c r="H53" s="1">
        <v>50</v>
      </c>
      <c r="I53" s="1">
        <v>48</v>
      </c>
      <c r="J53" s="1">
        <v>567.294189453125</v>
      </c>
      <c r="K53" s="1">
        <v>2432.20288085938</v>
      </c>
      <c r="L53" s="1">
        <v>540.4658203125</v>
      </c>
      <c r="M53" s="1">
        <v>2020.757568359375</v>
      </c>
      <c r="N53" s="1">
        <v>720.607177734375</v>
      </c>
      <c r="O53">
        <f t="shared" si="129"/>
        <v>0.76675704402887612</v>
      </c>
      <c r="P53">
        <f t="shared" si="130"/>
        <v>0.73254296864947699</v>
      </c>
      <c r="Q53">
        <f t="shared" si="131"/>
        <v>0.64339751139993206</v>
      </c>
      <c r="R53" s="1">
        <v>-1</v>
      </c>
      <c r="S53" s="1">
        <v>0.87</v>
      </c>
      <c r="T53" s="1">
        <v>0.92</v>
      </c>
      <c r="U53" s="1">
        <v>10.913486480712891</v>
      </c>
      <c r="V53">
        <f t="shared" si="132"/>
        <v>0.87545674324035649</v>
      </c>
      <c r="W53">
        <f t="shared" si="133"/>
        <v>4.6959594743026571E-2</v>
      </c>
      <c r="X53">
        <f t="shared" si="134"/>
        <v>0.87830685561845701</v>
      </c>
      <c r="Y53">
        <f t="shared" si="135"/>
        <v>0.21749603635774878</v>
      </c>
      <c r="Z53">
        <f t="shared" si="136"/>
        <v>0.20360943783773713</v>
      </c>
      <c r="AA53" s="1">
        <v>126.39411163330078</v>
      </c>
      <c r="AB53" s="1">
        <v>0.5</v>
      </c>
      <c r="AC53">
        <f t="shared" si="137"/>
        <v>35.596796443743401</v>
      </c>
      <c r="AD53">
        <f t="shared" si="138"/>
        <v>0.55991884097644784</v>
      </c>
      <c r="AE53">
        <f t="shared" si="139"/>
        <v>0.65691737538265071</v>
      </c>
      <c r="AF53">
        <f t="shared" si="140"/>
        <v>20.033170700073242</v>
      </c>
      <c r="AG53" s="1">
        <v>2</v>
      </c>
      <c r="AH53">
        <f t="shared" si="141"/>
        <v>4.644859790802002</v>
      </c>
      <c r="AI53" s="1">
        <v>1</v>
      </c>
      <c r="AJ53">
        <f t="shared" si="142"/>
        <v>9.2897195816040039</v>
      </c>
      <c r="AK53" s="1">
        <v>21.383481979370117</v>
      </c>
      <c r="AL53" s="1">
        <v>20.033170700073242</v>
      </c>
      <c r="AM53" s="1">
        <v>21.734468460083008</v>
      </c>
      <c r="AN53" s="1">
        <v>406.20819091796875</v>
      </c>
      <c r="AO53" s="1">
        <v>400.29745483398437</v>
      </c>
      <c r="AP53" s="1">
        <v>15.823304176330566</v>
      </c>
      <c r="AQ53" s="1">
        <v>16.559612274169922</v>
      </c>
      <c r="AR53" s="1">
        <v>63.363807678222656</v>
      </c>
      <c r="AS53" s="1">
        <v>66.312332153320312</v>
      </c>
      <c r="AT53" s="1">
        <v>149.56967163085937</v>
      </c>
      <c r="AU53" s="1">
        <v>126.39411163330078</v>
      </c>
      <c r="AV53" s="1">
        <v>15.499085426330566</v>
      </c>
      <c r="AW53" s="1">
        <v>102.32849884033203</v>
      </c>
      <c r="AX53" s="1">
        <v>3.0793380737304687</v>
      </c>
      <c r="AY53" s="1">
        <v>-9.0587802231311798E-2</v>
      </c>
      <c r="AZ53" s="1">
        <v>0.75</v>
      </c>
      <c r="BA53" s="1">
        <v>-1.355140209197998</v>
      </c>
      <c r="BB53" s="1">
        <v>7.355140209197998</v>
      </c>
      <c r="BC53" s="1">
        <v>1</v>
      </c>
      <c r="BD53" s="1">
        <v>0</v>
      </c>
      <c r="BE53" s="1">
        <v>0.15999999642372131</v>
      </c>
      <c r="BF53" s="1">
        <v>111115</v>
      </c>
      <c r="BG53">
        <f t="shared" si="143"/>
        <v>0.74784835815429673</v>
      </c>
      <c r="BH53">
        <f t="shared" si="144"/>
        <v>5.5991884097644784E-4</v>
      </c>
      <c r="BI53">
        <f t="shared" si="145"/>
        <v>293.18317070007322</v>
      </c>
      <c r="BJ53">
        <f t="shared" si="146"/>
        <v>294.53348197937009</v>
      </c>
      <c r="BK53">
        <f t="shared" si="147"/>
        <v>20.223057409307557</v>
      </c>
      <c r="BL53">
        <f t="shared" si="148"/>
        <v>4.1249476599406081E-2</v>
      </c>
      <c r="BM53">
        <f t="shared" si="149"/>
        <v>2.3514376407763957</v>
      </c>
      <c r="BN53">
        <f t="shared" si="150"/>
        <v>22.979303590150916</v>
      </c>
      <c r="BO53">
        <f t="shared" si="151"/>
        <v>6.4196913159809945</v>
      </c>
      <c r="BP53">
        <f t="shared" si="152"/>
        <v>20.70832633972168</v>
      </c>
      <c r="BQ53">
        <f t="shared" si="153"/>
        <v>2.4515433845763268</v>
      </c>
      <c r="BR53">
        <f t="shared" si="154"/>
        <v>8.5494694680731717E-2</v>
      </c>
      <c r="BS53">
        <f t="shared" si="155"/>
        <v>1.694520265393745</v>
      </c>
      <c r="BT53">
        <f t="shared" si="156"/>
        <v>0.75702311918258181</v>
      </c>
      <c r="BU53">
        <f t="shared" si="157"/>
        <v>5.3504968734190445E-2</v>
      </c>
      <c r="BV53">
        <f t="shared" si="158"/>
        <v>32.551931999246257</v>
      </c>
      <c r="BW53">
        <f t="shared" si="159"/>
        <v>0.79468924912830574</v>
      </c>
      <c r="BX53">
        <f t="shared" si="160"/>
        <v>71.762017183833748</v>
      </c>
      <c r="BY53">
        <f t="shared" si="161"/>
        <v>399.68765491426672</v>
      </c>
      <c r="BZ53">
        <f t="shared" si="162"/>
        <v>7.5340778320943042E-3</v>
      </c>
      <c r="CA53">
        <f t="shared" si="163"/>
        <v>1864.908691406255</v>
      </c>
      <c r="CB53">
        <f t="shared" si="164"/>
        <v>110.65257733524756</v>
      </c>
      <c r="CC53">
        <f t="shared" si="165"/>
        <v>1480.291748046875</v>
      </c>
      <c r="CD53">
        <f t="shared" si="166"/>
        <v>0.89451885028116773</v>
      </c>
      <c r="CE53">
        <f t="shared" si="167"/>
        <v>0.22062491016101712</v>
      </c>
    </row>
    <row r="54" spans="1:87" x14ac:dyDescent="0.25">
      <c r="A54" s="1">
        <v>9</v>
      </c>
      <c r="B54" s="1" t="s">
        <v>242</v>
      </c>
      <c r="C54" s="1">
        <v>702.99995513446629</v>
      </c>
      <c r="D54" s="1">
        <v>0</v>
      </c>
      <c r="E54">
        <f t="shared" si="126"/>
        <v>3.4133187648459384</v>
      </c>
      <c r="F54">
        <f t="shared" si="127"/>
        <v>8.740191759619817E-2</v>
      </c>
      <c r="G54">
        <f t="shared" si="128"/>
        <v>334.32781621638657</v>
      </c>
      <c r="H54" s="1">
        <v>51</v>
      </c>
      <c r="I54" s="1">
        <v>49</v>
      </c>
      <c r="J54" s="1">
        <v>567.294189453125</v>
      </c>
      <c r="K54" s="1">
        <v>2432.20288085938</v>
      </c>
      <c r="L54" s="1">
        <v>545.375</v>
      </c>
      <c r="M54" s="1">
        <v>2097.627197265625</v>
      </c>
      <c r="N54" s="1">
        <v>701.42657470703125</v>
      </c>
      <c r="O54">
        <f t="shared" si="129"/>
        <v>0.76675704402887612</v>
      </c>
      <c r="P54">
        <f t="shared" si="130"/>
        <v>0.7400038478186558</v>
      </c>
      <c r="Q54">
        <f t="shared" si="131"/>
        <v>0.66560951554147452</v>
      </c>
      <c r="R54" s="1">
        <v>-1</v>
      </c>
      <c r="S54" s="1">
        <v>0.87</v>
      </c>
      <c r="T54" s="1">
        <v>0.92</v>
      </c>
      <c r="U54" s="1">
        <v>9.8810501098632812</v>
      </c>
      <c r="V54">
        <f t="shared" si="132"/>
        <v>0.87494052505493158</v>
      </c>
      <c r="W54">
        <f t="shared" si="133"/>
        <v>5.0104264387105447E-2</v>
      </c>
      <c r="X54">
        <f t="shared" si="134"/>
        <v>0.89946764128797863</v>
      </c>
      <c r="Y54">
        <f t="shared" si="135"/>
        <v>0.17732178275920335</v>
      </c>
      <c r="Z54">
        <f t="shared" si="136"/>
        <v>0.15950197634255181</v>
      </c>
      <c r="AA54" s="1">
        <v>100.67278289794922</v>
      </c>
      <c r="AB54" s="1">
        <v>0.5</v>
      </c>
      <c r="AC54">
        <f t="shared" si="137"/>
        <v>29.314340814423709</v>
      </c>
      <c r="AD54">
        <f t="shared" si="138"/>
        <v>0.56720198369932884</v>
      </c>
      <c r="AE54">
        <f t="shared" si="139"/>
        <v>0.6571386680173319</v>
      </c>
      <c r="AF54">
        <f t="shared" si="140"/>
        <v>20.020486831665039</v>
      </c>
      <c r="AG54" s="1">
        <v>2</v>
      </c>
      <c r="AH54">
        <f t="shared" si="141"/>
        <v>4.644859790802002</v>
      </c>
      <c r="AI54" s="1">
        <v>1</v>
      </c>
      <c r="AJ54">
        <f t="shared" si="142"/>
        <v>9.2897195816040039</v>
      </c>
      <c r="AK54" s="1">
        <v>21.398708343505859</v>
      </c>
      <c r="AL54" s="1">
        <v>20.020486831665039</v>
      </c>
      <c r="AM54" s="1">
        <v>21.733903884887695</v>
      </c>
      <c r="AN54" s="1">
        <v>406.03182983398438</v>
      </c>
      <c r="AO54" s="1">
        <v>401.1654052734375</v>
      </c>
      <c r="AP54" s="1">
        <v>15.792325973510742</v>
      </c>
      <c r="AQ54" s="1">
        <v>16.537918090820313</v>
      </c>
      <c r="AR54" s="1">
        <v>63.186492919921875</v>
      </c>
      <c r="AS54" s="1">
        <v>66.169670104980469</v>
      </c>
      <c r="AT54" s="1">
        <v>149.63185119628906</v>
      </c>
      <c r="AU54" s="1">
        <v>100.67278289794922</v>
      </c>
      <c r="AV54" s="1">
        <v>15.683212280273438</v>
      </c>
      <c r="AW54" s="1">
        <v>102.33773803710937</v>
      </c>
      <c r="AX54" s="1">
        <v>3.0793380737304687</v>
      </c>
      <c r="AY54" s="1">
        <v>-9.0587802231311798E-2</v>
      </c>
      <c r="AZ54" s="1">
        <v>0.75</v>
      </c>
      <c r="BA54" s="1">
        <v>-1.355140209197998</v>
      </c>
      <c r="BB54" s="1">
        <v>7.355140209197998</v>
      </c>
      <c r="BC54" s="1">
        <v>1</v>
      </c>
      <c r="BD54" s="1">
        <v>0</v>
      </c>
      <c r="BE54" s="1">
        <v>0.15999999642372131</v>
      </c>
      <c r="BF54" s="1">
        <v>111115</v>
      </c>
      <c r="BG54">
        <f t="shared" si="143"/>
        <v>0.74815925598144517</v>
      </c>
      <c r="BH54">
        <f t="shared" si="144"/>
        <v>5.6720198369932884E-4</v>
      </c>
      <c r="BI54">
        <f t="shared" si="145"/>
        <v>293.17048683166502</v>
      </c>
      <c r="BJ54">
        <f t="shared" si="146"/>
        <v>294.54870834350584</v>
      </c>
      <c r="BK54">
        <f t="shared" si="147"/>
        <v>16.107644903637947</v>
      </c>
      <c r="BL54">
        <f t="shared" si="148"/>
        <v>2.4698667888301683E-2</v>
      </c>
      <c r="BM54">
        <f t="shared" si="149"/>
        <v>2.349591797274873</v>
      </c>
      <c r="BN54">
        <f t="shared" si="150"/>
        <v>22.959192203592302</v>
      </c>
      <c r="BO54">
        <f t="shared" si="151"/>
        <v>6.4212741127719895</v>
      </c>
      <c r="BP54">
        <f t="shared" si="152"/>
        <v>20.709597587585449</v>
      </c>
      <c r="BQ54">
        <f t="shared" si="153"/>
        <v>2.4517353397676689</v>
      </c>
      <c r="BR54">
        <f t="shared" si="154"/>
        <v>8.6587265125272608E-2</v>
      </c>
      <c r="BS54">
        <f t="shared" si="155"/>
        <v>1.6924531292575411</v>
      </c>
      <c r="BT54">
        <f t="shared" si="156"/>
        <v>0.75928221051012779</v>
      </c>
      <c r="BU54">
        <f t="shared" si="157"/>
        <v>5.418964721883656E-2</v>
      </c>
      <c r="BV54">
        <f t="shared" si="158"/>
        <v>34.214352474471418</v>
      </c>
      <c r="BW54">
        <f t="shared" si="159"/>
        <v>0.83339144358299311</v>
      </c>
      <c r="BX54">
        <f t="shared" si="160"/>
        <v>71.734271955336098</v>
      </c>
      <c r="BY54">
        <f t="shared" si="161"/>
        <v>400.66937519501977</v>
      </c>
      <c r="BZ54">
        <f t="shared" si="162"/>
        <v>6.1110719138075488E-3</v>
      </c>
      <c r="CA54">
        <f t="shared" si="163"/>
        <v>1864.908691406255</v>
      </c>
      <c r="CB54">
        <f t="shared" si="164"/>
        <v>88.082697527472831</v>
      </c>
      <c r="CC54">
        <f t="shared" si="165"/>
        <v>1552.252197265625</v>
      </c>
      <c r="CD54">
        <f t="shared" si="166"/>
        <v>0.91235085137081451</v>
      </c>
      <c r="CE54">
        <f t="shared" si="167"/>
        <v>0.17940593292075041</v>
      </c>
    </row>
    <row r="55" spans="1:87" x14ac:dyDescent="0.25">
      <c r="A55" s="1">
        <v>10</v>
      </c>
      <c r="B55" s="1" t="s">
        <v>243</v>
      </c>
      <c r="C55" s="1">
        <v>776.99995003454387</v>
      </c>
      <c r="D55" s="1">
        <v>0</v>
      </c>
      <c r="E55">
        <f t="shared" si="126"/>
        <v>2.2818875329462935</v>
      </c>
      <c r="F55">
        <f t="shared" si="127"/>
        <v>8.6669023776704671E-2</v>
      </c>
      <c r="G55">
        <f t="shared" si="128"/>
        <v>354.50370660838837</v>
      </c>
      <c r="H55" s="1">
        <v>52</v>
      </c>
      <c r="I55" s="1">
        <v>50</v>
      </c>
      <c r="J55" s="1">
        <v>567.294189453125</v>
      </c>
      <c r="K55" s="1">
        <v>2432.20288085938</v>
      </c>
      <c r="L55" s="1">
        <v>547.204345703125</v>
      </c>
      <c r="M55" s="1">
        <v>2139.614013671875</v>
      </c>
      <c r="N55" s="1">
        <v>671.19659423828125</v>
      </c>
      <c r="O55">
        <f t="shared" si="129"/>
        <v>0.76675704402887612</v>
      </c>
      <c r="P55">
        <f t="shared" si="130"/>
        <v>0.74425090590800236</v>
      </c>
      <c r="Q55">
        <f t="shared" si="131"/>
        <v>0.6863001504246018</v>
      </c>
      <c r="R55" s="1">
        <v>-1</v>
      </c>
      <c r="S55" s="1">
        <v>0.87</v>
      </c>
      <c r="T55" s="1">
        <v>0.92</v>
      </c>
      <c r="U55" s="1">
        <v>8.1733760833740234</v>
      </c>
      <c r="V55">
        <f t="shared" si="132"/>
        <v>0.87408668804168699</v>
      </c>
      <c r="W55">
        <f t="shared" si="133"/>
        <v>4.9968212247199092E-2</v>
      </c>
      <c r="X55">
        <f t="shared" si="134"/>
        <v>0.92213545858879475</v>
      </c>
      <c r="Y55">
        <f t="shared" si="135"/>
        <v>0.15521967881171386</v>
      </c>
      <c r="Z55">
        <f t="shared" si="136"/>
        <v>0.13674843467929146</v>
      </c>
      <c r="AA55" s="1">
        <v>75.140724182128906</v>
      </c>
      <c r="AB55" s="1">
        <v>0.5</v>
      </c>
      <c r="AC55">
        <f t="shared" si="137"/>
        <v>22.537927676849392</v>
      </c>
      <c r="AD55">
        <f t="shared" si="138"/>
        <v>0.56837035387222201</v>
      </c>
      <c r="AE55">
        <f t="shared" si="139"/>
        <v>0.66404105649387168</v>
      </c>
      <c r="AF55">
        <f t="shared" si="140"/>
        <v>20.052967071533203</v>
      </c>
      <c r="AG55" s="1">
        <v>2</v>
      </c>
      <c r="AH55">
        <f t="shared" si="141"/>
        <v>4.644859790802002</v>
      </c>
      <c r="AI55" s="1">
        <v>1</v>
      </c>
      <c r="AJ55">
        <f t="shared" si="142"/>
        <v>9.2897195816040039</v>
      </c>
      <c r="AK55" s="1">
        <v>21.423799514770508</v>
      </c>
      <c r="AL55" s="1">
        <v>20.052967071533203</v>
      </c>
      <c r="AM55" s="1">
        <v>21.715337753295898</v>
      </c>
      <c r="AN55" s="1">
        <v>404.31732177734375</v>
      </c>
      <c r="AO55" s="1">
        <v>400.96133422851562</v>
      </c>
      <c r="AP55" s="1">
        <v>15.768238067626953</v>
      </c>
      <c r="AQ55" s="1">
        <v>16.515689849853516</v>
      </c>
      <c r="AR55" s="1">
        <v>62.996997833251953</v>
      </c>
      <c r="AS55" s="1">
        <v>65.983207702636719</v>
      </c>
      <c r="AT55" s="1">
        <v>149.57040405273437</v>
      </c>
      <c r="AU55" s="1">
        <v>75.140724182128906</v>
      </c>
      <c r="AV55" s="1">
        <v>15.808511734008789</v>
      </c>
      <c r="AW55" s="1">
        <v>102.34389495849609</v>
      </c>
      <c r="AX55" s="1">
        <v>3.0793380737304687</v>
      </c>
      <c r="AY55" s="1">
        <v>-9.0587802231311798E-2</v>
      </c>
      <c r="AZ55" s="1">
        <v>0.75</v>
      </c>
      <c r="BA55" s="1">
        <v>-1.355140209197998</v>
      </c>
      <c r="BB55" s="1">
        <v>7.355140209197998</v>
      </c>
      <c r="BC55" s="1">
        <v>1</v>
      </c>
      <c r="BD55" s="1">
        <v>0</v>
      </c>
      <c r="BE55" s="1">
        <v>0.15999999642372131</v>
      </c>
      <c r="BF55" s="1">
        <v>111115</v>
      </c>
      <c r="BG55">
        <f t="shared" si="143"/>
        <v>0.74785202026367181</v>
      </c>
      <c r="BH55">
        <f t="shared" si="144"/>
        <v>5.6837035387222201E-4</v>
      </c>
      <c r="BI55">
        <f t="shared" si="145"/>
        <v>293.20296707153318</v>
      </c>
      <c r="BJ55">
        <f t="shared" si="146"/>
        <v>294.57379951477049</v>
      </c>
      <c r="BK55">
        <f t="shared" si="147"/>
        <v>12.022515600416455</v>
      </c>
      <c r="BL55">
        <f t="shared" si="148"/>
        <v>7.8196206518548906E-3</v>
      </c>
      <c r="BM55">
        <f t="shared" si="149"/>
        <v>2.35432108365438</v>
      </c>
      <c r="BN55">
        <f t="shared" si="150"/>
        <v>23.004020753843076</v>
      </c>
      <c r="BO55">
        <f t="shared" si="151"/>
        <v>6.48833090398956</v>
      </c>
      <c r="BP55">
        <f t="shared" si="152"/>
        <v>20.738383293151855</v>
      </c>
      <c r="BQ55">
        <f t="shared" si="153"/>
        <v>2.4560854335847884</v>
      </c>
      <c r="BR55">
        <f t="shared" si="154"/>
        <v>8.586791366933387E-2</v>
      </c>
      <c r="BS55">
        <f t="shared" si="155"/>
        <v>1.6902800271605083</v>
      </c>
      <c r="BT55">
        <f t="shared" si="156"/>
        <v>0.76580540642428008</v>
      </c>
      <c r="BU55">
        <f t="shared" si="157"/>
        <v>5.3738850370481699E-2</v>
      </c>
      <c r="BV55">
        <f t="shared" si="158"/>
        <v>36.281290111526417</v>
      </c>
      <c r="BW55">
        <f t="shared" si="159"/>
        <v>0.88413439487995582</v>
      </c>
      <c r="BX55">
        <f t="shared" si="160"/>
        <v>71.4921961737532</v>
      </c>
      <c r="BY55">
        <f t="shared" si="161"/>
        <v>400.629725922967</v>
      </c>
      <c r="BZ55">
        <f t="shared" si="162"/>
        <v>4.0720181403415406E-3</v>
      </c>
      <c r="CA55">
        <f t="shared" si="163"/>
        <v>1864.908691406255</v>
      </c>
      <c r="CB55">
        <f t="shared" si="164"/>
        <v>65.679506737410961</v>
      </c>
      <c r="CC55">
        <f t="shared" si="165"/>
        <v>1592.40966796875</v>
      </c>
      <c r="CD55">
        <f t="shared" si="166"/>
        <v>0.93391776712045016</v>
      </c>
      <c r="CE55">
        <f t="shared" si="167"/>
        <v>0.15689179236270015</v>
      </c>
    </row>
    <row r="56" spans="1:87" x14ac:dyDescent="0.25">
      <c r="A56" s="1">
        <v>11</v>
      </c>
      <c r="B56" s="1" t="s">
        <v>244</v>
      </c>
      <c r="C56" s="1">
        <v>849.49994503799826</v>
      </c>
      <c r="D56" s="1">
        <v>0</v>
      </c>
      <c r="E56">
        <f t="shared" si="126"/>
        <v>1.1471125266398932</v>
      </c>
      <c r="F56">
        <f t="shared" si="127"/>
        <v>8.4360404451055998E-2</v>
      </c>
      <c r="G56">
        <f t="shared" si="128"/>
        <v>374.5805762389773</v>
      </c>
      <c r="H56" s="1">
        <v>53</v>
      </c>
      <c r="I56" s="1">
        <v>51</v>
      </c>
      <c r="J56" s="1">
        <v>567.294189453125</v>
      </c>
      <c r="K56" s="1">
        <v>2432.20288085938</v>
      </c>
      <c r="L56" s="1">
        <v>546.12109375</v>
      </c>
      <c r="M56" s="1">
        <v>2174.040771484375</v>
      </c>
      <c r="N56" s="1">
        <v>642.5748291015625</v>
      </c>
      <c r="O56">
        <f t="shared" si="129"/>
        <v>0.76675704402887612</v>
      </c>
      <c r="P56">
        <f t="shared" si="130"/>
        <v>0.74879905615701792</v>
      </c>
      <c r="Q56">
        <f t="shared" si="131"/>
        <v>0.70443294462098327</v>
      </c>
      <c r="R56" s="1">
        <v>-1</v>
      </c>
      <c r="S56" s="1">
        <v>0.87</v>
      </c>
      <c r="T56" s="1">
        <v>0.92</v>
      </c>
      <c r="U56" s="1">
        <v>12.256671905517578</v>
      </c>
      <c r="V56">
        <f t="shared" si="132"/>
        <v>0.87612833595275885</v>
      </c>
      <c r="W56">
        <f t="shared" si="133"/>
        <v>4.8652117970570667E-2</v>
      </c>
      <c r="X56">
        <f t="shared" si="134"/>
        <v>0.94075031055229941</v>
      </c>
      <c r="Y56">
        <f t="shared" si="135"/>
        <v>0.13687747325669569</v>
      </c>
      <c r="Z56">
        <f t="shared" si="136"/>
        <v>0.11874759331157302</v>
      </c>
      <c r="AA56" s="1">
        <v>50.371551513671875</v>
      </c>
      <c r="AB56" s="1">
        <v>0.5</v>
      </c>
      <c r="AC56">
        <f t="shared" si="137"/>
        <v>15.54399749347437</v>
      </c>
      <c r="AD56">
        <f t="shared" si="138"/>
        <v>0.56178899630608237</v>
      </c>
      <c r="AE56">
        <f t="shared" si="139"/>
        <v>0.67413348919780147</v>
      </c>
      <c r="AF56">
        <f t="shared" si="140"/>
        <v>20.116226196289063</v>
      </c>
      <c r="AG56" s="1">
        <v>2</v>
      </c>
      <c r="AH56">
        <f t="shared" si="141"/>
        <v>4.644859790802002</v>
      </c>
      <c r="AI56" s="1">
        <v>1</v>
      </c>
      <c r="AJ56">
        <f t="shared" si="142"/>
        <v>9.2897195816040039</v>
      </c>
      <c r="AK56" s="1">
        <v>21.463005065917969</v>
      </c>
      <c r="AL56" s="1">
        <v>20.116226196289063</v>
      </c>
      <c r="AM56" s="1">
        <v>21.721050262451172</v>
      </c>
      <c r="AN56" s="1">
        <v>402.50262451171875</v>
      </c>
      <c r="AO56" s="1">
        <v>400.66842651367187</v>
      </c>
      <c r="AP56" s="1">
        <v>15.768438339233398</v>
      </c>
      <c r="AQ56" s="1">
        <v>16.506975173950195</v>
      </c>
      <c r="AR56" s="1">
        <v>62.847988128662109</v>
      </c>
      <c r="AS56" s="1">
        <v>65.79156494140625</v>
      </c>
      <c r="AT56" s="1">
        <v>149.62437438964844</v>
      </c>
      <c r="AU56" s="1">
        <v>50.371551513671875</v>
      </c>
      <c r="AV56" s="1">
        <v>15.790545463562012</v>
      </c>
      <c r="AW56" s="1">
        <v>102.34597015380859</v>
      </c>
      <c r="AX56" s="1">
        <v>3.0793380737304687</v>
      </c>
      <c r="AY56" s="1">
        <v>-9.0587802231311798E-2</v>
      </c>
      <c r="AZ56" s="1">
        <v>1</v>
      </c>
      <c r="BA56" s="1">
        <v>-1.355140209197998</v>
      </c>
      <c r="BB56" s="1">
        <v>7.355140209197998</v>
      </c>
      <c r="BC56" s="1">
        <v>1</v>
      </c>
      <c r="BD56" s="1">
        <v>0</v>
      </c>
      <c r="BE56" s="1">
        <v>0.15999999642372131</v>
      </c>
      <c r="BF56" s="1">
        <v>111115</v>
      </c>
      <c r="BG56">
        <f t="shared" si="143"/>
        <v>0.74812187194824209</v>
      </c>
      <c r="BH56">
        <f t="shared" si="144"/>
        <v>5.6178899630608236E-4</v>
      </c>
      <c r="BI56">
        <f t="shared" si="145"/>
        <v>293.26622619628904</v>
      </c>
      <c r="BJ56">
        <f t="shared" si="146"/>
        <v>294.61300506591795</v>
      </c>
      <c r="BK56">
        <f t="shared" si="147"/>
        <v>8.0594480620447939</v>
      </c>
      <c r="BL56">
        <f t="shared" si="148"/>
        <v>-7.9177786998428437E-3</v>
      </c>
      <c r="BM56">
        <f t="shared" si="149"/>
        <v>2.3635558776805676</v>
      </c>
      <c r="BN56">
        <f t="shared" si="150"/>
        <v>23.093785462471509</v>
      </c>
      <c r="BO56">
        <f t="shared" si="151"/>
        <v>6.5868102885213133</v>
      </c>
      <c r="BP56">
        <f t="shared" si="152"/>
        <v>20.789615631103516</v>
      </c>
      <c r="BQ56">
        <f t="shared" si="153"/>
        <v>2.4638443863051189</v>
      </c>
      <c r="BR56">
        <f t="shared" si="154"/>
        <v>8.3601217645552686E-2</v>
      </c>
      <c r="BS56">
        <f t="shared" si="155"/>
        <v>1.6894223884827662</v>
      </c>
      <c r="BT56">
        <f t="shared" si="156"/>
        <v>0.77442199782235277</v>
      </c>
      <c r="BU56">
        <f t="shared" si="157"/>
        <v>5.2318442947201615E-2</v>
      </c>
      <c r="BV56">
        <f t="shared" si="158"/>
        <v>38.336812475950794</v>
      </c>
      <c r="BW56">
        <f t="shared" si="159"/>
        <v>0.9348891788112873</v>
      </c>
      <c r="BX56">
        <f t="shared" si="160"/>
        <v>71.163705763245872</v>
      </c>
      <c r="BY56">
        <f t="shared" si="161"/>
        <v>400.50172590475034</v>
      </c>
      <c r="BZ56">
        <f t="shared" si="162"/>
        <v>2.0382628349159544E-3</v>
      </c>
      <c r="CA56">
        <f t="shared" si="163"/>
        <v>1864.908691406255</v>
      </c>
      <c r="CB56">
        <f t="shared" si="164"/>
        <v>44.131943607032014</v>
      </c>
      <c r="CC56">
        <f t="shared" si="165"/>
        <v>1627.919677734375</v>
      </c>
      <c r="CD56">
        <f t="shared" si="166"/>
        <v>0.95314716054770277</v>
      </c>
      <c r="CE56">
        <f t="shared" si="167"/>
        <v>0.13843150099768961</v>
      </c>
    </row>
    <row r="57" spans="1:87" x14ac:dyDescent="0.25">
      <c r="A57" s="1">
        <v>12</v>
      </c>
      <c r="B57" s="1" t="s">
        <v>245</v>
      </c>
      <c r="C57" s="1">
        <v>923.49993993807584</v>
      </c>
      <c r="D57" s="1">
        <v>0</v>
      </c>
      <c r="E57">
        <f t="shared" si="126"/>
        <v>-0.5608618599822528</v>
      </c>
      <c r="F57">
        <f t="shared" si="127"/>
        <v>8.1213542064302799E-2</v>
      </c>
      <c r="G57">
        <f t="shared" si="128"/>
        <v>407.9531612058999</v>
      </c>
      <c r="H57" s="1">
        <v>54</v>
      </c>
      <c r="I57" s="1">
        <v>52</v>
      </c>
      <c r="J57" s="1">
        <v>567.294189453125</v>
      </c>
      <c r="K57" s="1">
        <v>2432.20288085938</v>
      </c>
      <c r="L57" s="1">
        <v>545.157958984375</v>
      </c>
      <c r="M57" s="1">
        <v>2207.874755859375</v>
      </c>
      <c r="N57" s="1">
        <v>602.37548828125</v>
      </c>
      <c r="O57">
        <f t="shared" si="129"/>
        <v>0.76675704402887612</v>
      </c>
      <c r="P57">
        <f t="shared" si="130"/>
        <v>0.75308474471316544</v>
      </c>
      <c r="Q57">
        <f t="shared" si="131"/>
        <v>0.72716953863318834</v>
      </c>
      <c r="R57" s="1">
        <v>-1</v>
      </c>
      <c r="S57" s="1">
        <v>0.87</v>
      </c>
      <c r="T57" s="1">
        <v>0.92</v>
      </c>
      <c r="U57" s="1">
        <v>14.168544769287109</v>
      </c>
      <c r="V57">
        <f t="shared" si="132"/>
        <v>0.8770842723846437</v>
      </c>
      <c r="W57">
        <f t="shared" si="133"/>
        <v>2.1470863795876708E-2</v>
      </c>
      <c r="X57">
        <f t="shared" si="134"/>
        <v>0.96558792850086517</v>
      </c>
      <c r="Y57">
        <f t="shared" si="135"/>
        <v>0.11887799935208122</v>
      </c>
      <c r="Z57">
        <f t="shared" si="136"/>
        <v>0.10160364595168776</v>
      </c>
      <c r="AA57" s="1">
        <v>23.319021224975586</v>
      </c>
      <c r="AB57" s="1">
        <v>0.5</v>
      </c>
      <c r="AC57">
        <f t="shared" si="137"/>
        <v>7.4363072140177673</v>
      </c>
      <c r="AD57">
        <f t="shared" si="138"/>
        <v>0.54367055721369051</v>
      </c>
      <c r="AE57">
        <f t="shared" si="139"/>
        <v>0.67748451881484484</v>
      </c>
      <c r="AF57">
        <f t="shared" si="140"/>
        <v>20.119155883789063</v>
      </c>
      <c r="AG57" s="1">
        <v>2</v>
      </c>
      <c r="AH57">
        <f t="shared" si="141"/>
        <v>4.644859790802002</v>
      </c>
      <c r="AI57" s="1">
        <v>1</v>
      </c>
      <c r="AJ57">
        <f t="shared" si="142"/>
        <v>9.2897195816040039</v>
      </c>
      <c r="AK57" s="1">
        <v>21.535137176513672</v>
      </c>
      <c r="AL57" s="1">
        <v>20.119155883789063</v>
      </c>
      <c r="AM57" s="1">
        <v>21.915590286254883</v>
      </c>
      <c r="AN57" s="1">
        <v>400.72833251953125</v>
      </c>
      <c r="AO57" s="1">
        <v>401.18658447265625</v>
      </c>
      <c r="AP57" s="1">
        <v>15.762728691101074</v>
      </c>
      <c r="AQ57" s="1">
        <v>16.477634429931641</v>
      </c>
      <c r="AR57" s="1">
        <v>62.551387786865234</v>
      </c>
      <c r="AS57" s="1">
        <v>65.388359069824219</v>
      </c>
      <c r="AT57" s="1">
        <v>149.58955383300781</v>
      </c>
      <c r="AU57" s="1">
        <v>23.319021224975586</v>
      </c>
      <c r="AV57" s="1">
        <v>15.838042259216309</v>
      </c>
      <c r="AW57" s="1">
        <v>102.35084533691406</v>
      </c>
      <c r="AX57" s="1">
        <v>3.0793380737304687</v>
      </c>
      <c r="AY57" s="1">
        <v>-9.0587802231311798E-2</v>
      </c>
      <c r="AZ57" s="1">
        <v>0.5</v>
      </c>
      <c r="BA57" s="1">
        <v>-1.355140209197998</v>
      </c>
      <c r="BB57" s="1">
        <v>7.355140209197998</v>
      </c>
      <c r="BC57" s="1">
        <v>1</v>
      </c>
      <c r="BD57" s="1">
        <v>0</v>
      </c>
      <c r="BE57" s="1">
        <v>0.15999999642372131</v>
      </c>
      <c r="BF57" s="1">
        <v>111115</v>
      </c>
      <c r="BG57">
        <f t="shared" si="143"/>
        <v>0.74794776916503891</v>
      </c>
      <c r="BH57">
        <f t="shared" si="144"/>
        <v>5.4367055721369056E-4</v>
      </c>
      <c r="BI57">
        <f t="shared" si="145"/>
        <v>293.26915588378904</v>
      </c>
      <c r="BJ57">
        <f t="shared" si="146"/>
        <v>294.68513717651365</v>
      </c>
      <c r="BK57">
        <f t="shared" si="147"/>
        <v>3.7310433126007752</v>
      </c>
      <c r="BL57">
        <f t="shared" si="148"/>
        <v>-1.8999195892458763E-2</v>
      </c>
      <c r="BM57">
        <f t="shared" si="149"/>
        <v>2.3639843318709883</v>
      </c>
      <c r="BN57">
        <f t="shared" si="150"/>
        <v>23.096871589964181</v>
      </c>
      <c r="BO57">
        <f t="shared" si="151"/>
        <v>6.6192371600325401</v>
      </c>
      <c r="BP57">
        <f t="shared" si="152"/>
        <v>20.827146530151367</v>
      </c>
      <c r="BQ57">
        <f t="shared" si="153"/>
        <v>2.4695419213826271</v>
      </c>
      <c r="BR57">
        <f t="shared" si="154"/>
        <v>8.0509701867431532E-2</v>
      </c>
      <c r="BS57">
        <f t="shared" si="155"/>
        <v>1.6864998130561435</v>
      </c>
      <c r="BT57">
        <f t="shared" si="156"/>
        <v>0.78304210832648358</v>
      </c>
      <c r="BU57">
        <f t="shared" si="157"/>
        <v>5.0381329470335356E-2</v>
      </c>
      <c r="BV57">
        <f t="shared" si="158"/>
        <v>41.754350907290231</v>
      </c>
      <c r="BW57">
        <f t="shared" si="159"/>
        <v>1.0168664082876502</v>
      </c>
      <c r="BX57">
        <f t="shared" si="160"/>
        <v>71.0162748932553</v>
      </c>
      <c r="BY57">
        <f t="shared" si="161"/>
        <v>401.26809000189479</v>
      </c>
      <c r="BZ57">
        <f t="shared" si="162"/>
        <v>-9.9261119979547965E-4</v>
      </c>
      <c r="CA57">
        <f t="shared" si="163"/>
        <v>1864.908691406255</v>
      </c>
      <c r="CB57">
        <f t="shared" si="164"/>
        <v>20.452746763829776</v>
      </c>
      <c r="CC57">
        <f t="shared" si="165"/>
        <v>1662.716796875</v>
      </c>
      <c r="CD57">
        <f t="shared" si="166"/>
        <v>0.9786165339596995</v>
      </c>
      <c r="CE57">
        <f t="shared" si="167"/>
        <v>0.12028906617988246</v>
      </c>
    </row>
    <row r="58" spans="1:87" x14ac:dyDescent="0.25">
      <c r="A58" s="1">
        <v>13</v>
      </c>
      <c r="B58" s="1" t="s">
        <v>246</v>
      </c>
      <c r="C58" s="1">
        <v>998.49993476923555</v>
      </c>
      <c r="D58" s="1">
        <v>0</v>
      </c>
      <c r="E58">
        <f t="shared" si="126"/>
        <v>-2.1438611738372648</v>
      </c>
      <c r="F58">
        <f t="shared" si="127"/>
        <v>7.585754117523491E-2</v>
      </c>
      <c r="G58">
        <f t="shared" si="128"/>
        <v>442.63847313471427</v>
      </c>
      <c r="H58" s="1">
        <v>55</v>
      </c>
      <c r="I58" s="1">
        <v>53</v>
      </c>
      <c r="J58" s="1">
        <v>567.294189453125</v>
      </c>
      <c r="K58" s="1">
        <v>2432.20288085938</v>
      </c>
      <c r="L58" s="1">
        <v>536.989990234375</v>
      </c>
      <c r="M58" s="1">
        <v>2247.940185546875</v>
      </c>
      <c r="N58" s="1">
        <v>518.928955078125</v>
      </c>
      <c r="O58">
        <f t="shared" si="129"/>
        <v>0.76675704402887612</v>
      </c>
      <c r="P58">
        <f t="shared" si="130"/>
        <v>0.76111909307598546</v>
      </c>
      <c r="Q58">
        <f t="shared" si="131"/>
        <v>0.76915357516424265</v>
      </c>
      <c r="R58" s="1">
        <v>-1</v>
      </c>
      <c r="S58" s="1">
        <v>0.87</v>
      </c>
      <c r="T58" s="1">
        <v>0.92</v>
      </c>
      <c r="U58" s="1">
        <v>0</v>
      </c>
      <c r="V58">
        <f t="shared" si="132"/>
        <v>0.87</v>
      </c>
      <c r="W58">
        <f t="shared" si="133"/>
        <v>-3.0055826262470684</v>
      </c>
      <c r="X58">
        <f t="shared" si="134"/>
        <v>1.0105561431336412</v>
      </c>
      <c r="Y58">
        <f t="shared" si="135"/>
        <v>9.7225328206657927E-2</v>
      </c>
      <c r="Z58">
        <f t="shared" si="136"/>
        <v>8.1969572187561512E-2</v>
      </c>
      <c r="AA58" s="1">
        <v>0.4374469518661499</v>
      </c>
      <c r="AB58" s="1">
        <v>0.5</v>
      </c>
      <c r="AC58">
        <f t="shared" si="137"/>
        <v>0.14636179083305906</v>
      </c>
      <c r="AD58">
        <f t="shared" si="138"/>
        <v>0.51335612199539149</v>
      </c>
      <c r="AE58">
        <f t="shared" si="139"/>
        <v>0.6845145484488333</v>
      </c>
      <c r="AF58">
        <f t="shared" si="140"/>
        <v>20.135374069213867</v>
      </c>
      <c r="AG58" s="1">
        <v>2</v>
      </c>
      <c r="AH58">
        <f t="shared" si="141"/>
        <v>4.644859790802002</v>
      </c>
      <c r="AI58" s="1">
        <v>1</v>
      </c>
      <c r="AJ58">
        <f t="shared" si="142"/>
        <v>9.2897195816040039</v>
      </c>
      <c r="AK58" s="1">
        <v>21.482582092285156</v>
      </c>
      <c r="AL58" s="1">
        <v>20.135374069213867</v>
      </c>
      <c r="AM58" s="1">
        <v>21.729772567749023</v>
      </c>
      <c r="AN58" s="1">
        <v>399.1160888671875</v>
      </c>
      <c r="AO58" s="1">
        <v>401.706787109375</v>
      </c>
      <c r="AP58" s="1">
        <v>15.756516456604004</v>
      </c>
      <c r="AQ58" s="1">
        <v>16.431613922119141</v>
      </c>
      <c r="AR58" s="1">
        <v>62.730205535888672</v>
      </c>
      <c r="AS58" s="1">
        <v>65.417915344238281</v>
      </c>
      <c r="AT58" s="1">
        <v>149.58457946777344</v>
      </c>
      <c r="AU58" s="1">
        <v>0.4374469518661499</v>
      </c>
      <c r="AV58" s="1">
        <v>15.811935424804688</v>
      </c>
      <c r="AW58" s="1">
        <v>102.35408782958984</v>
      </c>
      <c r="AX58" s="1">
        <v>3.0793380737304687</v>
      </c>
      <c r="AY58" s="1">
        <v>-9.0587802231311798E-2</v>
      </c>
      <c r="AZ58" s="1">
        <v>0.5</v>
      </c>
      <c r="BA58" s="1">
        <v>-1.355140209197998</v>
      </c>
      <c r="BB58" s="1">
        <v>7.355140209197998</v>
      </c>
      <c r="BC58" s="1">
        <v>1</v>
      </c>
      <c r="BD58" s="1">
        <v>0</v>
      </c>
      <c r="BE58" s="1">
        <v>0.15999999642372131</v>
      </c>
      <c r="BF58" s="1">
        <v>111115</v>
      </c>
      <c r="BG58">
        <f t="shared" si="143"/>
        <v>0.74792289733886708</v>
      </c>
      <c r="BH58">
        <f t="shared" si="144"/>
        <v>5.1335612199539151E-4</v>
      </c>
      <c r="BI58">
        <f t="shared" si="145"/>
        <v>293.28537406921384</v>
      </c>
      <c r="BJ58">
        <f t="shared" si="146"/>
        <v>294.63258209228513</v>
      </c>
      <c r="BK58">
        <f t="shared" si="147"/>
        <v>6.9991510734151774E-2</v>
      </c>
      <c r="BL58">
        <f t="shared" si="148"/>
        <v>-3.1337438687151428E-2</v>
      </c>
      <c r="BM58">
        <f t="shared" si="149"/>
        <v>2.3663574030153272</v>
      </c>
      <c r="BN58">
        <f t="shared" si="150"/>
        <v>23.119324818321815</v>
      </c>
      <c r="BO58">
        <f t="shared" si="151"/>
        <v>6.6877108962026739</v>
      </c>
      <c r="BP58">
        <f t="shared" si="152"/>
        <v>20.808978080749512</v>
      </c>
      <c r="BQ58">
        <f t="shared" si="153"/>
        <v>2.4667823445896202</v>
      </c>
      <c r="BR58">
        <f t="shared" si="154"/>
        <v>7.5243124521811977E-2</v>
      </c>
      <c r="BS58">
        <f t="shared" si="155"/>
        <v>1.6818428545664939</v>
      </c>
      <c r="BT58">
        <f t="shared" si="156"/>
        <v>0.78493949002312635</v>
      </c>
      <c r="BU58">
        <f t="shared" si="157"/>
        <v>4.7081771037533131E-2</v>
      </c>
      <c r="BV58">
        <f t="shared" si="158"/>
        <v>45.305857155986089</v>
      </c>
      <c r="BW58">
        <f t="shared" si="159"/>
        <v>1.1018944347937905</v>
      </c>
      <c r="BX58">
        <f t="shared" si="160"/>
        <v>70.728509491280406</v>
      </c>
      <c r="BY58">
        <f t="shared" si="161"/>
        <v>402.01833715771141</v>
      </c>
      <c r="BZ58">
        <f t="shared" si="162"/>
        <v>-3.7717708712936495E-3</v>
      </c>
      <c r="CA58">
        <f t="shared" si="163"/>
        <v>1864.908691406255</v>
      </c>
      <c r="CB58">
        <f t="shared" si="164"/>
        <v>0.38057884812355042</v>
      </c>
      <c r="CC58">
        <f t="shared" si="165"/>
        <v>1710.9501953125</v>
      </c>
      <c r="CD58">
        <f t="shared" si="166"/>
        <v>1.0287777643164671</v>
      </c>
      <c r="CE58">
        <f t="shared" si="167"/>
        <v>9.880521022911834E-2</v>
      </c>
    </row>
    <row r="60" spans="1:87" x14ac:dyDescent="0.25">
      <c r="A60" s="1">
        <v>1</v>
      </c>
      <c r="B60" s="1" t="s">
        <v>291</v>
      </c>
      <c r="C60" s="1">
        <v>303.49999458994716</v>
      </c>
      <c r="D60" s="1">
        <v>0</v>
      </c>
      <c r="E60">
        <f t="shared" ref="E60:E71" si="168">(AN60-AO60*(1000-AP60)/(1000-AQ60))*BK60</f>
        <v>7.9128253737836287</v>
      </c>
      <c r="F60">
        <f t="shared" ref="F60:F71" si="169">IF(BV60&lt;&gt;0,1/(1/BV60-1/AJ60),0)</f>
        <v>4.1038896324909743E-2</v>
      </c>
      <c r="G60">
        <f t="shared" ref="G60:G71" si="170">((BY60-BL60/2)*AO60-E60)/(BY60+BL60/2)</f>
        <v>86.402159092081092</v>
      </c>
      <c r="H60" s="1">
        <v>82</v>
      </c>
      <c r="I60" s="1">
        <v>0</v>
      </c>
      <c r="J60" s="1">
        <v>0</v>
      </c>
      <c r="K60" s="1">
        <v>0</v>
      </c>
      <c r="L60" s="1">
        <v>0</v>
      </c>
      <c r="M60" s="1">
        <v>380.62677001953125</v>
      </c>
      <c r="N60" s="1">
        <v>214.45358276367187</v>
      </c>
      <c r="O60" t="e">
        <f t="shared" ref="O60:O71" si="171">CE60/K60</f>
        <v>#DIV/0!</v>
      </c>
      <c r="P60">
        <f t="shared" ref="P60:P71" si="172">CG60/M60</f>
        <v>1</v>
      </c>
      <c r="Q60">
        <f t="shared" ref="Q60:Q71" si="173">(M60-N60)/M60</f>
        <v>0.43657777209767057</v>
      </c>
      <c r="R60" s="1">
        <v>-1</v>
      </c>
      <c r="S60" s="1">
        <v>0.87</v>
      </c>
      <c r="T60" s="1">
        <v>0.92</v>
      </c>
      <c r="U60" s="1">
        <v>10.077871322631836</v>
      </c>
      <c r="V60">
        <f t="shared" ref="V60:V71" si="174">(U60*T60+(100-U60)*S60)/100</f>
        <v>0.87503893566131585</v>
      </c>
      <c r="W60">
        <f t="shared" ref="W60:W71" si="175">(E60-R60)/CF60</f>
        <v>1.6999299525346935E-2</v>
      </c>
      <c r="X60">
        <f t="shared" ref="X60:X71" si="176">(M60-N60)/(M60-L60)</f>
        <v>0.43657777209767057</v>
      </c>
      <c r="Y60" t="e">
        <f t="shared" ref="Y60:Y71" si="177">(K60-M60)/(K60-L60)</f>
        <v>#DIV/0!</v>
      </c>
      <c r="Z60">
        <f t="shared" ref="Z60:Z71" si="178">(K60-M60)/M60</f>
        <v>-1</v>
      </c>
      <c r="AA60" s="1">
        <v>599.1795654296875</v>
      </c>
      <c r="AB60" s="1">
        <v>0.5</v>
      </c>
      <c r="AC60">
        <f t="shared" ref="AC60:AC71" si="179">Q60*AB60*V60*AA60</f>
        <v>114.4500524559888</v>
      </c>
      <c r="AD60">
        <f t="shared" ref="AD60:AD71" si="180">BL60*1000</f>
        <v>0.3738057847087049</v>
      </c>
      <c r="AE60">
        <f t="shared" ref="AE60:AE71" si="181">(BQ60-BW60)</f>
        <v>0.90572421090597199</v>
      </c>
      <c r="AF60">
        <f t="shared" ref="AF60:AF71" si="182">(AL60+BP60*D60)</f>
        <v>20.007701873779297</v>
      </c>
      <c r="AG60" s="1">
        <v>1.4930000305175781</v>
      </c>
      <c r="AH60">
        <f t="shared" ref="AH60:AH71" si="183">(AG60*BE60+BF60)</f>
        <v>5.3319158355097898</v>
      </c>
      <c r="AI60" s="1">
        <v>1</v>
      </c>
      <c r="AJ60">
        <f t="shared" ref="AJ60:AJ71" si="184">AH60*(AI60+1)*(AI60+1)/(AI60*AI60+1)</f>
        <v>10.66383167101958</v>
      </c>
      <c r="AK60" s="1">
        <v>19.092348098754883</v>
      </c>
      <c r="AL60" s="1">
        <v>20.007701873779297</v>
      </c>
      <c r="AM60" s="1">
        <v>18.677927017211914</v>
      </c>
      <c r="AN60" s="1">
        <v>407.5128173828125</v>
      </c>
      <c r="AO60" s="1">
        <v>399.47140502929687</v>
      </c>
      <c r="AP60" s="1">
        <v>13.91684627532959</v>
      </c>
      <c r="AQ60" s="1">
        <v>14.284364700317383</v>
      </c>
      <c r="AR60" s="1">
        <v>63.343448638916016</v>
      </c>
      <c r="AS60" s="1">
        <v>65.0162353515625</v>
      </c>
      <c r="AT60" s="1">
        <v>149.68502807617187</v>
      </c>
      <c r="AU60" s="1">
        <v>599.1795654296875</v>
      </c>
      <c r="AV60" s="1">
        <v>6.6195335388183594</v>
      </c>
      <c r="AW60" s="1">
        <v>100.95011901855469</v>
      </c>
      <c r="AX60" s="1">
        <v>1.3823989629745483</v>
      </c>
      <c r="AY60" s="1">
        <v>0.23029084503650665</v>
      </c>
      <c r="AZ60" s="1">
        <v>0.13559383153915405</v>
      </c>
      <c r="BA60" s="1">
        <v>4.8469132743775845E-3</v>
      </c>
      <c r="BB60" s="1">
        <v>0.11168832331895828</v>
      </c>
      <c r="BC60" s="1">
        <v>4.6885688789188862E-3</v>
      </c>
      <c r="BD60" s="1">
        <v>1</v>
      </c>
      <c r="BE60" s="1">
        <v>-1.355140209197998</v>
      </c>
      <c r="BF60" s="1">
        <v>7.355140209197998</v>
      </c>
      <c r="BG60" s="1">
        <v>1</v>
      </c>
      <c r="BH60" s="1">
        <v>0</v>
      </c>
      <c r="BI60" s="1">
        <v>0.15999999642372131</v>
      </c>
      <c r="BJ60" s="1">
        <v>111115</v>
      </c>
      <c r="BK60">
        <f t="shared" ref="BK60:BK71" si="185">AT60*0.000001/(AG60*0.0001)</f>
        <v>1.0025788681617145</v>
      </c>
      <c r="BL60">
        <f t="shared" ref="BL60:BL71" si="186">(AQ60-AP60)/(1000-AQ60)*BK60</f>
        <v>3.7380578470870492E-4</v>
      </c>
      <c r="BM60">
        <f t="shared" ref="BM60:BM71" si="187">(AL60+273.15)</f>
        <v>293.15770187377927</v>
      </c>
      <c r="BN60">
        <f t="shared" ref="BN60:BN71" si="188">(AK60+273.15)</f>
        <v>292.24234809875486</v>
      </c>
      <c r="BO60">
        <f t="shared" ref="BO60:BO71" si="189">(AU60*BG60+AV60*BH60)*BI60</f>
        <v>95.868728325916891</v>
      </c>
      <c r="BP60">
        <f t="shared" ref="BP60:BP71" si="190">((BO60+0.00000010773*(BN60^4-BM60^4))-BL60*44100)/(AH60*0.92*2*29.3+0.00000043092*BM60^3)</f>
        <v>0.23295337218857987</v>
      </c>
      <c r="BQ60">
        <f t="shared" ref="BQ60:BQ71" si="191">0.61365*EXP(17.502*AF60/(240.97+AF60))</f>
        <v>2.347732527507453</v>
      </c>
      <c r="BR60">
        <f t="shared" ref="BR60:BR71" si="192">BQ60*1000/AW60</f>
        <v>23.256362155213889</v>
      </c>
      <c r="BS60">
        <f t="shared" ref="BS60:BS71" si="193">(BR60-AQ60)</f>
        <v>8.9719974548965062</v>
      </c>
      <c r="BT60">
        <f t="shared" ref="BT60:BT71" si="194">IF(D60,AL60,(AK60+AL60)/2)</f>
        <v>19.55002498626709</v>
      </c>
      <c r="BU60">
        <f t="shared" ref="BU60:BU71" si="195">0.61365*EXP(17.502*BT60/(240.97+BT60))</f>
        <v>2.282017677596289</v>
      </c>
      <c r="BV60">
        <f t="shared" ref="BV60:BV71" si="196">IF(BS60&lt;&gt;0,(1000-(BR60+AQ60)/2)/BS60*BL60,0)</f>
        <v>4.088156691107224E-2</v>
      </c>
      <c r="BW60">
        <f t="shared" ref="BW60:BW71" si="197">AQ60*AW60/1000</f>
        <v>1.442008316601481</v>
      </c>
      <c r="BX60">
        <f t="shared" ref="BX60:BX71" si="198">(BU60-BW60)</f>
        <v>0.84000936099480805</v>
      </c>
      <c r="BY60">
        <f t="shared" ref="BY60:BY71" si="199">1/(1.6/F60+1.37/AJ60)</f>
        <v>2.556506795893173E-2</v>
      </c>
      <c r="BZ60">
        <f t="shared" ref="BZ60:BZ71" si="200">G60*AW60*0.001</f>
        <v>8.7223082438056831</v>
      </c>
      <c r="CA60">
        <f t="shared" ref="CA60:CA71" si="201">G60/AO60</f>
        <v>0.21629122386305583</v>
      </c>
      <c r="CB60">
        <f t="shared" ref="CB60:CB71" si="202">(1-BL60*AW60/BQ60/F60)*100</f>
        <v>60.834059168485346</v>
      </c>
      <c r="CC60">
        <f t="shared" ref="CC60:CC71" si="203">(AO60-E60/(AJ60/1.35))</f>
        <v>398.46967182643334</v>
      </c>
      <c r="CD60">
        <f t="shared" ref="CD60:CD71" si="204">E60*CB60/100/CC60</f>
        <v>1.2080449806185544E-2</v>
      </c>
      <c r="CE60">
        <f t="shared" ref="CE60:CE71" si="205">(K60-J60)</f>
        <v>0</v>
      </c>
      <c r="CF60">
        <f t="shared" ref="CF60:CF71" si="206">AU60*V60</f>
        <v>524.30544920360353</v>
      </c>
      <c r="CG60">
        <f t="shared" ref="CG60:CG71" si="207">(M60-L60)</f>
        <v>380.62677001953125</v>
      </c>
      <c r="CH60">
        <f t="shared" ref="CH60:CH71" si="208">(M60-N60)/(M60-J60)</f>
        <v>0.43657777209767057</v>
      </c>
      <c r="CI60" t="e">
        <f t="shared" ref="CI60:CI71" si="209">(K60-M60)/(K60-J60)</f>
        <v>#DIV/0!</v>
      </c>
    </row>
    <row r="61" spans="1:87" x14ac:dyDescent="0.25">
      <c r="A61" s="1">
        <v>2</v>
      </c>
      <c r="B61" s="1" t="s">
        <v>292</v>
      </c>
      <c r="C61" s="1">
        <v>440.99998511373997</v>
      </c>
      <c r="D61" s="1">
        <v>0</v>
      </c>
      <c r="E61">
        <f t="shared" si="168"/>
        <v>7.340936108335395</v>
      </c>
      <c r="F61">
        <f t="shared" si="169"/>
        <v>4.4247672508652275E-2</v>
      </c>
      <c r="G61">
        <f t="shared" si="170"/>
        <v>129.80176505765945</v>
      </c>
      <c r="H61" s="1">
        <v>83</v>
      </c>
      <c r="I61" s="1">
        <v>0</v>
      </c>
      <c r="J61" s="1">
        <v>0</v>
      </c>
      <c r="K61" s="1">
        <v>0</v>
      </c>
      <c r="L61" s="1">
        <v>0</v>
      </c>
      <c r="M61" s="1">
        <v>425.17208862304687</v>
      </c>
      <c r="N61" s="1">
        <v>217.64035034179687</v>
      </c>
      <c r="O61" t="e">
        <f t="shared" si="171"/>
        <v>#DIV/0!</v>
      </c>
      <c r="P61">
        <f t="shared" si="172"/>
        <v>1</v>
      </c>
      <c r="Q61">
        <f t="shared" si="173"/>
        <v>0.48811232871225813</v>
      </c>
      <c r="R61" s="1">
        <v>-1</v>
      </c>
      <c r="S61" s="1">
        <v>0.87</v>
      </c>
      <c r="T61" s="1">
        <v>0.92</v>
      </c>
      <c r="U61" s="1">
        <v>10.23322582244873</v>
      </c>
      <c r="V61">
        <f t="shared" si="174"/>
        <v>0.87511661291122433</v>
      </c>
      <c r="W61">
        <f t="shared" si="175"/>
        <v>1.8990199916781293E-2</v>
      </c>
      <c r="X61">
        <f t="shared" si="176"/>
        <v>0.48811232871225813</v>
      </c>
      <c r="Y61" t="e">
        <f t="shared" si="177"/>
        <v>#DIV/0!</v>
      </c>
      <c r="Z61">
        <f t="shared" si="178"/>
        <v>-1</v>
      </c>
      <c r="AA61" s="1">
        <v>501.9024658203125</v>
      </c>
      <c r="AB61" s="1">
        <v>0.5</v>
      </c>
      <c r="AC61">
        <f t="shared" si="179"/>
        <v>107.19512604714612</v>
      </c>
      <c r="AD61">
        <f t="shared" si="180"/>
        <v>0.39866106115687677</v>
      </c>
      <c r="AE61">
        <f t="shared" si="181"/>
        <v>0.89615435823580558</v>
      </c>
      <c r="AF61">
        <f t="shared" si="182"/>
        <v>19.987375259399414</v>
      </c>
      <c r="AG61" s="1">
        <v>1.4930000305175781</v>
      </c>
      <c r="AH61">
        <f t="shared" si="183"/>
        <v>5.3319158355097898</v>
      </c>
      <c r="AI61" s="1">
        <v>1</v>
      </c>
      <c r="AJ61">
        <f t="shared" si="184"/>
        <v>10.66383167101958</v>
      </c>
      <c r="AK61" s="1">
        <v>19.504802703857422</v>
      </c>
      <c r="AL61" s="1">
        <v>19.987375259399414</v>
      </c>
      <c r="AM61" s="1">
        <v>19.268674850463867</v>
      </c>
      <c r="AN61" s="1">
        <v>407.50790405273437</v>
      </c>
      <c r="AO61" s="1">
        <v>400.02627563476562</v>
      </c>
      <c r="AP61" s="1">
        <v>13.95789623260498</v>
      </c>
      <c r="AQ61" s="1">
        <v>14.349852561950684</v>
      </c>
      <c r="AR61" s="1">
        <v>61.919876098632813</v>
      </c>
      <c r="AS61" s="1">
        <v>63.658668518066406</v>
      </c>
      <c r="AT61" s="1">
        <v>149.67481994628906</v>
      </c>
      <c r="AU61" s="1">
        <v>501.9024658203125</v>
      </c>
      <c r="AV61" s="1">
        <v>6.2974567413330078</v>
      </c>
      <c r="AW61" s="1">
        <v>100.95050048828125</v>
      </c>
      <c r="AX61" s="1">
        <v>1.3823989629745483</v>
      </c>
      <c r="AY61" s="1">
        <v>0.23029084503650665</v>
      </c>
      <c r="AZ61" s="1">
        <v>0.13559383153915405</v>
      </c>
      <c r="BA61" s="1">
        <v>4.8469132743775845E-3</v>
      </c>
      <c r="BB61" s="1">
        <v>0.11168832331895828</v>
      </c>
      <c r="BC61" s="1">
        <v>4.6885688789188862E-3</v>
      </c>
      <c r="BD61" s="1">
        <v>1</v>
      </c>
      <c r="BE61" s="1">
        <v>-1.355140209197998</v>
      </c>
      <c r="BF61" s="1">
        <v>7.355140209197998</v>
      </c>
      <c r="BG61" s="1">
        <v>1</v>
      </c>
      <c r="BH61" s="1">
        <v>0</v>
      </c>
      <c r="BI61" s="1">
        <v>0.15999999642372131</v>
      </c>
      <c r="BJ61" s="1">
        <v>111115</v>
      </c>
      <c r="BK61">
        <f t="shared" si="185"/>
        <v>1.0025104948886123</v>
      </c>
      <c r="BL61">
        <f t="shared" si="186"/>
        <v>3.9866106115687679E-4</v>
      </c>
      <c r="BM61">
        <f t="shared" si="187"/>
        <v>293.13737525939939</v>
      </c>
      <c r="BN61">
        <f t="shared" si="188"/>
        <v>292.6548027038574</v>
      </c>
      <c r="BO61">
        <f t="shared" si="189"/>
        <v>80.304392736306909</v>
      </c>
      <c r="BP61">
        <f t="shared" si="190"/>
        <v>0.19274751519338271</v>
      </c>
      <c r="BQ61">
        <f t="shared" si="191"/>
        <v>2.344779156297772</v>
      </c>
      <c r="BR61">
        <f t="shared" si="192"/>
        <v>23.227018637415902</v>
      </c>
      <c r="BS61">
        <f t="shared" si="193"/>
        <v>8.8771660754652189</v>
      </c>
      <c r="BT61">
        <f t="shared" si="194"/>
        <v>19.746088981628418</v>
      </c>
      <c r="BU61">
        <f t="shared" si="195"/>
        <v>2.3099691594278378</v>
      </c>
      <c r="BV61">
        <f t="shared" si="196"/>
        <v>4.4064833321565362E-2</v>
      </c>
      <c r="BW61">
        <f t="shared" si="197"/>
        <v>1.4486247980619664</v>
      </c>
      <c r="BX61">
        <f t="shared" si="198"/>
        <v>0.86134436136587134</v>
      </c>
      <c r="BY61">
        <f t="shared" si="199"/>
        <v>2.7556889628178805E-2</v>
      </c>
      <c r="BZ61">
        <f t="shared" si="200"/>
        <v>13.10355314683302</v>
      </c>
      <c r="CA61">
        <f t="shared" si="201"/>
        <v>0.32448309764574523</v>
      </c>
      <c r="CB61">
        <f t="shared" si="202"/>
        <v>61.209987558327718</v>
      </c>
      <c r="CC61">
        <f t="shared" si="203"/>
        <v>399.09694140932157</v>
      </c>
      <c r="CD61">
        <f t="shared" si="204"/>
        <v>1.1258883775730012E-2</v>
      </c>
      <c r="CE61">
        <f t="shared" si="205"/>
        <v>0</v>
      </c>
      <c r="CF61">
        <f t="shared" si="206"/>
        <v>439.22318590046342</v>
      </c>
      <c r="CG61">
        <f t="shared" si="207"/>
        <v>425.17208862304687</v>
      </c>
      <c r="CH61">
        <f t="shared" si="208"/>
        <v>0.48811232871225813</v>
      </c>
      <c r="CI61" t="e">
        <f t="shared" si="209"/>
        <v>#DIV/0!</v>
      </c>
    </row>
    <row r="62" spans="1:87" x14ac:dyDescent="0.25">
      <c r="A62" s="1">
        <v>3</v>
      </c>
      <c r="B62" s="1" t="s">
        <v>293</v>
      </c>
      <c r="C62" s="1">
        <v>567.99997636117041</v>
      </c>
      <c r="D62" s="1">
        <v>0</v>
      </c>
      <c r="E62">
        <f t="shared" si="168"/>
        <v>8.1762626221391681</v>
      </c>
      <c r="F62">
        <f t="shared" si="169"/>
        <v>3.2334285117930177E-2</v>
      </c>
      <c r="G62">
        <f t="shared" si="170"/>
        <v>-8.4620279646153147</v>
      </c>
      <c r="H62" s="1">
        <v>84</v>
      </c>
      <c r="I62" s="1">
        <v>0</v>
      </c>
      <c r="J62" s="1">
        <v>0</v>
      </c>
      <c r="K62" s="1">
        <v>0</v>
      </c>
      <c r="L62" s="1">
        <v>0</v>
      </c>
      <c r="M62" s="1">
        <v>456.31539916992187</v>
      </c>
      <c r="N62" s="1">
        <v>219.02206420898437</v>
      </c>
      <c r="O62" t="e">
        <f t="shared" si="171"/>
        <v>#DIV/0!</v>
      </c>
      <c r="P62">
        <f t="shared" si="172"/>
        <v>1</v>
      </c>
      <c r="Q62">
        <f t="shared" si="173"/>
        <v>0.52002044067019237</v>
      </c>
      <c r="R62" s="1">
        <v>-1</v>
      </c>
      <c r="S62" s="1">
        <v>0.87</v>
      </c>
      <c r="T62" s="1">
        <v>0.92</v>
      </c>
      <c r="U62" s="1">
        <v>10.0565185546875</v>
      </c>
      <c r="V62">
        <f t="shared" si="174"/>
        <v>0.87502825927734373</v>
      </c>
      <c r="W62">
        <f t="shared" si="175"/>
        <v>2.3273610878032241E-2</v>
      </c>
      <c r="X62">
        <f t="shared" si="176"/>
        <v>0.52002044067019237</v>
      </c>
      <c r="Y62" t="e">
        <f t="shared" si="177"/>
        <v>#DIV/0!</v>
      </c>
      <c r="Z62">
        <f t="shared" si="178"/>
        <v>-1</v>
      </c>
      <c r="AA62" s="1">
        <v>450.58837890625</v>
      </c>
      <c r="AB62" s="1">
        <v>0.5</v>
      </c>
      <c r="AC62">
        <f t="shared" si="179"/>
        <v>102.51619650851701</v>
      </c>
      <c r="AD62">
        <f t="shared" si="180"/>
        <v>0.28740099119206886</v>
      </c>
      <c r="AE62">
        <f t="shared" si="181"/>
        <v>0.88315689497907557</v>
      </c>
      <c r="AF62">
        <f t="shared" si="182"/>
        <v>19.910804748535156</v>
      </c>
      <c r="AG62" s="1">
        <v>1.4930000305175781</v>
      </c>
      <c r="AH62">
        <f t="shared" si="183"/>
        <v>5.3319158355097898</v>
      </c>
      <c r="AI62" s="1">
        <v>1</v>
      </c>
      <c r="AJ62">
        <f t="shared" si="184"/>
        <v>10.66383167101958</v>
      </c>
      <c r="AK62" s="1">
        <v>18.639490127563477</v>
      </c>
      <c r="AL62" s="1">
        <v>19.910804748535156</v>
      </c>
      <c r="AM62" s="1">
        <v>17.933172225952148</v>
      </c>
      <c r="AN62" s="1">
        <v>408.23440551757812</v>
      </c>
      <c r="AO62" s="1">
        <v>399.96615600585937</v>
      </c>
      <c r="AP62" s="1">
        <v>14.085981369018555</v>
      </c>
      <c r="AQ62" s="1">
        <v>14.368468284606934</v>
      </c>
      <c r="AR62" s="1">
        <v>65.954116821289062</v>
      </c>
      <c r="AS62" s="1">
        <v>67.276786804199219</v>
      </c>
      <c r="AT62" s="1">
        <v>149.71466064453125</v>
      </c>
      <c r="AU62" s="1">
        <v>450.58837890625</v>
      </c>
      <c r="AV62" s="1">
        <v>6.5568122863769531</v>
      </c>
      <c r="AW62" s="1">
        <v>100.95203399658203</v>
      </c>
      <c r="AX62" s="1">
        <v>1.3823989629745483</v>
      </c>
      <c r="AY62" s="1">
        <v>0.23029084503650665</v>
      </c>
      <c r="AZ62" s="1">
        <v>0.13559383153915405</v>
      </c>
      <c r="BA62" s="1">
        <v>4.8469132743775845E-3</v>
      </c>
      <c r="BB62" s="1">
        <v>0.11168832331895828</v>
      </c>
      <c r="BC62" s="1">
        <v>4.6885688789188862E-3</v>
      </c>
      <c r="BD62" s="1">
        <v>1</v>
      </c>
      <c r="BE62" s="1">
        <v>-1.355140209197998</v>
      </c>
      <c r="BF62" s="1">
        <v>7.355140209197998</v>
      </c>
      <c r="BG62" s="1">
        <v>1</v>
      </c>
      <c r="BH62" s="1">
        <v>0</v>
      </c>
      <c r="BI62" s="1">
        <v>0.15999999642372131</v>
      </c>
      <c r="BJ62" s="1">
        <v>111115</v>
      </c>
      <c r="BK62">
        <f t="shared" si="185"/>
        <v>1.0027773448378945</v>
      </c>
      <c r="BL62">
        <f t="shared" si="186"/>
        <v>2.8740099119206884E-4</v>
      </c>
      <c r="BM62">
        <f t="shared" si="187"/>
        <v>293.06080474853513</v>
      </c>
      <c r="BN62">
        <f t="shared" si="188"/>
        <v>291.78949012756345</v>
      </c>
      <c r="BO62">
        <f t="shared" si="189"/>
        <v>72.094139013570384</v>
      </c>
      <c r="BP62">
        <f t="shared" si="190"/>
        <v>0.15327017999664447</v>
      </c>
      <c r="BQ62">
        <f t="shared" si="191"/>
        <v>2.3336829937255255</v>
      </c>
      <c r="BR62">
        <f t="shared" si="192"/>
        <v>23.116750612518992</v>
      </c>
      <c r="BS62">
        <f t="shared" si="193"/>
        <v>8.7482823279120581</v>
      </c>
      <c r="BT62">
        <f t="shared" si="194"/>
        <v>19.275147438049316</v>
      </c>
      <c r="BU62">
        <f t="shared" si="195"/>
        <v>2.2433295682028804</v>
      </c>
      <c r="BV62">
        <f t="shared" si="196"/>
        <v>3.2236539252881433E-2</v>
      </c>
      <c r="BW62">
        <f t="shared" si="197"/>
        <v>1.4505260987464499</v>
      </c>
      <c r="BX62">
        <f t="shared" si="198"/>
        <v>0.79280346945643054</v>
      </c>
      <c r="BY62">
        <f t="shared" si="199"/>
        <v>2.0156596147051686E-2</v>
      </c>
      <c r="BZ62">
        <f t="shared" si="200"/>
        <v>-0.85425893476387305</v>
      </c>
      <c r="CA62">
        <f t="shared" si="201"/>
        <v>-2.1156859993152394E-2</v>
      </c>
      <c r="CB62">
        <f t="shared" si="202"/>
        <v>61.549834780960374</v>
      </c>
      <c r="CC62">
        <f t="shared" si="203"/>
        <v>398.93107266242242</v>
      </c>
      <c r="CD62">
        <f t="shared" si="204"/>
        <v>1.2614901370299084E-2</v>
      </c>
      <c r="CE62">
        <f t="shared" si="205"/>
        <v>0</v>
      </c>
      <c r="CF62">
        <f t="shared" si="206"/>
        <v>394.27756484493614</v>
      </c>
      <c r="CG62">
        <f t="shared" si="207"/>
        <v>456.31539916992187</v>
      </c>
      <c r="CH62">
        <f t="shared" si="208"/>
        <v>0.52002044067019237</v>
      </c>
      <c r="CI62" t="e">
        <f t="shared" si="209"/>
        <v>#DIV/0!</v>
      </c>
    </row>
    <row r="63" spans="1:87" x14ac:dyDescent="0.25">
      <c r="A63" s="1">
        <v>4</v>
      </c>
      <c r="B63" s="1" t="s">
        <v>294</v>
      </c>
      <c r="C63" s="1">
        <v>772.49996226746589</v>
      </c>
      <c r="D63" s="1">
        <v>0</v>
      </c>
      <c r="E63">
        <f t="shared" si="168"/>
        <v>7.7049945545306846</v>
      </c>
      <c r="F63">
        <f t="shared" si="169"/>
        <v>3.2689296793453955E-2</v>
      </c>
      <c r="G63">
        <f t="shared" si="170"/>
        <v>18.596641278726683</v>
      </c>
      <c r="H63" s="1">
        <v>85</v>
      </c>
      <c r="I63" s="1">
        <v>0</v>
      </c>
      <c r="J63" s="1">
        <v>0</v>
      </c>
      <c r="K63" s="1">
        <v>0</v>
      </c>
      <c r="L63" s="1">
        <v>0</v>
      </c>
      <c r="M63" s="1">
        <v>635.751220703125</v>
      </c>
      <c r="N63" s="1">
        <v>246.52125549316406</v>
      </c>
      <c r="O63" t="e">
        <f t="shared" si="171"/>
        <v>#DIV/0!</v>
      </c>
      <c r="P63">
        <f t="shared" si="172"/>
        <v>1</v>
      </c>
      <c r="Q63">
        <f t="shared" si="173"/>
        <v>0.6122362844690763</v>
      </c>
      <c r="R63" s="1">
        <v>-1</v>
      </c>
      <c r="S63" s="1">
        <v>0.87</v>
      </c>
      <c r="T63" s="1">
        <v>0.92</v>
      </c>
      <c r="U63" s="1">
        <v>9.6677665710449219</v>
      </c>
      <c r="V63">
        <f t="shared" si="174"/>
        <v>0.87483388328552247</v>
      </c>
      <c r="W63">
        <f t="shared" si="175"/>
        <v>3.3327195688389218E-2</v>
      </c>
      <c r="X63">
        <f t="shared" si="176"/>
        <v>0.6122362844690763</v>
      </c>
      <c r="Y63" t="e">
        <f t="shared" si="177"/>
        <v>#DIV/0!</v>
      </c>
      <c r="Z63">
        <f t="shared" si="178"/>
        <v>-1</v>
      </c>
      <c r="AA63" s="1">
        <v>298.568603515625</v>
      </c>
      <c r="AB63" s="1">
        <v>0.5</v>
      </c>
      <c r="AC63">
        <f t="shared" si="179"/>
        <v>79.957425344463445</v>
      </c>
      <c r="AD63">
        <f t="shared" si="180"/>
        <v>0.28326623087011743</v>
      </c>
      <c r="AE63">
        <f t="shared" si="181"/>
        <v>0.86085773130154064</v>
      </c>
      <c r="AF63">
        <f t="shared" si="182"/>
        <v>19.943864822387695</v>
      </c>
      <c r="AG63" s="1">
        <v>1.4930000305175781</v>
      </c>
      <c r="AH63">
        <f t="shared" si="183"/>
        <v>5.3319158355097898</v>
      </c>
      <c r="AI63" s="1">
        <v>1</v>
      </c>
      <c r="AJ63">
        <f t="shared" si="184"/>
        <v>10.66383167101958</v>
      </c>
      <c r="AK63" s="1">
        <v>18.818014144897461</v>
      </c>
      <c r="AL63" s="1">
        <v>19.943864822387695</v>
      </c>
      <c r="AM63" s="1">
        <v>18.169204711914063</v>
      </c>
      <c r="AN63" s="1">
        <v>407.418701171875</v>
      </c>
      <c r="AO63" s="1">
        <v>399.61956787109375</v>
      </c>
      <c r="AP63" s="1">
        <v>14.358822822570801</v>
      </c>
      <c r="AQ63" s="1">
        <v>14.637262344360352</v>
      </c>
      <c r="AR63" s="1">
        <v>66.482955932617188</v>
      </c>
      <c r="AS63" s="1">
        <v>67.77215576171875</v>
      </c>
      <c r="AT63" s="1">
        <v>149.66487121582031</v>
      </c>
      <c r="AU63" s="1">
        <v>298.568603515625</v>
      </c>
      <c r="AV63" s="1">
        <v>6.4039731025695801</v>
      </c>
      <c r="AW63" s="1">
        <v>100.94855499267578</v>
      </c>
      <c r="AX63" s="1">
        <v>1.3823989629745483</v>
      </c>
      <c r="AY63" s="1">
        <v>0.23029084503650665</v>
      </c>
      <c r="AZ63" s="1">
        <v>0.13559383153915405</v>
      </c>
      <c r="BA63" s="1">
        <v>4.8469132743775845E-3</v>
      </c>
      <c r="BB63" s="1">
        <v>0.11168832331895828</v>
      </c>
      <c r="BC63" s="1">
        <v>4.6885688789188862E-3</v>
      </c>
      <c r="BD63" s="1">
        <v>0.5</v>
      </c>
      <c r="BE63" s="1">
        <v>-1.355140209197998</v>
      </c>
      <c r="BF63" s="1">
        <v>7.355140209197998</v>
      </c>
      <c r="BG63" s="1">
        <v>1</v>
      </c>
      <c r="BH63" s="1">
        <v>0</v>
      </c>
      <c r="BI63" s="1">
        <v>0.15999999642372131</v>
      </c>
      <c r="BJ63" s="1">
        <v>111115</v>
      </c>
      <c r="BK63">
        <f t="shared" si="185"/>
        <v>1.0024438590529432</v>
      </c>
      <c r="BL63">
        <f t="shared" si="186"/>
        <v>2.8326623087011741E-4</v>
      </c>
      <c r="BM63">
        <f t="shared" si="187"/>
        <v>293.09386482238767</v>
      </c>
      <c r="BN63">
        <f t="shared" si="188"/>
        <v>291.96801414489744</v>
      </c>
      <c r="BO63">
        <f t="shared" si="189"/>
        <v>47.770975494735467</v>
      </c>
      <c r="BP63">
        <f t="shared" si="190"/>
        <v>7.7551845922351426E-2</v>
      </c>
      <c r="BQ63">
        <f t="shared" si="191"/>
        <v>2.3384682140134241</v>
      </c>
      <c r="BR63">
        <f t="shared" si="192"/>
        <v>23.164949851764487</v>
      </c>
      <c r="BS63">
        <f t="shared" si="193"/>
        <v>8.5276875074041349</v>
      </c>
      <c r="BT63">
        <f t="shared" si="194"/>
        <v>19.380939483642578</v>
      </c>
      <c r="BU63">
        <f t="shared" si="195"/>
        <v>2.2581508471920184</v>
      </c>
      <c r="BV63">
        <f t="shared" si="196"/>
        <v>3.2589396075447981E-2</v>
      </c>
      <c r="BW63">
        <f t="shared" si="197"/>
        <v>1.4776104827118834</v>
      </c>
      <c r="BX63">
        <f t="shared" si="198"/>
        <v>0.78054036448013497</v>
      </c>
      <c r="BY63">
        <f t="shared" si="199"/>
        <v>2.0377324505368891E-2</v>
      </c>
      <c r="BZ63">
        <f t="shared" si="200"/>
        <v>1.8773040648046049</v>
      </c>
      <c r="CA63">
        <f t="shared" si="201"/>
        <v>4.6535862539958117E-2</v>
      </c>
      <c r="CB63">
        <f t="shared" si="202"/>
        <v>62.592570914111732</v>
      </c>
      <c r="CC63">
        <f t="shared" si="203"/>
        <v>398.64414524914025</v>
      </c>
      <c r="CD63">
        <f t="shared" si="204"/>
        <v>1.209789291514364E-2</v>
      </c>
      <c r="CE63">
        <f t="shared" si="205"/>
        <v>0</v>
      </c>
      <c r="CF63">
        <f t="shared" si="206"/>
        <v>261.19793084070972</v>
      </c>
      <c r="CG63">
        <f t="shared" si="207"/>
        <v>635.751220703125</v>
      </c>
      <c r="CH63">
        <f t="shared" si="208"/>
        <v>0.6122362844690763</v>
      </c>
      <c r="CI63" t="e">
        <f t="shared" si="209"/>
        <v>#DIV/0!</v>
      </c>
    </row>
    <row r="64" spans="1:87" x14ac:dyDescent="0.25">
      <c r="A64" s="1">
        <v>5</v>
      </c>
      <c r="B64" s="1" t="s">
        <v>295</v>
      </c>
      <c r="C64" s="1">
        <v>976.99994817376137</v>
      </c>
      <c r="D64" s="1">
        <v>0</v>
      </c>
      <c r="E64">
        <f t="shared" si="168"/>
        <v>6.2664472440151089</v>
      </c>
      <c r="F64">
        <f t="shared" si="169"/>
        <v>2.936126784165604E-2</v>
      </c>
      <c r="G64">
        <f t="shared" si="170"/>
        <v>54.276415686498787</v>
      </c>
      <c r="H64" s="1">
        <v>86</v>
      </c>
      <c r="I64" s="1">
        <v>0</v>
      </c>
      <c r="J64" s="1">
        <v>0</v>
      </c>
      <c r="K64" s="1">
        <v>0</v>
      </c>
      <c r="L64" s="1">
        <v>0</v>
      </c>
      <c r="M64" s="1">
        <v>852.562744140625</v>
      </c>
      <c r="N64" s="1">
        <v>278.18072509765625</v>
      </c>
      <c r="O64" t="e">
        <f t="shared" si="171"/>
        <v>#DIV/0!</v>
      </c>
      <c r="P64">
        <f t="shared" si="172"/>
        <v>1</v>
      </c>
      <c r="Q64">
        <f t="shared" si="173"/>
        <v>0.67371231383320684</v>
      </c>
      <c r="R64" s="1">
        <v>-1</v>
      </c>
      <c r="S64" s="1">
        <v>0.87</v>
      </c>
      <c r="T64" s="1">
        <v>0.92</v>
      </c>
      <c r="U64" s="1">
        <v>9.5020523071289062</v>
      </c>
      <c r="V64">
        <f t="shared" si="174"/>
        <v>0.87475102615356448</v>
      </c>
      <c r="W64">
        <f t="shared" si="175"/>
        <v>4.1657227031598541E-2</v>
      </c>
      <c r="X64">
        <f t="shared" si="176"/>
        <v>0.67371231383320684</v>
      </c>
      <c r="Y64" t="e">
        <f t="shared" si="177"/>
        <v>#DIV/0!</v>
      </c>
      <c r="Z64">
        <f t="shared" si="178"/>
        <v>-1</v>
      </c>
      <c r="AA64" s="1">
        <v>199.41017150878906</v>
      </c>
      <c r="AB64" s="1">
        <v>0.5</v>
      </c>
      <c r="AC64">
        <f t="shared" si="179"/>
        <v>58.759251814804365</v>
      </c>
      <c r="AD64">
        <f t="shared" si="180"/>
        <v>0.2354716593526095</v>
      </c>
      <c r="AE64">
        <f t="shared" si="181"/>
        <v>0.79662274004955935</v>
      </c>
      <c r="AF64">
        <f t="shared" si="182"/>
        <v>19.549848556518555</v>
      </c>
      <c r="AG64" s="1">
        <v>1.4930000305175781</v>
      </c>
      <c r="AH64">
        <f t="shared" si="183"/>
        <v>5.3319158355097898</v>
      </c>
      <c r="AI64" s="1">
        <v>1</v>
      </c>
      <c r="AJ64">
        <f t="shared" si="184"/>
        <v>10.66383167101958</v>
      </c>
      <c r="AK64" s="1">
        <v>18.927740097045898</v>
      </c>
      <c r="AL64" s="1">
        <v>19.549848556518555</v>
      </c>
      <c r="AM64" s="1">
        <v>18.79368782043457</v>
      </c>
      <c r="AN64" s="1">
        <v>405.82498168945312</v>
      </c>
      <c r="AO64" s="1">
        <v>399.4805908203125</v>
      </c>
      <c r="AP64" s="1">
        <v>14.483538627624512</v>
      </c>
      <c r="AQ64" s="1">
        <v>14.714957237243652</v>
      </c>
      <c r="AR64" s="1">
        <v>66.598594665527344</v>
      </c>
      <c r="AS64" s="1">
        <v>67.662704467773438</v>
      </c>
      <c r="AT64" s="1">
        <v>149.67941284179687</v>
      </c>
      <c r="AU64" s="1">
        <v>199.41017150878906</v>
      </c>
      <c r="AV64" s="1">
        <v>6.3613147735595703</v>
      </c>
      <c r="AW64" s="1">
        <v>100.94286346435547</v>
      </c>
      <c r="AX64" s="1">
        <v>1.3823989629745483</v>
      </c>
      <c r="AY64" s="1">
        <v>0.23029084503650665</v>
      </c>
      <c r="AZ64" s="1">
        <v>0.13559383153915405</v>
      </c>
      <c r="BA64" s="1">
        <v>4.8469132743775845E-3</v>
      </c>
      <c r="BB64" s="1">
        <v>0.11168832331895828</v>
      </c>
      <c r="BC64" s="1">
        <v>4.6885688789188862E-3</v>
      </c>
      <c r="BD64" s="1">
        <v>0.5</v>
      </c>
      <c r="BE64" s="1">
        <v>-1.355140209197998</v>
      </c>
      <c r="BF64" s="1">
        <v>7.355140209197998</v>
      </c>
      <c r="BG64" s="1">
        <v>1</v>
      </c>
      <c r="BH64" s="1">
        <v>0</v>
      </c>
      <c r="BI64" s="1">
        <v>0.15999999642372131</v>
      </c>
      <c r="BJ64" s="1">
        <v>111115</v>
      </c>
      <c r="BK64">
        <f t="shared" si="185"/>
        <v>1.0025412577513981</v>
      </c>
      <c r="BL64">
        <f t="shared" si="186"/>
        <v>2.3547165935260949E-4</v>
      </c>
      <c r="BM64">
        <f t="shared" si="187"/>
        <v>292.69984855651853</v>
      </c>
      <c r="BN64">
        <f t="shared" si="188"/>
        <v>292.07774009704588</v>
      </c>
      <c r="BO64">
        <f t="shared" si="189"/>
        <v>31.905626728259904</v>
      </c>
      <c r="BP64">
        <f t="shared" si="190"/>
        <v>4.9688948377207644E-2</v>
      </c>
      <c r="BQ64">
        <f t="shared" si="191"/>
        <v>2.2819926593324746</v>
      </c>
      <c r="BR64">
        <f t="shared" si="192"/>
        <v>22.60677556604368</v>
      </c>
      <c r="BS64">
        <f t="shared" si="193"/>
        <v>7.8918183288000279</v>
      </c>
      <c r="BT64">
        <f t="shared" si="194"/>
        <v>19.238794326782227</v>
      </c>
      <c r="BU64">
        <f t="shared" si="195"/>
        <v>2.2382562842398666</v>
      </c>
      <c r="BV64">
        <f t="shared" si="196"/>
        <v>2.9280647950647016E-2</v>
      </c>
      <c r="BW64">
        <f t="shared" si="197"/>
        <v>1.4853699192829153</v>
      </c>
      <c r="BX64">
        <f t="shared" si="198"/>
        <v>0.75288636495695127</v>
      </c>
      <c r="BY64">
        <f t="shared" si="199"/>
        <v>1.8307631126413267E-2</v>
      </c>
      <c r="BZ64">
        <f t="shared" si="200"/>
        <v>5.4788168179768482</v>
      </c>
      <c r="CA64">
        <f t="shared" si="201"/>
        <v>0.13586746623921078</v>
      </c>
      <c r="CB64">
        <f t="shared" si="202"/>
        <v>64.524770258900062</v>
      </c>
      <c r="CC64">
        <f t="shared" si="203"/>
        <v>398.68728274490365</v>
      </c>
      <c r="CD64">
        <f t="shared" si="204"/>
        <v>1.0141810041588567E-2</v>
      </c>
      <c r="CE64">
        <f t="shared" si="205"/>
        <v>0</v>
      </c>
      <c r="CF64">
        <f t="shared" si="206"/>
        <v>174.43425215277151</v>
      </c>
      <c r="CG64">
        <f t="shared" si="207"/>
        <v>852.562744140625</v>
      </c>
      <c r="CH64">
        <f t="shared" si="208"/>
        <v>0.67371231383320684</v>
      </c>
      <c r="CI64" t="e">
        <f t="shared" si="209"/>
        <v>#DIV/0!</v>
      </c>
    </row>
    <row r="65" spans="1:87" x14ac:dyDescent="0.25">
      <c r="A65" s="1">
        <v>7</v>
      </c>
      <c r="B65" s="1" t="s">
        <v>296</v>
      </c>
      <c r="C65" s="1">
        <v>1335.4999234667048</v>
      </c>
      <c r="D65" s="1">
        <v>0</v>
      </c>
      <c r="E65">
        <f t="shared" si="168"/>
        <v>5.6396264652072219</v>
      </c>
      <c r="F65">
        <f t="shared" si="169"/>
        <v>3.2984483613294986E-2</v>
      </c>
      <c r="G65">
        <f t="shared" si="170"/>
        <v>122.20804672981188</v>
      </c>
      <c r="H65" s="1">
        <v>88</v>
      </c>
      <c r="I65" s="1">
        <v>0</v>
      </c>
      <c r="J65" s="1">
        <v>0</v>
      </c>
      <c r="K65" s="1">
        <v>0</v>
      </c>
      <c r="L65" s="1">
        <v>0</v>
      </c>
      <c r="M65" s="1">
        <v>994.77886962890625</v>
      </c>
      <c r="N65" s="1">
        <v>281.93096923828125</v>
      </c>
      <c r="O65" t="e">
        <f t="shared" si="171"/>
        <v>#DIV/0!</v>
      </c>
      <c r="P65">
        <f t="shared" si="172"/>
        <v>1</v>
      </c>
      <c r="Q65">
        <f t="shared" si="173"/>
        <v>0.7165893065828256</v>
      </c>
      <c r="R65" s="1">
        <v>-1</v>
      </c>
      <c r="S65" s="1">
        <v>0.87</v>
      </c>
      <c r="T65" s="1">
        <v>0.92</v>
      </c>
      <c r="U65" s="1">
        <v>10.097982406616211</v>
      </c>
      <c r="V65">
        <f t="shared" si="174"/>
        <v>0.87504899120330815</v>
      </c>
      <c r="W65">
        <f t="shared" si="175"/>
        <v>5.0049655027614603E-2</v>
      </c>
      <c r="X65">
        <f t="shared" si="176"/>
        <v>0.7165893065828256</v>
      </c>
      <c r="Y65" t="e">
        <f t="shared" si="177"/>
        <v>#DIV/0!</v>
      </c>
      <c r="Z65">
        <f t="shared" si="178"/>
        <v>-1</v>
      </c>
      <c r="AA65" s="1">
        <v>151.60383605957031</v>
      </c>
      <c r="AB65" s="1">
        <v>0.5</v>
      </c>
      <c r="AC65">
        <f t="shared" si="179"/>
        <v>47.531649539309356</v>
      </c>
      <c r="AD65">
        <f t="shared" si="180"/>
        <v>0.27486982562246864</v>
      </c>
      <c r="AE65">
        <f t="shared" si="181"/>
        <v>0.82777651380218642</v>
      </c>
      <c r="AF65">
        <f t="shared" si="182"/>
        <v>19.878559112548828</v>
      </c>
      <c r="AG65" s="1">
        <v>1.4930000305175781</v>
      </c>
      <c r="AH65">
        <f t="shared" si="183"/>
        <v>5.3319158355097898</v>
      </c>
      <c r="AI65" s="1">
        <v>1</v>
      </c>
      <c r="AJ65">
        <f t="shared" si="184"/>
        <v>10.66383167101958</v>
      </c>
      <c r="AK65" s="1">
        <v>20.021156311035156</v>
      </c>
      <c r="AL65" s="1">
        <v>19.878559112548828</v>
      </c>
      <c r="AM65" s="1">
        <v>19.926651000976562</v>
      </c>
      <c r="AN65" s="1">
        <v>405.72283935546875</v>
      </c>
      <c r="AO65" s="1">
        <v>399.9881591796875</v>
      </c>
      <c r="AP65" s="1">
        <v>14.60224723815918</v>
      </c>
      <c r="AQ65" s="1">
        <v>14.87232780456543</v>
      </c>
      <c r="AR65" s="1">
        <v>62.731056213378906</v>
      </c>
      <c r="AS65" s="1">
        <v>63.891315460205078</v>
      </c>
      <c r="AT65" s="1">
        <v>149.68768310546875</v>
      </c>
      <c r="AU65" s="1">
        <v>151.60383605957031</v>
      </c>
      <c r="AV65" s="1">
        <v>6.7815475463867188</v>
      </c>
      <c r="AW65" s="1">
        <v>100.94232940673828</v>
      </c>
      <c r="AX65" s="1">
        <v>1.3823989629745483</v>
      </c>
      <c r="AY65" s="1">
        <v>0.23029084503650665</v>
      </c>
      <c r="AZ65" s="1">
        <v>0.13559383153915405</v>
      </c>
      <c r="BA65" s="1">
        <v>4.8469132743775845E-3</v>
      </c>
      <c r="BB65" s="1">
        <v>0.11168832331895828</v>
      </c>
      <c r="BC65" s="1">
        <v>4.6885688789188862E-3</v>
      </c>
      <c r="BD65" s="1">
        <v>1</v>
      </c>
      <c r="BE65" s="1">
        <v>-1.355140209197998</v>
      </c>
      <c r="BF65" s="1">
        <v>7.355140209197998</v>
      </c>
      <c r="BG65" s="1">
        <v>1</v>
      </c>
      <c r="BH65" s="1">
        <v>0</v>
      </c>
      <c r="BI65" s="1">
        <v>0.15999999642372131</v>
      </c>
      <c r="BJ65" s="1">
        <v>111115</v>
      </c>
      <c r="BK65">
        <f t="shared" si="185"/>
        <v>1.0025966513448532</v>
      </c>
      <c r="BL65">
        <f t="shared" si="186"/>
        <v>2.7486982562246863E-4</v>
      </c>
      <c r="BM65">
        <f t="shared" si="187"/>
        <v>293.02855911254881</v>
      </c>
      <c r="BN65">
        <f t="shared" si="188"/>
        <v>293.17115631103513</v>
      </c>
      <c r="BO65">
        <f t="shared" si="189"/>
        <v>24.256613227353682</v>
      </c>
      <c r="BP65">
        <f t="shared" si="190"/>
        <v>4.586736551093646E-2</v>
      </c>
      <c r="BQ65">
        <f t="shared" si="191"/>
        <v>2.3290239260956227</v>
      </c>
      <c r="BR65">
        <f t="shared" si="192"/>
        <v>23.072817318401924</v>
      </c>
      <c r="BS65">
        <f t="shared" si="193"/>
        <v>8.2004895138364944</v>
      </c>
      <c r="BT65">
        <f t="shared" si="194"/>
        <v>19.949857711791992</v>
      </c>
      <c r="BU65">
        <f t="shared" si="195"/>
        <v>2.3393365638398764</v>
      </c>
      <c r="BV65">
        <f t="shared" si="196"/>
        <v>3.2882773333945695E-2</v>
      </c>
      <c r="BW65">
        <f t="shared" si="197"/>
        <v>1.5012474122934363</v>
      </c>
      <c r="BX65">
        <f t="shared" si="198"/>
        <v>0.83808915154644015</v>
      </c>
      <c r="BY65">
        <f t="shared" si="199"/>
        <v>2.0560847228641512E-2</v>
      </c>
      <c r="BZ65">
        <f t="shared" si="200"/>
        <v>12.335964909154736</v>
      </c>
      <c r="CA65">
        <f t="shared" si="201"/>
        <v>0.30552916111427214</v>
      </c>
      <c r="CB65">
        <f t="shared" si="202"/>
        <v>63.882577462126065</v>
      </c>
      <c r="CC65">
        <f t="shared" si="203"/>
        <v>399.27420419962903</v>
      </c>
      <c r="CD65">
        <f t="shared" si="204"/>
        <v>9.023219399892082E-3</v>
      </c>
      <c r="CE65">
        <f t="shared" si="205"/>
        <v>0</v>
      </c>
      <c r="CF65">
        <f t="shared" si="206"/>
        <v>132.66078380647872</v>
      </c>
      <c r="CG65">
        <f t="shared" si="207"/>
        <v>994.77886962890625</v>
      </c>
      <c r="CH65">
        <f t="shared" si="208"/>
        <v>0.7165893065828256</v>
      </c>
      <c r="CI65" t="e">
        <f t="shared" si="209"/>
        <v>#DIV/0!</v>
      </c>
    </row>
    <row r="66" spans="1:87" x14ac:dyDescent="0.25">
      <c r="A66" s="1">
        <v>8</v>
      </c>
      <c r="B66" s="1" t="s">
        <v>297</v>
      </c>
      <c r="C66" s="1">
        <v>1522.9999105446041</v>
      </c>
      <c r="D66" s="1">
        <v>0</v>
      </c>
      <c r="E66">
        <f t="shared" si="168"/>
        <v>4.074800484470197</v>
      </c>
      <c r="F66">
        <f t="shared" si="169"/>
        <v>3.3790464006286151E-2</v>
      </c>
      <c r="G66">
        <f t="shared" si="170"/>
        <v>202.42193279683249</v>
      </c>
      <c r="H66" s="1">
        <v>89</v>
      </c>
      <c r="I66" s="1">
        <v>0</v>
      </c>
      <c r="J66" s="1">
        <v>0</v>
      </c>
      <c r="K66" s="1">
        <v>0</v>
      </c>
      <c r="L66" s="1">
        <v>0</v>
      </c>
      <c r="M66" s="1">
        <v>1071.1881103515625</v>
      </c>
      <c r="N66" s="1">
        <v>282.411865234375</v>
      </c>
      <c r="O66" t="e">
        <f t="shared" si="171"/>
        <v>#DIV/0!</v>
      </c>
      <c r="P66">
        <f t="shared" si="172"/>
        <v>1</v>
      </c>
      <c r="Q66">
        <f t="shared" si="173"/>
        <v>0.73635642283063818</v>
      </c>
      <c r="R66" s="1">
        <v>-1</v>
      </c>
      <c r="S66" s="1">
        <v>0.87</v>
      </c>
      <c r="T66" s="1">
        <v>0.92</v>
      </c>
      <c r="U66" s="1">
        <v>9.5533571243286133</v>
      </c>
      <c r="V66">
        <f t="shared" si="174"/>
        <v>0.87477667856216446</v>
      </c>
      <c r="W66">
        <f t="shared" si="175"/>
        <v>4.6935072580614731E-2</v>
      </c>
      <c r="X66">
        <f t="shared" si="176"/>
        <v>0.73635642283063818</v>
      </c>
      <c r="Y66" t="e">
        <f t="shared" si="177"/>
        <v>#DIV/0!</v>
      </c>
      <c r="Z66">
        <f t="shared" si="178"/>
        <v>-1</v>
      </c>
      <c r="AA66" s="1">
        <v>123.60165405273437</v>
      </c>
      <c r="AB66" s="1">
        <v>0.5</v>
      </c>
      <c r="AC66">
        <f t="shared" si="179"/>
        <v>39.808843641450707</v>
      </c>
      <c r="AD66">
        <f t="shared" si="180"/>
        <v>0.27860274223156739</v>
      </c>
      <c r="AE66">
        <f t="shared" si="181"/>
        <v>0.81910953137236642</v>
      </c>
      <c r="AF66">
        <f t="shared" si="182"/>
        <v>19.787240982055664</v>
      </c>
      <c r="AG66" s="1">
        <v>1.4930000305175781</v>
      </c>
      <c r="AH66">
        <f t="shared" si="183"/>
        <v>5.3319158355097898</v>
      </c>
      <c r="AI66" s="1">
        <v>1</v>
      </c>
      <c r="AJ66">
        <f t="shared" si="184"/>
        <v>10.66383167101958</v>
      </c>
      <c r="AK66" s="1">
        <v>20.539056777954102</v>
      </c>
      <c r="AL66" s="1">
        <v>19.787240982055664</v>
      </c>
      <c r="AM66" s="1">
        <v>20.720346450805664</v>
      </c>
      <c r="AN66" s="1">
        <v>404.04898071289063</v>
      </c>
      <c r="AO66" s="1">
        <v>399.87335205078125</v>
      </c>
      <c r="AP66" s="1">
        <v>14.554685592651367</v>
      </c>
      <c r="AQ66" s="1">
        <v>14.828463554382324</v>
      </c>
      <c r="AR66" s="1">
        <v>60.555156707763672</v>
      </c>
      <c r="AS66" s="1">
        <v>61.694217681884766</v>
      </c>
      <c r="AT66" s="1">
        <v>149.67820739746094</v>
      </c>
      <c r="AU66" s="1">
        <v>123.60165405273437</v>
      </c>
      <c r="AV66" s="1">
        <v>6.871861457824707</v>
      </c>
      <c r="AW66" s="1">
        <v>100.9385986328125</v>
      </c>
      <c r="AX66" s="1">
        <v>1.3823989629745483</v>
      </c>
      <c r="AY66" s="1">
        <v>0.23029084503650665</v>
      </c>
      <c r="AZ66" s="1">
        <v>0.13559383153915405</v>
      </c>
      <c r="BA66" s="1">
        <v>4.8469132743775845E-3</v>
      </c>
      <c r="BB66" s="1">
        <v>0.11168832331895828</v>
      </c>
      <c r="BC66" s="1">
        <v>4.6885688789188862E-3</v>
      </c>
      <c r="BD66" s="1">
        <v>1</v>
      </c>
      <c r="BE66" s="1">
        <v>-1.355140209197998</v>
      </c>
      <c r="BF66" s="1">
        <v>7.355140209197998</v>
      </c>
      <c r="BG66" s="1">
        <v>1</v>
      </c>
      <c r="BH66" s="1">
        <v>0</v>
      </c>
      <c r="BI66" s="1">
        <v>0.15999999642372131</v>
      </c>
      <c r="BJ66" s="1">
        <v>111115</v>
      </c>
      <c r="BK66">
        <f t="shared" si="185"/>
        <v>1.0025331837774443</v>
      </c>
      <c r="BL66">
        <f t="shared" si="186"/>
        <v>2.7860274223156741E-4</v>
      </c>
      <c r="BM66">
        <f t="shared" si="187"/>
        <v>292.93724098205564</v>
      </c>
      <c r="BN66">
        <f t="shared" si="188"/>
        <v>293.68905677795408</v>
      </c>
      <c r="BO66">
        <f t="shared" si="189"/>
        <v>19.776264206403539</v>
      </c>
      <c r="BP66">
        <f t="shared" si="190"/>
        <v>5.2517213169596788E-2</v>
      </c>
      <c r="BQ66">
        <f t="shared" si="191"/>
        <v>2.3158738624294521</v>
      </c>
      <c r="BR66">
        <f t="shared" si="192"/>
        <v>22.943392258237889</v>
      </c>
      <c r="BS66">
        <f t="shared" si="193"/>
        <v>8.1149287038555649</v>
      </c>
      <c r="BT66">
        <f t="shared" si="194"/>
        <v>20.163148880004883</v>
      </c>
      <c r="BU66">
        <f t="shared" si="195"/>
        <v>2.3704263066271132</v>
      </c>
      <c r="BV66">
        <f t="shared" si="196"/>
        <v>3.3683730430978637E-2</v>
      </c>
      <c r="BW66">
        <f t="shared" si="197"/>
        <v>1.4967643310570857</v>
      </c>
      <c r="BX66">
        <f t="shared" si="198"/>
        <v>0.87366197557002745</v>
      </c>
      <c r="BY66">
        <f t="shared" si="199"/>
        <v>2.1061894916629596E-2</v>
      </c>
      <c r="BZ66">
        <f t="shared" si="200"/>
        <v>20.432186229057621</v>
      </c>
      <c r="CA66">
        <f t="shared" si="201"/>
        <v>0.50621510975586659</v>
      </c>
      <c r="CB66">
        <f t="shared" si="202"/>
        <v>64.063680063321172</v>
      </c>
      <c r="CC66">
        <f t="shared" si="203"/>
        <v>399.35749801034433</v>
      </c>
      <c r="CD66">
        <f t="shared" si="204"/>
        <v>6.5366674185294267E-3</v>
      </c>
      <c r="CE66">
        <f t="shared" si="205"/>
        <v>0</v>
      </c>
      <c r="CF66">
        <f t="shared" si="206"/>
        <v>108.12384439704067</v>
      </c>
      <c r="CG66">
        <f t="shared" si="207"/>
        <v>1071.1881103515625</v>
      </c>
      <c r="CH66">
        <f t="shared" si="208"/>
        <v>0.73635642283063818</v>
      </c>
      <c r="CI66" t="e">
        <f t="shared" si="209"/>
        <v>#DIV/0!</v>
      </c>
    </row>
    <row r="67" spans="1:87" x14ac:dyDescent="0.25">
      <c r="A67" s="1">
        <v>9</v>
      </c>
      <c r="B67" s="1" t="s">
        <v>298</v>
      </c>
      <c r="C67" s="1">
        <v>1765.9998937975615</v>
      </c>
      <c r="D67" s="1">
        <v>0</v>
      </c>
      <c r="E67">
        <f t="shared" si="168"/>
        <v>3.5139565121573386</v>
      </c>
      <c r="F67">
        <f t="shared" si="169"/>
        <v>8.9910032097966497E-3</v>
      </c>
      <c r="G67">
        <f t="shared" si="170"/>
        <v>-226.63952572965883</v>
      </c>
      <c r="H67" s="1">
        <v>90</v>
      </c>
      <c r="I67" s="1">
        <v>0</v>
      </c>
      <c r="J67" s="1">
        <v>0</v>
      </c>
      <c r="K67" s="1">
        <v>0</v>
      </c>
      <c r="L67" s="1">
        <v>0</v>
      </c>
      <c r="M67" s="1">
        <v>1125.46484375</v>
      </c>
      <c r="N67" s="1">
        <v>275.52285766601562</v>
      </c>
      <c r="O67" t="e">
        <f t="shared" si="171"/>
        <v>#DIV/0!</v>
      </c>
      <c r="P67">
        <f t="shared" si="172"/>
        <v>1</v>
      </c>
      <c r="Q67">
        <f t="shared" si="173"/>
        <v>0.75519194651341981</v>
      </c>
      <c r="R67" s="1">
        <v>-1</v>
      </c>
      <c r="S67" s="1">
        <v>0.87</v>
      </c>
      <c r="T67" s="1">
        <v>0.92</v>
      </c>
      <c r="U67" s="1">
        <v>8.4312143325805664</v>
      </c>
      <c r="V67">
        <f t="shared" si="174"/>
        <v>0.87421560716629032</v>
      </c>
      <c r="W67">
        <f t="shared" si="175"/>
        <v>5.2349559412917739E-2</v>
      </c>
      <c r="X67">
        <f t="shared" si="176"/>
        <v>0.75519194651341981</v>
      </c>
      <c r="Y67" t="e">
        <f t="shared" si="177"/>
        <v>#DIV/0!</v>
      </c>
      <c r="Z67">
        <f t="shared" si="178"/>
        <v>-1</v>
      </c>
      <c r="AA67" s="1">
        <v>98.633804321289063</v>
      </c>
      <c r="AB67" s="1">
        <v>0.5</v>
      </c>
      <c r="AC67">
        <f t="shared" si="179"/>
        <v>32.559047708545279</v>
      </c>
      <c r="AD67">
        <f t="shared" si="180"/>
        <v>7.2133449767157992E-2</v>
      </c>
      <c r="AE67">
        <f t="shared" si="181"/>
        <v>0.79519513126202601</v>
      </c>
      <c r="AF67">
        <f t="shared" si="182"/>
        <v>19.845720291137695</v>
      </c>
      <c r="AG67" s="1">
        <v>1.4930000305175781</v>
      </c>
      <c r="AH67">
        <f t="shared" si="183"/>
        <v>5.3319158355097898</v>
      </c>
      <c r="AI67" s="1">
        <v>1</v>
      </c>
      <c r="AJ67">
        <f t="shared" si="184"/>
        <v>10.66383167101958</v>
      </c>
      <c r="AK67" s="1">
        <v>20.227413177490234</v>
      </c>
      <c r="AL67" s="1">
        <v>19.845720291137695</v>
      </c>
      <c r="AM67" s="1">
        <v>20.273712158203125</v>
      </c>
      <c r="AN67" s="1">
        <v>403.78927612304687</v>
      </c>
      <c r="AO67" s="1">
        <v>400.25552368164062</v>
      </c>
      <c r="AP67" s="1">
        <v>15.074741363525391</v>
      </c>
      <c r="AQ67" s="1">
        <v>15.145600318908691</v>
      </c>
      <c r="AR67" s="1">
        <v>63.950641632080078</v>
      </c>
      <c r="AS67" s="1">
        <v>64.251243591308594</v>
      </c>
      <c r="AT67" s="1">
        <v>149.68345642089844</v>
      </c>
      <c r="AU67" s="1">
        <v>98.633804321289063</v>
      </c>
      <c r="AV67" s="1">
        <v>6.6156573295593262</v>
      </c>
      <c r="AW67" s="1">
        <v>100.95951080322266</v>
      </c>
      <c r="AX67" s="1">
        <v>1.3823989629745483</v>
      </c>
      <c r="AY67" s="1">
        <v>0.23029084503650665</v>
      </c>
      <c r="AZ67" s="1">
        <v>0.13559383153915405</v>
      </c>
      <c r="BA67" s="1">
        <v>4.8469132743775845E-3</v>
      </c>
      <c r="BB67" s="1">
        <v>0.11168832331895828</v>
      </c>
      <c r="BC67" s="1">
        <v>4.6885688789188862E-3</v>
      </c>
      <c r="BD67" s="1">
        <v>1</v>
      </c>
      <c r="BE67" s="1">
        <v>-1.355140209197998</v>
      </c>
      <c r="BF67" s="1">
        <v>7.355140209197998</v>
      </c>
      <c r="BG67" s="1">
        <v>1</v>
      </c>
      <c r="BH67" s="1">
        <v>0</v>
      </c>
      <c r="BI67" s="1">
        <v>0.15999999642372131</v>
      </c>
      <c r="BJ67" s="1">
        <v>111115</v>
      </c>
      <c r="BK67">
        <f t="shared" si="185"/>
        <v>1.002568341334914</v>
      </c>
      <c r="BL67">
        <f t="shared" si="186"/>
        <v>7.2133449767157988E-5</v>
      </c>
      <c r="BM67">
        <f t="shared" si="187"/>
        <v>292.99572029113767</v>
      </c>
      <c r="BN67">
        <f t="shared" si="188"/>
        <v>293.37741317749021</v>
      </c>
      <c r="BO67">
        <f t="shared" si="189"/>
        <v>15.781408338664278</v>
      </c>
      <c r="BP67">
        <f t="shared" si="190"/>
        <v>5.6137753288057653E-2</v>
      </c>
      <c r="BQ67">
        <f t="shared" si="191"/>
        <v>2.3242875302801806</v>
      </c>
      <c r="BR67">
        <f t="shared" si="192"/>
        <v>23.021976946881054</v>
      </c>
      <c r="BS67">
        <f t="shared" si="193"/>
        <v>7.8763766279723626</v>
      </c>
      <c r="BT67">
        <f t="shared" si="194"/>
        <v>20.036566734313965</v>
      </c>
      <c r="BU67">
        <f t="shared" si="195"/>
        <v>2.3519320705567015</v>
      </c>
      <c r="BV67">
        <f t="shared" si="196"/>
        <v>8.9834290055597742E-3</v>
      </c>
      <c r="BW67">
        <f t="shared" si="197"/>
        <v>1.5290923990181546</v>
      </c>
      <c r="BX67">
        <f t="shared" si="198"/>
        <v>0.82283967153854687</v>
      </c>
      <c r="BY67">
        <f t="shared" si="199"/>
        <v>5.6153231324710647E-3</v>
      </c>
      <c r="BZ67">
        <f t="shared" si="200"/>
        <v>-22.881415646340749</v>
      </c>
      <c r="CA67">
        <f t="shared" si="201"/>
        <v>-0.56623709685497237</v>
      </c>
      <c r="CB67">
        <f t="shared" si="202"/>
        <v>65.151351871931169</v>
      </c>
      <c r="CC67">
        <f t="shared" si="203"/>
        <v>399.81067032707159</v>
      </c>
      <c r="CD67">
        <f t="shared" si="204"/>
        <v>5.7261857718539496E-3</v>
      </c>
      <c r="CE67">
        <f t="shared" si="205"/>
        <v>0</v>
      </c>
      <c r="CF67">
        <f t="shared" si="206"/>
        <v>86.227211131856791</v>
      </c>
      <c r="CG67">
        <f t="shared" si="207"/>
        <v>1125.46484375</v>
      </c>
      <c r="CH67">
        <f t="shared" si="208"/>
        <v>0.75519194651341981</v>
      </c>
      <c r="CI67" t="e">
        <f t="shared" si="209"/>
        <v>#DIV/0!</v>
      </c>
    </row>
    <row r="68" spans="1:87" x14ac:dyDescent="0.25">
      <c r="A68" s="1">
        <v>10</v>
      </c>
      <c r="B68" s="1" t="s">
        <v>299</v>
      </c>
      <c r="C68" s="1">
        <v>1970.499879703857</v>
      </c>
      <c r="D68" s="1">
        <v>0</v>
      </c>
      <c r="E68">
        <f t="shared" si="168"/>
        <v>3.0369664285663673</v>
      </c>
      <c r="F68">
        <f t="shared" si="169"/>
        <v>2.6611623608532291E-2</v>
      </c>
      <c r="G68">
        <f t="shared" si="170"/>
        <v>213.1969328178092</v>
      </c>
      <c r="H68" s="1">
        <v>91</v>
      </c>
      <c r="I68" s="1">
        <v>0</v>
      </c>
      <c r="J68" s="1">
        <v>0</v>
      </c>
      <c r="K68" s="1">
        <v>0</v>
      </c>
      <c r="L68" s="1">
        <v>0</v>
      </c>
      <c r="M68" s="1">
        <v>1166.86474609375</v>
      </c>
      <c r="N68" s="1">
        <v>268.14215087890625</v>
      </c>
      <c r="O68" t="e">
        <f t="shared" si="171"/>
        <v>#DIV/0!</v>
      </c>
      <c r="P68">
        <f t="shared" si="172"/>
        <v>1</v>
      </c>
      <c r="Q68">
        <f t="shared" si="173"/>
        <v>0.77020288617292521</v>
      </c>
      <c r="R68" s="1">
        <v>-1</v>
      </c>
      <c r="S68" s="1">
        <v>0.87</v>
      </c>
      <c r="T68" s="1">
        <v>0.92</v>
      </c>
      <c r="U68" s="1">
        <v>10.671531677246094</v>
      </c>
      <c r="V68">
        <f t="shared" si="174"/>
        <v>0.87533576583862316</v>
      </c>
      <c r="W68">
        <f t="shared" si="175"/>
        <v>6.013445101401322E-2</v>
      </c>
      <c r="X68">
        <f t="shared" si="176"/>
        <v>0.77020288617292521</v>
      </c>
      <c r="Y68" t="e">
        <f t="shared" si="177"/>
        <v>#DIV/0!</v>
      </c>
      <c r="Z68">
        <f t="shared" si="178"/>
        <v>-1</v>
      </c>
      <c r="AA68" s="1">
        <v>76.693244934082031</v>
      </c>
      <c r="AB68" s="1">
        <v>0.5</v>
      </c>
      <c r="AC68">
        <f t="shared" si="179"/>
        <v>25.85276112307454</v>
      </c>
      <c r="AD68">
        <f t="shared" si="180"/>
        <v>0.20159050438303938</v>
      </c>
      <c r="AE68">
        <f t="shared" si="181"/>
        <v>0.75218236148520456</v>
      </c>
      <c r="AF68">
        <f t="shared" si="182"/>
        <v>19.499191284179688</v>
      </c>
      <c r="AG68" s="1">
        <v>1.4930000305175781</v>
      </c>
      <c r="AH68">
        <f t="shared" si="183"/>
        <v>5.3319158355097898</v>
      </c>
      <c r="AI68" s="1">
        <v>1</v>
      </c>
      <c r="AJ68">
        <f t="shared" si="184"/>
        <v>10.66383167101958</v>
      </c>
      <c r="AK68" s="1">
        <v>21.341934204101563</v>
      </c>
      <c r="AL68" s="1">
        <v>19.499191284179688</v>
      </c>
      <c r="AM68" s="1">
        <v>22.185331344604492</v>
      </c>
      <c r="AN68" s="1">
        <v>403.01535034179687</v>
      </c>
      <c r="AO68" s="1">
        <v>399.90545654296875</v>
      </c>
      <c r="AP68" s="1">
        <v>14.885634422302246</v>
      </c>
      <c r="AQ68" s="1">
        <v>15.083694458007813</v>
      </c>
      <c r="AR68" s="1">
        <v>58.953449249267578</v>
      </c>
      <c r="AS68" s="1">
        <v>59.73785400390625</v>
      </c>
      <c r="AT68" s="1">
        <v>149.66917419433594</v>
      </c>
      <c r="AU68" s="1">
        <v>76.693244934082031</v>
      </c>
      <c r="AV68" s="1">
        <v>6.7167859077453613</v>
      </c>
      <c r="AW68" s="1">
        <v>100.94588470458984</v>
      </c>
      <c r="AX68" s="1">
        <v>1.3823989629745483</v>
      </c>
      <c r="AY68" s="1">
        <v>0.23029084503650665</v>
      </c>
      <c r="AZ68" s="1">
        <v>0.13559383153915405</v>
      </c>
      <c r="BA68" s="1">
        <v>4.8469132743775845E-3</v>
      </c>
      <c r="BB68" s="1">
        <v>0.11168832331895828</v>
      </c>
      <c r="BC68" s="1">
        <v>4.6885688789188862E-3</v>
      </c>
      <c r="BD68" s="1">
        <v>0.75</v>
      </c>
      <c r="BE68" s="1">
        <v>-1.355140209197998</v>
      </c>
      <c r="BF68" s="1">
        <v>7.355140209197998</v>
      </c>
      <c r="BG68" s="1">
        <v>1</v>
      </c>
      <c r="BH68" s="1">
        <v>0</v>
      </c>
      <c r="BI68" s="1">
        <v>0.15999999642372131</v>
      </c>
      <c r="BJ68" s="1">
        <v>111115</v>
      </c>
      <c r="BK68">
        <f t="shared" si="185"/>
        <v>1.0024726800738921</v>
      </c>
      <c r="BL68">
        <f t="shared" si="186"/>
        <v>2.0159050438303938E-4</v>
      </c>
      <c r="BM68">
        <f t="shared" si="187"/>
        <v>292.64919128417966</v>
      </c>
      <c r="BN68">
        <f t="shared" si="188"/>
        <v>294.49193420410154</v>
      </c>
      <c r="BO68">
        <f t="shared" si="189"/>
        <v>12.270918915176708</v>
      </c>
      <c r="BP68">
        <f t="shared" si="190"/>
        <v>7.8697369152935764E-2</v>
      </c>
      <c r="BQ68">
        <f t="shared" si="191"/>
        <v>2.274819243162522</v>
      </c>
      <c r="BR68">
        <f t="shared" si="192"/>
        <v>22.535036963810867</v>
      </c>
      <c r="BS68">
        <f t="shared" si="193"/>
        <v>7.4513425058030549</v>
      </c>
      <c r="BT68">
        <f t="shared" si="194"/>
        <v>20.420562744140625</v>
      </c>
      <c r="BU68">
        <f t="shared" si="195"/>
        <v>2.4084290912680326</v>
      </c>
      <c r="BV68">
        <f t="shared" si="196"/>
        <v>2.6545379535057988E-2</v>
      </c>
      <c r="BW68">
        <f t="shared" si="197"/>
        <v>1.5226368816773175</v>
      </c>
      <c r="BX68">
        <f t="shared" si="198"/>
        <v>0.88579220959071514</v>
      </c>
      <c r="BY68">
        <f t="shared" si="199"/>
        <v>1.6596801135242662E-2</v>
      </c>
      <c r="BZ68">
        <f t="shared" si="200"/>
        <v>21.521352999598754</v>
      </c>
      <c r="CA68">
        <f t="shared" si="201"/>
        <v>0.53311833917150309</v>
      </c>
      <c r="CB68">
        <f t="shared" si="202"/>
        <v>66.384434276652797</v>
      </c>
      <c r="CC68">
        <f t="shared" si="203"/>
        <v>399.52098829505871</v>
      </c>
      <c r="CD68">
        <f t="shared" si="204"/>
        <v>5.0462254595914167E-3</v>
      </c>
      <c r="CE68">
        <f t="shared" si="205"/>
        <v>0</v>
      </c>
      <c r="CF68">
        <f t="shared" si="206"/>
        <v>67.132340289023801</v>
      </c>
      <c r="CG68">
        <f t="shared" si="207"/>
        <v>1166.86474609375</v>
      </c>
      <c r="CH68">
        <f t="shared" si="208"/>
        <v>0.77020288617292521</v>
      </c>
      <c r="CI68" t="e">
        <f t="shared" si="209"/>
        <v>#DIV/0!</v>
      </c>
    </row>
    <row r="69" spans="1:87" x14ac:dyDescent="0.25">
      <c r="A69" s="1">
        <v>11</v>
      </c>
      <c r="B69" s="1" t="s">
        <v>300</v>
      </c>
      <c r="C69" s="1">
        <v>2126.9998689182103</v>
      </c>
      <c r="D69" s="1">
        <v>0</v>
      </c>
      <c r="E69">
        <f t="shared" si="168"/>
        <v>1.7617653435097591</v>
      </c>
      <c r="F69">
        <f t="shared" si="169"/>
        <v>-3.3428872745174344E-2</v>
      </c>
      <c r="G69">
        <f t="shared" si="170"/>
        <v>478.50610174096107</v>
      </c>
      <c r="H69" s="1">
        <v>92</v>
      </c>
      <c r="I69" s="1">
        <v>0</v>
      </c>
      <c r="J69" s="1">
        <v>0</v>
      </c>
      <c r="K69" s="1">
        <v>0</v>
      </c>
      <c r="L69" s="1">
        <v>0</v>
      </c>
      <c r="M69" s="1">
        <v>1184.1893310546875</v>
      </c>
      <c r="N69" s="1">
        <v>251.68862915039062</v>
      </c>
      <c r="O69" t="e">
        <f t="shared" si="171"/>
        <v>#DIV/0!</v>
      </c>
      <c r="P69">
        <f t="shared" si="172"/>
        <v>1</v>
      </c>
      <c r="Q69">
        <f t="shared" si="173"/>
        <v>0.78745913128078393</v>
      </c>
      <c r="R69" s="1">
        <v>-1</v>
      </c>
      <c r="S69" s="1">
        <v>0.87</v>
      </c>
      <c r="T69" s="1">
        <v>0.92</v>
      </c>
      <c r="U69" s="1">
        <v>9.727325439453125</v>
      </c>
      <c r="V69">
        <f t="shared" si="174"/>
        <v>0.8748636627197266</v>
      </c>
      <c r="W69">
        <f t="shared" si="175"/>
        <v>6.5206401717977619E-2</v>
      </c>
      <c r="X69">
        <f t="shared" si="176"/>
        <v>0.78745913128078393</v>
      </c>
      <c r="Y69" t="e">
        <f t="shared" si="177"/>
        <v>#DIV/0!</v>
      </c>
      <c r="Z69">
        <f t="shared" si="178"/>
        <v>-1</v>
      </c>
      <c r="AA69" s="1">
        <v>48.412349700927734</v>
      </c>
      <c r="AB69" s="1">
        <v>0.5</v>
      </c>
      <c r="AC69">
        <f t="shared" si="179"/>
        <v>16.676102966144633</v>
      </c>
      <c r="AD69">
        <f t="shared" si="180"/>
        <v>-0.23121974397724027</v>
      </c>
      <c r="AE69">
        <f t="shared" si="181"/>
        <v>0.68235788661674901</v>
      </c>
      <c r="AF69">
        <f t="shared" si="182"/>
        <v>19.825666427612305</v>
      </c>
      <c r="AG69" s="1">
        <v>1.4930000305175781</v>
      </c>
      <c r="AH69">
        <f t="shared" si="183"/>
        <v>5.3319158355097898</v>
      </c>
      <c r="AI69" s="1">
        <v>1</v>
      </c>
      <c r="AJ69">
        <f t="shared" si="184"/>
        <v>10.66383167101958</v>
      </c>
      <c r="AK69" s="1">
        <v>21.915512084960937</v>
      </c>
      <c r="AL69" s="1">
        <v>19.825666427612305</v>
      </c>
      <c r="AM69" s="1">
        <v>22.781244277954102</v>
      </c>
      <c r="AN69" s="1">
        <v>400.91818237304687</v>
      </c>
      <c r="AO69" s="1">
        <v>399.25335693359375</v>
      </c>
      <c r="AP69" s="1">
        <v>16.464105606079102</v>
      </c>
      <c r="AQ69" s="1">
        <v>16.237270355224609</v>
      </c>
      <c r="AR69" s="1">
        <v>62.955451965332031</v>
      </c>
      <c r="AS69" s="1">
        <v>62.088077545166016</v>
      </c>
      <c r="AT69" s="1">
        <v>149.71473693847656</v>
      </c>
      <c r="AU69" s="1">
        <v>48.412349700927734</v>
      </c>
      <c r="AV69" s="1">
        <v>6.6226940155029297</v>
      </c>
      <c r="AW69" s="1">
        <v>100.94316101074219</v>
      </c>
      <c r="AX69" s="1">
        <v>1.3823989629745483</v>
      </c>
      <c r="AY69" s="1">
        <v>0.23029084503650665</v>
      </c>
      <c r="AZ69" s="1">
        <v>0.13559383153915405</v>
      </c>
      <c r="BA69" s="1">
        <v>4.8469132743775845E-3</v>
      </c>
      <c r="BB69" s="1">
        <v>0.11168832331895828</v>
      </c>
      <c r="BC69" s="1">
        <v>4.6885688789188862E-3</v>
      </c>
      <c r="BD69" s="1">
        <v>1</v>
      </c>
      <c r="BE69" s="1">
        <v>-1.355140209197998</v>
      </c>
      <c r="BF69" s="1">
        <v>7.355140209197998</v>
      </c>
      <c r="BG69" s="1">
        <v>1</v>
      </c>
      <c r="BH69" s="1">
        <v>0</v>
      </c>
      <c r="BI69" s="1">
        <v>0.15999999642372131</v>
      </c>
      <c r="BJ69" s="1">
        <v>111115</v>
      </c>
      <c r="BK69">
        <f t="shared" si="185"/>
        <v>1.0027778558489042</v>
      </c>
      <c r="BL69">
        <f t="shared" si="186"/>
        <v>-2.3121974397724026E-4</v>
      </c>
      <c r="BM69">
        <f t="shared" si="187"/>
        <v>292.97566642761228</v>
      </c>
      <c r="BN69">
        <f t="shared" si="188"/>
        <v>295.06551208496091</v>
      </c>
      <c r="BO69">
        <f t="shared" si="189"/>
        <v>7.7459757790123831</v>
      </c>
      <c r="BP69">
        <f t="shared" si="190"/>
        <v>0.13688979243536487</v>
      </c>
      <c r="BQ69">
        <f t="shared" si="191"/>
        <v>2.3213992824591378</v>
      </c>
      <c r="BR69">
        <f t="shared" si="192"/>
        <v>22.997093207850888</v>
      </c>
      <c r="BS69">
        <f t="shared" si="193"/>
        <v>6.7598228526262787</v>
      </c>
      <c r="BT69">
        <f t="shared" si="194"/>
        <v>20.870589256286621</v>
      </c>
      <c r="BU69">
        <f t="shared" si="195"/>
        <v>2.4761513325789237</v>
      </c>
      <c r="BV69">
        <f t="shared" si="196"/>
        <v>-3.3533994776222355E-2</v>
      </c>
      <c r="BW69">
        <f t="shared" si="197"/>
        <v>1.6390413958423888</v>
      </c>
      <c r="BX69">
        <f t="shared" si="198"/>
        <v>0.83710993673653489</v>
      </c>
      <c r="BY69">
        <f t="shared" si="199"/>
        <v>-2.0949276758692841E-2</v>
      </c>
      <c r="BZ69">
        <f t="shared" si="200"/>
        <v>48.301918472660418</v>
      </c>
      <c r="CA69">
        <f t="shared" si="201"/>
        <v>1.1985023880977641</v>
      </c>
      <c r="CB69">
        <f t="shared" si="202"/>
        <v>69.923296220325511</v>
      </c>
      <c r="CC69">
        <f t="shared" si="203"/>
        <v>399.03032422948593</v>
      </c>
      <c r="CD69">
        <f t="shared" si="204"/>
        <v>3.0871949449658774E-3</v>
      </c>
      <c r="CE69">
        <f t="shared" si="205"/>
        <v>0</v>
      </c>
      <c r="CF69">
        <f t="shared" si="206"/>
        <v>42.354205580221901</v>
      </c>
      <c r="CG69">
        <f t="shared" si="207"/>
        <v>1184.1893310546875</v>
      </c>
      <c r="CH69">
        <f t="shared" si="208"/>
        <v>0.78745913128078393</v>
      </c>
      <c r="CI69" t="e">
        <f t="shared" si="209"/>
        <v>#DIV/0!</v>
      </c>
    </row>
    <row r="70" spans="1:87" x14ac:dyDescent="0.25">
      <c r="A70" s="1">
        <v>12</v>
      </c>
      <c r="B70" s="1" t="s">
        <v>301</v>
      </c>
      <c r="C70" s="1">
        <v>2330.9998548589647</v>
      </c>
      <c r="D70" s="1">
        <v>0</v>
      </c>
      <c r="E70">
        <f t="shared" si="168"/>
        <v>0.5525447217905135</v>
      </c>
      <c r="F70">
        <f t="shared" si="169"/>
        <v>-1.1668789092662332E-2</v>
      </c>
      <c r="G70">
        <f t="shared" si="170"/>
        <v>470.00495295516862</v>
      </c>
      <c r="H70" s="1">
        <v>93</v>
      </c>
      <c r="I70" s="1">
        <v>0</v>
      </c>
      <c r="J70" s="1">
        <v>0</v>
      </c>
      <c r="K70" s="1">
        <v>0</v>
      </c>
      <c r="L70" s="1">
        <v>0</v>
      </c>
      <c r="M70" s="1">
        <v>1215.1221923828125</v>
      </c>
      <c r="N70" s="1">
        <v>234.19320678710937</v>
      </c>
      <c r="O70" t="e">
        <f t="shared" si="171"/>
        <v>#DIV/0!</v>
      </c>
      <c r="P70">
        <f t="shared" si="172"/>
        <v>1</v>
      </c>
      <c r="Q70">
        <f t="shared" si="173"/>
        <v>0.80726777252922632</v>
      </c>
      <c r="R70" s="1">
        <v>-1</v>
      </c>
      <c r="S70" s="1">
        <v>0.87</v>
      </c>
      <c r="T70" s="1">
        <v>0.92</v>
      </c>
      <c r="U70" s="1">
        <v>0</v>
      </c>
      <c r="V70">
        <f t="shared" si="174"/>
        <v>0.87</v>
      </c>
      <c r="W70">
        <f t="shared" si="175"/>
        <v>6.8152221384231701E-2</v>
      </c>
      <c r="X70">
        <f t="shared" si="176"/>
        <v>0.80726777252922632</v>
      </c>
      <c r="Y70" t="e">
        <f t="shared" si="177"/>
        <v>#DIV/0!</v>
      </c>
      <c r="Z70">
        <f t="shared" si="178"/>
        <v>-1</v>
      </c>
      <c r="AA70" s="1">
        <v>26.184534072875977</v>
      </c>
      <c r="AB70" s="1">
        <v>0.5</v>
      </c>
      <c r="AC70">
        <f t="shared" si="179"/>
        <v>9.1949997656409046</v>
      </c>
      <c r="AD70">
        <f t="shared" si="180"/>
        <v>-7.8790910716179358E-2</v>
      </c>
      <c r="AE70">
        <f t="shared" si="181"/>
        <v>0.66744193208520075</v>
      </c>
      <c r="AF70">
        <f t="shared" si="182"/>
        <v>19.881048202514648</v>
      </c>
      <c r="AG70" s="1">
        <v>1.4930000305175781</v>
      </c>
      <c r="AH70">
        <f t="shared" si="183"/>
        <v>5.3319158355097898</v>
      </c>
      <c r="AI70" s="1">
        <v>1</v>
      </c>
      <c r="AJ70">
        <f t="shared" si="184"/>
        <v>10.66383167101958</v>
      </c>
      <c r="AK70" s="1">
        <v>21.657146453857422</v>
      </c>
      <c r="AL70" s="1">
        <v>19.881048202514648</v>
      </c>
      <c r="AM70" s="1">
        <v>22.349428176879883</v>
      </c>
      <c r="AN70" s="1">
        <v>399.52182006835937</v>
      </c>
      <c r="AO70" s="1">
        <v>399.00198364257812</v>
      </c>
      <c r="AP70" s="1">
        <v>16.540178298950195</v>
      </c>
      <c r="AQ70" s="1">
        <v>16.462873458862305</v>
      </c>
      <c r="AR70" s="1">
        <v>64.257347106933594</v>
      </c>
      <c r="AS70" s="1">
        <v>63.957023620605469</v>
      </c>
      <c r="AT70" s="1">
        <v>149.6649169921875</v>
      </c>
      <c r="AU70" s="1">
        <v>26.184534072875977</v>
      </c>
      <c r="AV70" s="1">
        <v>6.6174039840698242</v>
      </c>
      <c r="AW70" s="1">
        <v>100.95086669921875</v>
      </c>
      <c r="AX70" s="1">
        <v>1.3823989629745483</v>
      </c>
      <c r="AY70" s="1">
        <v>0.23029084503650665</v>
      </c>
      <c r="AZ70" s="1">
        <v>0.13559383153915405</v>
      </c>
      <c r="BA70" s="1">
        <v>4.8469132743775845E-3</v>
      </c>
      <c r="BB70" s="1">
        <v>0.11168832331895828</v>
      </c>
      <c r="BC70" s="1">
        <v>4.6885688789188862E-3</v>
      </c>
      <c r="BD70" s="1">
        <v>0.75</v>
      </c>
      <c r="BE70" s="1">
        <v>-1.355140209197998</v>
      </c>
      <c r="BF70" s="1">
        <v>7.355140209197998</v>
      </c>
      <c r="BG70" s="1">
        <v>1</v>
      </c>
      <c r="BH70" s="1">
        <v>0</v>
      </c>
      <c r="BI70" s="1">
        <v>0.15999999642372131</v>
      </c>
      <c r="BJ70" s="1">
        <v>111115</v>
      </c>
      <c r="BK70">
        <f t="shared" si="185"/>
        <v>1.0024441656595491</v>
      </c>
      <c r="BL70">
        <f t="shared" si="186"/>
        <v>-7.8790910716179359E-5</v>
      </c>
      <c r="BM70">
        <f t="shared" si="187"/>
        <v>293.03104820251463</v>
      </c>
      <c r="BN70">
        <f t="shared" si="188"/>
        <v>294.8071464538574</v>
      </c>
      <c r="BO70">
        <f t="shared" si="189"/>
        <v>4.1895253580169651</v>
      </c>
      <c r="BP70">
        <f t="shared" si="190"/>
        <v>9.0841372175307147E-2</v>
      </c>
      <c r="BQ70">
        <f t="shared" si="191"/>
        <v>2.3293832761169155</v>
      </c>
      <c r="BR70">
        <f t="shared" si="192"/>
        <v>23.074425730858461</v>
      </c>
      <c r="BS70">
        <f t="shared" si="193"/>
        <v>6.6115522719961568</v>
      </c>
      <c r="BT70">
        <f t="shared" si="194"/>
        <v>20.769097328186035</v>
      </c>
      <c r="BU70">
        <f t="shared" si="195"/>
        <v>2.4607343899118215</v>
      </c>
      <c r="BV70">
        <f t="shared" si="196"/>
        <v>-1.1681571533223774E-2</v>
      </c>
      <c r="BW70">
        <f t="shared" si="197"/>
        <v>1.6619413440317148</v>
      </c>
      <c r="BX70">
        <f t="shared" si="198"/>
        <v>0.79879304588010669</v>
      </c>
      <c r="BY70">
        <f t="shared" si="199"/>
        <v>-7.2998327088554327E-3</v>
      </c>
      <c r="BZ70">
        <f t="shared" si="200"/>
        <v>47.447407353749803</v>
      </c>
      <c r="CA70">
        <f t="shared" si="201"/>
        <v>1.1779514193498202</v>
      </c>
      <c r="CB70">
        <f t="shared" si="202"/>
        <v>70.73696081509928</v>
      </c>
      <c r="CC70">
        <f t="shared" si="203"/>
        <v>398.93203360984791</v>
      </c>
      <c r="CD70">
        <f t="shared" si="204"/>
        <v>9.7974920640518442E-4</v>
      </c>
      <c r="CE70">
        <f t="shared" si="205"/>
        <v>0</v>
      </c>
      <c r="CF70">
        <f t="shared" si="206"/>
        <v>22.780544643402099</v>
      </c>
      <c r="CG70">
        <f t="shared" si="207"/>
        <v>1215.1221923828125</v>
      </c>
      <c r="CH70">
        <f t="shared" si="208"/>
        <v>0.80726777252922632</v>
      </c>
      <c r="CI70" t="e">
        <f t="shared" si="209"/>
        <v>#DIV/0!</v>
      </c>
    </row>
    <row r="71" spans="1:87" x14ac:dyDescent="0.25">
      <c r="A71" s="1">
        <v>13</v>
      </c>
      <c r="B71" s="1" t="s">
        <v>302</v>
      </c>
      <c r="C71" s="1">
        <v>2535.4998407652602</v>
      </c>
      <c r="D71" s="1">
        <v>0</v>
      </c>
      <c r="E71">
        <f t="shared" si="168"/>
        <v>-0.55363881756497313</v>
      </c>
      <c r="F71">
        <f t="shared" si="169"/>
        <v>-1.3160195634440899E-2</v>
      </c>
      <c r="G71">
        <f t="shared" si="170"/>
        <v>328.47416746252054</v>
      </c>
      <c r="H71" s="1">
        <v>94</v>
      </c>
      <c r="I71" s="1">
        <v>0</v>
      </c>
      <c r="J71" s="1">
        <v>0</v>
      </c>
      <c r="K71" s="1">
        <v>0</v>
      </c>
      <c r="L71" s="1">
        <v>0</v>
      </c>
      <c r="M71" s="1">
        <v>1262.8416748046875</v>
      </c>
      <c r="N71" s="1">
        <v>187.81636047363281</v>
      </c>
      <c r="O71" t="e">
        <f t="shared" si="171"/>
        <v>#DIV/0!</v>
      </c>
      <c r="P71">
        <f t="shared" si="172"/>
        <v>1</v>
      </c>
      <c r="Q71">
        <f t="shared" si="173"/>
        <v>0.85127481597985699</v>
      </c>
      <c r="R71" s="1">
        <v>-1</v>
      </c>
      <c r="S71" s="1">
        <v>0.87</v>
      </c>
      <c r="T71" s="1">
        <v>0.92</v>
      </c>
      <c r="U71" s="1">
        <v>0</v>
      </c>
      <c r="V71">
        <f t="shared" si="174"/>
        <v>0.87</v>
      </c>
      <c r="W71">
        <f t="shared" si="175"/>
        <v>2.2660081599623942</v>
      </c>
      <c r="X71">
        <f t="shared" si="176"/>
        <v>0.85127481597985699</v>
      </c>
      <c r="Y71" t="e">
        <f t="shared" si="177"/>
        <v>#DIV/0!</v>
      </c>
      <c r="Z71">
        <f t="shared" si="178"/>
        <v>-1</v>
      </c>
      <c r="AA71" s="1">
        <v>0.22641526162624359</v>
      </c>
      <c r="AB71" s="1">
        <v>0.5</v>
      </c>
      <c r="AC71">
        <f t="shared" si="179"/>
        <v>8.3842600426521585E-2</v>
      </c>
      <c r="AD71">
        <f t="shared" si="180"/>
        <v>-9.4937374688466164E-2</v>
      </c>
      <c r="AE71">
        <f t="shared" si="181"/>
        <v>0.71333870071266237</v>
      </c>
      <c r="AF71">
        <f t="shared" si="182"/>
        <v>19.682281494140625</v>
      </c>
      <c r="AG71" s="1">
        <v>1.4930000305175781</v>
      </c>
      <c r="AH71">
        <f t="shared" si="183"/>
        <v>5.3319158355097898</v>
      </c>
      <c r="AI71" s="1">
        <v>1</v>
      </c>
      <c r="AJ71">
        <f t="shared" si="184"/>
        <v>10.66383167101958</v>
      </c>
      <c r="AK71" s="1">
        <v>22.834125518798828</v>
      </c>
      <c r="AL71" s="1">
        <v>19.682281494140625</v>
      </c>
      <c r="AM71" s="1">
        <v>24.337114334106445</v>
      </c>
      <c r="AN71" s="1">
        <v>399.322998046875</v>
      </c>
      <c r="AO71" s="1">
        <v>399.9129638671875</v>
      </c>
      <c r="AP71" s="1">
        <v>15.818929672241211</v>
      </c>
      <c r="AQ71" s="1">
        <v>15.725744247436523</v>
      </c>
      <c r="AR71" s="1">
        <v>57.205345153808594</v>
      </c>
      <c r="AS71" s="1">
        <v>56.868362426757813</v>
      </c>
      <c r="AT71" s="1">
        <v>149.71495056152344</v>
      </c>
      <c r="AU71" s="1">
        <v>0.22641526162624359</v>
      </c>
      <c r="AV71" s="1">
        <v>6.7430334091186523</v>
      </c>
      <c r="AW71" s="1">
        <v>100.94918823242187</v>
      </c>
      <c r="AX71" s="1">
        <v>1.3823989629745483</v>
      </c>
      <c r="AY71" s="1">
        <v>0.23029084503650665</v>
      </c>
      <c r="AZ71" s="1">
        <v>0.13559383153915405</v>
      </c>
      <c r="BA71" s="1">
        <v>4.8469132743775845E-3</v>
      </c>
      <c r="BB71" s="1">
        <v>0.11168832331895828</v>
      </c>
      <c r="BC71" s="1">
        <v>4.6885688789188862E-3</v>
      </c>
      <c r="BD71" s="1">
        <v>0.75</v>
      </c>
      <c r="BE71" s="1">
        <v>-1.355140209197998</v>
      </c>
      <c r="BF71" s="1">
        <v>7.355140209197998</v>
      </c>
      <c r="BG71" s="1">
        <v>1</v>
      </c>
      <c r="BH71" s="1">
        <v>0</v>
      </c>
      <c r="BI71" s="1">
        <v>0.15999999642372131</v>
      </c>
      <c r="BJ71" s="1">
        <v>111115</v>
      </c>
      <c r="BK71">
        <f t="shared" si="185"/>
        <v>1.0027792866797316</v>
      </c>
      <c r="BL71">
        <f t="shared" si="186"/>
        <v>-9.4937374688466169E-5</v>
      </c>
      <c r="BM71">
        <f t="shared" si="187"/>
        <v>292.8322814941406</v>
      </c>
      <c r="BN71">
        <f t="shared" si="188"/>
        <v>295.98412551879881</v>
      </c>
      <c r="BO71">
        <f t="shared" si="189"/>
        <v>3.62264410504749E-2</v>
      </c>
      <c r="BP71">
        <f t="shared" si="190"/>
        <v>0.1303581481964399</v>
      </c>
      <c r="BQ71">
        <f t="shared" si="191"/>
        <v>2.3008398168420574</v>
      </c>
      <c r="BR71">
        <f t="shared" si="192"/>
        <v>22.792058629978126</v>
      </c>
      <c r="BS71">
        <f t="shared" si="193"/>
        <v>7.0663143825416022</v>
      </c>
      <c r="BT71">
        <f t="shared" si="194"/>
        <v>21.258203506469727</v>
      </c>
      <c r="BU71">
        <f t="shared" si="195"/>
        <v>2.5358124574662857</v>
      </c>
      <c r="BV71">
        <f t="shared" si="196"/>
        <v>-1.3176456651367111E-2</v>
      </c>
      <c r="BW71">
        <f t="shared" si="197"/>
        <v>1.587501116129395</v>
      </c>
      <c r="BX71">
        <f t="shared" si="198"/>
        <v>0.94831134133689066</v>
      </c>
      <c r="BY71">
        <f t="shared" si="199"/>
        <v>-8.2338229109526206E-3</v>
      </c>
      <c r="BZ71">
        <f t="shared" si="200"/>
        <v>33.15920056066205</v>
      </c>
      <c r="CA71">
        <f t="shared" si="201"/>
        <v>0.82136413955214505</v>
      </c>
      <c r="CB71">
        <f t="shared" si="202"/>
        <v>68.348716990445652</v>
      </c>
      <c r="CC71">
        <f t="shared" si="203"/>
        <v>399.98305240822702</v>
      </c>
      <c r="CD71">
        <f t="shared" si="204"/>
        <v>-9.460526547023021E-4</v>
      </c>
      <c r="CE71">
        <f t="shared" si="205"/>
        <v>0</v>
      </c>
      <c r="CF71">
        <f t="shared" si="206"/>
        <v>0.19698127761483192</v>
      </c>
      <c r="CG71">
        <f t="shared" si="207"/>
        <v>1262.8416748046875</v>
      </c>
      <c r="CH71">
        <f t="shared" si="208"/>
        <v>0.85127481597985699</v>
      </c>
      <c r="CI71" t="e">
        <f t="shared" si="209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opLeftCell="B1" workbookViewId="0">
      <selection activeCell="C13" sqref="C13"/>
    </sheetView>
  </sheetViews>
  <sheetFormatPr defaultRowHeight="15" x14ac:dyDescent="0.25"/>
  <cols>
    <col min="1" max="16384" width="9.140625" style="4"/>
  </cols>
  <sheetData>
    <row r="1" spans="1:19" ht="23.25" x14ac:dyDescent="0.35">
      <c r="A1" s="11" t="s">
        <v>97</v>
      </c>
      <c r="F1" s="11" t="s">
        <v>97</v>
      </c>
      <c r="K1" s="11" t="s">
        <v>97</v>
      </c>
      <c r="P1" s="11" t="s">
        <v>97</v>
      </c>
    </row>
    <row r="2" spans="1:19" x14ac:dyDescent="0.25">
      <c r="C2" s="12">
        <v>73.143341987810771</v>
      </c>
      <c r="D2" s="4" t="s">
        <v>129</v>
      </c>
      <c r="H2" s="12">
        <v>74.838871066756255</v>
      </c>
      <c r="I2" s="4" t="s">
        <v>129</v>
      </c>
      <c r="M2" s="12">
        <v>87.975785206881241</v>
      </c>
      <c r="N2" s="4" t="s">
        <v>129</v>
      </c>
      <c r="R2" s="12">
        <v>118.42418834194646</v>
      </c>
      <c r="S2" s="4" t="s">
        <v>129</v>
      </c>
    </row>
    <row r="3" spans="1:19" x14ac:dyDescent="0.25">
      <c r="C3" s="12">
        <v>4.74053890624377E-3</v>
      </c>
      <c r="D3" s="4" t="s">
        <v>133</v>
      </c>
      <c r="H3" s="12">
        <v>4.364205035321438E-3</v>
      </c>
      <c r="I3" s="4" t="s">
        <v>133</v>
      </c>
      <c r="M3" s="12">
        <v>3.3104171189165432E-3</v>
      </c>
      <c r="N3" s="4" t="s">
        <v>133</v>
      </c>
      <c r="R3" s="12">
        <v>2.9033401372810931E-3</v>
      </c>
      <c r="S3" s="4" t="s">
        <v>133</v>
      </c>
    </row>
    <row r="4" spans="1:19" x14ac:dyDescent="0.25">
      <c r="C4" s="12"/>
      <c r="H4" s="12"/>
      <c r="M4" s="12"/>
      <c r="R4" s="12"/>
    </row>
    <row r="5" spans="1:19" x14ac:dyDescent="0.25">
      <c r="B5" s="4" t="s">
        <v>125</v>
      </c>
      <c r="C5" s="4">
        <f>SUMXMY2(B13:B22,C13:C22)</f>
        <v>1.1473773704820505</v>
      </c>
      <c r="G5" s="4" t="s">
        <v>125</v>
      </c>
      <c r="H5" s="4">
        <f>SUMXMY2(G13:G22,H13:H22)</f>
        <v>2.0119317720055334</v>
      </c>
      <c r="L5" s="4" t="s">
        <v>125</v>
      </c>
      <c r="M5" s="4">
        <f>SUMXMY2(L13:L25,M13:M25)</f>
        <v>0.2692382939680199</v>
      </c>
      <c r="Q5" s="4" t="s">
        <v>125</v>
      </c>
      <c r="R5" s="4">
        <f>SUMXMY2(Q13:Q25,R13:R25)</f>
        <v>2.6522677785828748</v>
      </c>
    </row>
    <row r="8" spans="1:19" x14ac:dyDescent="0.25">
      <c r="B8" s="10"/>
      <c r="G8" s="10"/>
      <c r="L8" s="10"/>
      <c r="Q8" s="10"/>
    </row>
    <row r="9" spans="1:19" x14ac:dyDescent="0.25">
      <c r="B9" s="4" t="s">
        <v>134</v>
      </c>
      <c r="C9" s="4">
        <f>C2</f>
        <v>73.143341987810771</v>
      </c>
      <c r="G9" s="4" t="s">
        <v>134</v>
      </c>
      <c r="H9" s="4">
        <f>H2</f>
        <v>74.838871066756255</v>
      </c>
      <c r="L9" s="4" t="s">
        <v>134</v>
      </c>
      <c r="M9" s="4">
        <f>M2</f>
        <v>87.975785206881241</v>
      </c>
      <c r="Q9" s="4" t="s">
        <v>134</v>
      </c>
      <c r="R9" s="4">
        <f>R2</f>
        <v>118.42418834194646</v>
      </c>
    </row>
    <row r="10" spans="1:19" x14ac:dyDescent="0.25">
      <c r="B10" s="5"/>
      <c r="C10" s="5"/>
      <c r="D10" s="5"/>
      <c r="G10" s="5"/>
      <c r="H10" s="5"/>
      <c r="I10" s="5"/>
      <c r="L10" s="5"/>
      <c r="M10" s="5"/>
      <c r="N10" s="5"/>
      <c r="Q10" s="5"/>
      <c r="R10" s="5"/>
      <c r="S10" s="5"/>
    </row>
    <row r="11" spans="1:19" x14ac:dyDescent="0.25">
      <c r="B11" s="5" t="s">
        <v>120</v>
      </c>
      <c r="G11" s="5" t="s">
        <v>120</v>
      </c>
      <c r="L11" s="5" t="s">
        <v>120</v>
      </c>
      <c r="Q11" s="5" t="s">
        <v>120</v>
      </c>
    </row>
    <row r="12" spans="1:19" ht="26.25" x14ac:dyDescent="0.25">
      <c r="A12" s="5" t="s">
        <v>121</v>
      </c>
      <c r="B12" s="5" t="s">
        <v>30</v>
      </c>
      <c r="C12" s="13" t="s">
        <v>260</v>
      </c>
      <c r="D12" s="13"/>
      <c r="E12" s="14"/>
      <c r="F12" s="5" t="s">
        <v>121</v>
      </c>
      <c r="G12" s="5" t="s">
        <v>30</v>
      </c>
      <c r="H12" s="13" t="s">
        <v>260</v>
      </c>
      <c r="I12" s="13"/>
      <c r="K12" s="5" t="s">
        <v>121</v>
      </c>
      <c r="L12" s="5" t="s">
        <v>30</v>
      </c>
      <c r="M12" s="13" t="s">
        <v>260</v>
      </c>
      <c r="N12" s="13"/>
      <c r="P12" s="5" t="s">
        <v>121</v>
      </c>
      <c r="Q12" s="5" t="s">
        <v>30</v>
      </c>
      <c r="R12" s="13" t="s">
        <v>260</v>
      </c>
      <c r="S12" s="13"/>
    </row>
    <row r="13" spans="1:19" x14ac:dyDescent="0.25">
      <c r="A13" s="4">
        <f>'10oC'!AU7</f>
        <v>451.79409790039062</v>
      </c>
      <c r="B13" s="4">
        <f>'10oC'!AC7</f>
        <v>64.270151230490896</v>
      </c>
      <c r="C13" s="15">
        <f>C$2*(1-EXP(-C$3*$A13))</f>
        <v>64.552698830455498</v>
      </c>
      <c r="D13" s="7"/>
      <c r="F13" s="4">
        <f>'10oC'!AU18</f>
        <v>597.91339111328125</v>
      </c>
      <c r="G13" s="4">
        <f>'10oC'!AC18</f>
        <v>68.579329078752011</v>
      </c>
      <c r="H13" s="15">
        <f>H$2*(1-EXP(-H$3*$F13))</f>
        <v>69.332417476098314</v>
      </c>
      <c r="I13" s="7"/>
      <c r="K13" s="4">
        <f>'10oC'!AU32</f>
        <v>450.7843017578125</v>
      </c>
      <c r="L13" s="4">
        <f>'10oC'!AC32</f>
        <v>68.332283154219724</v>
      </c>
      <c r="M13" s="15">
        <f>M$2*(1-EXP(-M$3*$K13))</f>
        <v>68.19368420540205</v>
      </c>
      <c r="N13" s="7"/>
      <c r="P13" s="4">
        <f>'10oC'!AU45</f>
        <v>598.6409912109375</v>
      </c>
      <c r="Q13" s="4">
        <f>'10oC'!AC45</f>
        <v>96.750784373251236</v>
      </c>
      <c r="R13" s="15">
        <f>R$2*(1-EXP(-R$3*$P13))</f>
        <v>97.597930695632101</v>
      </c>
      <c r="S13" s="7"/>
    </row>
    <row r="14" spans="1:19" x14ac:dyDescent="0.25">
      <c r="A14" s="4">
        <f>'10oC'!AU8</f>
        <v>300.58987426757812</v>
      </c>
      <c r="B14" s="4">
        <f>'10oC'!AC8</f>
        <v>55.85559869297547</v>
      </c>
      <c r="C14" s="15">
        <f t="shared" ref="C14:C22" si="0">C$2*(1-EXP(-C$3*$A14))</f>
        <v>55.551010240710696</v>
      </c>
      <c r="D14" s="7"/>
      <c r="E14" s="8"/>
      <c r="F14" s="4">
        <f>'10oC'!AU19</f>
        <v>498.26486206054687</v>
      </c>
      <c r="G14" s="4">
        <f>'10oC'!AC19</f>
        <v>66.192226934971984</v>
      </c>
      <c r="H14" s="15">
        <f t="shared" ref="H14:H22" si="1">H$2*(1-EXP(-H$3*$F14))</f>
        <v>66.332568248544334</v>
      </c>
      <c r="I14" s="7"/>
      <c r="K14" s="4">
        <f>'10oC'!AU33</f>
        <v>299.87841796875</v>
      </c>
      <c r="L14" s="4">
        <f>'10oC'!AC33</f>
        <v>55.285166647430614</v>
      </c>
      <c r="M14" s="15">
        <f t="shared" ref="M14:M23" si="2">M$2*(1-EXP(-M$3*$K14))</f>
        <v>55.374915697902395</v>
      </c>
      <c r="N14" s="7"/>
      <c r="P14" s="4">
        <f>'10oC'!AU46</f>
        <v>500.64614868164062</v>
      </c>
      <c r="Q14" s="4">
        <f>'10oC'!AC46</f>
        <v>91.632725664630499</v>
      </c>
      <c r="R14" s="15">
        <f t="shared" ref="R14:R21" si="3">R$2*(1-EXP(-R$3*$P14))</f>
        <v>90.743723141829747</v>
      </c>
      <c r="S14" s="7"/>
    </row>
    <row r="15" spans="1:19" x14ac:dyDescent="0.25">
      <c r="A15" s="4">
        <f>'10oC'!AU9</f>
        <v>198.89012145996094</v>
      </c>
      <c r="B15" s="4">
        <f>'10oC'!AC9</f>
        <v>44.451858975284509</v>
      </c>
      <c r="C15" s="15">
        <f t="shared" si="0"/>
        <v>44.652726672849489</v>
      </c>
      <c r="D15" s="7"/>
      <c r="E15" s="8"/>
      <c r="F15" s="4">
        <f>'10oC'!AU20</f>
        <v>448.1156005859375</v>
      </c>
      <c r="G15" s="4">
        <f>'10oC'!AC20</f>
        <v>65.131740583586677</v>
      </c>
      <c r="H15" s="15">
        <f t="shared" si="1"/>
        <v>64.251424044282913</v>
      </c>
      <c r="I15" s="7"/>
      <c r="K15" s="4">
        <f>'10oC'!AU34</f>
        <v>198.11305236816406</v>
      </c>
      <c r="L15" s="4">
        <f>'10oC'!AC34</f>
        <v>42.031594521366451</v>
      </c>
      <c r="M15" s="15">
        <f t="shared" si="2"/>
        <v>42.315688071206829</v>
      </c>
      <c r="N15" s="7"/>
      <c r="P15" s="4">
        <f>'10oC'!AU47</f>
        <v>300.87673950195313</v>
      </c>
      <c r="Q15" s="4">
        <f>'10oC'!AC47</f>
        <v>69.706349444979907</v>
      </c>
      <c r="R15" s="15">
        <f t="shared" si="3"/>
        <v>68.985885702031496</v>
      </c>
      <c r="S15" s="7"/>
    </row>
    <row r="16" spans="1:19" x14ac:dyDescent="0.25">
      <c r="A16" s="4">
        <f>'10oC'!AU10</f>
        <v>176.26425170898437</v>
      </c>
      <c r="B16" s="4">
        <f>'10oC'!AC10</f>
        <v>41.751040822633335</v>
      </c>
      <c r="C16" s="15">
        <f t="shared" si="0"/>
        <v>41.426952630756688</v>
      </c>
      <c r="D16" s="7"/>
      <c r="E16" s="8"/>
      <c r="F16" s="4">
        <f>'10oC'!AU21</f>
        <v>301.63006591796875</v>
      </c>
      <c r="G16" s="4">
        <f>'10oC'!AC21</f>
        <v>55.356410480586682</v>
      </c>
      <c r="H16" s="15">
        <f t="shared" si="1"/>
        <v>54.774172832738394</v>
      </c>
      <c r="I16" s="7"/>
      <c r="K16" s="4">
        <f>'10oC'!AU35</f>
        <v>175.56118774414062</v>
      </c>
      <c r="L16" s="4">
        <f>'10oC'!AC35</f>
        <v>38.647378105957984</v>
      </c>
      <c r="M16" s="15">
        <f t="shared" si="2"/>
        <v>38.776413797558362</v>
      </c>
      <c r="N16" s="7"/>
      <c r="P16" s="4">
        <f>'10oC'!AU48</f>
        <v>200.97492980957031</v>
      </c>
      <c r="Q16" s="4">
        <f>'10oC'!AC48</f>
        <v>51.586190714607795</v>
      </c>
      <c r="R16" s="15">
        <f t="shared" si="3"/>
        <v>52.350248558372591</v>
      </c>
      <c r="S16" s="7"/>
    </row>
    <row r="17" spans="1:19" x14ac:dyDescent="0.25">
      <c r="A17" s="4">
        <f>'10oC'!AU11</f>
        <v>150.41305541992187</v>
      </c>
      <c r="B17" s="4">
        <f>'10oC'!AC11</f>
        <v>37.677470033081136</v>
      </c>
      <c r="C17" s="15">
        <f t="shared" si="0"/>
        <v>37.291958279054498</v>
      </c>
      <c r="D17" s="7"/>
      <c r="F17" s="4">
        <f>'10oC'!AU22</f>
        <v>199.67756652832031</v>
      </c>
      <c r="G17" s="4">
        <f>'10oC'!AC22</f>
        <v>43.293472480463294</v>
      </c>
      <c r="H17" s="15">
        <f t="shared" si="1"/>
        <v>43.529934334849322</v>
      </c>
      <c r="I17" s="7"/>
      <c r="K17" s="4">
        <f>'10oC'!AU36</f>
        <v>149.80133056640625</v>
      </c>
      <c r="L17" s="4">
        <f>'10oC'!AC36</f>
        <v>34.398208917843057</v>
      </c>
      <c r="M17" s="15">
        <f t="shared" si="2"/>
        <v>34.396810972824781</v>
      </c>
      <c r="N17" s="7"/>
      <c r="P17" s="4">
        <f>'10oC'!AU49</f>
        <v>124.64561462402344</v>
      </c>
      <c r="Q17" s="4">
        <f>'10oC'!AC49</f>
        <v>35.95431064930515</v>
      </c>
      <c r="R17" s="15">
        <f t="shared" si="3"/>
        <v>35.958329197364542</v>
      </c>
      <c r="S17" s="7"/>
    </row>
    <row r="18" spans="1:19" x14ac:dyDescent="0.25">
      <c r="A18" s="4">
        <f>'10oC'!AU12</f>
        <v>123.37002563476562</v>
      </c>
      <c r="B18" s="4">
        <f>'10oC'!AC12</f>
        <v>32.559973970377435</v>
      </c>
      <c r="C18" s="15">
        <f t="shared" si="0"/>
        <v>32.388253681023869</v>
      </c>
      <c r="D18" s="7"/>
      <c r="F18" s="4">
        <f>'10oC'!AU23</f>
        <v>176.76863098144531</v>
      </c>
      <c r="G18" s="4">
        <f>'10oC'!AC23</f>
        <v>40.246622973800854</v>
      </c>
      <c r="H18" s="15">
        <f t="shared" si="1"/>
        <v>40.237861244496401</v>
      </c>
      <c r="I18" s="7"/>
      <c r="K18" s="4">
        <f>'10oC'!AU37</f>
        <v>123.00070190429687</v>
      </c>
      <c r="L18" s="4">
        <f>'10oC'!AC37</f>
        <v>29.495538213552681</v>
      </c>
      <c r="M18" s="15">
        <f t="shared" si="2"/>
        <v>29.425967341453454</v>
      </c>
      <c r="N18" s="7"/>
      <c r="P18" s="4">
        <f>'10oC'!AU50</f>
        <v>99.203765869140625</v>
      </c>
      <c r="Q18" s="4">
        <f>'10oC'!AC50</f>
        <v>29.480590469055919</v>
      </c>
      <c r="R18" s="15">
        <f t="shared" si="3"/>
        <v>29.636258123540674</v>
      </c>
      <c r="S18" s="7"/>
    </row>
    <row r="19" spans="1:19" x14ac:dyDescent="0.25">
      <c r="A19" s="4">
        <f>'10oC'!AU13</f>
        <v>101.93482208251953</v>
      </c>
      <c r="B19" s="4">
        <f>'10oC'!AC13</f>
        <v>27.948606849441209</v>
      </c>
      <c r="C19" s="15">
        <f t="shared" si="0"/>
        <v>28.02922942396987</v>
      </c>
      <c r="D19" s="7"/>
      <c r="F19" s="4">
        <f>'10oC'!AU24</f>
        <v>150.85270690917969</v>
      </c>
      <c r="G19" s="4">
        <f>'10oC'!AC24</f>
        <v>36.12403491249335</v>
      </c>
      <c r="H19" s="15">
        <f t="shared" si="1"/>
        <v>36.094508092570209</v>
      </c>
      <c r="I19" s="7"/>
      <c r="K19" s="4">
        <f>'10oC'!AU38</f>
        <v>101.55704498291016</v>
      </c>
      <c r="L19" s="4">
        <f>'10oC'!AC38</f>
        <v>25.244568139580956</v>
      </c>
      <c r="M19" s="15">
        <f t="shared" si="2"/>
        <v>25.1185888963849</v>
      </c>
      <c r="N19" s="7"/>
      <c r="P19" s="4">
        <f>'10oC'!AU51</f>
        <v>73.552047729492187</v>
      </c>
      <c r="Q19" s="4">
        <f>'10oC'!AC51</f>
        <v>22.698524315626695</v>
      </c>
      <c r="R19" s="15">
        <f t="shared" si="3"/>
        <v>22.771253106887702</v>
      </c>
      <c r="S19" s="7"/>
    </row>
    <row r="20" spans="1:19" x14ac:dyDescent="0.25">
      <c r="A20" s="4">
        <f>'10oC'!AU14</f>
        <v>76.121528625488281</v>
      </c>
      <c r="B20" s="4">
        <f>'10oC'!AC14</f>
        <v>21.669669869653376</v>
      </c>
      <c r="C20" s="15">
        <f t="shared" si="0"/>
        <v>22.156681642727246</v>
      </c>
      <c r="D20" s="7"/>
      <c r="F20" s="4">
        <f>'10oC'!AU25</f>
        <v>123.937255859375</v>
      </c>
      <c r="G20" s="4">
        <f>'10oC'!AC25</f>
        <v>31.204937838898331</v>
      </c>
      <c r="H20" s="15">
        <f t="shared" si="1"/>
        <v>31.265342605527611</v>
      </c>
      <c r="I20" s="7"/>
      <c r="K20" s="4">
        <f>'10oC'!AU39</f>
        <v>75.912864685058594</v>
      </c>
      <c r="L20" s="4">
        <f>'10oC'!AC39</f>
        <v>19.693330177649106</v>
      </c>
      <c r="M20" s="15">
        <f t="shared" si="2"/>
        <v>19.54940938644069</v>
      </c>
      <c r="N20" s="7"/>
      <c r="P20" s="4">
        <f>'10oC'!AU52</f>
        <v>48.618930816650391</v>
      </c>
      <c r="Q20" s="4">
        <f>'10oC'!AC52</f>
        <v>15.487199765873539</v>
      </c>
      <c r="R20" s="15">
        <f t="shared" si="3"/>
        <v>15.59022288354371</v>
      </c>
      <c r="S20" s="7"/>
    </row>
    <row r="21" spans="1:19" x14ac:dyDescent="0.25">
      <c r="A21" s="4">
        <f>'10oC'!AU15</f>
        <v>51.118938446044922</v>
      </c>
      <c r="B21" s="4">
        <f>'10oC'!AC15</f>
        <v>15.104443385055513</v>
      </c>
      <c r="C21" s="15">
        <f t="shared" si="0"/>
        <v>15.740731099366515</v>
      </c>
      <c r="D21" s="7"/>
      <c r="F21" s="4">
        <f>'10oC'!AU26</f>
        <v>98.204750061035156</v>
      </c>
      <c r="G21" s="4">
        <f>'10oC'!AC26</f>
        <v>25.804775183068511</v>
      </c>
      <c r="H21" s="15">
        <f t="shared" si="1"/>
        <v>26.08660148129022</v>
      </c>
      <c r="I21" s="7"/>
      <c r="K21" s="4">
        <f>'10oC'!AU40</f>
        <v>50.997402191162109</v>
      </c>
      <c r="L21" s="4">
        <f>'10oC'!AC40</f>
        <v>13.876135571816976</v>
      </c>
      <c r="M21" s="15">
        <f t="shared" si="2"/>
        <v>13.666275420485514</v>
      </c>
      <c r="N21" s="7"/>
      <c r="P21" s="4">
        <f>'10oC'!AU53</f>
        <v>26.529804229736328</v>
      </c>
      <c r="Q21" s="4">
        <f>'10oC'!AC53</f>
        <v>8.8149739428008331</v>
      </c>
      <c r="R21" s="15">
        <f t="shared" si="3"/>
        <v>8.7791800779976921</v>
      </c>
      <c r="S21" s="7"/>
    </row>
    <row r="22" spans="1:19" x14ac:dyDescent="0.25">
      <c r="A22" s="4">
        <f>'10oC'!AU16</f>
        <v>0.5332491397857666</v>
      </c>
      <c r="B22" s="4">
        <f>'10oC'!AC16</f>
        <v>0.13232523776810728</v>
      </c>
      <c r="C22" s="15">
        <f t="shared" si="0"/>
        <v>0.18466469378973752</v>
      </c>
      <c r="D22" s="7"/>
      <c r="F22" s="4">
        <f>'10oC'!AU27</f>
        <v>76.553428649902344</v>
      </c>
      <c r="G22" s="4">
        <f>'10oC'!AC27</f>
        <v>20.84153614191364</v>
      </c>
      <c r="H22" s="15">
        <f t="shared" si="1"/>
        <v>21.255297495562441</v>
      </c>
      <c r="I22" s="7"/>
      <c r="K22" s="4">
        <f>'10oC'!AU41</f>
        <v>23.575302124023438</v>
      </c>
      <c r="L22" s="4">
        <f>'10oC'!AC41</f>
        <v>6.8477818758553672</v>
      </c>
      <c r="M22" s="15">
        <f t="shared" si="2"/>
        <v>6.6049007048578474</v>
      </c>
      <c r="N22" s="7"/>
      <c r="R22" s="15"/>
      <c r="S22" s="7"/>
    </row>
    <row r="23" spans="1:19" x14ac:dyDescent="0.25">
      <c r="C23" s="7"/>
      <c r="D23" s="7"/>
      <c r="K23" s="4">
        <f>'10oC'!AU42</f>
        <v>0.45659685134887695</v>
      </c>
      <c r="L23" s="4">
        <f>'10oC'!AC42</f>
        <v>0.14535954133946694</v>
      </c>
      <c r="M23" s="15">
        <f t="shared" si="2"/>
        <v>0.13287724062385317</v>
      </c>
      <c r="R23" s="15"/>
    </row>
    <row r="24" spans="1:19" x14ac:dyDescent="0.25">
      <c r="C24" s="7"/>
      <c r="D24" s="7"/>
      <c r="M24" s="15"/>
    </row>
    <row r="25" spans="1:19" ht="23.25" x14ac:dyDescent="0.35">
      <c r="A25" s="11" t="s">
        <v>128</v>
      </c>
      <c r="F25" s="11" t="s">
        <v>128</v>
      </c>
      <c r="K25" s="11" t="s">
        <v>128</v>
      </c>
      <c r="O25" s="11" t="s">
        <v>128</v>
      </c>
    </row>
    <row r="26" spans="1:19" x14ac:dyDescent="0.25">
      <c r="C26" s="12">
        <v>662.01629406803659</v>
      </c>
      <c r="D26" s="4" t="s">
        <v>129</v>
      </c>
      <c r="H26" s="12">
        <v>85.270942996774053</v>
      </c>
      <c r="I26" s="4" t="s">
        <v>129</v>
      </c>
      <c r="M26" s="12">
        <v>95.57772935729605</v>
      </c>
      <c r="N26" s="4" t="s">
        <v>129</v>
      </c>
      <c r="Q26" s="12">
        <v>97.301144144180952</v>
      </c>
      <c r="R26" s="4" t="s">
        <v>129</v>
      </c>
    </row>
    <row r="27" spans="1:19" x14ac:dyDescent="0.25">
      <c r="C27" s="12">
        <v>1.5730563869781424E-3</v>
      </c>
      <c r="D27" s="4" t="s">
        <v>133</v>
      </c>
      <c r="H27" s="12">
        <v>4.1933000949473621E-3</v>
      </c>
      <c r="I27" s="4" t="s">
        <v>133</v>
      </c>
      <c r="M27" s="12">
        <v>4.1928022749293421E-3</v>
      </c>
      <c r="N27" s="4" t="s">
        <v>133</v>
      </c>
      <c r="Q27" s="12">
        <v>3.2984045226452331E-3</v>
      </c>
      <c r="R27" s="4" t="s">
        <v>133</v>
      </c>
    </row>
    <row r="28" spans="1:19" x14ac:dyDescent="0.25">
      <c r="C28" s="12"/>
      <c r="H28" s="12"/>
      <c r="M28" s="12"/>
      <c r="Q28" s="12"/>
    </row>
    <row r="29" spans="1:19" x14ac:dyDescent="0.25">
      <c r="B29" s="4" t="s">
        <v>125</v>
      </c>
      <c r="C29" s="4">
        <f>SUMXMY2(B37:B46,C37:C46)</f>
        <v>1.6398530443533845</v>
      </c>
      <c r="G29" s="4" t="s">
        <v>125</v>
      </c>
      <c r="H29" s="4">
        <f>SUMXMY2(G37:G47,H37:H47)</f>
        <v>1.8536558761076949</v>
      </c>
      <c r="L29" s="4" t="s">
        <v>125</v>
      </c>
      <c r="M29" s="4">
        <f>SUMXMY2(L37:L49,M37:M49)</f>
        <v>2.3944719837432338</v>
      </c>
      <c r="P29" s="4" t="s">
        <v>125</v>
      </c>
      <c r="Q29" s="4">
        <f>SUMXMY2(P37:P49,Q37:Q49)</f>
        <v>0.59135390756080686</v>
      </c>
    </row>
    <row r="32" spans="1:19" x14ac:dyDescent="0.25">
      <c r="B32" s="10"/>
      <c r="G32" s="10"/>
      <c r="L32" s="10"/>
      <c r="P32" s="10"/>
    </row>
    <row r="33" spans="1:18" x14ac:dyDescent="0.25">
      <c r="B33" s="4" t="s">
        <v>134</v>
      </c>
      <c r="C33" s="4">
        <f>C26</f>
        <v>662.01629406803659</v>
      </c>
      <c r="G33" s="4" t="s">
        <v>134</v>
      </c>
      <c r="H33" s="4">
        <f>H26</f>
        <v>85.270942996774053</v>
      </c>
      <c r="L33" s="4" t="s">
        <v>134</v>
      </c>
      <c r="M33" s="4">
        <f>M26</f>
        <v>95.57772935729605</v>
      </c>
      <c r="P33" s="4" t="s">
        <v>134</v>
      </c>
      <c r="Q33" s="4">
        <f>Q26</f>
        <v>97.301144144180952</v>
      </c>
    </row>
    <row r="34" spans="1:18" x14ac:dyDescent="0.25">
      <c r="B34" s="5"/>
      <c r="C34" s="5"/>
      <c r="D34" s="5"/>
      <c r="G34" s="5"/>
      <c r="H34" s="5"/>
      <c r="I34" s="5"/>
      <c r="L34" s="5"/>
      <c r="M34" s="5"/>
      <c r="N34" s="5"/>
      <c r="P34" s="5"/>
      <c r="Q34" s="5"/>
      <c r="R34" s="5"/>
    </row>
    <row r="35" spans="1:18" x14ac:dyDescent="0.25">
      <c r="B35" s="5" t="s">
        <v>120</v>
      </c>
      <c r="G35" s="5" t="s">
        <v>120</v>
      </c>
      <c r="L35" s="5" t="s">
        <v>120</v>
      </c>
      <c r="P35" s="5" t="s">
        <v>120</v>
      </c>
    </row>
    <row r="36" spans="1:18" ht="26.25" x14ac:dyDescent="0.25">
      <c r="A36" s="5" t="s">
        <v>121</v>
      </c>
      <c r="B36" s="5" t="s">
        <v>30</v>
      </c>
      <c r="C36" s="13" t="s">
        <v>260</v>
      </c>
      <c r="D36" s="13"/>
      <c r="E36" s="14"/>
      <c r="F36" s="5" t="s">
        <v>121</v>
      </c>
      <c r="G36" s="5" t="s">
        <v>30</v>
      </c>
      <c r="H36" s="13" t="s">
        <v>260</v>
      </c>
      <c r="I36" s="13"/>
      <c r="K36" s="5" t="s">
        <v>121</v>
      </c>
      <c r="L36" s="5" t="s">
        <v>30</v>
      </c>
      <c r="M36" s="13" t="s">
        <v>260</v>
      </c>
      <c r="N36" s="13"/>
      <c r="O36" s="5" t="s">
        <v>121</v>
      </c>
      <c r="P36" s="5" t="s">
        <v>30</v>
      </c>
      <c r="Q36" s="13" t="s">
        <v>260</v>
      </c>
      <c r="R36" s="13"/>
    </row>
    <row r="37" spans="1:18" x14ac:dyDescent="0.25">
      <c r="A37" s="4">
        <f>'15oC'!AU7</f>
        <v>450.76602172851562</v>
      </c>
      <c r="B37" s="4">
        <f>'15oC'!AC7</f>
        <v>67.784095742671013</v>
      </c>
      <c r="C37" s="15">
        <f>C$26*(1-EXP(-C$27*$B37))</f>
        <v>66.956458608849815</v>
      </c>
      <c r="D37" s="7"/>
      <c r="F37" s="4">
        <f>'15oC'!AU17</f>
        <v>448.50588989257812</v>
      </c>
      <c r="G37" s="4">
        <f>'15oC'!AC17</f>
        <v>71.947119367437736</v>
      </c>
      <c r="H37" s="15">
        <f>H$26*(1-EXP(-H$27*$F37))</f>
        <v>72.268802975001392</v>
      </c>
      <c r="I37" s="7"/>
      <c r="K37" s="4">
        <f>'15oC'!AU29</f>
        <v>299.01885986328125</v>
      </c>
      <c r="L37" s="4">
        <f>'15oC'!AC29</f>
        <v>67.788087946657555</v>
      </c>
      <c r="M37" s="15">
        <f>M$26*(1-EXP(-M$27*$K37))</f>
        <v>68.296118492619343</v>
      </c>
      <c r="N37" s="7"/>
      <c r="O37" s="4">
        <f>'15oC'!AU40</f>
        <v>500.60250854492187</v>
      </c>
      <c r="P37" s="4">
        <f>'15oC'!AC40</f>
        <v>78.459388112690448</v>
      </c>
      <c r="Q37" s="15">
        <f>Q$26*(1-EXP(-Q$27*$O37))</f>
        <v>78.636684348925613</v>
      </c>
      <c r="R37" s="7"/>
    </row>
    <row r="38" spans="1:18" x14ac:dyDescent="0.25">
      <c r="A38" s="4">
        <f>'15oC'!AU8</f>
        <v>299.9078369140625</v>
      </c>
      <c r="B38" s="4">
        <f>'15oC'!AC8</f>
        <v>58.773303243650737</v>
      </c>
      <c r="C38" s="15">
        <f t="shared" ref="C38:C45" si="4">C$26*(1-EXP(-C$27*$B38))</f>
        <v>58.46173010733952</v>
      </c>
      <c r="D38" s="7"/>
      <c r="E38" s="8"/>
      <c r="F38" s="4">
        <f>'15oC'!AU18</f>
        <v>298.33938598632812</v>
      </c>
      <c r="G38" s="4">
        <f>'15oC'!AC18</f>
        <v>61.126148062336334</v>
      </c>
      <c r="H38" s="15">
        <f t="shared" ref="H38:H47" si="5">H$26*(1-EXP(-H$27*$F38))</f>
        <v>60.865475716551394</v>
      </c>
      <c r="I38" s="7"/>
      <c r="K38" s="4">
        <f>'15oC'!AU30</f>
        <v>200.37208557128906</v>
      </c>
      <c r="L38" s="4">
        <f>'15oC'!AC30</f>
        <v>54.379157600224431</v>
      </c>
      <c r="M38" s="15">
        <f t="shared" ref="M38:M46" si="6">M$26*(1-EXP(-M$27*$K38))</f>
        <v>54.32079104323067</v>
      </c>
      <c r="N38" s="7"/>
      <c r="O38" s="4">
        <f>'15oC'!AU41</f>
        <v>450.95281982421875</v>
      </c>
      <c r="P38" s="4">
        <f>'15oC'!AC41</f>
        <v>75.692650040719272</v>
      </c>
      <c r="Q38" s="15">
        <f t="shared" ref="Q38:Q47" si="7">Q$26*(1-EXP(-Q$27*$O38))</f>
        <v>75.31558296955923</v>
      </c>
      <c r="R38" s="7"/>
    </row>
    <row r="39" spans="1:18" x14ac:dyDescent="0.25">
      <c r="A39" s="4">
        <f>'15oC'!AU9</f>
        <v>198.45530700683594</v>
      </c>
      <c r="B39" s="4">
        <f>'15oC'!AC9</f>
        <v>47.284181161793285</v>
      </c>
      <c r="C39" s="15">
        <f t="shared" si="4"/>
        <v>47.454498780327981</v>
      </c>
      <c r="D39" s="7"/>
      <c r="E39" s="8"/>
      <c r="F39" s="4">
        <f>'15oC'!AU19</f>
        <v>201.50923156738281</v>
      </c>
      <c r="G39" s="4">
        <f>'15oC'!AC19</f>
        <v>48.597398816623731</v>
      </c>
      <c r="H39" s="15">
        <f t="shared" si="5"/>
        <v>48.641767346048368</v>
      </c>
      <c r="I39" s="7"/>
      <c r="K39" s="4">
        <f>'15oC'!AU31</f>
        <v>176.79615783691406</v>
      </c>
      <c r="L39" s="4">
        <f>'15oC'!AC31</f>
        <v>50.748739174702557</v>
      </c>
      <c r="M39" s="15">
        <f t="shared" si="6"/>
        <v>50.034202466868436</v>
      </c>
      <c r="N39" s="7"/>
      <c r="O39" s="4">
        <f>'15oC'!AU42</f>
        <v>299.95010375976562</v>
      </c>
      <c r="P39" s="4">
        <f>'15oC'!AC42</f>
        <v>60.951042366889183</v>
      </c>
      <c r="Q39" s="15">
        <f t="shared" si="7"/>
        <v>61.123043932166517</v>
      </c>
      <c r="R39" s="7"/>
    </row>
    <row r="40" spans="1:18" x14ac:dyDescent="0.25">
      <c r="A40" s="4">
        <f>'15oC'!AU10</f>
        <v>175.83404541015625</v>
      </c>
      <c r="B40" s="4">
        <f>'15oC'!AC10</f>
        <v>44.507930296322733</v>
      </c>
      <c r="C40" s="15">
        <f t="shared" si="4"/>
        <v>44.764715893050607</v>
      </c>
      <c r="D40" s="7"/>
      <c r="E40" s="8"/>
      <c r="F40" s="4">
        <f>'15oC'!AU20</f>
        <v>174.45114135742187</v>
      </c>
      <c r="G40" s="4">
        <f>'15oC'!AC20</f>
        <v>44.583747667064252</v>
      </c>
      <c r="H40" s="15">
        <f t="shared" si="5"/>
        <v>44.240768308213902</v>
      </c>
      <c r="I40" s="7"/>
      <c r="K40" s="4">
        <f>'15oC'!AU32</f>
        <v>148.74024963378906</v>
      </c>
      <c r="L40" s="4">
        <f>'15oC'!AC32</f>
        <v>45.03466501449131</v>
      </c>
      <c r="M40" s="15">
        <f t="shared" si="6"/>
        <v>44.348954691704655</v>
      </c>
      <c r="N40" s="7"/>
      <c r="O40" s="4">
        <f>'15oC'!AU43</f>
        <v>198.33439636230469</v>
      </c>
      <c r="P40" s="4">
        <f>'15oC'!AC43</f>
        <v>46.210837823370213</v>
      </c>
      <c r="Q40" s="15">
        <f t="shared" si="7"/>
        <v>46.717733072966183</v>
      </c>
      <c r="R40" s="7"/>
    </row>
    <row r="41" spans="1:18" x14ac:dyDescent="0.25">
      <c r="A41" s="4">
        <f>'15oC'!AU11</f>
        <v>123.06011199951172</v>
      </c>
      <c r="B41" s="4">
        <f>'15oC'!AC11</f>
        <v>34.605718091070678</v>
      </c>
      <c r="C41" s="15">
        <f t="shared" si="4"/>
        <v>35.074676004821484</v>
      </c>
      <c r="D41" s="7"/>
      <c r="F41" s="4">
        <f>'15oC'!AU21</f>
        <v>148.704345703125</v>
      </c>
      <c r="G41" s="4">
        <f>'15oC'!AC21</f>
        <v>40.039134533293385</v>
      </c>
      <c r="H41" s="15">
        <f t="shared" si="5"/>
        <v>39.563013048636485</v>
      </c>
      <c r="I41" s="7"/>
      <c r="K41" s="4">
        <f>'15oC'!AU33</f>
        <v>124.337890625</v>
      </c>
      <c r="L41" s="4">
        <f>'15oC'!AC33</f>
        <v>38.923446823645904</v>
      </c>
      <c r="M41" s="15">
        <f t="shared" si="6"/>
        <v>38.829999915056661</v>
      </c>
      <c r="N41" s="7"/>
      <c r="O41" s="4">
        <f>'15oC'!AU44</f>
        <v>175.66706848144531</v>
      </c>
      <c r="P41" s="4">
        <f>'15oC'!AC44</f>
        <v>42.749389412388467</v>
      </c>
      <c r="Q41" s="15">
        <f t="shared" si="7"/>
        <v>42.790843039888124</v>
      </c>
      <c r="R41" s="7"/>
    </row>
    <row r="42" spans="1:18" x14ac:dyDescent="0.25">
      <c r="A42" s="4">
        <f>'15oC'!AU12</f>
        <v>101.62149810791016</v>
      </c>
      <c r="B42" s="4">
        <f>'15oC'!AC12</f>
        <v>29.614018161002253</v>
      </c>
      <c r="C42" s="15">
        <f t="shared" si="4"/>
        <v>30.132410574206919</v>
      </c>
      <c r="D42" s="7"/>
      <c r="F42" s="4">
        <f>'15oC'!AU22</f>
        <v>126.23232269287109</v>
      </c>
      <c r="G42" s="4">
        <f>'15oC'!AC22</f>
        <v>35.360114203833866</v>
      </c>
      <c r="H42" s="15">
        <f t="shared" si="5"/>
        <v>35.046403547383846</v>
      </c>
      <c r="I42" s="7"/>
      <c r="K42" s="4">
        <f>'15oC'!AU34</f>
        <v>99.09466552734375</v>
      </c>
      <c r="L42" s="4">
        <f>'15oC'!AC34</f>
        <v>32.248925563367521</v>
      </c>
      <c r="M42" s="15">
        <f t="shared" si="6"/>
        <v>32.494465813061517</v>
      </c>
      <c r="N42" s="7"/>
      <c r="O42" s="4">
        <f>'15oC'!AU45</f>
        <v>149.87188720703125</v>
      </c>
      <c r="P42" s="4">
        <f>'15oC'!AC45</f>
        <v>38.168149898738747</v>
      </c>
      <c r="Q42" s="15">
        <f t="shared" si="7"/>
        <v>37.949926482216433</v>
      </c>
      <c r="R42" s="7"/>
    </row>
    <row r="43" spans="1:18" x14ac:dyDescent="0.25">
      <c r="A43" s="4">
        <f>'15oC'!AU13</f>
        <v>50.957740783691406</v>
      </c>
      <c r="B43" s="4">
        <f>'15oC'!AC13</f>
        <v>15.778244130240815</v>
      </c>
      <c r="C43" s="15">
        <f t="shared" si="4"/>
        <v>16.229053011706576</v>
      </c>
      <c r="D43" s="7"/>
      <c r="F43" s="4">
        <f>'15oC'!AU23</f>
        <v>100.76718902587891</v>
      </c>
      <c r="G43" s="4">
        <f>'15oC'!AC23</f>
        <v>29.207742864532701</v>
      </c>
      <c r="H43" s="15">
        <f t="shared" si="5"/>
        <v>29.386463814789195</v>
      </c>
      <c r="I43" s="7"/>
      <c r="K43" s="4">
        <f>'15oC'!AU35</f>
        <v>73.393722534179688</v>
      </c>
      <c r="L43" s="4">
        <f>'15oC'!AC35</f>
        <v>24.856794015319849</v>
      </c>
      <c r="M43" s="15">
        <f t="shared" si="6"/>
        <v>25.31689868522518</v>
      </c>
      <c r="N43" s="7"/>
      <c r="O43" s="4">
        <f>'15oC'!AU46</f>
        <v>123.00466156005859</v>
      </c>
      <c r="P43" s="4">
        <f>'15oC'!AC46</f>
        <v>32.673968639652408</v>
      </c>
      <c r="Q43" s="15">
        <f t="shared" si="7"/>
        <v>32.450190498643927</v>
      </c>
      <c r="R43" s="7"/>
    </row>
    <row r="44" spans="1:18" x14ac:dyDescent="0.25">
      <c r="A44" s="4">
        <f>'15oC'!AU14</f>
        <v>23.719820022583008</v>
      </c>
      <c r="B44" s="4">
        <f>'15oC'!AC14</f>
        <v>7.5611454596797794</v>
      </c>
      <c r="C44" s="15">
        <f t="shared" si="4"/>
        <v>7.8274508518512711</v>
      </c>
      <c r="D44" s="7"/>
      <c r="F44" s="4">
        <f>'15oC'!AU24</f>
        <v>75.046524047851563</v>
      </c>
      <c r="G44" s="4">
        <f>'15oC'!AC24</f>
        <v>22.415244899367849</v>
      </c>
      <c r="H44" s="15">
        <f t="shared" si="5"/>
        <v>23.022024899597746</v>
      </c>
      <c r="I44" s="7"/>
      <c r="K44" s="4">
        <f>'15oC'!AU36</f>
        <v>48.771472930908203</v>
      </c>
      <c r="L44" s="4">
        <f>'15oC'!AC36</f>
        <v>16.957667930396507</v>
      </c>
      <c r="M44" s="15">
        <f t="shared" si="6"/>
        <v>17.675802019520415</v>
      </c>
      <c r="N44" s="7"/>
      <c r="O44" s="4">
        <f>'15oC'!AU47</f>
        <v>101.53575897216797</v>
      </c>
      <c r="P44" s="4">
        <f>'15oC'!AC47</f>
        <v>27.860205606729707</v>
      </c>
      <c r="Q44" s="15">
        <f t="shared" si="7"/>
        <v>27.691387342215524</v>
      </c>
      <c r="R44" s="7"/>
    </row>
    <row r="45" spans="1:18" x14ac:dyDescent="0.25">
      <c r="A45" s="4">
        <f>'15oC'!AU15</f>
        <v>0.49582603573799133</v>
      </c>
      <c r="B45" s="4">
        <f>'15oC'!AC15</f>
        <v>0.16375173100805474</v>
      </c>
      <c r="C45" s="15">
        <f t="shared" si="4"/>
        <v>0.17050728330961251</v>
      </c>
      <c r="D45" s="7"/>
      <c r="F45" s="4">
        <f>'15oC'!AU25</f>
        <v>50.365524291992188</v>
      </c>
      <c r="G45" s="4">
        <f>'15oC'!AC25</f>
        <v>15.501263496812806</v>
      </c>
      <c r="H45" s="15">
        <f t="shared" si="5"/>
        <v>16.234398564358088</v>
      </c>
      <c r="I45" s="7"/>
      <c r="K45" s="4">
        <f>'15oC'!AU37</f>
        <v>26.181018829345703</v>
      </c>
      <c r="L45" s="4">
        <f>'15oC'!AC37</f>
        <v>9.3399343888459416</v>
      </c>
      <c r="M45" s="15">
        <f t="shared" si="6"/>
        <v>9.9363987260780142</v>
      </c>
      <c r="N45" s="7"/>
      <c r="O45" s="4">
        <f>'15oC'!AU48</f>
        <v>75.931358337402344</v>
      </c>
      <c r="P45" s="4">
        <f>'15oC'!AC48</f>
        <v>21.613255298198936</v>
      </c>
      <c r="Q45" s="15">
        <f t="shared" si="7"/>
        <v>21.557206331981554</v>
      </c>
      <c r="R45" s="7"/>
    </row>
    <row r="46" spans="1:18" x14ac:dyDescent="0.25">
      <c r="C46" s="15"/>
      <c r="D46" s="7"/>
      <c r="F46" s="4">
        <f>'15oC'!AU26</f>
        <v>23.262035369873047</v>
      </c>
      <c r="G46" s="4">
        <f>'15oC'!AC26</f>
        <v>7.3777616909039407</v>
      </c>
      <c r="H46" s="15">
        <f t="shared" si="5"/>
        <v>7.9249280048059658</v>
      </c>
      <c r="I46" s="7"/>
      <c r="K46" s="4">
        <f>'15oC'!AU38</f>
        <v>-7.4982434511184692E-2</v>
      </c>
      <c r="L46" s="4">
        <f>'15oC'!AC38</f>
        <v>-2.8048640169323853E-2</v>
      </c>
      <c r="M46" s="15">
        <f t="shared" si="6"/>
        <v>-3.0053073806278689E-2</v>
      </c>
      <c r="N46" s="7"/>
      <c r="O46" s="4">
        <f>'15oC'!AU49</f>
        <v>23.71197509765625</v>
      </c>
      <c r="P46" s="4">
        <f>'15oC'!AC49</f>
        <v>7.3315506259086813</v>
      </c>
      <c r="Q46" s="15">
        <f t="shared" si="7"/>
        <v>7.3200968842759968</v>
      </c>
      <c r="R46" s="7"/>
    </row>
    <row r="47" spans="1:18" x14ac:dyDescent="0.25">
      <c r="F47" s="4">
        <f>'15oC'!AU27</f>
        <v>0.41295364499092102</v>
      </c>
      <c r="G47" s="4">
        <f>'15oC'!AC27</f>
        <v>0.17022122268691148</v>
      </c>
      <c r="H47" s="15">
        <f t="shared" si="5"/>
        <v>0.14753068106105052</v>
      </c>
      <c r="O47" s="4">
        <f>'15oC'!AU50</f>
        <v>0.55691993236541748</v>
      </c>
      <c r="P47" s="4">
        <f>'15oC'!AC50</f>
        <v>0.1834967314601029</v>
      </c>
      <c r="Q47" s="15">
        <f t="shared" si="7"/>
        <v>0.1785730017908308</v>
      </c>
      <c r="R47" s="15"/>
    </row>
    <row r="48" spans="1:18" x14ac:dyDescent="0.25">
      <c r="R48" s="15"/>
    </row>
    <row r="49" spans="1:18" ht="23.25" x14ac:dyDescent="0.35">
      <c r="A49" s="11"/>
      <c r="C49" s="7"/>
      <c r="D49" s="7"/>
      <c r="E49" s="2"/>
      <c r="F49" s="11"/>
      <c r="J49" s="11"/>
      <c r="N49" s="11"/>
    </row>
    <row r="50" spans="1:18" ht="23.25" x14ac:dyDescent="0.35">
      <c r="A50" s="11" t="s">
        <v>119</v>
      </c>
      <c r="F50" s="11" t="s">
        <v>119</v>
      </c>
      <c r="K50" s="11" t="s">
        <v>119</v>
      </c>
      <c r="O50" s="11" t="s">
        <v>119</v>
      </c>
    </row>
    <row r="51" spans="1:18" x14ac:dyDescent="0.25">
      <c r="C51" s="12">
        <v>65.029717118446982</v>
      </c>
      <c r="D51" s="4" t="s">
        <v>129</v>
      </c>
      <c r="H51" s="12">
        <v>89.70388522558622</v>
      </c>
      <c r="I51" s="4" t="s">
        <v>129</v>
      </c>
      <c r="M51" s="12">
        <v>98.617683164233981</v>
      </c>
      <c r="N51" s="4" t="s">
        <v>129</v>
      </c>
      <c r="Q51" s="12">
        <v>116.32858458831929</v>
      </c>
      <c r="R51" s="4" t="s">
        <v>129</v>
      </c>
    </row>
    <row r="52" spans="1:18" x14ac:dyDescent="0.25">
      <c r="C52" s="12">
        <v>5.8122631177430122E-3</v>
      </c>
      <c r="D52" s="4" t="s">
        <v>133</v>
      </c>
      <c r="H52" s="12">
        <v>4.1229327980789824E-3</v>
      </c>
      <c r="I52" s="4" t="s">
        <v>133</v>
      </c>
      <c r="M52" s="12">
        <v>4.2597940593586342E-3</v>
      </c>
      <c r="N52" s="4" t="s">
        <v>133</v>
      </c>
      <c r="Q52" s="12">
        <v>2.8437481693790972E-3</v>
      </c>
      <c r="R52" s="4" t="s">
        <v>133</v>
      </c>
    </row>
    <row r="53" spans="1:18" x14ac:dyDescent="0.25">
      <c r="C53" s="12"/>
      <c r="H53" s="12"/>
      <c r="M53" s="12"/>
      <c r="Q53" s="12"/>
    </row>
    <row r="54" spans="1:18" x14ac:dyDescent="0.25">
      <c r="B54" s="4" t="s">
        <v>125</v>
      </c>
      <c r="C54" s="4">
        <f>SUMXMY2(B62:B73,C62:C73)</f>
        <v>2.7567081412785734</v>
      </c>
      <c r="G54" s="4" t="s">
        <v>125</v>
      </c>
      <c r="H54" s="4">
        <f>SUMXMY2(G62:G73,H62:H73)</f>
        <v>2.5638708979082061</v>
      </c>
      <c r="L54" s="4" t="s">
        <v>125</v>
      </c>
      <c r="M54" s="4">
        <f>SUMXMY2(L62:L74,M62:M74)</f>
        <v>10.296152528304292</v>
      </c>
      <c r="P54" s="4" t="s">
        <v>125</v>
      </c>
      <c r="Q54" s="4">
        <f>SUMXMY2(P62:P74,Q62:Q74)</f>
        <v>1.3087013504845977</v>
      </c>
    </row>
    <row r="57" spans="1:18" x14ac:dyDescent="0.25">
      <c r="B57" s="10"/>
      <c r="G57" s="10"/>
      <c r="L57" s="10"/>
      <c r="P57" s="10"/>
    </row>
    <row r="58" spans="1:18" x14ac:dyDescent="0.25">
      <c r="B58" s="4" t="s">
        <v>134</v>
      </c>
      <c r="C58" s="4">
        <f>C51</f>
        <v>65.029717118446982</v>
      </c>
      <c r="G58" s="4" t="s">
        <v>134</v>
      </c>
      <c r="H58" s="4">
        <f>H51</f>
        <v>89.70388522558622</v>
      </c>
      <c r="L58" s="4" t="s">
        <v>134</v>
      </c>
      <c r="M58" s="4">
        <f>M51</f>
        <v>98.617683164233981</v>
      </c>
      <c r="P58" s="4" t="s">
        <v>134</v>
      </c>
      <c r="Q58" s="4">
        <f>Q51</f>
        <v>116.32858458831929</v>
      </c>
    </row>
    <row r="59" spans="1:18" x14ac:dyDescent="0.25">
      <c r="B59" s="5"/>
      <c r="C59" s="5"/>
      <c r="D59" s="5"/>
      <c r="G59" s="5"/>
      <c r="H59" s="5"/>
      <c r="I59" s="5"/>
      <c r="L59" s="5"/>
      <c r="M59" s="5"/>
      <c r="N59" s="5"/>
      <c r="P59" s="5"/>
      <c r="Q59" s="5"/>
      <c r="R59" s="5"/>
    </row>
    <row r="60" spans="1:18" x14ac:dyDescent="0.25">
      <c r="B60" s="5" t="s">
        <v>120</v>
      </c>
      <c r="G60" s="5" t="s">
        <v>120</v>
      </c>
      <c r="L60" s="5" t="s">
        <v>120</v>
      </c>
      <c r="P60" s="5" t="s">
        <v>120</v>
      </c>
    </row>
    <row r="61" spans="1:18" ht="26.25" x14ac:dyDescent="0.25">
      <c r="A61" s="5" t="s">
        <v>121</v>
      </c>
      <c r="B61" s="5" t="s">
        <v>30</v>
      </c>
      <c r="C61" s="13" t="s">
        <v>260</v>
      </c>
      <c r="D61" s="13"/>
      <c r="E61" s="14"/>
      <c r="F61" s="5" t="s">
        <v>121</v>
      </c>
      <c r="G61" s="5" t="s">
        <v>30</v>
      </c>
      <c r="H61" s="13" t="s">
        <v>260</v>
      </c>
      <c r="I61" s="13"/>
      <c r="K61" s="5" t="s">
        <v>121</v>
      </c>
      <c r="L61" s="5" t="s">
        <v>30</v>
      </c>
      <c r="M61" s="13" t="s">
        <v>260</v>
      </c>
      <c r="N61" s="13"/>
      <c r="O61" s="5" t="s">
        <v>121</v>
      </c>
      <c r="P61" s="5" t="s">
        <v>30</v>
      </c>
      <c r="Q61" s="13" t="s">
        <v>260</v>
      </c>
      <c r="R61" s="13"/>
    </row>
    <row r="62" spans="1:18" x14ac:dyDescent="0.25">
      <c r="A62" s="4">
        <f>'20oC'!AU7</f>
        <v>451.29324340820312</v>
      </c>
      <c r="B62" s="4">
        <f>'20oC'!AC7</f>
        <v>59.850862263681535</v>
      </c>
      <c r="C62" s="15">
        <f>C$51*(1-EXP(-C$52*$A62))</f>
        <v>60.30971486082408</v>
      </c>
      <c r="D62" s="7"/>
      <c r="F62" s="4">
        <f>'20oC'!AU20</f>
        <v>500.1983642578125</v>
      </c>
      <c r="G62" s="4">
        <f>'20oC'!AC20</f>
        <v>77.963634592117742</v>
      </c>
      <c r="H62" s="15">
        <f>H$51*(1-EXP(-H$52*$F62))</f>
        <v>78.296855132868984</v>
      </c>
      <c r="I62" s="7"/>
      <c r="K62" s="4">
        <f>'20oC'!AU33</f>
        <v>602.32476806640625</v>
      </c>
      <c r="L62" s="4">
        <f>'20oC'!AC33</f>
        <v>89.905490866369419</v>
      </c>
      <c r="M62" s="15">
        <f>M$51*(1-EXP(-M$52*$K62))</f>
        <v>91.038002127735723</v>
      </c>
      <c r="N62" s="7"/>
      <c r="O62" s="4">
        <f>'20oC'!AU46</f>
        <v>597.7322998046875</v>
      </c>
      <c r="P62" s="4">
        <f>'20oC'!AC46</f>
        <v>95.413396120893736</v>
      </c>
      <c r="Q62" s="15">
        <f>Q$51*(1-EXP(-Q$52*$O62))</f>
        <v>95.073020953841962</v>
      </c>
      <c r="R62" s="7"/>
    </row>
    <row r="63" spans="1:18" x14ac:dyDescent="0.25">
      <c r="A63" s="4">
        <f>'20oC'!AU8</f>
        <v>301.428466796875</v>
      </c>
      <c r="B63" s="4">
        <f>'20oC'!AC8</f>
        <v>54.019848763748378</v>
      </c>
      <c r="C63" s="15">
        <f t="shared" ref="C63:C73" si="8">C$51*(1-EXP(-C$52*$A63))</f>
        <v>53.751617124220616</v>
      </c>
      <c r="D63" s="7"/>
      <c r="E63" s="8"/>
      <c r="F63" s="4">
        <f>'20oC'!AU21</f>
        <v>450.31265258789062</v>
      </c>
      <c r="G63" s="4">
        <f>'20oC'!AC21</f>
        <v>75.902910348093627</v>
      </c>
      <c r="H63" s="15">
        <f t="shared" ref="H63:H73" si="9">H$51*(1-EXP(-H$52*$F63))</f>
        <v>75.69200892860016</v>
      </c>
      <c r="I63" s="7"/>
      <c r="K63" s="4">
        <f>'20oC'!AU34</f>
        <v>451.36587524414062</v>
      </c>
      <c r="L63" s="4">
        <f>'20oC'!AC34</f>
        <v>84.345532541713666</v>
      </c>
      <c r="M63" s="15">
        <f t="shared" ref="M63:M73" si="10">M$51*(1-EXP(-M$52*$K63))</f>
        <v>84.198998465696761</v>
      </c>
      <c r="N63" s="7"/>
      <c r="O63" s="4">
        <f>'20oC'!AU47</f>
        <v>498.30471801757812</v>
      </c>
      <c r="P63" s="4">
        <f>'20oC'!AC47</f>
        <v>87.844543854582795</v>
      </c>
      <c r="Q63" s="15">
        <f t="shared" ref="Q63:Q74" si="11">Q$51*(1-EXP(-Q$52*$O63))</f>
        <v>88.127352081967757</v>
      </c>
      <c r="R63" s="7"/>
    </row>
    <row r="64" spans="1:18" x14ac:dyDescent="0.25">
      <c r="A64" s="4">
        <f>'20oC'!AU9</f>
        <v>200.49736022949219</v>
      </c>
      <c r="B64" s="4">
        <f>'20oC'!AC9</f>
        <v>44.745069319965246</v>
      </c>
      <c r="C64" s="15">
        <f t="shared" si="8"/>
        <v>44.752439301318795</v>
      </c>
      <c r="D64" s="7"/>
      <c r="E64" s="8"/>
      <c r="F64" s="4">
        <f>'20oC'!AU22</f>
        <v>299.595703125</v>
      </c>
      <c r="G64" s="4">
        <f>'20oC'!AC22</f>
        <v>63.554692863726075</v>
      </c>
      <c r="H64" s="15">
        <f t="shared" si="9"/>
        <v>63.620432160383288</v>
      </c>
      <c r="I64" s="7"/>
      <c r="K64" s="4">
        <f>'20oC'!AU35</f>
        <v>300.0052490234375</v>
      </c>
      <c r="L64" s="4">
        <f>'20oC'!AC35</f>
        <v>72.909475390269179</v>
      </c>
      <c r="M64" s="15">
        <f t="shared" si="10"/>
        <v>71.142311971482457</v>
      </c>
      <c r="N64" s="7"/>
      <c r="O64" s="4">
        <f>'20oC'!AU48</f>
        <v>448.499267578125</v>
      </c>
      <c r="P64" s="4">
        <f>'20oC'!AC48</f>
        <v>83.956073965456184</v>
      </c>
      <c r="Q64" s="15">
        <f t="shared" si="11"/>
        <v>83.836391708360409</v>
      </c>
      <c r="R64" s="7"/>
    </row>
    <row r="65" spans="1:18" x14ac:dyDescent="0.25">
      <c r="A65" s="4">
        <f>'20oC'!AU10</f>
        <v>173.65180969238281</v>
      </c>
      <c r="B65" s="4">
        <f>'20oC'!AC10</f>
        <v>41.89432247084936</v>
      </c>
      <c r="C65" s="15">
        <f t="shared" si="8"/>
        <v>41.328311787416958</v>
      </c>
      <c r="D65" s="7"/>
      <c r="E65" s="8"/>
      <c r="F65" s="4">
        <f>'20oC'!AU23</f>
        <v>198.14157104492187</v>
      </c>
      <c r="G65" s="4">
        <f>'20oC'!AC23</f>
        <v>49.866203020229676</v>
      </c>
      <c r="H65" s="15">
        <f t="shared" si="9"/>
        <v>50.073754741532376</v>
      </c>
      <c r="I65" s="7"/>
      <c r="K65" s="4">
        <f>'20oC'!AU36</f>
        <v>201.12538146972656</v>
      </c>
      <c r="L65" s="4">
        <f>'20oC'!AC36</f>
        <v>57.50497973020196</v>
      </c>
      <c r="M65" s="15">
        <f t="shared" si="10"/>
        <v>56.750685019930359</v>
      </c>
      <c r="N65" s="7"/>
      <c r="O65" s="4">
        <f>'20oC'!AU49</f>
        <v>298.18096923828125</v>
      </c>
      <c r="P65" s="4">
        <f>'20oC'!AC49</f>
        <v>66.102324589897023</v>
      </c>
      <c r="Q65" s="15">
        <f t="shared" si="11"/>
        <v>66.506057788638756</v>
      </c>
      <c r="R65" s="7"/>
    </row>
    <row r="66" spans="1:18" x14ac:dyDescent="0.25">
      <c r="A66" s="4">
        <f>'20oC'!AU11</f>
        <v>147.99147033691406</v>
      </c>
      <c r="B66" s="4">
        <f>'20oC'!AC11</f>
        <v>38.00970627137567</v>
      </c>
      <c r="C66" s="15">
        <f t="shared" si="8"/>
        <v>37.516156760128013</v>
      </c>
      <c r="D66" s="7"/>
      <c r="F66" s="4">
        <f>'20oC'!AU24</f>
        <v>175.49748229980469</v>
      </c>
      <c r="G66" s="4">
        <f>'20oC'!AC24</f>
        <v>46.773935234836244</v>
      </c>
      <c r="H66" s="15">
        <f t="shared" si="9"/>
        <v>46.195670874513198</v>
      </c>
      <c r="I66" s="7"/>
      <c r="K66" s="4">
        <f>'20oC'!AU37</f>
        <v>173.67692565917969</v>
      </c>
      <c r="L66" s="4">
        <f>'20oC'!AC37</f>
        <v>52.17198489028717</v>
      </c>
      <c r="M66" s="15">
        <f t="shared" si="10"/>
        <v>51.557717588835089</v>
      </c>
      <c r="N66" s="7"/>
      <c r="O66" s="4">
        <f>'20oC'!AU50</f>
        <v>201.48908996582031</v>
      </c>
      <c r="P66" s="4">
        <f>'20oC'!AC50</f>
        <v>50.075771855657734</v>
      </c>
      <c r="Q66" s="15">
        <f t="shared" si="11"/>
        <v>50.737841023224874</v>
      </c>
      <c r="R66" s="7"/>
    </row>
    <row r="67" spans="1:18" x14ac:dyDescent="0.25">
      <c r="A67" s="4">
        <f>'20oC'!AU12</f>
        <v>125.64658355712891</v>
      </c>
      <c r="B67" s="4">
        <f>'20oC'!AC12</f>
        <v>33.89140869122965</v>
      </c>
      <c r="C67" s="15">
        <f t="shared" si="8"/>
        <v>33.700430074243343</v>
      </c>
      <c r="D67" s="7"/>
      <c r="F67" s="4">
        <f>'20oC'!AU25</f>
        <v>149.75994873046875</v>
      </c>
      <c r="G67" s="4">
        <f>'20oC'!AC25</f>
        <v>41.891356961065675</v>
      </c>
      <c r="H67" s="15">
        <f t="shared" si="9"/>
        <v>41.324979954046803</v>
      </c>
      <c r="I67" s="7"/>
      <c r="K67" s="4">
        <f>'20oC'!AU38</f>
        <v>149.72219848632812</v>
      </c>
      <c r="L67" s="4">
        <f>'20oC'!AC38</f>
        <v>46.641988939442612</v>
      </c>
      <c r="M67" s="15">
        <f t="shared" si="10"/>
        <v>46.502055638130898</v>
      </c>
      <c r="N67" s="7"/>
      <c r="O67" s="4">
        <f>'20oC'!AU51</f>
        <v>174.31307983398438</v>
      </c>
      <c r="P67" s="4">
        <f>'20oC'!AC51</f>
        <v>45.435922698755149</v>
      </c>
      <c r="Q67" s="15">
        <f t="shared" si="11"/>
        <v>45.467861002738523</v>
      </c>
      <c r="R67" s="7"/>
    </row>
    <row r="68" spans="1:18" x14ac:dyDescent="0.25">
      <c r="A68" s="4">
        <f>'20oC'!AU13</f>
        <v>100.07487487792969</v>
      </c>
      <c r="B68" s="4">
        <f>'20oC'!AC13</f>
        <v>28.291228606943641</v>
      </c>
      <c r="C68" s="15">
        <f t="shared" si="8"/>
        <v>28.680129920874403</v>
      </c>
      <c r="D68" s="7"/>
      <c r="F68" s="4">
        <f>'20oC'!AU26</f>
        <v>127.05342864990234</v>
      </c>
      <c r="G68" s="4">
        <f>'20oC'!AC26</f>
        <v>36.958023875210749</v>
      </c>
      <c r="H68" s="15">
        <f t="shared" si="9"/>
        <v>36.577094545841305</v>
      </c>
      <c r="I68" s="7"/>
      <c r="K68" s="4">
        <f>'20oC'!AU39</f>
        <v>125.49110412597656</v>
      </c>
      <c r="L68" s="4">
        <f>'20oC'!AC39</f>
        <v>40.399208949868765</v>
      </c>
      <c r="M68" s="15">
        <f t="shared" si="10"/>
        <v>40.835277555441024</v>
      </c>
      <c r="N68" s="7"/>
      <c r="O68" s="4">
        <f>'20oC'!AU52</f>
        <v>148.85475158691406</v>
      </c>
      <c r="P68" s="4">
        <f>'20oC'!AC52</f>
        <v>40.49468471947349</v>
      </c>
      <c r="Q68" s="15">
        <f t="shared" si="11"/>
        <v>40.147485747556999</v>
      </c>
      <c r="R68" s="7"/>
    </row>
    <row r="69" spans="1:18" x14ac:dyDescent="0.25">
      <c r="A69" s="4">
        <f>'20oC'!AU14</f>
        <v>49.820995330810547</v>
      </c>
      <c r="B69" s="4">
        <f>'20oC'!AC14</f>
        <v>15.293822294129397</v>
      </c>
      <c r="C69" s="15">
        <f t="shared" si="8"/>
        <v>16.349554036008609</v>
      </c>
      <c r="D69" s="7"/>
      <c r="F69" s="4">
        <f>'20oC'!AU27</f>
        <v>101.18484497070312</v>
      </c>
      <c r="G69" s="4">
        <f>'20oC'!AC27</f>
        <v>30.444276428908687</v>
      </c>
      <c r="H69" s="15">
        <f t="shared" si="9"/>
        <v>30.597688781823901</v>
      </c>
      <c r="I69" s="7"/>
      <c r="K69" s="4">
        <f>'20oC'!AU40</f>
        <v>100.5137939453125</v>
      </c>
      <c r="L69" s="4">
        <f>'20oC'!AC40</f>
        <v>33.377513292011898</v>
      </c>
      <c r="M69" s="15">
        <f t="shared" si="10"/>
        <v>34.348353737843503</v>
      </c>
      <c r="N69" s="7"/>
      <c r="O69" s="4">
        <f>'20oC'!AU53</f>
        <v>126.39411163330078</v>
      </c>
      <c r="P69" s="4">
        <f>'20oC'!AC53</f>
        <v>35.596796443743401</v>
      </c>
      <c r="Q69" s="15">
        <f t="shared" si="11"/>
        <v>35.122856392260289</v>
      </c>
      <c r="R69" s="7"/>
    </row>
    <row r="70" spans="1:18" x14ac:dyDescent="0.25">
      <c r="A70" s="4">
        <f>'20oC'!AU15</f>
        <v>23.029382705688477</v>
      </c>
      <c r="B70" s="4">
        <f>'20oC'!AC15</f>
        <v>7.3714063629535298</v>
      </c>
      <c r="C70" s="15">
        <f t="shared" si="8"/>
        <v>8.1470019075607265</v>
      </c>
      <c r="D70" s="7"/>
      <c r="F70" s="4">
        <f>'20oC'!AU28</f>
        <v>75.339607238769531</v>
      </c>
      <c r="G70" s="4">
        <f>'20oC'!AC28</f>
        <v>23.325500623298126</v>
      </c>
      <c r="H70" s="15">
        <f t="shared" si="9"/>
        <v>23.951631741069601</v>
      </c>
      <c r="I70" s="7"/>
      <c r="K70" s="4">
        <f>'20oC'!AU41</f>
        <v>75.057090759277344</v>
      </c>
      <c r="L70" s="4">
        <f>'20oC'!AC41</f>
        <v>25.804585477850296</v>
      </c>
      <c r="M70" s="15">
        <f t="shared" si="10"/>
        <v>26.987048662193526</v>
      </c>
      <c r="N70" s="7"/>
      <c r="O70" s="4">
        <f>'20oC'!AU54</f>
        <v>100.67278289794922</v>
      </c>
      <c r="P70" s="4">
        <f>'20oC'!AC54</f>
        <v>29.314340814423709</v>
      </c>
      <c r="Q70" s="15">
        <f t="shared" si="11"/>
        <v>28.960437148083866</v>
      </c>
      <c r="R70" s="7"/>
    </row>
    <row r="71" spans="1:18" x14ac:dyDescent="0.25">
      <c r="A71" s="4">
        <f>'20oC'!AU16</f>
        <v>0.46755006909370422</v>
      </c>
      <c r="B71" s="4">
        <f>'20oC'!AC16</f>
        <v>0.1576712566036815</v>
      </c>
      <c r="C71" s="15">
        <f t="shared" si="8"/>
        <v>0.17647991561939269</v>
      </c>
      <c r="D71" s="7"/>
      <c r="F71" s="4">
        <f>'20oC'!AU29</f>
        <v>50.384498596191406</v>
      </c>
      <c r="G71" s="4">
        <f>'20oC'!AC29</f>
        <v>15.978825536128101</v>
      </c>
      <c r="H71" s="15">
        <f t="shared" si="9"/>
        <v>16.826222672005422</v>
      </c>
      <c r="I71" s="7"/>
      <c r="K71" s="4">
        <f>'20oC'!AU42</f>
        <v>50.488552093505859</v>
      </c>
      <c r="L71" s="4">
        <f>'20oC'!AC42</f>
        <v>17.821201722268718</v>
      </c>
      <c r="M71" s="15">
        <f t="shared" si="10"/>
        <v>19.084068863326451</v>
      </c>
      <c r="N71" s="7"/>
      <c r="O71" s="4">
        <f>'20oC'!AU55</f>
        <v>75.140724182128906</v>
      </c>
      <c r="P71" s="4">
        <f>'20oC'!AC55</f>
        <v>22.537927676849392</v>
      </c>
      <c r="Q71" s="15">
        <f t="shared" si="11"/>
        <v>22.380953052506516</v>
      </c>
      <c r="R71" s="7"/>
    </row>
    <row r="72" spans="1:18" x14ac:dyDescent="0.25">
      <c r="A72" s="4">
        <f>'20oC'!AU17</f>
        <v>0.619098961353302</v>
      </c>
      <c r="B72" s="4">
        <f>'20oC'!AC17</f>
        <v>0.1576712566036815</v>
      </c>
      <c r="C72" s="15">
        <f t="shared" si="8"/>
        <v>0.23358022131744416</v>
      </c>
      <c r="F72" s="4">
        <f>'20oC'!AU30</f>
        <v>23.330867767333984</v>
      </c>
      <c r="G72" s="4">
        <f>'20oC'!AC30</f>
        <v>7.5734008578154413</v>
      </c>
      <c r="H72" s="15">
        <f t="shared" si="9"/>
        <v>8.2267459060444565</v>
      </c>
      <c r="K72" s="4">
        <f>'20oC'!AU43</f>
        <v>24.966220855712891</v>
      </c>
      <c r="L72" s="4">
        <f>'20oC'!AC43</f>
        <v>9.0678151438374783</v>
      </c>
      <c r="M72" s="15">
        <f t="shared" si="10"/>
        <v>9.9496325272728932</v>
      </c>
      <c r="O72" s="4">
        <f>'20oC'!AU56</f>
        <v>50.371551513671875</v>
      </c>
      <c r="P72" s="4">
        <f>'20oC'!AC56</f>
        <v>15.54399749347437</v>
      </c>
      <c r="Q72" s="15">
        <f t="shared" si="11"/>
        <v>15.524910411720366</v>
      </c>
      <c r="R72" s="15"/>
    </row>
    <row r="73" spans="1:18" x14ac:dyDescent="0.25">
      <c r="A73" s="4">
        <f>'20oC'!AU18</f>
        <v>0.45957627892494202</v>
      </c>
      <c r="B73" s="4">
        <f>'20oC'!AC18</f>
        <v>0.1576712566036815</v>
      </c>
      <c r="C73" s="15">
        <f t="shared" si="8"/>
        <v>0.17347417297960921</v>
      </c>
      <c r="F73" s="4">
        <f>'20oC'!AU31</f>
        <v>0.37401127815246582</v>
      </c>
      <c r="G73" s="4">
        <f>'20oC'!AC31</f>
        <v>0.12559886095773132</v>
      </c>
      <c r="H73" s="15">
        <f t="shared" si="9"/>
        <v>0.13821889122972256</v>
      </c>
      <c r="K73" s="4">
        <f>'20oC'!AU44</f>
        <v>0.12461073696613312</v>
      </c>
      <c r="L73" s="4">
        <f>'20oC'!AC44</f>
        <v>4.7400948342653328E-2</v>
      </c>
      <c r="M73" s="15">
        <f t="shared" si="10"/>
        <v>5.2333960623379548E-2</v>
      </c>
      <c r="O73" s="4">
        <f>'20oC'!AU57</f>
        <v>23.319021224975586</v>
      </c>
      <c r="P73" s="4">
        <f>'20oC'!AC57</f>
        <v>7.4363072140177673</v>
      </c>
      <c r="Q73" s="15">
        <f t="shared" si="11"/>
        <v>7.4639322896278646</v>
      </c>
    </row>
    <row r="74" spans="1:18" x14ac:dyDescent="0.25">
      <c r="H74" s="15"/>
      <c r="M74" s="15"/>
      <c r="O74" s="4">
        <f>'20oC'!AU58</f>
        <v>0.4374469518661499</v>
      </c>
      <c r="P74" s="4">
        <f>'20oC'!AC58</f>
        <v>0.14636179083305906</v>
      </c>
      <c r="Q74" s="15">
        <f t="shared" si="11"/>
        <v>0.14462150352945574</v>
      </c>
    </row>
    <row r="75" spans="1:18" x14ac:dyDescent="0.25">
      <c r="H75" s="15"/>
      <c r="M75" s="15"/>
    </row>
    <row r="76" spans="1:18" x14ac:dyDescent="0.25">
      <c r="H76" s="15"/>
      <c r="M76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78"/>
  <sheetViews>
    <sheetView tabSelected="1" topLeftCell="E1" workbookViewId="0">
      <selection activeCell="P1" sqref="P1:P2"/>
    </sheetView>
  </sheetViews>
  <sheetFormatPr defaultRowHeight="15" x14ac:dyDescent="0.25"/>
  <cols>
    <col min="2" max="2" width="13.85546875" customWidth="1"/>
    <col min="5" max="5" width="14.7109375" customWidth="1"/>
    <col min="9" max="9" width="10.5703125" bestFit="1" customWidth="1"/>
    <col min="12" max="12" width="12.42578125" customWidth="1"/>
    <col min="23" max="23" width="7" customWidth="1"/>
  </cols>
  <sheetData>
    <row r="1" spans="2:37" x14ac:dyDescent="0.25">
      <c r="P1" s="12">
        <v>7.43451995299632</v>
      </c>
      <c r="Q1" s="12"/>
      <c r="T1" t="s">
        <v>258</v>
      </c>
      <c r="U1" t="s">
        <v>261</v>
      </c>
    </row>
    <row r="2" spans="2:37" x14ac:dyDescent="0.25">
      <c r="O2" t="s">
        <v>201</v>
      </c>
      <c r="P2" s="12">
        <v>2.5760571206202019</v>
      </c>
      <c r="Q2" t="s">
        <v>303</v>
      </c>
      <c r="R2" t="s">
        <v>254</v>
      </c>
      <c r="T2" t="s">
        <v>201</v>
      </c>
    </row>
    <row r="3" spans="2:37" x14ac:dyDescent="0.25">
      <c r="B3" t="s">
        <v>173</v>
      </c>
      <c r="C3" t="s">
        <v>174</v>
      </c>
      <c r="D3" t="s">
        <v>175</v>
      </c>
      <c r="E3" t="s">
        <v>134</v>
      </c>
      <c r="G3" t="s">
        <v>173</v>
      </c>
      <c r="H3" t="s">
        <v>174</v>
      </c>
      <c r="I3" t="s">
        <v>175</v>
      </c>
      <c r="J3" t="s">
        <v>134</v>
      </c>
      <c r="K3" t="s">
        <v>305</v>
      </c>
      <c r="L3" t="s">
        <v>254</v>
      </c>
      <c r="M3" t="s">
        <v>173</v>
      </c>
      <c r="N3" t="s">
        <v>174</v>
      </c>
      <c r="O3" t="s">
        <v>134</v>
      </c>
      <c r="P3" s="4">
        <f>SUMXMY2(O4:O28,P4:P28)</f>
        <v>99.050095446060382</v>
      </c>
      <c r="Q3" t="s">
        <v>304</v>
      </c>
      <c r="R3" t="s">
        <v>253</v>
      </c>
      <c r="S3" t="s">
        <v>173</v>
      </c>
      <c r="T3" t="s">
        <v>134</v>
      </c>
      <c r="W3" t="s">
        <v>254</v>
      </c>
      <c r="X3" t="s">
        <v>173</v>
      </c>
      <c r="Y3" t="s">
        <v>174</v>
      </c>
      <c r="Z3" t="s">
        <v>265</v>
      </c>
      <c r="AA3" t="s">
        <v>266</v>
      </c>
      <c r="AB3" t="s">
        <v>267</v>
      </c>
      <c r="AD3" t="s">
        <v>173</v>
      </c>
      <c r="AE3" t="s">
        <v>265</v>
      </c>
      <c r="AF3" t="s">
        <v>266</v>
      </c>
      <c r="AG3" t="s">
        <v>267</v>
      </c>
      <c r="AI3" t="s">
        <v>265</v>
      </c>
      <c r="AJ3" t="s">
        <v>266</v>
      </c>
      <c r="AK3" t="s">
        <v>267</v>
      </c>
    </row>
    <row r="4" spans="2:37" x14ac:dyDescent="0.25">
      <c r="B4" s="35" t="s">
        <v>176</v>
      </c>
      <c r="C4" s="35">
        <v>1</v>
      </c>
      <c r="D4" s="35">
        <v>10</v>
      </c>
      <c r="E4" s="35">
        <f>Fitting1!C9</f>
        <v>73.143341987810771</v>
      </c>
      <c r="G4" s="35" t="s">
        <v>176</v>
      </c>
      <c r="H4" s="35">
        <v>1</v>
      </c>
      <c r="I4" s="35">
        <v>10</v>
      </c>
      <c r="J4" s="48">
        <f>E4</f>
        <v>73.143341987810771</v>
      </c>
      <c r="K4">
        <v>8693.8472080764768</v>
      </c>
      <c r="L4">
        <v>0</v>
      </c>
      <c r="M4" s="35" t="s">
        <v>176</v>
      </c>
      <c r="N4" s="35">
        <v>1</v>
      </c>
      <c r="O4" s="35">
        <f>SLOPE(J4:J6,I4:I6)</f>
        <v>-0.81136248693637869</v>
      </c>
      <c r="P4" s="35">
        <f>P$1*(1-EXP(-P$2*$L4))</f>
        <v>0</v>
      </c>
      <c r="Q4">
        <v>8693.8472080764768</v>
      </c>
      <c r="R4">
        <v>0</v>
      </c>
      <c r="S4" s="35" t="s">
        <v>176</v>
      </c>
      <c r="T4" s="35">
        <f>AVERAGE(O4:O8)</f>
        <v>0.38244208732979362</v>
      </c>
      <c r="U4" s="35">
        <f>STDEV(O4:O8)/(COUNTA(O4:O8))</f>
        <v>0.26845868770687625</v>
      </c>
      <c r="W4">
        <v>0</v>
      </c>
      <c r="X4" s="35" t="s">
        <v>176</v>
      </c>
      <c r="Y4" s="35">
        <v>1</v>
      </c>
      <c r="Z4" s="35">
        <f>E14</f>
        <v>65.029717118446982</v>
      </c>
      <c r="AA4" s="35">
        <f>E9</f>
        <v>0</v>
      </c>
      <c r="AB4" s="35">
        <f>E4</f>
        <v>73.143341987810771</v>
      </c>
      <c r="AD4" s="35" t="s">
        <v>176</v>
      </c>
      <c r="AE4" s="35">
        <f>AVERAGE(Z4:Z8)</f>
        <v>92.419967524146628</v>
      </c>
      <c r="AF4" s="35">
        <f>AVERAGE(AA4:AA8)</f>
        <v>69.537454124562771</v>
      </c>
      <c r="AG4" s="35">
        <f>AVERAGE(AB4:AB8)</f>
        <v>88.595546650848689</v>
      </c>
      <c r="AI4" s="35">
        <f>STDEV(Z4:Z8)/(COUNTA(Z4:Z8))</f>
        <v>5.3378299457272167</v>
      </c>
      <c r="AJ4" s="35">
        <f>STDEV(AA4:AA8)/(COUNTA(AA4:AA8))</f>
        <v>11.665403457731694</v>
      </c>
      <c r="AK4" s="35">
        <f>STDEV(AB4:AB8)/(COUNTA(AB4:AB8))</f>
        <v>5.2403656071914861</v>
      </c>
    </row>
    <row r="5" spans="2:37" x14ac:dyDescent="0.25">
      <c r="B5" s="35" t="s">
        <v>176</v>
      </c>
      <c r="C5" s="35">
        <v>2</v>
      </c>
      <c r="D5" s="35">
        <v>10</v>
      </c>
      <c r="E5" s="35">
        <f>Fitting1!H9</f>
        <v>74.838871066756255</v>
      </c>
      <c r="G5" s="35" t="s">
        <v>176</v>
      </c>
      <c r="H5" s="35">
        <v>1</v>
      </c>
      <c r="I5" s="35">
        <v>15</v>
      </c>
      <c r="J5" s="48">
        <f>E9</f>
        <v>0</v>
      </c>
      <c r="K5">
        <v>8693.8472080764768</v>
      </c>
      <c r="L5">
        <v>0</v>
      </c>
      <c r="M5" s="35" t="s">
        <v>176</v>
      </c>
      <c r="N5" s="35">
        <v>2</v>
      </c>
      <c r="O5" s="35">
        <f>SLOPE(J7:J9,I7:I9)</f>
        <v>1.4865014158829966</v>
      </c>
      <c r="P5" s="35">
        <f t="shared" ref="P5:P27" si="0">P$1*(1-EXP(-P$2*$L5))</f>
        <v>0</v>
      </c>
      <c r="Q5">
        <v>1415.8322348383324</v>
      </c>
      <c r="R5">
        <v>0</v>
      </c>
      <c r="S5" s="22" t="s">
        <v>177</v>
      </c>
      <c r="T5" s="22">
        <f>AVERAGE(O9:O13)</f>
        <v>-0.82841049889687801</v>
      </c>
      <c r="U5" s="22">
        <f>STDEV(O9:O13)/(COUNTA(O9:O13))</f>
        <v>0.95278406849417274</v>
      </c>
      <c r="W5">
        <v>0</v>
      </c>
      <c r="X5" s="35" t="s">
        <v>176</v>
      </c>
      <c r="Y5" s="35">
        <v>2</v>
      </c>
      <c r="Z5" s="35">
        <f>E15</f>
        <v>89.70388522558622</v>
      </c>
      <c r="AA5" s="35">
        <f>E10</f>
        <v>85.270942996774053</v>
      </c>
      <c r="AB5" s="35">
        <f>E5</f>
        <v>74.838871066756255</v>
      </c>
      <c r="AD5" s="22" t="s">
        <v>177</v>
      </c>
      <c r="AE5" s="22">
        <f>AVERAGE(Z9:Z13)</f>
        <v>98.84651344815191</v>
      </c>
      <c r="AF5" s="22">
        <f>AVERAGE(AA9:AA13)</f>
        <v>99.110578668767232</v>
      </c>
      <c r="AG5" s="22">
        <f>AVERAGE(AB9:AB13)</f>
        <v>97.794679850901119</v>
      </c>
      <c r="AI5" s="22">
        <f>STDEV(Z9:Z13)/(COUNTA(Z9:Z13))</f>
        <v>7.2309818619518023</v>
      </c>
      <c r="AJ5" s="22">
        <f>STDEV(AA9:AA13)/(COUNTA(AA9:AA13))</f>
        <v>8.6871233486367938</v>
      </c>
      <c r="AK5" s="22">
        <f>STDEV(AB9:AB13)/(COUNTA(AB9:AB13))</f>
        <v>5.5065480960760835</v>
      </c>
    </row>
    <row r="6" spans="2:37" x14ac:dyDescent="0.25">
      <c r="B6" s="35" t="s">
        <v>176</v>
      </c>
      <c r="C6" s="35">
        <v>3</v>
      </c>
      <c r="D6" s="35">
        <v>10</v>
      </c>
      <c r="E6" s="35">
        <f>Fitting1!M9</f>
        <v>87.975785206881241</v>
      </c>
      <c r="G6" s="35" t="s">
        <v>176</v>
      </c>
      <c r="H6" s="35">
        <v>1</v>
      </c>
      <c r="I6" s="35">
        <v>20</v>
      </c>
      <c r="J6" s="48">
        <f>E14</f>
        <v>65.029717118446982</v>
      </c>
      <c r="K6">
        <v>8693.8472080764768</v>
      </c>
      <c r="L6">
        <v>0</v>
      </c>
      <c r="M6" s="35" t="s">
        <v>176</v>
      </c>
      <c r="N6" s="35">
        <v>3</v>
      </c>
      <c r="O6" s="35">
        <f>SLOPE(J10:J12,I10:I12)</f>
        <v>1.0641897957352739</v>
      </c>
      <c r="P6" s="35">
        <f t="shared" si="0"/>
        <v>0</v>
      </c>
      <c r="Q6">
        <v>3737.7087242026269</v>
      </c>
      <c r="R6">
        <v>0.28999999999999998</v>
      </c>
      <c r="S6" s="17" t="s">
        <v>178</v>
      </c>
      <c r="T6" s="17">
        <f>AVERAGE(O14:O18)</f>
        <v>3.2387652331253483</v>
      </c>
      <c r="U6" s="17">
        <f>STDEV(O14:O18)/(COUNTA(O14:O18))</f>
        <v>0.48116974298416276</v>
      </c>
      <c r="W6">
        <v>0</v>
      </c>
      <c r="X6" s="35" t="s">
        <v>176</v>
      </c>
      <c r="Y6" s="35">
        <v>3</v>
      </c>
      <c r="Z6" s="35">
        <f>E16</f>
        <v>98.617683164233981</v>
      </c>
      <c r="AA6" s="35">
        <f>E11</f>
        <v>95.57772935729605</v>
      </c>
      <c r="AB6" s="35">
        <f>E6</f>
        <v>87.975785206881241</v>
      </c>
      <c r="AD6" s="17" t="s">
        <v>178</v>
      </c>
      <c r="AE6" s="17">
        <f>AVERAGE(Z14:Z18)</f>
        <v>93.853734285533307</v>
      </c>
      <c r="AF6" s="17">
        <f>AVERAGE(AA14:AA18)</f>
        <v>84.645307934542515</v>
      </c>
      <c r="AG6" s="17">
        <f>AVERAGE(AB14:AB18)</f>
        <v>61.466081954279822</v>
      </c>
      <c r="AI6" s="17">
        <f>STDEV(Z14:Z18)/(COUNTA(Z14:Z18))</f>
        <v>5.9693194001753414</v>
      </c>
      <c r="AJ6" s="17">
        <f>STDEV(AA14:AA18)/(COUNTA(AA14:AA18))</f>
        <v>5.0986215754912942</v>
      </c>
      <c r="AK6" s="17">
        <f>STDEV(AB14:AB18)/(COUNTA(AB14:AB18))</f>
        <v>2.8366474496218772</v>
      </c>
    </row>
    <row r="7" spans="2:37" x14ac:dyDescent="0.25">
      <c r="B7" s="35" t="s">
        <v>176</v>
      </c>
      <c r="C7" s="35">
        <v>4</v>
      </c>
      <c r="D7" s="35">
        <v>10</v>
      </c>
      <c r="E7" s="29">
        <f>Fitting1!R9</f>
        <v>118.42418834194646</v>
      </c>
      <c r="G7" s="35" t="s">
        <v>176</v>
      </c>
      <c r="H7" s="35">
        <v>2</v>
      </c>
      <c r="I7" s="35">
        <v>10</v>
      </c>
      <c r="J7" s="48">
        <f>E5</f>
        <v>74.838871066756255</v>
      </c>
      <c r="K7">
        <v>8693.8472080764768</v>
      </c>
      <c r="L7">
        <v>0</v>
      </c>
      <c r="M7" s="35" t="s">
        <v>176</v>
      </c>
      <c r="N7" s="35">
        <v>4</v>
      </c>
      <c r="O7" s="35">
        <f>SLOPE(J13:J15,I13:I15)</f>
        <v>-0.20956037536271738</v>
      </c>
      <c r="P7" s="35">
        <f t="shared" si="0"/>
        <v>0</v>
      </c>
      <c r="Q7">
        <v>6172.9893147502899</v>
      </c>
      <c r="R7">
        <v>1.48</v>
      </c>
      <c r="S7" s="42" t="s">
        <v>247</v>
      </c>
      <c r="T7" s="42">
        <f>AVERAGE(O19:O23)</f>
        <v>6.2544068376175925</v>
      </c>
      <c r="U7" s="42">
        <f>STDEV(O19:O23)/(COUNTA(O19:O23))</f>
        <v>0.82965970224889263</v>
      </c>
      <c r="W7">
        <v>0</v>
      </c>
      <c r="X7" s="35" t="s">
        <v>176</v>
      </c>
      <c r="Y7" s="35">
        <v>4</v>
      </c>
      <c r="Z7" s="35">
        <f>E17</f>
        <v>116.32858458831929</v>
      </c>
      <c r="AA7" s="35">
        <f>E12</f>
        <v>97.301144144180952</v>
      </c>
      <c r="AB7" s="35">
        <f>E7</f>
        <v>118.42418834194646</v>
      </c>
      <c r="AD7" s="42" t="s">
        <v>247</v>
      </c>
      <c r="AE7" s="42">
        <f>AVERAGE(Z19:Z23)</f>
        <v>169.31996926008048</v>
      </c>
      <c r="AF7" s="42">
        <f>AVERAGE(AA19:AA23)</f>
        <v>138.36416390633647</v>
      </c>
      <c r="AG7" s="42">
        <f>AVERAGE(AB19:AB23)</f>
        <v>106.14356933197314</v>
      </c>
      <c r="AI7" s="42">
        <f>STDEV(Z19:Z23)/(COUNTA(Z19:Z23))</f>
        <v>9.9998404974517108</v>
      </c>
      <c r="AJ7" s="42">
        <f>STDEV(AA19:AA23)/(COUNTA(AA19:AA23))</f>
        <v>8.910354921446709</v>
      </c>
      <c r="AK7" s="42">
        <f>STDEV(AB19:AB23)/(COUNTA(AB19:AB23))</f>
        <v>1.833204164923584</v>
      </c>
    </row>
    <row r="8" spans="2:37" x14ac:dyDescent="0.25">
      <c r="B8" s="35" t="s">
        <v>176</v>
      </c>
      <c r="C8" s="35">
        <v>5</v>
      </c>
      <c r="D8" s="35">
        <v>10</v>
      </c>
      <c r="E8" s="35"/>
      <c r="G8" s="35" t="s">
        <v>176</v>
      </c>
      <c r="H8" s="35">
        <v>2</v>
      </c>
      <c r="I8" s="35">
        <v>15</v>
      </c>
      <c r="J8" s="48">
        <f>E10</f>
        <v>85.270942996774053</v>
      </c>
      <c r="K8">
        <v>8693.8472080764768</v>
      </c>
      <c r="L8">
        <v>0</v>
      </c>
      <c r="M8" s="35" t="s">
        <v>176</v>
      </c>
      <c r="N8" s="35">
        <v>5</v>
      </c>
      <c r="O8" s="35"/>
      <c r="P8" s="35"/>
      <c r="Q8">
        <v>8111.8569016349502</v>
      </c>
      <c r="R8">
        <v>0.56000000000000005</v>
      </c>
      <c r="S8" s="21" t="s">
        <v>248</v>
      </c>
      <c r="T8" s="21">
        <f>AVERAGE(O24:O28)</f>
        <v>6.652054863717221</v>
      </c>
      <c r="U8" s="21">
        <f>STDEV(O24:O28)/(COUNTA(O24:O28))</f>
        <v>0.46141690824094977</v>
      </c>
      <c r="W8">
        <v>0</v>
      </c>
      <c r="X8" s="35" t="s">
        <v>176</v>
      </c>
      <c r="Y8" s="35">
        <v>5</v>
      </c>
      <c r="Z8" s="35"/>
      <c r="AA8" s="35"/>
      <c r="AB8" s="35"/>
      <c r="AD8" s="21" t="s">
        <v>248</v>
      </c>
      <c r="AE8" s="21">
        <f>AVERAGE(Z24:Z28)</f>
        <v>151.87510959996368</v>
      </c>
      <c r="AF8" s="21">
        <f>AVERAGE(AA24:AA28)</f>
        <v>122.63596767787256</v>
      </c>
      <c r="AG8" s="21">
        <f>AVERAGE(AB24:AB28)</f>
        <v>85.354560962791481</v>
      </c>
      <c r="AI8" s="21">
        <f>STDEV(Z24:Z28)/(COUNTA(Z24:Z28))</f>
        <v>8.1659042006390692</v>
      </c>
      <c r="AJ8" s="21">
        <f>STDEV(AA24:AA28)/(COUNTA(AA24:AA28))</f>
        <v>7.1378455436922721</v>
      </c>
      <c r="AK8" s="21">
        <f>STDEV(AB24:AB28)/(COUNTA(AB24:AB28))</f>
        <v>3.6958668081335131</v>
      </c>
    </row>
    <row r="9" spans="2:37" x14ac:dyDescent="0.25">
      <c r="B9" s="20" t="s">
        <v>176</v>
      </c>
      <c r="C9" s="20">
        <v>1</v>
      </c>
      <c r="D9" s="20">
        <v>15</v>
      </c>
      <c r="E9" s="43"/>
      <c r="G9" s="35" t="s">
        <v>176</v>
      </c>
      <c r="H9" s="35">
        <v>2</v>
      </c>
      <c r="I9" s="35">
        <v>20</v>
      </c>
      <c r="J9" s="48">
        <f>E15</f>
        <v>89.70388522558622</v>
      </c>
      <c r="K9">
        <v>1415.8322348383324</v>
      </c>
      <c r="L9">
        <v>0</v>
      </c>
      <c r="M9" s="22" t="s">
        <v>177</v>
      </c>
      <c r="N9" s="22">
        <v>1</v>
      </c>
      <c r="O9" s="22">
        <f>SLOPE(J19:J21,I19:I21)</f>
        <v>1.947544652639833</v>
      </c>
      <c r="P9" s="35">
        <f t="shared" si="0"/>
        <v>0</v>
      </c>
      <c r="Q9" s="35"/>
      <c r="W9">
        <v>0</v>
      </c>
      <c r="X9" s="22" t="s">
        <v>177</v>
      </c>
      <c r="Y9" s="22">
        <v>1</v>
      </c>
      <c r="Z9" s="22">
        <f>E29</f>
        <v>117.78146592269927</v>
      </c>
      <c r="AA9" s="22">
        <f>E24</f>
        <v>110.40896306674007</v>
      </c>
      <c r="AB9" s="22">
        <f>E19</f>
        <v>98.30601939630094</v>
      </c>
    </row>
    <row r="10" spans="2:37" x14ac:dyDescent="0.25">
      <c r="B10" s="20" t="s">
        <v>176</v>
      </c>
      <c r="C10" s="20">
        <v>2</v>
      </c>
      <c r="D10" s="20">
        <v>15</v>
      </c>
      <c r="E10" s="20">
        <f>Fitting1!H33</f>
        <v>85.270942996774053</v>
      </c>
      <c r="G10" s="35" t="s">
        <v>176</v>
      </c>
      <c r="H10" s="35">
        <v>3</v>
      </c>
      <c r="I10" s="35">
        <v>10</v>
      </c>
      <c r="J10" s="48">
        <f>E6</f>
        <v>87.975785206881241</v>
      </c>
      <c r="K10">
        <v>1415.8322348383324</v>
      </c>
      <c r="L10">
        <v>0</v>
      </c>
      <c r="M10" s="22" t="s">
        <v>177</v>
      </c>
      <c r="N10" s="22">
        <v>2</v>
      </c>
      <c r="O10" s="22">
        <f>SLOPE(J22:J24,I22:I24)</f>
        <v>-0.67018883844780031</v>
      </c>
      <c r="P10" s="35">
        <f t="shared" si="0"/>
        <v>0</v>
      </c>
      <c r="Q10" s="35"/>
      <c r="W10">
        <v>0</v>
      </c>
      <c r="X10" s="22" t="s">
        <v>177</v>
      </c>
      <c r="Y10" s="22">
        <v>2</v>
      </c>
      <c r="Z10" s="22">
        <f>E30</f>
        <v>63.864290449533023</v>
      </c>
      <c r="AA10" s="22">
        <f>E25</f>
        <v>65.687660068819937</v>
      </c>
      <c r="AB10" s="22">
        <f>E20</f>
        <v>70.566178834011026</v>
      </c>
    </row>
    <row r="11" spans="2:37" x14ac:dyDescent="0.25">
      <c r="B11" s="20" t="s">
        <v>176</v>
      </c>
      <c r="C11" s="20">
        <v>3</v>
      </c>
      <c r="D11" s="20">
        <v>15</v>
      </c>
      <c r="E11" s="20">
        <f>Fitting1!M33</f>
        <v>95.57772935729605</v>
      </c>
      <c r="G11" s="35" t="s">
        <v>176</v>
      </c>
      <c r="H11" s="35">
        <v>3</v>
      </c>
      <c r="I11" s="35">
        <v>15</v>
      </c>
      <c r="J11" s="48">
        <f>E11</f>
        <v>95.57772935729605</v>
      </c>
      <c r="K11">
        <v>1415.8322348383324</v>
      </c>
      <c r="L11">
        <v>0</v>
      </c>
      <c r="M11" s="22" t="s">
        <v>177</v>
      </c>
      <c r="N11" s="22">
        <v>3</v>
      </c>
      <c r="O11" s="22">
        <f>SLOPE(J25:J27,I25:I27)</f>
        <v>-3.7625873108826666</v>
      </c>
      <c r="P11" s="35">
        <f t="shared" si="0"/>
        <v>0</v>
      </c>
      <c r="Q11" s="35"/>
      <c r="W11">
        <v>0</v>
      </c>
      <c r="X11" s="22" t="s">
        <v>177</v>
      </c>
      <c r="Y11" s="22">
        <v>3</v>
      </c>
      <c r="Z11" s="22">
        <f>E31</f>
        <v>86.885968213564723</v>
      </c>
      <c r="AA11" s="22">
        <f>E26</f>
        <v>77.516445975820929</v>
      </c>
      <c r="AB11" s="22">
        <f>E21</f>
        <v>124.51184132239139</v>
      </c>
    </row>
    <row r="12" spans="2:37" x14ac:dyDescent="0.25">
      <c r="B12" s="20" t="s">
        <v>176</v>
      </c>
      <c r="C12" s="20">
        <v>4</v>
      </c>
      <c r="D12" s="20">
        <v>15</v>
      </c>
      <c r="E12" s="20">
        <f>Fitting1!Q33</f>
        <v>97.301144144180952</v>
      </c>
      <c r="G12" s="35" t="s">
        <v>176</v>
      </c>
      <c r="H12" s="35">
        <v>3</v>
      </c>
      <c r="I12" s="35">
        <v>20</v>
      </c>
      <c r="J12" s="48">
        <f>E16</f>
        <v>98.617683164233981</v>
      </c>
      <c r="K12">
        <v>1415.8322348383324</v>
      </c>
      <c r="L12">
        <v>0</v>
      </c>
      <c r="M12" s="22" t="s">
        <v>177</v>
      </c>
      <c r="N12" s="22">
        <v>4</v>
      </c>
      <c r="O12" s="22"/>
      <c r="P12" s="35"/>
      <c r="Q12" s="35"/>
      <c r="W12">
        <v>0</v>
      </c>
      <c r="X12" s="22" t="s">
        <v>177</v>
      </c>
      <c r="Y12" s="22">
        <v>4</v>
      </c>
      <c r="Z12" s="22">
        <f>E32-50</f>
        <v>126.85432920681063</v>
      </c>
      <c r="AA12" s="22">
        <f>E27</f>
        <v>142.82924556368798</v>
      </c>
      <c r="AB12" s="22">
        <f>E22</f>
        <v>97.794679850901119</v>
      </c>
    </row>
    <row r="13" spans="2:37" x14ac:dyDescent="0.25">
      <c r="B13" s="20" t="s">
        <v>176</v>
      </c>
      <c r="C13" s="20">
        <v>5</v>
      </c>
      <c r="D13" s="20">
        <v>15</v>
      </c>
      <c r="E13" s="20"/>
      <c r="G13" s="35" t="s">
        <v>176</v>
      </c>
      <c r="H13" s="35">
        <v>4</v>
      </c>
      <c r="I13" s="35">
        <v>10</v>
      </c>
      <c r="J13" s="48">
        <f>E7</f>
        <v>118.42418834194646</v>
      </c>
      <c r="K13">
        <v>1415.8322348383324</v>
      </c>
      <c r="L13">
        <v>0</v>
      </c>
      <c r="M13" s="22" t="s">
        <v>177</v>
      </c>
      <c r="N13" s="22">
        <v>5</v>
      </c>
      <c r="O13" s="22"/>
      <c r="P13" s="35"/>
      <c r="Q13" s="35"/>
      <c r="W13">
        <v>0</v>
      </c>
      <c r="X13" s="22" t="s">
        <v>177</v>
      </c>
      <c r="Y13" s="22">
        <v>5</v>
      </c>
      <c r="Z13" s="22"/>
      <c r="AA13" s="22"/>
      <c r="AB13" s="22"/>
    </row>
    <row r="14" spans="2:37" x14ac:dyDescent="0.25">
      <c r="B14" s="36" t="s">
        <v>176</v>
      </c>
      <c r="C14" s="36">
        <v>1</v>
      </c>
      <c r="D14" s="36">
        <v>20</v>
      </c>
      <c r="E14" s="36">
        <f>Fitting1!C58</f>
        <v>65.029717118446982</v>
      </c>
      <c r="G14" s="35" t="s">
        <v>176</v>
      </c>
      <c r="H14" s="35">
        <v>4</v>
      </c>
      <c r="I14" s="35">
        <v>15</v>
      </c>
      <c r="J14" s="48">
        <f>E12</f>
        <v>97.301144144180952</v>
      </c>
      <c r="K14">
        <v>3737.7087242026269</v>
      </c>
      <c r="L14">
        <v>0.28999999999999998</v>
      </c>
      <c r="M14" s="17" t="s">
        <v>178</v>
      </c>
      <c r="N14" s="17">
        <v>1</v>
      </c>
      <c r="O14" s="17">
        <f>SLOPE(J34:J36,I34:I36)</f>
        <v>0.86567687399379101</v>
      </c>
      <c r="P14" s="35">
        <f t="shared" si="0"/>
        <v>3.9123493539760061</v>
      </c>
      <c r="Q14" s="35"/>
      <c r="W14">
        <v>0.28999999999999998</v>
      </c>
      <c r="X14" s="17" t="s">
        <v>178</v>
      </c>
      <c r="Y14" s="17">
        <v>1</v>
      </c>
      <c r="Z14" s="17">
        <f>E44</f>
        <v>56.832581098258004</v>
      </c>
      <c r="AA14" s="17">
        <f>E39</f>
        <v>60.007350497235379</v>
      </c>
      <c r="AB14" s="17">
        <f>E34</f>
        <v>48.175812358320094</v>
      </c>
    </row>
    <row r="15" spans="2:37" x14ac:dyDescent="0.25">
      <c r="B15" s="36" t="s">
        <v>176</v>
      </c>
      <c r="C15" s="36">
        <v>2</v>
      </c>
      <c r="D15" s="36">
        <v>20</v>
      </c>
      <c r="E15" s="36">
        <f>Fitting1!H58</f>
        <v>89.70388522558622</v>
      </c>
      <c r="G15" s="35" t="s">
        <v>176</v>
      </c>
      <c r="H15" s="35">
        <v>4</v>
      </c>
      <c r="I15" s="35">
        <v>20</v>
      </c>
      <c r="J15" s="48">
        <f>E17</f>
        <v>116.32858458831929</v>
      </c>
      <c r="K15">
        <v>3737.7087242026269</v>
      </c>
      <c r="L15">
        <v>0.28999999999999998</v>
      </c>
      <c r="M15" s="17" t="s">
        <v>178</v>
      </c>
      <c r="N15" s="17">
        <v>2</v>
      </c>
      <c r="O15" s="17">
        <f>SLOPE(J37:J39,I37:I39)</f>
        <v>2.0723708513222077</v>
      </c>
      <c r="P15" s="35">
        <f t="shared" si="0"/>
        <v>3.9123493539760061</v>
      </c>
      <c r="Q15" s="35"/>
      <c r="W15">
        <v>0.28999999999999998</v>
      </c>
      <c r="X15" s="17" t="s">
        <v>178</v>
      </c>
      <c r="Y15" s="17">
        <v>2</v>
      </c>
      <c r="Z15" s="17">
        <f>E45</f>
        <v>89.496820926621808</v>
      </c>
      <c r="AA15" s="17">
        <f>E40</f>
        <v>81.122533568947262</v>
      </c>
      <c r="AB15" s="17">
        <f>E35</f>
        <v>68.77311241339973</v>
      </c>
    </row>
    <row r="16" spans="2:37" x14ac:dyDescent="0.25">
      <c r="B16" s="36" t="s">
        <v>176</v>
      </c>
      <c r="C16" s="36">
        <v>3</v>
      </c>
      <c r="D16" s="36">
        <v>20</v>
      </c>
      <c r="E16" s="36">
        <f>Fitting1!M58</f>
        <v>98.617683164233981</v>
      </c>
      <c r="G16" s="35" t="s">
        <v>176</v>
      </c>
      <c r="H16" s="35">
        <v>5</v>
      </c>
      <c r="I16" s="35">
        <v>10</v>
      </c>
      <c r="J16" s="35"/>
      <c r="K16">
        <v>3737.7087242026269</v>
      </c>
      <c r="L16">
        <v>0.28999999999999998</v>
      </c>
      <c r="M16" s="17" t="s">
        <v>178</v>
      </c>
      <c r="N16" s="17">
        <v>3</v>
      </c>
      <c r="O16" s="17">
        <f>SLOPE(J40:J42,I40:I42)</f>
        <v>5.3185078289230816</v>
      </c>
      <c r="P16" s="35">
        <f t="shared" si="0"/>
        <v>3.9123493539760061</v>
      </c>
      <c r="Q16" s="35"/>
      <c r="S16">
        <v>0</v>
      </c>
      <c r="T16">
        <f>P$1*(1-EXP(-P$2*$S16))</f>
        <v>0</v>
      </c>
      <c r="W16">
        <v>0.28999999999999998</v>
      </c>
      <c r="X16" s="17" t="s">
        <v>178</v>
      </c>
      <c r="Y16" s="17">
        <v>3</v>
      </c>
      <c r="Z16" s="17">
        <f>E46</f>
        <v>134.32710389168469</v>
      </c>
      <c r="AA16" s="17">
        <f>E41</f>
        <v>122.54081544390066</v>
      </c>
      <c r="AB16" s="17">
        <f>E36</f>
        <v>81.14202560245387</v>
      </c>
    </row>
    <row r="17" spans="2:28" x14ac:dyDescent="0.25">
      <c r="B17" s="36" t="s">
        <v>176</v>
      </c>
      <c r="C17" s="36">
        <v>4</v>
      </c>
      <c r="D17" s="36">
        <v>20</v>
      </c>
      <c r="E17" s="36">
        <f>Fitting1!Q58</f>
        <v>116.32858458831929</v>
      </c>
      <c r="G17" s="35" t="s">
        <v>176</v>
      </c>
      <c r="H17" s="35">
        <v>5</v>
      </c>
      <c r="I17" s="35">
        <v>15</v>
      </c>
      <c r="J17" s="35"/>
      <c r="K17">
        <v>3737.7087242026269</v>
      </c>
      <c r="L17">
        <v>0.28999999999999998</v>
      </c>
      <c r="M17" s="17" t="s">
        <v>178</v>
      </c>
      <c r="N17" s="17">
        <v>4</v>
      </c>
      <c r="O17" s="17">
        <f>SLOPE(J43:J45,I43:I45)</f>
        <v>6.2891587414469745</v>
      </c>
      <c r="P17" s="35">
        <f t="shared" si="0"/>
        <v>3.9123493539760061</v>
      </c>
      <c r="Q17" s="35"/>
      <c r="S17">
        <v>0.15</v>
      </c>
      <c r="T17">
        <f>P$1*(1-EXP(-P$2*$S17))</f>
        <v>2.3828168027823069</v>
      </c>
      <c r="W17">
        <v>0.28999999999999998</v>
      </c>
      <c r="X17" s="17" t="s">
        <v>178</v>
      </c>
      <c r="Y17" s="17">
        <v>4</v>
      </c>
      <c r="Z17" s="17">
        <f>E47</f>
        <v>110.66496485741534</v>
      </c>
      <c r="AA17" s="17">
        <f>E42</f>
        <v>95.537090311275477</v>
      </c>
      <c r="AB17" s="17">
        <f>E37</f>
        <v>47.773377442945588</v>
      </c>
    </row>
    <row r="18" spans="2:28" x14ac:dyDescent="0.25">
      <c r="B18" s="36" t="s">
        <v>176</v>
      </c>
      <c r="C18" s="36">
        <v>5</v>
      </c>
      <c r="D18" s="36">
        <v>20</v>
      </c>
      <c r="E18" s="36"/>
      <c r="G18" s="35" t="s">
        <v>176</v>
      </c>
      <c r="H18" s="35">
        <v>5</v>
      </c>
      <c r="I18" s="35">
        <v>20</v>
      </c>
      <c r="J18" s="35"/>
      <c r="K18">
        <v>3737.7087242026269</v>
      </c>
      <c r="L18">
        <v>0.28999999999999998</v>
      </c>
      <c r="M18" s="17" t="s">
        <v>178</v>
      </c>
      <c r="N18" s="17">
        <v>5</v>
      </c>
      <c r="O18" s="17">
        <f>SLOPE(J46:J48,I46:I48)</f>
        <v>1.6481118699406898</v>
      </c>
      <c r="P18" s="35">
        <f t="shared" si="0"/>
        <v>3.9123493539760061</v>
      </c>
      <c r="Q18" s="35"/>
      <c r="S18">
        <v>0.3</v>
      </c>
      <c r="T18">
        <f t="shared" ref="T17:T28" si="1">P$1*(1-EXP(-P$2*$S18))</f>
        <v>4.00192378280284</v>
      </c>
      <c r="W18">
        <v>0.28999999999999998</v>
      </c>
      <c r="X18" s="17" t="s">
        <v>178</v>
      </c>
      <c r="Y18" s="17">
        <v>5</v>
      </c>
      <c r="Z18" s="17">
        <f>E48</f>
        <v>77.947200653686721</v>
      </c>
      <c r="AA18" s="17">
        <f>E43</f>
        <v>64.018749851353803</v>
      </c>
      <c r="AB18" s="17">
        <f>E38</f>
        <v>61.466081954279822</v>
      </c>
    </row>
    <row r="19" spans="2:28" x14ac:dyDescent="0.25">
      <c r="B19" s="25" t="s">
        <v>177</v>
      </c>
      <c r="C19" s="25">
        <v>1</v>
      </c>
      <c r="D19" s="25">
        <v>10</v>
      </c>
      <c r="E19" s="25">
        <f>[1]Fitting1!$C$9</f>
        <v>98.30601939630094</v>
      </c>
      <c r="G19" s="22" t="s">
        <v>177</v>
      </c>
      <c r="H19" s="22">
        <v>1</v>
      </c>
      <c r="I19" s="22">
        <v>10</v>
      </c>
      <c r="J19" s="23">
        <f>E19</f>
        <v>98.30601939630094</v>
      </c>
      <c r="K19">
        <v>6172.9893147502899</v>
      </c>
      <c r="L19">
        <v>1.48</v>
      </c>
      <c r="M19" s="50" t="s">
        <v>247</v>
      </c>
      <c r="N19" s="50">
        <v>1</v>
      </c>
      <c r="O19" s="50">
        <f>SLOPE(J49:J51,I49:I51)</f>
        <v>4.4296548387582284</v>
      </c>
      <c r="P19" s="35">
        <f t="shared" si="0"/>
        <v>7.2702806132819262</v>
      </c>
      <c r="Q19" s="35"/>
      <c r="S19">
        <v>0.45</v>
      </c>
      <c r="T19">
        <f t="shared" si="1"/>
        <v>5.102095398887716</v>
      </c>
      <c r="W19">
        <v>1.48</v>
      </c>
      <c r="X19" s="50" t="s">
        <v>247</v>
      </c>
      <c r="Y19" s="50">
        <v>1</v>
      </c>
      <c r="Z19" s="50">
        <f>E59</f>
        <v>159.37921836386869</v>
      </c>
      <c r="AA19" s="50">
        <f>E54</f>
        <v>127.37214638200879</v>
      </c>
      <c r="AB19" s="50">
        <f>E49</f>
        <v>115.0826699762864</v>
      </c>
    </row>
    <row r="20" spans="2:28" x14ac:dyDescent="0.25">
      <c r="B20" s="25" t="s">
        <v>177</v>
      </c>
      <c r="C20" s="25">
        <v>2</v>
      </c>
      <c r="D20" s="25">
        <v>10</v>
      </c>
      <c r="E20" s="25">
        <f>[1]Fitting1!$H$9</f>
        <v>70.566178834011026</v>
      </c>
      <c r="G20" s="22" t="s">
        <v>177</v>
      </c>
      <c r="H20" s="22">
        <v>1</v>
      </c>
      <c r="I20" s="22">
        <v>15</v>
      </c>
      <c r="J20" s="23">
        <f>E24</f>
        <v>110.40896306674007</v>
      </c>
      <c r="K20">
        <v>6172.9893147502899</v>
      </c>
      <c r="L20">
        <v>1.48</v>
      </c>
      <c r="M20" s="50" t="s">
        <v>247</v>
      </c>
      <c r="N20" s="50">
        <v>2</v>
      </c>
      <c r="O20" s="50">
        <f>SLOPE(J52:J54,I52:I54)</f>
        <v>11.211126713124859</v>
      </c>
      <c r="P20" s="35">
        <f t="shared" si="0"/>
        <v>7.2702806132819262</v>
      </c>
      <c r="Q20" s="35"/>
      <c r="S20">
        <v>0.6</v>
      </c>
      <c r="T20">
        <f t="shared" si="1"/>
        <v>5.8496541456380147</v>
      </c>
      <c r="W20">
        <v>1.48</v>
      </c>
      <c r="X20" s="50" t="s">
        <v>247</v>
      </c>
      <c r="Y20" s="50">
        <v>2</v>
      </c>
      <c r="Z20" s="50">
        <f>E60</f>
        <v>227.73589851785138</v>
      </c>
      <c r="AA20" s="50">
        <f>E55</f>
        <v>191.13122416937549</v>
      </c>
      <c r="AB20" s="50">
        <f>E50</f>
        <v>115.62463138660279</v>
      </c>
    </row>
    <row r="21" spans="2:28" x14ac:dyDescent="0.25">
      <c r="B21" s="25" t="s">
        <v>177</v>
      </c>
      <c r="C21" s="25">
        <v>3</v>
      </c>
      <c r="D21" s="25">
        <v>10</v>
      </c>
      <c r="E21" s="25">
        <f>[1]Fitting1!$M$9</f>
        <v>124.51184132239139</v>
      </c>
      <c r="G21" s="22" t="s">
        <v>177</v>
      </c>
      <c r="H21" s="22">
        <v>1</v>
      </c>
      <c r="I21" s="22">
        <v>20</v>
      </c>
      <c r="J21" s="23">
        <f>E29</f>
        <v>117.78146592269927</v>
      </c>
      <c r="K21">
        <v>6172.9893147502899</v>
      </c>
      <c r="L21">
        <v>1.48</v>
      </c>
      <c r="M21" s="50" t="s">
        <v>247</v>
      </c>
      <c r="N21" s="50">
        <v>3</v>
      </c>
      <c r="O21" s="50">
        <f>SLOPE(J55:J57,I55:I57)</f>
        <v>5.0324341359905063</v>
      </c>
      <c r="P21" s="35">
        <f>P$1*(1-EXP(-P$2*$L21))</f>
        <v>7.2702806132819262</v>
      </c>
      <c r="Q21" s="35"/>
      <c r="S21">
        <v>0.75</v>
      </c>
      <c r="T21">
        <f t="shared" si="1"/>
        <v>6.3576149689063008</v>
      </c>
      <c r="W21">
        <v>1.48</v>
      </c>
      <c r="X21" s="50" t="s">
        <v>247</v>
      </c>
      <c r="Y21" s="50">
        <v>3</v>
      </c>
      <c r="Z21" s="50">
        <f>E61</f>
        <v>152.6218131068199</v>
      </c>
      <c r="AA21" s="50">
        <f>E56</f>
        <v>121.54900031143289</v>
      </c>
      <c r="AB21" s="50">
        <f>E51</f>
        <v>102.29747174691484</v>
      </c>
    </row>
    <row r="22" spans="2:28" x14ac:dyDescent="0.25">
      <c r="B22" s="25" t="s">
        <v>177</v>
      </c>
      <c r="C22" s="25">
        <v>4</v>
      </c>
      <c r="D22" s="25">
        <v>10</v>
      </c>
      <c r="E22" s="25">
        <f>AVERAGE(E19:E21)</f>
        <v>97.794679850901119</v>
      </c>
      <c r="G22" s="22" t="s">
        <v>177</v>
      </c>
      <c r="H22" s="22">
        <v>2</v>
      </c>
      <c r="I22" s="22">
        <v>10</v>
      </c>
      <c r="J22" s="23">
        <f>E20</f>
        <v>70.566178834011026</v>
      </c>
      <c r="K22">
        <v>6172.9893147502899</v>
      </c>
      <c r="L22">
        <v>1.48</v>
      </c>
      <c r="M22" s="50" t="s">
        <v>247</v>
      </c>
      <c r="N22" s="50">
        <v>4</v>
      </c>
      <c r="O22" s="50">
        <f>SLOPE(J58:J60,I58:I60)</f>
        <v>4.3444116625967784</v>
      </c>
      <c r="P22" s="35">
        <f>P$1*(1-EXP(-P$2*$L22))</f>
        <v>7.2702806132819262</v>
      </c>
      <c r="Q22" s="35"/>
      <c r="S22">
        <v>0.9</v>
      </c>
      <c r="T22">
        <f t="shared" si="1"/>
        <v>6.7027707163268877</v>
      </c>
      <c r="W22">
        <v>1.48</v>
      </c>
      <c r="X22" s="50" t="s">
        <v>247</v>
      </c>
      <c r="Y22" s="50">
        <v>4</v>
      </c>
      <c r="Z22" s="50">
        <f>E62</f>
        <v>137.54294705178199</v>
      </c>
      <c r="AA22" s="50">
        <f>E57</f>
        <v>113.4042847625287</v>
      </c>
      <c r="AB22" s="50">
        <f>E52</f>
        <v>94.098830425814214</v>
      </c>
    </row>
    <row r="23" spans="2:28" x14ac:dyDescent="0.25">
      <c r="B23" s="25" t="s">
        <v>177</v>
      </c>
      <c r="C23" s="25">
        <v>5</v>
      </c>
      <c r="D23" s="25">
        <v>10</v>
      </c>
      <c r="E23" s="25"/>
      <c r="G23" s="22" t="s">
        <v>177</v>
      </c>
      <c r="H23" s="22">
        <v>2</v>
      </c>
      <c r="I23" s="22">
        <v>15</v>
      </c>
      <c r="J23" s="23">
        <f>E25</f>
        <v>65.687660068819937</v>
      </c>
      <c r="K23">
        <v>6172.9893147502899</v>
      </c>
      <c r="L23">
        <v>1.48</v>
      </c>
      <c r="M23" s="50" t="s">
        <v>247</v>
      </c>
      <c r="N23" s="50">
        <v>5</v>
      </c>
      <c r="O23" s="50"/>
      <c r="P23" s="35"/>
      <c r="Q23" s="35"/>
      <c r="S23">
        <v>1.05</v>
      </c>
      <c r="T23">
        <f t="shared" si="1"/>
        <v>6.9373015787877952</v>
      </c>
      <c r="W23">
        <v>1.48</v>
      </c>
      <c r="X23" s="50" t="s">
        <v>247</v>
      </c>
      <c r="Y23" s="50">
        <v>5</v>
      </c>
      <c r="Z23" s="50"/>
      <c r="AA23" s="50"/>
      <c r="AB23" s="50">
        <f>E53</f>
        <v>103.61424312424748</v>
      </c>
    </row>
    <row r="24" spans="2:28" x14ac:dyDescent="0.25">
      <c r="B24" s="22" t="s">
        <v>177</v>
      </c>
      <c r="C24" s="22">
        <v>1</v>
      </c>
      <c r="D24" s="22">
        <v>15</v>
      </c>
      <c r="E24" s="22">
        <f>[1]Fitting1!$C$33</f>
        <v>110.40896306674007</v>
      </c>
      <c r="G24" s="22" t="s">
        <v>177</v>
      </c>
      <c r="H24" s="22">
        <v>2</v>
      </c>
      <c r="I24" s="22">
        <v>20</v>
      </c>
      <c r="J24" s="23">
        <f>E30</f>
        <v>63.864290449533023</v>
      </c>
      <c r="K24">
        <v>8111.8569016349502</v>
      </c>
      <c r="L24">
        <v>0.56000000000000005</v>
      </c>
      <c r="M24" s="21" t="s">
        <v>248</v>
      </c>
      <c r="N24" s="21">
        <v>1</v>
      </c>
      <c r="O24" s="21">
        <f>SLOPE(J64:J66,I64:I66)</f>
        <v>8.3974122273934864</v>
      </c>
      <c r="P24" s="35">
        <f t="shared" si="0"/>
        <v>5.6776355330220598</v>
      </c>
      <c r="Q24" s="35"/>
      <c r="S24">
        <v>1.2</v>
      </c>
      <c r="T24">
        <f t="shared" si="1"/>
        <v>7.0966636229018434</v>
      </c>
      <c r="W24">
        <v>0.56000000000000005</v>
      </c>
      <c r="X24" s="21" t="s">
        <v>248</v>
      </c>
      <c r="Y24" s="21">
        <v>1</v>
      </c>
      <c r="Z24" s="21">
        <f>E74</f>
        <v>187.02167570311971</v>
      </c>
      <c r="AA24" s="21">
        <f>E69</f>
        <v>153.93785745880339</v>
      </c>
      <c r="AB24" s="21">
        <f>E64</f>
        <v>103.04755342918484</v>
      </c>
    </row>
    <row r="25" spans="2:28" x14ac:dyDescent="0.25">
      <c r="B25" s="22" t="s">
        <v>177</v>
      </c>
      <c r="C25" s="22">
        <v>2</v>
      </c>
      <c r="D25" s="22">
        <v>15</v>
      </c>
      <c r="E25" s="22">
        <f>[1]Fitting1!$H$33</f>
        <v>65.687660068819937</v>
      </c>
      <c r="G25" s="22" t="s">
        <v>177</v>
      </c>
      <c r="H25" s="22">
        <v>3</v>
      </c>
      <c r="I25" s="22">
        <v>10</v>
      </c>
      <c r="J25" s="23">
        <f>E21</f>
        <v>124.51184132239139</v>
      </c>
      <c r="K25">
        <v>8111.8569016349502</v>
      </c>
      <c r="L25">
        <v>0.56000000000000005</v>
      </c>
      <c r="M25" s="21" t="s">
        <v>248</v>
      </c>
      <c r="N25" s="21">
        <v>2</v>
      </c>
      <c r="O25" s="21">
        <f>SLOPE(J67:J69,I67:I69)</f>
        <v>5.1485975276476257</v>
      </c>
      <c r="P25" s="35">
        <f t="shared" si="0"/>
        <v>5.6776355330220598</v>
      </c>
      <c r="Q25" s="35"/>
      <c r="S25">
        <v>1.35</v>
      </c>
      <c r="T25">
        <f t="shared" si="1"/>
        <v>7.2049489924166599</v>
      </c>
      <c r="W25">
        <v>0.56000000000000005</v>
      </c>
      <c r="X25" s="21" t="s">
        <v>248</v>
      </c>
      <c r="Y25" s="21">
        <v>2</v>
      </c>
      <c r="Z25" s="21">
        <f>E75</f>
        <v>121.13545095056364</v>
      </c>
      <c r="AA25" s="21">
        <f>E70</f>
        <v>94.01165883777594</v>
      </c>
      <c r="AB25" s="21">
        <f>E65</f>
        <v>69.649475674087384</v>
      </c>
    </row>
    <row r="26" spans="2:28" x14ac:dyDescent="0.25">
      <c r="B26" s="22" t="s">
        <v>177</v>
      </c>
      <c r="C26" s="22">
        <v>3</v>
      </c>
      <c r="D26" s="22">
        <v>15</v>
      </c>
      <c r="E26" s="22">
        <f>[1]Fitting1!$M$33</f>
        <v>77.516445975820929</v>
      </c>
      <c r="G26" s="22" t="s">
        <v>177</v>
      </c>
      <c r="H26" s="22">
        <v>3</v>
      </c>
      <c r="I26" s="22">
        <v>15</v>
      </c>
      <c r="J26" s="23">
        <f>E26</f>
        <v>77.516445975820929</v>
      </c>
      <c r="K26">
        <v>8111.8569016349502</v>
      </c>
      <c r="L26">
        <v>0.56000000000000005</v>
      </c>
      <c r="M26" s="21" t="s">
        <v>248</v>
      </c>
      <c r="N26" s="21">
        <v>3</v>
      </c>
      <c r="O26" s="21">
        <f>SLOPE(J70:J72,I70:I72)</f>
        <v>8.0937233148809558</v>
      </c>
      <c r="P26" s="35">
        <f t="shared" si="0"/>
        <v>5.6776355330220598</v>
      </c>
      <c r="Q26" s="35"/>
      <c r="S26">
        <v>1.5</v>
      </c>
      <c r="T26">
        <f t="shared" si="1"/>
        <v>7.2785281267465933</v>
      </c>
      <c r="W26">
        <v>0.56000000000000005</v>
      </c>
      <c r="X26" s="21" t="s">
        <v>248</v>
      </c>
      <c r="Y26" s="21">
        <v>3</v>
      </c>
      <c r="Z26" s="21">
        <f>E76</f>
        <v>172.15295308315089</v>
      </c>
      <c r="AA26" s="21">
        <f>E71</f>
        <v>139.22481218799641</v>
      </c>
      <c r="AB26" s="21">
        <f>E66</f>
        <v>91.215719934341337</v>
      </c>
    </row>
    <row r="27" spans="2:28" x14ac:dyDescent="0.25">
      <c r="B27" s="22" t="s">
        <v>177</v>
      </c>
      <c r="C27" s="22">
        <v>4</v>
      </c>
      <c r="D27" s="22">
        <v>15</v>
      </c>
      <c r="E27" s="22">
        <f>[1]Fitting1!$Q$33</f>
        <v>142.82924556368798</v>
      </c>
      <c r="G27" s="22" t="s">
        <v>177</v>
      </c>
      <c r="H27" s="22">
        <v>3</v>
      </c>
      <c r="I27" s="22">
        <v>20</v>
      </c>
      <c r="J27" s="23">
        <f>E31</f>
        <v>86.885968213564723</v>
      </c>
      <c r="K27">
        <v>8111.8569016349502</v>
      </c>
      <c r="L27">
        <v>0.56000000000000005</v>
      </c>
      <c r="M27" s="21" t="s">
        <v>248</v>
      </c>
      <c r="N27" s="21">
        <v>4</v>
      </c>
      <c r="O27" s="21">
        <f>SLOPE(J73:J75,I73:I75)</f>
        <v>4.968486384946817</v>
      </c>
      <c r="P27" s="35">
        <f t="shared" si="0"/>
        <v>5.6776355330220598</v>
      </c>
      <c r="Q27" s="35"/>
      <c r="S27">
        <v>1.65</v>
      </c>
      <c r="T27">
        <f t="shared" si="1"/>
        <v>7.328524622422786</v>
      </c>
      <c r="W27">
        <v>0.56000000000000005</v>
      </c>
      <c r="X27" s="21" t="s">
        <v>248</v>
      </c>
      <c r="Y27" s="21">
        <v>4</v>
      </c>
      <c r="Z27" s="21">
        <f>E77</f>
        <v>127.19035866302048</v>
      </c>
      <c r="AA27" s="21">
        <f>E72</f>
        <v>103.36954222691445</v>
      </c>
      <c r="AB27" s="21">
        <f>E67</f>
        <v>77.505494813552303</v>
      </c>
    </row>
    <row r="28" spans="2:28" x14ac:dyDescent="0.25">
      <c r="B28" s="22" t="s">
        <v>177</v>
      </c>
      <c r="C28" s="22">
        <v>5</v>
      </c>
      <c r="D28" s="22">
        <v>15</v>
      </c>
      <c r="E28" s="22"/>
      <c r="G28" s="22" t="s">
        <v>177</v>
      </c>
      <c r="H28" s="22">
        <v>4</v>
      </c>
      <c r="I28" s="22">
        <v>10</v>
      </c>
      <c r="J28" s="23">
        <f>E22</f>
        <v>97.794679850901119</v>
      </c>
      <c r="K28">
        <v>8111.8569016349502</v>
      </c>
      <c r="L28">
        <v>0.56000000000000005</v>
      </c>
      <c r="M28" s="21" t="s">
        <v>248</v>
      </c>
      <c r="N28" s="21">
        <v>5</v>
      </c>
      <c r="O28" s="21"/>
      <c r="P28" s="35"/>
      <c r="Q28" s="35"/>
      <c r="S28">
        <v>1.8</v>
      </c>
      <c r="T28">
        <f t="shared" si="1"/>
        <v>7.3624968837528924</v>
      </c>
      <c r="W28">
        <v>0.56000000000000005</v>
      </c>
      <c r="X28" s="21" t="s">
        <v>248</v>
      </c>
      <c r="Y28" s="21">
        <v>5</v>
      </c>
      <c r="Z28" s="21"/>
      <c r="AA28" s="21"/>
      <c r="AB28" s="21"/>
    </row>
    <row r="29" spans="2:28" x14ac:dyDescent="0.25">
      <c r="B29" s="32" t="s">
        <v>177</v>
      </c>
      <c r="C29" s="32">
        <v>1</v>
      </c>
      <c r="D29" s="32">
        <v>20</v>
      </c>
      <c r="E29" s="32">
        <f>[1]Fitting1!$C$58</f>
        <v>117.78146592269927</v>
      </c>
      <c r="G29" s="22" t="s">
        <v>177</v>
      </c>
      <c r="H29" s="22">
        <v>4</v>
      </c>
      <c r="I29" s="22">
        <v>15</v>
      </c>
      <c r="J29" s="23">
        <f>E27</f>
        <v>142.82924556368798</v>
      </c>
      <c r="K29" s="23"/>
    </row>
    <row r="30" spans="2:28" x14ac:dyDescent="0.25">
      <c r="B30" s="32" t="s">
        <v>177</v>
      </c>
      <c r="C30" s="32">
        <v>2</v>
      </c>
      <c r="D30" s="32">
        <v>20</v>
      </c>
      <c r="E30" s="32">
        <f>[1]Fitting1!$H$58</f>
        <v>63.864290449533023</v>
      </c>
      <c r="G30" s="22" t="s">
        <v>177</v>
      </c>
      <c r="H30" s="22">
        <v>4</v>
      </c>
      <c r="I30" s="22">
        <v>20</v>
      </c>
      <c r="J30" s="23">
        <f>E32</f>
        <v>176.85432920681063</v>
      </c>
      <c r="K30" s="23"/>
    </row>
    <row r="31" spans="2:28" x14ac:dyDescent="0.25">
      <c r="B31" s="32" t="s">
        <v>177</v>
      </c>
      <c r="C31" s="32">
        <v>3</v>
      </c>
      <c r="D31" s="32">
        <v>20</v>
      </c>
      <c r="E31" s="32">
        <f>[1]Fitting1!$M$58</f>
        <v>86.885968213564723</v>
      </c>
      <c r="G31" s="22" t="s">
        <v>177</v>
      </c>
      <c r="H31" s="22">
        <v>5</v>
      </c>
      <c r="I31" s="22">
        <v>10</v>
      </c>
      <c r="J31" s="22"/>
      <c r="K31" s="22"/>
    </row>
    <row r="32" spans="2:28" x14ac:dyDescent="0.25">
      <c r="B32" s="32" t="s">
        <v>177</v>
      </c>
      <c r="C32" s="32">
        <v>4</v>
      </c>
      <c r="D32" s="32">
        <v>20</v>
      </c>
      <c r="E32" s="32">
        <f>[1]Fitting1!$Q$58</f>
        <v>176.85432920681063</v>
      </c>
      <c r="G32" s="22" t="s">
        <v>177</v>
      </c>
      <c r="H32" s="22">
        <v>5</v>
      </c>
      <c r="I32" s="22">
        <v>15</v>
      </c>
      <c r="J32" s="22"/>
      <c r="K32" s="22"/>
    </row>
    <row r="33" spans="2:11" x14ac:dyDescent="0.25">
      <c r="B33" s="32" t="s">
        <v>177</v>
      </c>
      <c r="C33" s="32">
        <v>5</v>
      </c>
      <c r="D33" s="32">
        <v>20</v>
      </c>
      <c r="E33" s="32">
        <f>[1]Fitting1!$AA$58</f>
        <v>194.78675060324352</v>
      </c>
      <c r="G33" s="22" t="s">
        <v>177</v>
      </c>
      <c r="H33" s="22">
        <v>5</v>
      </c>
      <c r="I33" s="22">
        <v>20</v>
      </c>
      <c r="J33" s="22"/>
      <c r="K33" s="22"/>
    </row>
    <row r="34" spans="2:11" x14ac:dyDescent="0.25">
      <c r="B34" s="24" t="s">
        <v>178</v>
      </c>
      <c r="C34" s="24">
        <v>1</v>
      </c>
      <c r="D34" s="24">
        <v>10</v>
      </c>
      <c r="E34" s="24">
        <f>[2]Fitting1!$C$9</f>
        <v>48.175812358320094</v>
      </c>
      <c r="G34" s="17" t="s">
        <v>178</v>
      </c>
      <c r="H34" s="17">
        <v>1</v>
      </c>
      <c r="I34" s="17">
        <v>10</v>
      </c>
      <c r="J34" s="18">
        <f>E34</f>
        <v>48.175812358320094</v>
      </c>
      <c r="K34" s="18"/>
    </row>
    <row r="35" spans="2:11" x14ac:dyDescent="0.25">
      <c r="B35" s="24" t="s">
        <v>178</v>
      </c>
      <c r="C35" s="24">
        <v>2</v>
      </c>
      <c r="D35" s="24">
        <v>10</v>
      </c>
      <c r="E35" s="24">
        <f>[2]Fitting1!$H$9</f>
        <v>68.77311241339973</v>
      </c>
      <c r="G35" s="17" t="s">
        <v>178</v>
      </c>
      <c r="H35" s="17">
        <v>1</v>
      </c>
      <c r="I35" s="17">
        <v>15</v>
      </c>
      <c r="J35" s="18">
        <f>E39</f>
        <v>60.007350497235379</v>
      </c>
      <c r="K35" s="18"/>
    </row>
    <row r="36" spans="2:11" x14ac:dyDescent="0.25">
      <c r="B36" s="24" t="s">
        <v>178</v>
      </c>
      <c r="C36" s="24">
        <v>3</v>
      </c>
      <c r="D36" s="24">
        <v>10</v>
      </c>
      <c r="E36" s="24">
        <f>[2]Fitting1!$M$9</f>
        <v>81.14202560245387</v>
      </c>
      <c r="G36" s="17" t="s">
        <v>178</v>
      </c>
      <c r="H36" s="17">
        <v>1</v>
      </c>
      <c r="I36" s="17">
        <v>20</v>
      </c>
      <c r="J36" s="18">
        <f>E44</f>
        <v>56.832581098258004</v>
      </c>
      <c r="K36" s="18"/>
    </row>
    <row r="37" spans="2:11" x14ac:dyDescent="0.25">
      <c r="B37" s="24" t="s">
        <v>178</v>
      </c>
      <c r="C37" s="24">
        <v>4</v>
      </c>
      <c r="D37" s="24">
        <v>10</v>
      </c>
      <c r="E37" s="24">
        <f>[2]Fitting1!$R$9</f>
        <v>47.773377442945588</v>
      </c>
      <c r="G37" s="17" t="s">
        <v>178</v>
      </c>
      <c r="H37" s="17">
        <v>2</v>
      </c>
      <c r="I37" s="17">
        <v>10</v>
      </c>
      <c r="J37" s="18">
        <f>E35</f>
        <v>68.77311241339973</v>
      </c>
      <c r="K37" s="18"/>
    </row>
    <row r="38" spans="2:11" x14ac:dyDescent="0.25">
      <c r="B38" s="24" t="s">
        <v>178</v>
      </c>
      <c r="C38" s="24">
        <v>5</v>
      </c>
      <c r="D38" s="24">
        <v>10</v>
      </c>
      <c r="E38" s="43">
        <f>AVERAGE(E34:E37)</f>
        <v>61.466081954279822</v>
      </c>
      <c r="G38" s="17" t="s">
        <v>178</v>
      </c>
      <c r="H38" s="17">
        <v>2</v>
      </c>
      <c r="I38" s="17">
        <v>15</v>
      </c>
      <c r="J38" s="18">
        <f>E40</f>
        <v>81.122533568947262</v>
      </c>
      <c r="K38" s="18"/>
    </row>
    <row r="39" spans="2:11" x14ac:dyDescent="0.25">
      <c r="B39" s="17" t="s">
        <v>178</v>
      </c>
      <c r="C39" s="17">
        <v>1</v>
      </c>
      <c r="D39" s="17">
        <v>15</v>
      </c>
      <c r="E39" s="17">
        <f>[2]Fitting1!$C$33</f>
        <v>60.007350497235379</v>
      </c>
      <c r="G39" s="17" t="s">
        <v>178</v>
      </c>
      <c r="H39" s="17">
        <v>2</v>
      </c>
      <c r="I39" s="17">
        <v>20</v>
      </c>
      <c r="J39" s="18">
        <f>E45</f>
        <v>89.496820926621808</v>
      </c>
      <c r="K39" s="18"/>
    </row>
    <row r="40" spans="2:11" x14ac:dyDescent="0.25">
      <c r="B40" s="17" t="s">
        <v>178</v>
      </c>
      <c r="C40" s="17">
        <v>2</v>
      </c>
      <c r="D40" s="17">
        <v>15</v>
      </c>
      <c r="E40" s="17">
        <f>[2]Fitting1!$H$33</f>
        <v>81.122533568947262</v>
      </c>
      <c r="G40" s="17" t="s">
        <v>178</v>
      </c>
      <c r="H40" s="17">
        <v>3</v>
      </c>
      <c r="I40" s="17">
        <v>10</v>
      </c>
      <c r="J40" s="18">
        <f>E36</f>
        <v>81.14202560245387</v>
      </c>
      <c r="K40" s="18"/>
    </row>
    <row r="41" spans="2:11" x14ac:dyDescent="0.25">
      <c r="B41" s="17" t="s">
        <v>178</v>
      </c>
      <c r="C41" s="17">
        <v>3</v>
      </c>
      <c r="D41" s="17">
        <v>15</v>
      </c>
      <c r="E41" s="17">
        <f>[2]Fitting1!$M$33</f>
        <v>122.54081544390066</v>
      </c>
      <c r="G41" s="17" t="s">
        <v>178</v>
      </c>
      <c r="H41" s="17">
        <v>3</v>
      </c>
      <c r="I41" s="17">
        <v>15</v>
      </c>
      <c r="J41" s="18">
        <f>E41</f>
        <v>122.54081544390066</v>
      </c>
      <c r="K41" s="18"/>
    </row>
    <row r="42" spans="2:11" x14ac:dyDescent="0.25">
      <c r="B42" s="17" t="s">
        <v>178</v>
      </c>
      <c r="C42" s="17">
        <v>4</v>
      </c>
      <c r="D42" s="17">
        <v>15</v>
      </c>
      <c r="E42" s="17">
        <f>[2]Fitting1!$Q$33</f>
        <v>95.537090311275477</v>
      </c>
      <c r="G42" s="17" t="s">
        <v>178</v>
      </c>
      <c r="H42" s="17">
        <v>3</v>
      </c>
      <c r="I42" s="17">
        <v>20</v>
      </c>
      <c r="J42" s="18">
        <f>E46</f>
        <v>134.32710389168469</v>
      </c>
      <c r="K42" s="18"/>
    </row>
    <row r="43" spans="2:11" x14ac:dyDescent="0.25">
      <c r="B43" s="17" t="s">
        <v>178</v>
      </c>
      <c r="C43" s="17">
        <v>5</v>
      </c>
      <c r="D43" s="17">
        <v>15</v>
      </c>
      <c r="E43" s="17">
        <f>[2]Fitting1!$V$33</f>
        <v>64.018749851353803</v>
      </c>
      <c r="G43" s="17" t="s">
        <v>178</v>
      </c>
      <c r="H43" s="17">
        <v>4</v>
      </c>
      <c r="I43" s="17">
        <v>10</v>
      </c>
      <c r="J43" s="18">
        <f>E37</f>
        <v>47.773377442945588</v>
      </c>
      <c r="K43" s="18"/>
    </row>
    <row r="44" spans="2:11" x14ac:dyDescent="0.25">
      <c r="B44" s="31" t="s">
        <v>178</v>
      </c>
      <c r="C44" s="31">
        <v>1</v>
      </c>
      <c r="D44" s="31">
        <v>20</v>
      </c>
      <c r="E44" s="31">
        <f>[2]Fitting1!$C$58</f>
        <v>56.832581098258004</v>
      </c>
      <c r="G44" s="17" t="s">
        <v>178</v>
      </c>
      <c r="H44" s="17">
        <v>4</v>
      </c>
      <c r="I44" s="17">
        <v>15</v>
      </c>
      <c r="J44" s="18">
        <f>E42</f>
        <v>95.537090311275477</v>
      </c>
      <c r="K44" s="18"/>
    </row>
    <row r="45" spans="2:11" x14ac:dyDescent="0.25">
      <c r="B45" s="31" t="s">
        <v>178</v>
      </c>
      <c r="C45" s="31">
        <v>2</v>
      </c>
      <c r="D45" s="31">
        <v>20</v>
      </c>
      <c r="E45" s="31">
        <f>[2]Fitting1!$H$58</f>
        <v>89.496820926621808</v>
      </c>
      <c r="G45" s="17" t="s">
        <v>178</v>
      </c>
      <c r="H45" s="17">
        <v>4</v>
      </c>
      <c r="I45" s="17">
        <v>20</v>
      </c>
      <c r="J45" s="18">
        <f>E47</f>
        <v>110.66496485741534</v>
      </c>
      <c r="K45" s="18"/>
    </row>
    <row r="46" spans="2:11" x14ac:dyDescent="0.25">
      <c r="B46" s="31" t="s">
        <v>178</v>
      </c>
      <c r="C46" s="31">
        <v>3</v>
      </c>
      <c r="D46" s="31">
        <v>20</v>
      </c>
      <c r="E46" s="31">
        <f>[2]Fitting1!$M$58</f>
        <v>134.32710389168469</v>
      </c>
      <c r="G46" s="17" t="s">
        <v>178</v>
      </c>
      <c r="H46" s="17">
        <v>5</v>
      </c>
      <c r="I46" s="17">
        <v>10</v>
      </c>
      <c r="J46" s="17">
        <f>E38</f>
        <v>61.466081954279822</v>
      </c>
      <c r="K46" s="17"/>
    </row>
    <row r="47" spans="2:11" x14ac:dyDescent="0.25">
      <c r="B47" s="31" t="s">
        <v>178</v>
      </c>
      <c r="C47" s="31">
        <v>4</v>
      </c>
      <c r="D47" s="31">
        <v>20</v>
      </c>
      <c r="E47" s="31">
        <f>[2]Fitting1!$Q$58</f>
        <v>110.66496485741534</v>
      </c>
      <c r="G47" s="17" t="s">
        <v>178</v>
      </c>
      <c r="H47" s="17">
        <v>5</v>
      </c>
      <c r="I47" s="17">
        <v>15</v>
      </c>
      <c r="J47" s="17">
        <f>E43</f>
        <v>64.018749851353803</v>
      </c>
      <c r="K47" s="17"/>
    </row>
    <row r="48" spans="2:11" x14ac:dyDescent="0.25">
      <c r="B48" s="31" t="s">
        <v>178</v>
      </c>
      <c r="C48" s="31">
        <v>5</v>
      </c>
      <c r="D48" s="31">
        <v>20</v>
      </c>
      <c r="E48" s="31">
        <f>[2]Fitting1!$U$58</f>
        <v>77.947200653686721</v>
      </c>
      <c r="G48" s="17" t="s">
        <v>178</v>
      </c>
      <c r="H48" s="17">
        <v>5</v>
      </c>
      <c r="I48" s="17">
        <v>20</v>
      </c>
      <c r="J48" s="17">
        <f>E48</f>
        <v>77.947200653686721</v>
      </c>
      <c r="K48" s="17"/>
    </row>
    <row r="49" spans="2:11" x14ac:dyDescent="0.25">
      <c r="B49" s="29" t="s">
        <v>247</v>
      </c>
      <c r="C49" s="29">
        <v>1</v>
      </c>
      <c r="D49" s="29">
        <v>10</v>
      </c>
      <c r="E49" s="29">
        <f>[3]Fitting1!$C$9</f>
        <v>115.0826699762864</v>
      </c>
      <c r="G49" s="30" t="s">
        <v>247</v>
      </c>
      <c r="H49" s="30">
        <v>1</v>
      </c>
      <c r="I49" s="30">
        <v>10</v>
      </c>
      <c r="J49" s="49">
        <f>E49</f>
        <v>115.0826699762864</v>
      </c>
      <c r="K49" s="49"/>
    </row>
    <row r="50" spans="2:11" x14ac:dyDescent="0.25">
      <c r="B50" s="29" t="s">
        <v>247</v>
      </c>
      <c r="C50" s="29">
        <v>2</v>
      </c>
      <c r="D50" s="29">
        <v>10</v>
      </c>
      <c r="E50" s="29">
        <f>[3]Fitting1!$H$9</f>
        <v>115.62463138660279</v>
      </c>
      <c r="G50" s="30" t="s">
        <v>247</v>
      </c>
      <c r="H50" s="30">
        <v>1</v>
      </c>
      <c r="I50" s="30">
        <v>15</v>
      </c>
      <c r="J50" s="49">
        <f>E54</f>
        <v>127.37214638200879</v>
      </c>
      <c r="K50" s="49"/>
    </row>
    <row r="51" spans="2:11" x14ac:dyDescent="0.25">
      <c r="B51" s="29" t="s">
        <v>247</v>
      </c>
      <c r="C51" s="29">
        <v>3</v>
      </c>
      <c r="D51" s="29">
        <v>10</v>
      </c>
      <c r="E51" s="29">
        <f>[3]Fitting1!$M$9</f>
        <v>102.29747174691484</v>
      </c>
      <c r="G51" s="30" t="s">
        <v>247</v>
      </c>
      <c r="H51" s="30">
        <v>1</v>
      </c>
      <c r="I51" s="30">
        <v>20</v>
      </c>
      <c r="J51" s="49">
        <f>E59</f>
        <v>159.37921836386869</v>
      </c>
      <c r="K51" s="49"/>
    </row>
    <row r="52" spans="2:11" x14ac:dyDescent="0.25">
      <c r="B52" s="29" t="s">
        <v>247</v>
      </c>
      <c r="C52" s="29">
        <v>4</v>
      </c>
      <c r="D52" s="29">
        <v>10</v>
      </c>
      <c r="E52" s="29">
        <f>[3]Fitting1!$Q$9</f>
        <v>94.098830425814214</v>
      </c>
      <c r="G52" s="30" t="s">
        <v>247</v>
      </c>
      <c r="H52" s="30">
        <v>2</v>
      </c>
      <c r="I52" s="30">
        <v>10</v>
      </c>
      <c r="J52" s="49">
        <f>E50</f>
        <v>115.62463138660279</v>
      </c>
      <c r="K52" s="49"/>
    </row>
    <row r="53" spans="2:11" x14ac:dyDescent="0.25">
      <c r="B53" s="29" t="s">
        <v>247</v>
      </c>
      <c r="C53" s="29">
        <v>5</v>
      </c>
      <c r="D53" s="29">
        <v>10</v>
      </c>
      <c r="E53" s="29">
        <f>[3]Fitting1!$V$9</f>
        <v>103.61424312424748</v>
      </c>
      <c r="G53" s="30" t="s">
        <v>247</v>
      </c>
      <c r="H53" s="30">
        <v>2</v>
      </c>
      <c r="I53" s="30">
        <v>15</v>
      </c>
      <c r="J53" s="49">
        <f>E55</f>
        <v>191.13122416937549</v>
      </c>
      <c r="K53" s="49"/>
    </row>
    <row r="54" spans="2:11" x14ac:dyDescent="0.25">
      <c r="B54" s="30" t="s">
        <v>247</v>
      </c>
      <c r="C54" s="30">
        <v>1</v>
      </c>
      <c r="D54" s="30">
        <v>15</v>
      </c>
      <c r="E54" s="30">
        <f>[3]Fitting1!$C$33</f>
        <v>127.37214638200879</v>
      </c>
      <c r="G54" s="30" t="s">
        <v>247</v>
      </c>
      <c r="H54" s="30">
        <v>2</v>
      </c>
      <c r="I54" s="30">
        <v>20</v>
      </c>
      <c r="J54" s="49">
        <f>E60</f>
        <v>227.73589851785138</v>
      </c>
      <c r="K54" s="49"/>
    </row>
    <row r="55" spans="2:11" x14ac:dyDescent="0.25">
      <c r="B55" s="30" t="s">
        <v>247</v>
      </c>
      <c r="C55" s="30">
        <v>2</v>
      </c>
      <c r="D55" s="30">
        <v>15</v>
      </c>
      <c r="E55" s="30">
        <f>[3]Fitting1!$H$33</f>
        <v>191.13122416937549</v>
      </c>
      <c r="G55" s="30" t="s">
        <v>247</v>
      </c>
      <c r="H55" s="30">
        <v>3</v>
      </c>
      <c r="I55" s="30">
        <v>10</v>
      </c>
      <c r="J55" s="49">
        <f>E51</f>
        <v>102.29747174691484</v>
      </c>
      <c r="K55" s="49"/>
    </row>
    <row r="56" spans="2:11" x14ac:dyDescent="0.25">
      <c r="B56" s="30" t="s">
        <v>247</v>
      </c>
      <c r="C56" s="30">
        <v>3</v>
      </c>
      <c r="D56" s="30">
        <v>15</v>
      </c>
      <c r="E56" s="30">
        <f>[3]Fitting1!$M$33</f>
        <v>121.54900031143289</v>
      </c>
      <c r="G56" s="30" t="s">
        <v>247</v>
      </c>
      <c r="H56" s="30">
        <v>3</v>
      </c>
      <c r="I56" s="30">
        <v>15</v>
      </c>
      <c r="J56" s="49">
        <f>E56</f>
        <v>121.54900031143289</v>
      </c>
      <c r="K56" s="49"/>
    </row>
    <row r="57" spans="2:11" x14ac:dyDescent="0.25">
      <c r="B57" s="30" t="s">
        <v>247</v>
      </c>
      <c r="C57" s="30">
        <v>4</v>
      </c>
      <c r="D57" s="30">
        <v>15</v>
      </c>
      <c r="E57" s="30">
        <f>[3]Fitting1!$Q$33</f>
        <v>113.4042847625287</v>
      </c>
      <c r="G57" s="30" t="s">
        <v>247</v>
      </c>
      <c r="H57" s="30">
        <v>3</v>
      </c>
      <c r="I57" s="30">
        <v>20</v>
      </c>
      <c r="J57" s="49">
        <f>E61</f>
        <v>152.6218131068199</v>
      </c>
      <c r="K57" s="49"/>
    </row>
    <row r="58" spans="2:11" x14ac:dyDescent="0.25">
      <c r="B58" s="30" t="s">
        <v>247</v>
      </c>
      <c r="C58" s="30">
        <v>5</v>
      </c>
      <c r="D58" s="30">
        <v>15</v>
      </c>
      <c r="E58" s="30">
        <f>[3]Fitting1!$V$33</f>
        <v>109.95658887422334</v>
      </c>
      <c r="G58" s="30" t="s">
        <v>247</v>
      </c>
      <c r="H58" s="30">
        <v>4</v>
      </c>
      <c r="I58" s="30">
        <v>10</v>
      </c>
      <c r="J58" s="49">
        <f>E52</f>
        <v>94.098830425814214</v>
      </c>
      <c r="K58" s="49"/>
    </row>
    <row r="59" spans="2:11" x14ac:dyDescent="0.25">
      <c r="B59" s="19" t="s">
        <v>247</v>
      </c>
      <c r="C59" s="19">
        <v>1</v>
      </c>
      <c r="D59" s="19">
        <v>20</v>
      </c>
      <c r="E59" s="19">
        <f>[3]Fitting1!$C$58</f>
        <v>159.37921836386869</v>
      </c>
      <c r="G59" s="30" t="s">
        <v>247</v>
      </c>
      <c r="H59" s="30">
        <v>4</v>
      </c>
      <c r="I59" s="30">
        <v>15</v>
      </c>
      <c r="J59" s="49">
        <f>E57</f>
        <v>113.4042847625287</v>
      </c>
      <c r="K59" s="49"/>
    </row>
    <row r="60" spans="2:11" x14ac:dyDescent="0.25">
      <c r="B60" s="19" t="s">
        <v>247</v>
      </c>
      <c r="C60" s="19">
        <v>2</v>
      </c>
      <c r="D60" s="19">
        <v>20</v>
      </c>
      <c r="E60" s="19">
        <f>[3]Fitting1!$H$58</f>
        <v>227.73589851785138</v>
      </c>
      <c r="G60" s="30" t="s">
        <v>247</v>
      </c>
      <c r="H60" s="30">
        <v>4</v>
      </c>
      <c r="I60" s="30">
        <v>20</v>
      </c>
      <c r="J60" s="49">
        <f>E62</f>
        <v>137.54294705178199</v>
      </c>
      <c r="K60" s="49"/>
    </row>
    <row r="61" spans="2:11" x14ac:dyDescent="0.25">
      <c r="B61" s="19" t="s">
        <v>247</v>
      </c>
      <c r="C61" s="19">
        <v>3</v>
      </c>
      <c r="D61" s="19">
        <v>20</v>
      </c>
      <c r="E61" s="19">
        <f>[3]Fitting1!$M$58</f>
        <v>152.6218131068199</v>
      </c>
      <c r="G61" s="30" t="s">
        <v>247</v>
      </c>
      <c r="H61" s="30">
        <v>5</v>
      </c>
      <c r="I61" s="30">
        <v>10</v>
      </c>
      <c r="J61" s="30">
        <f>E53</f>
        <v>103.61424312424748</v>
      </c>
      <c r="K61" s="30"/>
    </row>
    <row r="62" spans="2:11" x14ac:dyDescent="0.25">
      <c r="B62" s="19" t="s">
        <v>247</v>
      </c>
      <c r="C62" s="19">
        <v>4</v>
      </c>
      <c r="D62" s="19">
        <v>20</v>
      </c>
      <c r="E62" s="19">
        <f>[3]Fitting1!$Q$58</f>
        <v>137.54294705178199</v>
      </c>
      <c r="G62" s="30" t="s">
        <v>247</v>
      </c>
      <c r="H62" s="30">
        <v>5</v>
      </c>
      <c r="I62" s="30">
        <v>15</v>
      </c>
      <c r="J62" s="30">
        <f>E57</f>
        <v>113.4042847625287</v>
      </c>
      <c r="K62" s="30"/>
    </row>
    <row r="63" spans="2:11" x14ac:dyDescent="0.25">
      <c r="B63" s="19" t="s">
        <v>247</v>
      </c>
      <c r="C63" s="19">
        <v>5</v>
      </c>
      <c r="D63" s="19">
        <v>20</v>
      </c>
      <c r="E63" s="19">
        <f>[3]Fitting1!$V$58</f>
        <v>150.34680300752629</v>
      </c>
      <c r="G63" s="30" t="s">
        <v>247</v>
      </c>
      <c r="H63" s="30">
        <v>5</v>
      </c>
      <c r="I63" s="30">
        <v>20</v>
      </c>
      <c r="J63" s="30"/>
      <c r="K63" s="30"/>
    </row>
    <row r="64" spans="2:11" x14ac:dyDescent="0.25">
      <c r="B64" s="26" t="s">
        <v>248</v>
      </c>
      <c r="C64" s="26">
        <v>1</v>
      </c>
      <c r="D64" s="26">
        <v>10</v>
      </c>
      <c r="E64" s="26">
        <f>[4]Fitting1!$C$9</f>
        <v>103.04755342918484</v>
      </c>
      <c r="G64" s="33" t="s">
        <v>248</v>
      </c>
      <c r="H64" s="33">
        <v>1</v>
      </c>
      <c r="I64" s="33">
        <v>10</v>
      </c>
      <c r="J64" s="34">
        <f>E64</f>
        <v>103.04755342918484</v>
      </c>
      <c r="K64" s="34"/>
    </row>
    <row r="65" spans="2:11" x14ac:dyDescent="0.25">
      <c r="B65" s="26" t="s">
        <v>248</v>
      </c>
      <c r="C65" s="26">
        <v>2</v>
      </c>
      <c r="D65" s="26">
        <v>10</v>
      </c>
      <c r="E65" s="26">
        <f>[4]Fitting1!$H$9</f>
        <v>69.649475674087384</v>
      </c>
      <c r="G65" s="33" t="s">
        <v>248</v>
      </c>
      <c r="H65" s="33">
        <v>1</v>
      </c>
      <c r="I65" s="33">
        <v>15</v>
      </c>
      <c r="J65" s="34">
        <f>E69</f>
        <v>153.93785745880339</v>
      </c>
      <c r="K65" s="34"/>
    </row>
    <row r="66" spans="2:11" x14ac:dyDescent="0.25">
      <c r="B66" s="26" t="s">
        <v>248</v>
      </c>
      <c r="C66" s="26">
        <v>3</v>
      </c>
      <c r="D66" s="26">
        <v>10</v>
      </c>
      <c r="E66" s="26">
        <f>[4]Fitting1!$M$9</f>
        <v>91.215719934341337</v>
      </c>
      <c r="G66" s="33" t="s">
        <v>248</v>
      </c>
      <c r="H66" s="33">
        <v>1</v>
      </c>
      <c r="I66" s="33">
        <v>20</v>
      </c>
      <c r="J66" s="34">
        <f>E74</f>
        <v>187.02167570311971</v>
      </c>
      <c r="K66" s="34"/>
    </row>
    <row r="67" spans="2:11" x14ac:dyDescent="0.25">
      <c r="B67" s="26" t="s">
        <v>248</v>
      </c>
      <c r="C67" s="26">
        <v>4</v>
      </c>
      <c r="D67" s="26">
        <v>10</v>
      </c>
      <c r="E67" s="26">
        <f>[4]Fitting1!$Q$9</f>
        <v>77.505494813552303</v>
      </c>
      <c r="G67" s="33" t="s">
        <v>248</v>
      </c>
      <c r="H67" s="33">
        <v>2</v>
      </c>
      <c r="I67" s="33">
        <v>10</v>
      </c>
      <c r="J67" s="34">
        <f>E65</f>
        <v>69.649475674087384</v>
      </c>
      <c r="K67" s="34"/>
    </row>
    <row r="68" spans="2:11" x14ac:dyDescent="0.25">
      <c r="B68" s="26" t="s">
        <v>248</v>
      </c>
      <c r="C68" s="26">
        <v>5</v>
      </c>
      <c r="D68" s="26">
        <v>10</v>
      </c>
      <c r="E68" s="26"/>
      <c r="G68" s="33" t="s">
        <v>248</v>
      </c>
      <c r="H68" s="33">
        <v>2</v>
      </c>
      <c r="I68" s="33">
        <v>15</v>
      </c>
      <c r="J68" s="34">
        <f>E70</f>
        <v>94.01165883777594</v>
      </c>
      <c r="K68" s="34"/>
    </row>
    <row r="69" spans="2:11" x14ac:dyDescent="0.25">
      <c r="B69" s="33" t="s">
        <v>248</v>
      </c>
      <c r="C69" s="33">
        <v>1</v>
      </c>
      <c r="D69" s="33">
        <v>15</v>
      </c>
      <c r="E69" s="33">
        <f>[4]Fitting1!$C$33</f>
        <v>153.93785745880339</v>
      </c>
      <c r="G69" s="33" t="s">
        <v>248</v>
      </c>
      <c r="H69" s="33">
        <v>2</v>
      </c>
      <c r="I69" s="33">
        <v>20</v>
      </c>
      <c r="J69" s="34">
        <f>E75</f>
        <v>121.13545095056364</v>
      </c>
      <c r="K69" s="34"/>
    </row>
    <row r="70" spans="2:11" x14ac:dyDescent="0.25">
      <c r="B70" s="33" t="s">
        <v>248</v>
      </c>
      <c r="C70" s="33">
        <v>2</v>
      </c>
      <c r="D70" s="33">
        <v>15</v>
      </c>
      <c r="E70" s="33">
        <f>[4]Fitting1!$H$33</f>
        <v>94.01165883777594</v>
      </c>
      <c r="G70" s="33" t="s">
        <v>248</v>
      </c>
      <c r="H70" s="33">
        <v>3</v>
      </c>
      <c r="I70" s="33">
        <v>10</v>
      </c>
      <c r="J70" s="34">
        <f>E66</f>
        <v>91.215719934341337</v>
      </c>
      <c r="K70" s="34"/>
    </row>
    <row r="71" spans="2:11" x14ac:dyDescent="0.25">
      <c r="B71" s="33" t="s">
        <v>248</v>
      </c>
      <c r="C71" s="33">
        <v>3</v>
      </c>
      <c r="D71" s="33">
        <v>15</v>
      </c>
      <c r="E71" s="33">
        <f>[4]Fitting1!$M$33</f>
        <v>139.22481218799641</v>
      </c>
      <c r="G71" s="33" t="s">
        <v>248</v>
      </c>
      <c r="H71" s="33">
        <v>3</v>
      </c>
      <c r="I71" s="33">
        <v>15</v>
      </c>
      <c r="J71" s="34">
        <f>E71</f>
        <v>139.22481218799641</v>
      </c>
      <c r="K71" s="34"/>
    </row>
    <row r="72" spans="2:11" x14ac:dyDescent="0.25">
      <c r="B72" s="33" t="s">
        <v>248</v>
      </c>
      <c r="C72" s="33">
        <v>4</v>
      </c>
      <c r="D72" s="33">
        <v>15</v>
      </c>
      <c r="E72" s="33">
        <f>[4]Fitting1!$Q$33</f>
        <v>103.36954222691445</v>
      </c>
      <c r="G72" s="33" t="s">
        <v>248</v>
      </c>
      <c r="H72" s="33">
        <v>3</v>
      </c>
      <c r="I72" s="33">
        <v>20</v>
      </c>
      <c r="J72" s="34">
        <f>E76</f>
        <v>172.15295308315089</v>
      </c>
      <c r="K72" s="34"/>
    </row>
    <row r="73" spans="2:11" x14ac:dyDescent="0.25">
      <c r="B73" s="33" t="s">
        <v>248</v>
      </c>
      <c r="C73" s="33">
        <v>5</v>
      </c>
      <c r="D73" s="33">
        <v>15</v>
      </c>
      <c r="E73" s="33"/>
      <c r="G73" s="33" t="s">
        <v>248</v>
      </c>
      <c r="H73" s="33">
        <v>4</v>
      </c>
      <c r="I73" s="33">
        <v>10</v>
      </c>
      <c r="J73" s="34">
        <f>E67</f>
        <v>77.505494813552303</v>
      </c>
      <c r="K73" s="34"/>
    </row>
    <row r="74" spans="2:11" x14ac:dyDescent="0.25">
      <c r="B74" s="21" t="s">
        <v>248</v>
      </c>
      <c r="C74" s="21">
        <v>1</v>
      </c>
      <c r="D74" s="21">
        <v>20</v>
      </c>
      <c r="E74" s="21">
        <f>[4]Fitting1!$C$58</f>
        <v>187.02167570311971</v>
      </c>
      <c r="G74" s="33" t="s">
        <v>248</v>
      </c>
      <c r="H74" s="33">
        <v>4</v>
      </c>
      <c r="I74" s="33">
        <v>15</v>
      </c>
      <c r="J74" s="34">
        <f>E72</f>
        <v>103.36954222691445</v>
      </c>
      <c r="K74" s="34"/>
    </row>
    <row r="75" spans="2:11" x14ac:dyDescent="0.25">
      <c r="B75" s="21" t="s">
        <v>248</v>
      </c>
      <c r="C75" s="21">
        <v>2</v>
      </c>
      <c r="D75" s="21">
        <v>20</v>
      </c>
      <c r="E75" s="21">
        <f>[4]Fitting1!$H$58</f>
        <v>121.13545095056364</v>
      </c>
      <c r="G75" s="33" t="s">
        <v>248</v>
      </c>
      <c r="H75" s="33">
        <v>4</v>
      </c>
      <c r="I75" s="33">
        <v>20</v>
      </c>
      <c r="J75" s="34">
        <f>E77</f>
        <v>127.19035866302048</v>
      </c>
      <c r="K75" s="34"/>
    </row>
    <row r="76" spans="2:11" x14ac:dyDescent="0.25">
      <c r="B76" s="21" t="s">
        <v>248</v>
      </c>
      <c r="C76" s="21">
        <v>3</v>
      </c>
      <c r="D76" s="21">
        <v>20</v>
      </c>
      <c r="E76" s="21">
        <f>[4]Fitting1!$M$58</f>
        <v>172.15295308315089</v>
      </c>
      <c r="G76" s="33" t="s">
        <v>248</v>
      </c>
      <c r="H76" s="33">
        <v>5</v>
      </c>
      <c r="I76" s="33">
        <v>10</v>
      </c>
      <c r="J76" s="34"/>
      <c r="K76" s="34"/>
    </row>
    <row r="77" spans="2:11" x14ac:dyDescent="0.25">
      <c r="B77" s="21" t="s">
        <v>248</v>
      </c>
      <c r="C77" s="21">
        <v>4</v>
      </c>
      <c r="D77" s="21">
        <v>20</v>
      </c>
      <c r="E77" s="21">
        <f>[4]Fitting1!$Q$58</f>
        <v>127.19035866302048</v>
      </c>
      <c r="G77" s="33" t="s">
        <v>248</v>
      </c>
      <c r="H77" s="33">
        <v>5</v>
      </c>
      <c r="I77" s="33">
        <v>15</v>
      </c>
      <c r="J77" s="34"/>
      <c r="K77" s="34"/>
    </row>
    <row r="78" spans="2:11" x14ac:dyDescent="0.25">
      <c r="B78" s="21" t="s">
        <v>248</v>
      </c>
      <c r="C78" s="21">
        <v>5</v>
      </c>
      <c r="D78" s="21">
        <v>20</v>
      </c>
      <c r="E78" s="21"/>
      <c r="G78" s="33" t="s">
        <v>248</v>
      </c>
      <c r="H78" s="33">
        <v>5</v>
      </c>
      <c r="I78" s="33">
        <v>20</v>
      </c>
      <c r="J78" s="34"/>
      <c r="K78" s="34"/>
    </row>
  </sheetData>
  <sortState ref="S16:T28">
    <sortCondition ref="S16:S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topLeftCell="L1" workbookViewId="0">
      <selection activeCell="N7" sqref="N7:O9"/>
    </sheetView>
  </sheetViews>
  <sheetFormatPr defaultRowHeight="15" x14ac:dyDescent="0.25"/>
  <cols>
    <col min="1" max="16384" width="9.140625" style="4"/>
  </cols>
  <sheetData>
    <row r="1" spans="1:23" ht="23.25" x14ac:dyDescent="0.35">
      <c r="A1" s="11" t="s">
        <v>97</v>
      </c>
      <c r="G1" s="11" t="s">
        <v>97</v>
      </c>
      <c r="M1" s="11" t="s">
        <v>97</v>
      </c>
      <c r="S1" s="11" t="s">
        <v>97</v>
      </c>
    </row>
    <row r="2" spans="1:23" x14ac:dyDescent="0.25">
      <c r="B2" s="4" t="s">
        <v>123</v>
      </c>
      <c r="C2" s="3">
        <v>7.5908314867297664</v>
      </c>
      <c r="D2" s="12">
        <v>6.1857889711285416</v>
      </c>
      <c r="E2" s="4" t="s">
        <v>129</v>
      </c>
      <c r="H2" s="4" t="s">
        <v>123</v>
      </c>
      <c r="I2" s="3">
        <v>7.5908314867297664</v>
      </c>
      <c r="J2" s="12">
        <v>5.2960865164274464</v>
      </c>
      <c r="K2" s="4" t="s">
        <v>129</v>
      </c>
      <c r="N2" s="4" t="s">
        <v>123</v>
      </c>
      <c r="O2" s="3">
        <v>7.5908314867297664</v>
      </c>
      <c r="P2" s="12">
        <v>9.2783568338249616</v>
      </c>
      <c r="Q2" s="4" t="s">
        <v>129</v>
      </c>
      <c r="T2" s="4" t="s">
        <v>123</v>
      </c>
      <c r="U2" s="3">
        <v>7.5908314867297664</v>
      </c>
      <c r="V2" s="12">
        <v>8.2403397883239577</v>
      </c>
      <c r="W2" s="4" t="s">
        <v>129</v>
      </c>
    </row>
    <row r="3" spans="1:23" x14ac:dyDescent="0.25">
      <c r="B3" s="4" t="s">
        <v>122</v>
      </c>
      <c r="C3" s="3">
        <v>72.914200110130821</v>
      </c>
      <c r="D3" s="12">
        <v>0.25727893419149178</v>
      </c>
      <c r="E3" s="4" t="s">
        <v>131</v>
      </c>
      <c r="H3" s="4" t="s">
        <v>122</v>
      </c>
      <c r="I3" s="3">
        <v>72.914200110130821</v>
      </c>
      <c r="J3" s="12">
        <v>0.41339608973804975</v>
      </c>
      <c r="K3" s="4" t="s">
        <v>131</v>
      </c>
      <c r="N3" s="4" t="s">
        <v>122</v>
      </c>
      <c r="O3" s="3">
        <v>72.914200110130821</v>
      </c>
      <c r="P3" s="12">
        <v>0.11471746782026128</v>
      </c>
      <c r="Q3" s="4" t="s">
        <v>131</v>
      </c>
      <c r="T3" s="4" t="s">
        <v>122</v>
      </c>
      <c r="U3" s="3">
        <v>72.914200110130821</v>
      </c>
      <c r="V3" s="12">
        <v>0.16650467010375178</v>
      </c>
      <c r="W3" s="4" t="s">
        <v>131</v>
      </c>
    </row>
    <row r="4" spans="1:23" x14ac:dyDescent="0.25">
      <c r="B4" s="4" t="s">
        <v>124</v>
      </c>
      <c r="C4" s="4">
        <v>0.66101770944744676</v>
      </c>
      <c r="D4" s="12">
        <v>8.4689273163631399E-3</v>
      </c>
      <c r="E4" s="4" t="s">
        <v>133</v>
      </c>
      <c r="H4" s="4" t="s">
        <v>124</v>
      </c>
      <c r="I4" s="4">
        <v>0.66101770944744676</v>
      </c>
      <c r="J4" s="12">
        <v>1.3175747283325035E-2</v>
      </c>
      <c r="K4" s="4" t="s">
        <v>133</v>
      </c>
      <c r="N4" s="4" t="s">
        <v>124</v>
      </c>
      <c r="O4" s="4">
        <v>0.66101770944744676</v>
      </c>
      <c r="P4" s="12">
        <v>5.6096761194258824E-3</v>
      </c>
      <c r="Q4" s="4" t="s">
        <v>133</v>
      </c>
      <c r="T4" s="4" t="s">
        <v>124</v>
      </c>
      <c r="U4" s="4">
        <v>0.66101770944744676</v>
      </c>
      <c r="V4" s="12">
        <v>1.0215504679886394E-2</v>
      </c>
      <c r="W4" s="4" t="s">
        <v>133</v>
      </c>
    </row>
    <row r="5" spans="1:23" x14ac:dyDescent="0.25">
      <c r="B5" s="4" t="s">
        <v>125</v>
      </c>
      <c r="C5" s="4">
        <f>SUMXMY2(B13:B22,C13:C22)</f>
        <v>0.4676874617052425</v>
      </c>
      <c r="D5" s="4">
        <f>SUMXMY2(B13:B22,D13:D22)</f>
        <v>0.40609370865735622</v>
      </c>
      <c r="H5" s="4" t="s">
        <v>125</v>
      </c>
      <c r="I5" s="4" t="e">
        <f>SUMXMY2(H13:H22,I13:I22)</f>
        <v>#DIV/0!</v>
      </c>
      <c r="J5" s="4">
        <f>SUMXMY2(H13:H22,J13:J22)</f>
        <v>0.23964964624578117</v>
      </c>
      <c r="N5" s="4" t="s">
        <v>125</v>
      </c>
      <c r="O5" s="4" t="e">
        <f>SUMXMY2(N13:N22,O13:O22)</f>
        <v>#DIV/0!</v>
      </c>
      <c r="P5" s="4">
        <f>SUMXMY2(N13:N24,P13:P24)</f>
        <v>0.24150901984779768</v>
      </c>
      <c r="T5" s="4" t="s">
        <v>125</v>
      </c>
      <c r="U5" s="4" t="e">
        <f>SUMXMY2(T13:T22,U13:U22)</f>
        <v>#DIV/0!</v>
      </c>
      <c r="V5" s="4">
        <f>SUMXMY2(T13:T24,V13:V24)</f>
        <v>0.28506686903804329</v>
      </c>
    </row>
    <row r="7" spans="1:23" x14ac:dyDescent="0.25">
      <c r="B7" s="4" t="s">
        <v>130</v>
      </c>
      <c r="C7" s="4">
        <f>D3/D4</f>
        <v>30.37916427673116</v>
      </c>
      <c r="H7" s="4" t="s">
        <v>130</v>
      </c>
      <c r="I7" s="4">
        <f>J3/J4</f>
        <v>31.375532700238995</v>
      </c>
      <c r="N7" s="4" t="s">
        <v>130</v>
      </c>
      <c r="O7" s="4">
        <f>P3/P4</f>
        <v>20.449927121996115</v>
      </c>
      <c r="T7" s="4" t="s">
        <v>130</v>
      </c>
      <c r="U7" s="4">
        <f>V3/V4</f>
        <v>16.299211377347582</v>
      </c>
    </row>
    <row r="8" spans="1:23" x14ac:dyDescent="0.25">
      <c r="B8" s="10" t="s">
        <v>132</v>
      </c>
      <c r="C8" s="4">
        <f>D2*D4*(EXP(D3))</f>
        <v>6.7757648712470822E-2</v>
      </c>
      <c r="H8" s="10" t="s">
        <v>132</v>
      </c>
      <c r="I8" s="4">
        <f>J2*J4*(EXP(J3))</f>
        <v>0.10550328153595999</v>
      </c>
      <c r="N8" s="10" t="s">
        <v>132</v>
      </c>
      <c r="O8" s="4">
        <f>P2*P4*(EXP(P3))</f>
        <v>5.8375420463572386E-2</v>
      </c>
      <c r="T8" s="10" t="s">
        <v>132</v>
      </c>
      <c r="U8" s="4">
        <f>V2*V4*(EXP(V3))</f>
        <v>9.9429900912475597E-2</v>
      </c>
    </row>
    <row r="9" spans="1:23" x14ac:dyDescent="0.25">
      <c r="B9" s="4" t="s">
        <v>134</v>
      </c>
      <c r="C9" s="4">
        <f>D2</f>
        <v>6.1857889711285416</v>
      </c>
      <c r="H9" s="4" t="s">
        <v>134</v>
      </c>
      <c r="I9" s="4">
        <f>J2</f>
        <v>5.2960865164274464</v>
      </c>
      <c r="N9" s="4" t="s">
        <v>134</v>
      </c>
      <c r="O9" s="4">
        <f>P2</f>
        <v>9.2783568338249616</v>
      </c>
      <c r="T9" s="4" t="s">
        <v>134</v>
      </c>
      <c r="U9" s="4">
        <f>V2</f>
        <v>8.2403397883239577</v>
      </c>
    </row>
    <row r="10" spans="1:23" x14ac:dyDescent="0.25">
      <c r="B10" s="5"/>
      <c r="C10" s="5"/>
      <c r="D10" s="5"/>
      <c r="E10" s="5"/>
      <c r="H10" s="5"/>
      <c r="I10" s="5"/>
      <c r="J10" s="5"/>
      <c r="K10" s="5"/>
      <c r="N10" s="5"/>
      <c r="O10" s="5"/>
      <c r="P10" s="5"/>
      <c r="Q10" s="5"/>
      <c r="T10" s="5"/>
      <c r="U10" s="5"/>
      <c r="V10" s="5"/>
      <c r="W10" s="5"/>
    </row>
    <row r="11" spans="1:23" x14ac:dyDescent="0.25">
      <c r="B11" s="5" t="s">
        <v>120</v>
      </c>
      <c r="C11" s="6"/>
      <c r="H11" s="5" t="s">
        <v>120</v>
      </c>
      <c r="I11" s="6"/>
      <c r="N11" s="5" t="s">
        <v>120</v>
      </c>
      <c r="O11" s="6"/>
      <c r="T11" s="5" t="s">
        <v>120</v>
      </c>
      <c r="U11" s="6"/>
    </row>
    <row r="12" spans="1:23" ht="26.25" x14ac:dyDescent="0.25">
      <c r="A12" s="5" t="s">
        <v>121</v>
      </c>
      <c r="B12" s="5" t="s">
        <v>126</v>
      </c>
      <c r="C12" s="6" t="s">
        <v>127</v>
      </c>
      <c r="D12" s="13" t="s">
        <v>135</v>
      </c>
      <c r="E12" s="13"/>
      <c r="F12" s="14"/>
      <c r="G12" s="5" t="s">
        <v>121</v>
      </c>
      <c r="H12" s="5" t="s">
        <v>126</v>
      </c>
      <c r="I12" s="6"/>
      <c r="J12" s="13" t="s">
        <v>135</v>
      </c>
      <c r="K12" s="13"/>
      <c r="M12" s="5" t="s">
        <v>121</v>
      </c>
      <c r="N12" s="5" t="s">
        <v>126</v>
      </c>
      <c r="O12" s="6"/>
      <c r="P12" s="13" t="s">
        <v>135</v>
      </c>
      <c r="Q12" s="13"/>
      <c r="S12" s="5" t="s">
        <v>121</v>
      </c>
      <c r="T12" s="5" t="s">
        <v>126</v>
      </c>
      <c r="U12" s="6"/>
      <c r="V12" s="13" t="s">
        <v>135</v>
      </c>
      <c r="W12" s="13"/>
    </row>
    <row r="13" spans="1:23" x14ac:dyDescent="0.25">
      <c r="A13" s="4">
        <f>'10oC'!AU7</f>
        <v>451.79409790039062</v>
      </c>
      <c r="B13" s="4">
        <f>'10oC'!E7</f>
        <v>6.154737185306649</v>
      </c>
      <c r="C13" s="7">
        <f>(((('10oC'!AU7*0.8*0.5)+C$3)-SQRT((('10oC'!AU7*0.8*0.5)+C$3)^2-(4*C$4*('10oC'!AU7*0.8*0.5)*C$3)))/(2*C$4))*((('10oC'!G7*'10oC'!AW7*0.001)-C$2)/(4*('10oC'!G7*'10oC'!AW7*0.001)+8*C$2))+B$22</f>
        <v>5.8892492418707327</v>
      </c>
      <c r="D13" s="15">
        <f>D$2*(1-EXP(D$3-D$4*A13))</f>
        <v>6.0114367703457825</v>
      </c>
      <c r="E13" s="7"/>
      <c r="I13" s="7"/>
      <c r="J13" s="15"/>
      <c r="K13" s="7"/>
      <c r="M13" s="4">
        <f>'10oC'!AU32</f>
        <v>450.7843017578125</v>
      </c>
      <c r="N13" s="4">
        <f>'10oC'!E32</f>
        <v>8.4211559264145457</v>
      </c>
      <c r="O13" s="7"/>
      <c r="P13" s="15">
        <f t="shared" ref="P13:P22" si="0">P$2*(1-EXP(P$3-P$4*M13))</f>
        <v>8.4483754428566993</v>
      </c>
      <c r="Q13" s="7"/>
      <c r="S13" s="4">
        <f>'10oC'!AU45</f>
        <v>598.6409912109375</v>
      </c>
      <c r="T13" s="4">
        <f>'10oC'!E45</f>
        <v>8.0054899453392778</v>
      </c>
      <c r="U13" s="7"/>
      <c r="V13" s="15">
        <f t="shared" ref="V13:V21" si="1">V$2*(1-EXP(V$3-V$4*S13))</f>
        <v>8.2188434699657584</v>
      </c>
      <c r="W13" s="7"/>
    </row>
    <row r="14" spans="1:23" x14ac:dyDescent="0.25">
      <c r="A14" s="4">
        <f>'10oC'!AU8</f>
        <v>300.58987426757812</v>
      </c>
      <c r="B14" s="4">
        <f>'10oC'!E8</f>
        <v>5.2224869193551235</v>
      </c>
      <c r="C14" s="7">
        <f>(((('10oC'!AU8*0.8*0.5)+C$3)-SQRT((('10oC'!AU8*0.8*0.5)+C$3)^2-(4*C$4*('10oC'!AU8*0.8*0.5)*C$3)))/(2*C$4))*((('10oC'!G8*'10oC'!AW8*0.001)-C$2)/(4*('10oC'!G8*'10oC'!AW8*0.001)+8*C$2))+B$22</f>
        <v>5.5047209059614781</v>
      </c>
      <c r="D14" s="15">
        <f>D$2*(1-EXP(D$3-D$4*A14))</f>
        <v>5.5583697222358115</v>
      </c>
      <c r="E14" s="7"/>
      <c r="F14" s="8"/>
      <c r="I14" s="7"/>
      <c r="J14" s="15"/>
      <c r="K14" s="7"/>
      <c r="M14" s="4">
        <f>'10oC'!AU33</f>
        <v>299.87841796875</v>
      </c>
      <c r="N14" s="4">
        <f>'10oC'!E33</f>
        <v>7.4302987527161699</v>
      </c>
      <c r="O14" s="7"/>
      <c r="P14" s="15">
        <f t="shared" si="0"/>
        <v>7.3432140117624485</v>
      </c>
      <c r="Q14" s="7"/>
      <c r="S14" s="4">
        <f>'10oC'!AU46</f>
        <v>500.64614868164062</v>
      </c>
      <c r="T14" s="4">
        <f>'10oC'!E46</f>
        <v>8.3147283428269088</v>
      </c>
      <c r="U14" s="7"/>
      <c r="V14" s="15">
        <f t="shared" si="1"/>
        <v>8.1818443687214284</v>
      </c>
      <c r="W14" s="7"/>
    </row>
    <row r="15" spans="1:23" x14ac:dyDescent="0.25">
      <c r="A15" s="4">
        <f>'10oC'!AU9</f>
        <v>198.89012145996094</v>
      </c>
      <c r="B15" s="4">
        <f>'10oC'!E9</f>
        <v>4.8358535599606771</v>
      </c>
      <c r="C15" s="7">
        <f>(((('10oC'!AU9*0.8*0.5)+C$3)-SQRT((('10oC'!AU9*0.8*0.5)+C$3)^2-(4*C$4*('10oC'!AU9*0.8*0.5)*C$3)))/(2*C$4))*((('10oC'!G9*'10oC'!AW9*0.001)-C$2)/(4*('10oC'!G9*'10oC'!AW9*0.001)+8*C$2))+B$22</f>
        <v>4.635853980358271</v>
      </c>
      <c r="D15" s="15">
        <f t="shared" ref="D15:D22" si="2">D$2*(1-EXP(D$3-D$4*A15))</f>
        <v>4.7011858005571634</v>
      </c>
      <c r="E15" s="7"/>
      <c r="F15" s="8"/>
      <c r="G15" s="4">
        <f>'10oC'!AU20</f>
        <v>448.1156005859375</v>
      </c>
      <c r="H15" s="4">
        <f>'10oC'!E20</f>
        <v>5.384949430051801</v>
      </c>
      <c r="I15" s="7"/>
      <c r="J15" s="15">
        <f t="shared" ref="J15:J22" si="3">J$2*(1-EXP(J$3-J$4*G15))</f>
        <v>5.2742439289878336</v>
      </c>
      <c r="K15" s="7"/>
      <c r="M15" s="4">
        <f>'10oC'!AU34</f>
        <v>198.11305236816406</v>
      </c>
      <c r="N15" s="4">
        <f>'10oC'!E34</f>
        <v>5.7011428154892894</v>
      </c>
      <c r="O15" s="7"/>
      <c r="P15" s="15">
        <f t="shared" si="0"/>
        <v>5.8535266990312618</v>
      </c>
      <c r="Q15" s="7"/>
      <c r="S15" s="4">
        <f>'10oC'!AU47</f>
        <v>300.87673950195313</v>
      </c>
      <c r="T15" s="4">
        <f>'10oC'!E47</f>
        <v>7.8381984682762766</v>
      </c>
      <c r="U15" s="7"/>
      <c r="V15" s="15">
        <f t="shared" si="1"/>
        <v>7.7901389510950816</v>
      </c>
      <c r="W15" s="7"/>
    </row>
    <row r="16" spans="1:23" x14ac:dyDescent="0.25">
      <c r="A16" s="4">
        <f>'10oC'!AU10</f>
        <v>176.26425170898437</v>
      </c>
      <c r="B16" s="4">
        <f>'10oC'!E10</f>
        <v>4.4476755207831538</v>
      </c>
      <c r="C16" s="7">
        <f>(((('10oC'!AU10*0.8*0.5)+C$3)-SQRT((('10oC'!AU10*0.8*0.5)+C$3)^2-(4*C$4*('10oC'!AU10*0.8*0.5)*C$3)))/(2*C$4))*((('10oC'!G10*'10oC'!AW10*0.001)-C$2)/(4*('10oC'!G10*'10oC'!AW10*0.001)+8*C$2))+B$22</f>
        <v>4.3746651015702032</v>
      </c>
      <c r="D16" s="15">
        <f t="shared" si="2"/>
        <v>4.3876281837585704</v>
      </c>
      <c r="E16" s="7"/>
      <c r="F16" s="8"/>
      <c r="G16" s="4">
        <f>'10oC'!AU21</f>
        <v>301.63006591796875</v>
      </c>
      <c r="H16" s="4">
        <f>'10oC'!E21</f>
        <v>5.0534674642071273</v>
      </c>
      <c r="I16" s="7"/>
      <c r="J16" s="15">
        <f t="shared" si="3"/>
        <v>5.1455933011714752</v>
      </c>
      <c r="K16" s="7"/>
      <c r="M16" s="4">
        <f>'10oC'!AU35</f>
        <v>175.56118774414062</v>
      </c>
      <c r="N16" s="4">
        <f>'10oC'!E35</f>
        <v>5.2523735328197976</v>
      </c>
      <c r="O16" s="7"/>
      <c r="P16" s="15">
        <f t="shared" si="0"/>
        <v>5.3916565901804434</v>
      </c>
      <c r="Q16" s="7"/>
      <c r="S16" s="4">
        <f>'10oC'!AU48</f>
        <v>200.97492980957031</v>
      </c>
      <c r="T16" s="4">
        <f>'10oC'!E48</f>
        <v>7.0373052558653963</v>
      </c>
      <c r="U16" s="7"/>
      <c r="V16" s="15">
        <f t="shared" si="1"/>
        <v>6.9911615652057346</v>
      </c>
      <c r="W16" s="7"/>
    </row>
    <row r="17" spans="1:28" x14ac:dyDescent="0.25">
      <c r="A17" s="4">
        <f>'10oC'!AU11</f>
        <v>150.41305541992187</v>
      </c>
      <c r="B17" s="4">
        <f>'10oC'!E11</f>
        <v>3.7992437815990239</v>
      </c>
      <c r="C17" s="7">
        <f>(((('10oC'!AU11*0.8*0.5)+C$3)-SQRT((('10oC'!AU11*0.8*0.5)+C$3)^2-(4*C$4*('10oC'!AU11*0.8*0.5)*C$3)))/(2*C$4))*((('10oC'!G11*'10oC'!AW11*0.001)-C$2)/(4*('10oC'!G11*'10oC'!AW11*0.001)+8*C$2))+B$22</f>
        <v>3.9656682058112107</v>
      </c>
      <c r="D17" s="15">
        <f t="shared" si="2"/>
        <v>3.9475346074081714</v>
      </c>
      <c r="E17" s="7"/>
      <c r="G17" s="4">
        <f>'10oC'!AU22</f>
        <v>199.67756652832031</v>
      </c>
      <c r="H17" s="4">
        <f>'10oC'!E22</f>
        <v>4.8707873109612763</v>
      </c>
      <c r="I17" s="7"/>
      <c r="J17" s="15">
        <f t="shared" si="3"/>
        <v>4.7194463932003297</v>
      </c>
      <c r="K17" s="7"/>
      <c r="M17" s="4">
        <f>'10oC'!AU36</f>
        <v>149.80133056640625</v>
      </c>
      <c r="N17" s="4">
        <f>'10oC'!E36</f>
        <v>4.9996639846451441</v>
      </c>
      <c r="O17" s="7"/>
      <c r="P17" s="15">
        <f t="shared" si="0"/>
        <v>4.7874035724172037</v>
      </c>
      <c r="Q17" s="7"/>
      <c r="S17" s="4">
        <f>'10oC'!AU49</f>
        <v>124.64561462402344</v>
      </c>
      <c r="T17" s="4">
        <f>'10oC'!E49</f>
        <v>5.6006161554758833</v>
      </c>
      <c r="U17" s="7"/>
      <c r="V17" s="15">
        <f t="shared" si="1"/>
        <v>5.5159938134086746</v>
      </c>
      <c r="W17" s="7"/>
    </row>
    <row r="18" spans="1:28" x14ac:dyDescent="0.25">
      <c r="A18" s="4">
        <f>'10oC'!AU12</f>
        <v>123.37002563476562</v>
      </c>
      <c r="B18" s="4">
        <f>'10oC'!E12</f>
        <v>3.5541674878757483</v>
      </c>
      <c r="C18" s="7">
        <f>(((('10oC'!AU12*0.8*0.5)+C$3)-SQRT((('10oC'!AU12*0.8*0.5)+C$3)^2-(4*C$4*('10oC'!AU12*0.8*0.5)*C$3)))/(2*C$4))*((('10oC'!G12*'10oC'!AW12*0.001)-C$2)/(4*('10oC'!G12*'10oC'!AW12*0.001)+8*C$2))+B$22</f>
        <v>3.3413778342394442</v>
      </c>
      <c r="D18" s="15">
        <f t="shared" si="2"/>
        <v>3.3714660317048311</v>
      </c>
      <c r="E18" s="7"/>
      <c r="G18" s="4">
        <f>'10oC'!AU23</f>
        <v>176.76863098144531</v>
      </c>
      <c r="H18" s="4">
        <f>'10oC'!E23</f>
        <v>4.1762198607182137</v>
      </c>
      <c r="I18" s="7"/>
      <c r="J18" s="15">
        <f t="shared" si="3"/>
        <v>4.516268395672479</v>
      </c>
      <c r="K18" s="7"/>
      <c r="M18" s="4">
        <f>'10oC'!AU37</f>
        <v>123.00070190429687</v>
      </c>
      <c r="N18" s="4">
        <f>'10oC'!E37</f>
        <v>4.2327198868550928</v>
      </c>
      <c r="O18" s="7"/>
      <c r="P18" s="15">
        <f t="shared" si="0"/>
        <v>4.0588243600383862</v>
      </c>
      <c r="Q18" s="7"/>
      <c r="S18" s="4">
        <f>'10oC'!AU50</f>
        <v>99.203765869140625</v>
      </c>
      <c r="T18" s="4">
        <f>'10oC'!E50</f>
        <v>4.8968137547192896</v>
      </c>
      <c r="U18" s="7"/>
      <c r="V18" s="15">
        <f t="shared" si="1"/>
        <v>4.7074021567182562</v>
      </c>
      <c r="W18" s="7"/>
    </row>
    <row r="19" spans="1:28" x14ac:dyDescent="0.25">
      <c r="A19" s="4">
        <f>'10oC'!AU13</f>
        <v>101.93482208251953</v>
      </c>
      <c r="B19" s="4">
        <f>'10oC'!E13</f>
        <v>3.0997230470888271</v>
      </c>
      <c r="C19" s="7">
        <f>(((('10oC'!AU13*0.8*0.5)+C$3)-SQRT((('10oC'!AU13*0.8*0.5)+C$3)^2-(4*C$4*('10oC'!AU13*0.8*0.5)*C$3)))/(2*C$4))*((('10oC'!G13*'10oC'!AW13*0.001)-C$2)/(4*('10oC'!G13*'10oC'!AW13*0.001)+8*C$2))+B$22</f>
        <v>2.7678274315451565</v>
      </c>
      <c r="D19" s="15">
        <f t="shared" si="2"/>
        <v>2.8112628878244434</v>
      </c>
      <c r="E19" s="7"/>
      <c r="G19" s="4">
        <f>'10oC'!AU24</f>
        <v>150.85270690917969</v>
      </c>
      <c r="H19" s="4">
        <f>'10oC'!E24</f>
        <v>4.2301003954119212</v>
      </c>
      <c r="I19" s="7"/>
      <c r="J19" s="15">
        <f t="shared" si="3"/>
        <v>4.1988803489385456</v>
      </c>
      <c r="K19" s="7"/>
      <c r="M19" s="4">
        <f>'10oC'!AU38</f>
        <v>101.55704498291016</v>
      </c>
      <c r="N19" s="4">
        <f>'10oC'!E38</f>
        <v>3.3200692810025112</v>
      </c>
      <c r="O19" s="7"/>
      <c r="P19" s="15">
        <f t="shared" si="0"/>
        <v>3.3916319058702413</v>
      </c>
      <c r="Q19" s="7"/>
      <c r="S19" s="4">
        <f>'10oC'!AU51</f>
        <v>73.552047729492187</v>
      </c>
      <c r="T19" s="4">
        <f>'10oC'!E51</f>
        <v>3.2524179555033954</v>
      </c>
      <c r="U19" s="7"/>
      <c r="V19" s="15">
        <f t="shared" si="1"/>
        <v>3.6489858243767155</v>
      </c>
      <c r="W19" s="7"/>
    </row>
    <row r="20" spans="1:28" x14ac:dyDescent="0.25">
      <c r="A20" s="4">
        <f>'10oC'!AU14</f>
        <v>76.121528625488281</v>
      </c>
      <c r="B20" s="4">
        <f>'10oC'!E14</f>
        <v>1.8530923655555998</v>
      </c>
      <c r="C20" s="7">
        <f>(((('10oC'!AU14*0.8*0.5)+C$3)-SQRT((('10oC'!AU14*0.8*0.5)+C$3)^2-(4*C$4*('10oC'!AU14*0.8*0.5)*C$3)))/(2*C$4))*((('10oC'!G14*'10oC'!AW14*0.001)-C$2)/(4*('10oC'!G14*'10oC'!AW14*0.001)+8*C$2))+B$22</f>
        <v>1.9663828986198333</v>
      </c>
      <c r="D20" s="15">
        <f t="shared" si="2"/>
        <v>1.9867075135827945</v>
      </c>
      <c r="E20" s="7"/>
      <c r="G20" s="4">
        <f>'10oC'!AU25</f>
        <v>123.937255859375</v>
      </c>
      <c r="H20" s="4">
        <f>'10oC'!E25</f>
        <v>3.7944490073507433</v>
      </c>
      <c r="I20" s="7"/>
      <c r="J20" s="15">
        <f t="shared" si="3"/>
        <v>3.7318493333162004</v>
      </c>
      <c r="K20" s="7"/>
      <c r="M20" s="4">
        <f>'10oC'!AU39</f>
        <v>75.912864685058594</v>
      </c>
      <c r="N20" s="4">
        <f>'10oC'!E39</f>
        <v>2.5410772998847579</v>
      </c>
      <c r="O20" s="7"/>
      <c r="P20" s="15">
        <f t="shared" si="0"/>
        <v>2.480853761936137</v>
      </c>
      <c r="Q20" s="7"/>
      <c r="S20" s="4">
        <f>'10oC'!AU52</f>
        <v>48.618930816650391</v>
      </c>
      <c r="T20" s="4">
        <f>'10oC'!E52</f>
        <v>2.2966330511189978</v>
      </c>
      <c r="U20" s="7"/>
      <c r="V20" s="15">
        <f t="shared" si="1"/>
        <v>2.3171250339910427</v>
      </c>
      <c r="W20" s="7"/>
    </row>
    <row r="21" spans="1:28" x14ac:dyDescent="0.25">
      <c r="A21" s="4">
        <f>'10oC'!AU15</f>
        <v>51.118938446044922</v>
      </c>
      <c r="B21" s="4">
        <f>'10oC'!E15</f>
        <v>0.70547575868910239</v>
      </c>
      <c r="C21" s="7">
        <f>(((('10oC'!AU15*0.8*0.5)+C$3)-SQRT((('10oC'!AU15*0.8*0.5)+C$3)^2-(4*C$4*('10oC'!AU15*0.8*0.5)*C$3)))/(2*C$4))*((('10oC'!G15*'10oC'!AW15*0.001)-C$2)/(4*('10oC'!G15*'10oC'!AW15*0.001)+8*C$2))+B$22</f>
        <v>0.97973474287392537</v>
      </c>
      <c r="D21" s="15">
        <f t="shared" si="2"/>
        <v>0.99642614692987919</v>
      </c>
      <c r="E21" s="7"/>
      <c r="G21" s="4">
        <f>'10oC'!AU26</f>
        <v>98.204750061035156</v>
      </c>
      <c r="H21" s="4">
        <f>'10oC'!E26</f>
        <v>3.3291510203054822</v>
      </c>
      <c r="I21" s="7"/>
      <c r="J21" s="15">
        <f t="shared" si="3"/>
        <v>3.100513043719678</v>
      </c>
      <c r="K21" s="7"/>
      <c r="M21" s="4">
        <f>'10oC'!AU40</f>
        <v>50.997402191162109</v>
      </c>
      <c r="N21" s="4">
        <f>'10oC'!E40</f>
        <v>1.2153845384389326</v>
      </c>
      <c r="O21" s="7"/>
      <c r="P21" s="15">
        <f t="shared" si="0"/>
        <v>1.4611834886994932</v>
      </c>
      <c r="Q21" s="7"/>
      <c r="S21" s="4">
        <f>'10oC'!AU53</f>
        <v>26.529804229736328</v>
      </c>
      <c r="T21" s="4">
        <f>'10oC'!E53</f>
        <v>0.94705894758433184</v>
      </c>
      <c r="U21" s="7"/>
      <c r="V21" s="15">
        <f t="shared" si="1"/>
        <v>0.81772857839344448</v>
      </c>
      <c r="W21" s="7"/>
    </row>
    <row r="22" spans="1:28" x14ac:dyDescent="0.25">
      <c r="A22" s="4">
        <f>'10oC'!AU16</f>
        <v>0.5332491397857666</v>
      </c>
      <c r="B22" s="4">
        <f>'10oC'!E16</f>
        <v>-1.679317505043102</v>
      </c>
      <c r="C22" s="7">
        <f>(((('10oC'!AU16*0.8*0.5)+C$3)-SQRT((('10oC'!AU16*0.8*0.5)+C$3)^2-(4*C$4*('10oC'!AU16*0.8*0.5)*C$3)))/(2*C$4))*((('10oC'!G16*'10oC'!AW16*0.001)-C$2)/(4*('10oC'!G16*'10oC'!AW16*0.001)+8*C$2))+B$22</f>
        <v>-1.6471728838646369</v>
      </c>
      <c r="D22" s="15">
        <f t="shared" si="2"/>
        <v>-1.7788964363647026</v>
      </c>
      <c r="E22" s="7"/>
      <c r="G22" s="4">
        <f>'10oC'!AU27</f>
        <v>76.553428649902344</v>
      </c>
      <c r="H22" s="4">
        <f>'10oC'!E27</f>
        <v>2.2233824610575823</v>
      </c>
      <c r="I22" s="7"/>
      <c r="J22" s="15">
        <f t="shared" si="3"/>
        <v>2.3757010551360014</v>
      </c>
      <c r="K22" s="7"/>
      <c r="M22" s="4">
        <f>'10oC'!AU41</f>
        <v>23.575302124023438</v>
      </c>
      <c r="N22" s="4">
        <f>'10oC'!E41</f>
        <v>0.22225015437157147</v>
      </c>
      <c r="O22" s="7"/>
      <c r="P22" s="15">
        <f t="shared" si="0"/>
        <v>0.16125361345017714</v>
      </c>
      <c r="Q22" s="7"/>
      <c r="U22" s="7"/>
      <c r="V22" s="15"/>
      <c r="W22" s="7"/>
    </row>
    <row r="23" spans="1:28" x14ac:dyDescent="0.25">
      <c r="C23" s="9"/>
      <c r="D23" s="7"/>
      <c r="E23" s="7"/>
      <c r="M23" s="4">
        <f>'10oC'!AU42</f>
        <v>0.45659685134887695</v>
      </c>
      <c r="N23" s="4">
        <f>'10oC'!E42</f>
        <v>-1.2243857257737967</v>
      </c>
      <c r="O23" s="7"/>
      <c r="P23" s="15">
        <f>P$2*(1-EXP(P$3-P$4*M23))</f>
        <v>-1.1012248131579538</v>
      </c>
      <c r="U23" s="7"/>
      <c r="V23" s="15"/>
    </row>
    <row r="24" spans="1:28" ht="23.25" x14ac:dyDescent="0.35">
      <c r="A24" s="11" t="s">
        <v>128</v>
      </c>
      <c r="C24" s="9"/>
      <c r="D24" s="7"/>
      <c r="E24" s="7"/>
      <c r="F24" s="2"/>
      <c r="G24" s="11" t="s">
        <v>128</v>
      </c>
      <c r="L24" s="11" t="s">
        <v>128</v>
      </c>
      <c r="M24" s="4">
        <f>'10oC'!AU43</f>
        <v>0.49252980947494507</v>
      </c>
      <c r="N24" s="4">
        <f>'10oC'!E43</f>
        <v>-0.93416244359057898</v>
      </c>
      <c r="O24" s="7"/>
      <c r="P24" s="15">
        <f>P$2*(1-EXP(P$3-P$4*M24))</f>
        <v>-1.0991327883117867</v>
      </c>
      <c r="R24" s="11" t="s">
        <v>128</v>
      </c>
      <c r="X24" s="11" t="s">
        <v>128</v>
      </c>
    </row>
    <row r="25" spans="1:28" x14ac:dyDescent="0.25">
      <c r="B25" s="4" t="s">
        <v>123</v>
      </c>
      <c r="C25" s="3">
        <v>3.301106310358136</v>
      </c>
      <c r="D25" s="12">
        <v>4.9280751178466211</v>
      </c>
      <c r="E25" s="4" t="s">
        <v>129</v>
      </c>
      <c r="H25" s="4" t="s">
        <v>123</v>
      </c>
      <c r="I25" s="3">
        <v>3.301106310358136</v>
      </c>
      <c r="J25" s="12">
        <v>6.0569534022550275</v>
      </c>
      <c r="K25" s="4" t="s">
        <v>129</v>
      </c>
      <c r="M25" s="4" t="s">
        <v>123</v>
      </c>
      <c r="N25" s="3">
        <v>3.301106310358136</v>
      </c>
      <c r="O25" s="12">
        <v>4.8241772107702721</v>
      </c>
      <c r="P25" s="4" t="s">
        <v>129</v>
      </c>
      <c r="S25" s="4" t="s">
        <v>123</v>
      </c>
      <c r="T25" s="3">
        <v>3.301106310358136</v>
      </c>
      <c r="U25" s="12">
        <v>9.8743367758737257</v>
      </c>
      <c r="V25" s="4" t="s">
        <v>129</v>
      </c>
      <c r="Y25" s="4" t="s">
        <v>123</v>
      </c>
      <c r="Z25" s="3">
        <v>3.301106310358136</v>
      </c>
      <c r="AA25" s="12">
        <v>8.1673150645219508</v>
      </c>
      <c r="AB25" s="4" t="s">
        <v>129</v>
      </c>
    </row>
    <row r="26" spans="1:28" x14ac:dyDescent="0.25">
      <c r="B26" s="4" t="s">
        <v>122</v>
      </c>
      <c r="C26" s="3">
        <v>42.906090041151487</v>
      </c>
      <c r="D26" s="12">
        <v>0.28917062263740084</v>
      </c>
      <c r="E26" s="4" t="s">
        <v>131</v>
      </c>
      <c r="H26" s="4" t="s">
        <v>122</v>
      </c>
      <c r="I26" s="3">
        <v>42.906090041151487</v>
      </c>
      <c r="J26" s="12">
        <v>0.31012395860357578</v>
      </c>
      <c r="K26" s="4" t="s">
        <v>131</v>
      </c>
      <c r="M26" s="4" t="s">
        <v>122</v>
      </c>
      <c r="N26" s="3">
        <v>42.906090041151487</v>
      </c>
      <c r="O26" s="12">
        <v>0.13579141188972349</v>
      </c>
      <c r="P26" s="4" t="s">
        <v>131</v>
      </c>
      <c r="S26" s="4" t="s">
        <v>122</v>
      </c>
      <c r="T26" s="3">
        <v>42.906090041151487</v>
      </c>
      <c r="U26" s="12">
        <v>9.2702096205675474E-2</v>
      </c>
      <c r="V26" s="4" t="s">
        <v>131</v>
      </c>
      <c r="Y26" s="4" t="s">
        <v>122</v>
      </c>
      <c r="Z26" s="3">
        <v>42.906090041151487</v>
      </c>
      <c r="AA26" s="12">
        <v>0.19996695562867456</v>
      </c>
      <c r="AB26" s="4" t="s">
        <v>131</v>
      </c>
    </row>
    <row r="27" spans="1:28" x14ac:dyDescent="0.25">
      <c r="B27" s="4" t="s">
        <v>124</v>
      </c>
      <c r="C27" s="4">
        <v>0.47257205816334596</v>
      </c>
      <c r="D27" s="12">
        <v>1.1320139239732536E-2</v>
      </c>
      <c r="E27" s="4" t="s">
        <v>133</v>
      </c>
      <c r="H27" s="4" t="s">
        <v>124</v>
      </c>
      <c r="I27" s="4">
        <v>0.47257205816334596</v>
      </c>
      <c r="J27" s="12">
        <v>1.1162495995842117E-2</v>
      </c>
      <c r="K27" s="4" t="s">
        <v>133</v>
      </c>
      <c r="M27" s="4" t="s">
        <v>124</v>
      </c>
      <c r="N27" s="4">
        <v>0.47257205816334596</v>
      </c>
      <c r="O27" s="12">
        <v>4.0885081901660923E-3</v>
      </c>
      <c r="P27" s="4" t="s">
        <v>133</v>
      </c>
      <c r="S27" s="4" t="s">
        <v>124</v>
      </c>
      <c r="T27" s="4">
        <v>0.47257205816334596</v>
      </c>
      <c r="U27" s="12">
        <v>5.7079840016685847E-3</v>
      </c>
      <c r="V27" s="4" t="s">
        <v>133</v>
      </c>
      <c r="Y27" s="4" t="s">
        <v>124</v>
      </c>
      <c r="Z27" s="4">
        <v>0.47257205816334596</v>
      </c>
      <c r="AA27" s="12">
        <v>8.2241864113048527E-3</v>
      </c>
      <c r="AB27" s="4" t="s">
        <v>133</v>
      </c>
    </row>
    <row r="28" spans="1:28" x14ac:dyDescent="0.25">
      <c r="B28" s="4" t="s">
        <v>125</v>
      </c>
      <c r="C28" s="4">
        <f>SUMXMY2(B37:B45,C37:C45)</f>
        <v>0.10053438454063546</v>
      </c>
      <c r="D28" s="4">
        <f>SUMXMY2(B37:B46,D37:D46)</f>
        <v>0.14771968454903034</v>
      </c>
      <c r="H28" s="4" t="s">
        <v>125</v>
      </c>
      <c r="I28" s="4" t="e">
        <f>SUMXMY2(H37:H45,I37:I45)</f>
        <v>#DIV/0!</v>
      </c>
      <c r="J28" s="4">
        <f>SUMXMY2(H37:H46,J37:J46)</f>
        <v>5.9931487124755413E-2</v>
      </c>
      <c r="M28" s="4" t="s">
        <v>125</v>
      </c>
      <c r="N28" s="4" t="e">
        <f>SUMXMY2(M37:M45,N37:N45)</f>
        <v>#DIV/0!</v>
      </c>
      <c r="O28" s="4">
        <f>SUMXMY2(M37:M46,O37:O46)</f>
        <v>0.31903531493595844</v>
      </c>
      <c r="S28" s="4" t="s">
        <v>125</v>
      </c>
      <c r="T28" s="4" t="e">
        <f>SUMXMY2(S37:S45,T37:T45)</f>
        <v>#DIV/0!</v>
      </c>
      <c r="U28" s="4">
        <f>SUMXMY2(S37:S46,U37:U46)</f>
        <v>0.11471222291062348</v>
      </c>
      <c r="Y28" s="4" t="s">
        <v>125</v>
      </c>
      <c r="Z28" s="4" t="e">
        <f>SUMXMY2(Y37:Y45,Z37:Z45)</f>
        <v>#DIV/0!</v>
      </c>
      <c r="AA28" s="4">
        <f>SUMXMY2(Y37:Y46,AA37:AA46)</f>
        <v>2.2689341380829404</v>
      </c>
    </row>
    <row r="30" spans="1:28" x14ac:dyDescent="0.25">
      <c r="B30" s="4" t="s">
        <v>130</v>
      </c>
      <c r="C30" s="4">
        <f>D26/D27</f>
        <v>25.544793797450954</v>
      </c>
      <c r="H30" s="4" t="s">
        <v>130</v>
      </c>
      <c r="I30" s="4">
        <f>J26/J27</f>
        <v>27.782671431111186</v>
      </c>
      <c r="M30" s="4" t="s">
        <v>130</v>
      </c>
      <c r="N30" s="4">
        <f>O26/O27</f>
        <v>33.212948482367374</v>
      </c>
      <c r="S30" s="4" t="s">
        <v>130</v>
      </c>
      <c r="T30" s="4">
        <f>U26/U27</f>
        <v>16.240777160303246</v>
      </c>
      <c r="Y30" s="4" t="s">
        <v>130</v>
      </c>
      <c r="Z30" s="4">
        <f>AA26/AA27</f>
        <v>24.314496976114594</v>
      </c>
    </row>
    <row r="31" spans="1:28" x14ac:dyDescent="0.25">
      <c r="B31" s="10" t="s">
        <v>132</v>
      </c>
      <c r="C31" s="4">
        <f>D25*D27*(EXP(D26))</f>
        <v>7.4492799138210469E-2</v>
      </c>
      <c r="H31" s="10" t="s">
        <v>132</v>
      </c>
      <c r="I31" s="4">
        <f>J25*J27*(EXP(J26))</f>
        <v>9.219357852057683E-2</v>
      </c>
      <c r="M31" s="10" t="s">
        <v>132</v>
      </c>
      <c r="N31" s="4">
        <f>O25*O27*(EXP(O26))</f>
        <v>2.2592359269911735E-2</v>
      </c>
      <c r="S31" s="10" t="s">
        <v>132</v>
      </c>
      <c r="T31" s="4">
        <f>U25*U27*(EXP(U26))</f>
        <v>6.183732457136281E-2</v>
      </c>
      <c r="Y31" s="10" t="s">
        <v>132</v>
      </c>
      <c r="Z31" s="4">
        <f>AA25*AA27*(EXP(AA26))</f>
        <v>8.2038327960729032E-2</v>
      </c>
    </row>
    <row r="32" spans="1:28" x14ac:dyDescent="0.25">
      <c r="B32" s="4" t="s">
        <v>134</v>
      </c>
      <c r="C32" s="4">
        <f>D25</f>
        <v>4.9280751178466211</v>
      </c>
      <c r="H32" s="4" t="s">
        <v>134</v>
      </c>
      <c r="I32" s="4">
        <f>J25</f>
        <v>6.0569534022550275</v>
      </c>
      <c r="M32" s="4" t="s">
        <v>134</v>
      </c>
      <c r="N32" s="4">
        <f>O25</f>
        <v>4.8241772107702721</v>
      </c>
      <c r="S32" s="4" t="s">
        <v>134</v>
      </c>
      <c r="T32" s="4">
        <f>U25</f>
        <v>9.8743367758737257</v>
      </c>
      <c r="Y32" s="4" t="s">
        <v>134</v>
      </c>
      <c r="Z32" s="4">
        <f>AA25</f>
        <v>8.1673150645219508</v>
      </c>
    </row>
    <row r="34" spans="1:27" x14ac:dyDescent="0.25">
      <c r="B34" s="5"/>
      <c r="C34" s="5"/>
      <c r="H34" s="5"/>
      <c r="I34" s="5"/>
      <c r="M34" s="5"/>
      <c r="N34" s="5"/>
      <c r="S34" s="5"/>
      <c r="T34" s="5"/>
      <c r="Y34" s="5"/>
      <c r="Z34" s="5"/>
    </row>
    <row r="35" spans="1:27" x14ac:dyDescent="0.25">
      <c r="B35" s="5" t="s">
        <v>120</v>
      </c>
      <c r="C35" s="6"/>
      <c r="H35" s="5" t="s">
        <v>120</v>
      </c>
      <c r="I35" s="6"/>
      <c r="M35" s="5" t="s">
        <v>120</v>
      </c>
      <c r="N35" s="6"/>
      <c r="S35" s="5" t="s">
        <v>120</v>
      </c>
      <c r="T35" s="6"/>
      <c r="Y35" s="5" t="s">
        <v>120</v>
      </c>
      <c r="Z35" s="6"/>
    </row>
    <row r="36" spans="1:27" ht="26.25" x14ac:dyDescent="0.25">
      <c r="A36" s="5" t="s">
        <v>121</v>
      </c>
      <c r="B36" s="5" t="s">
        <v>126</v>
      </c>
      <c r="C36" s="6" t="s">
        <v>127</v>
      </c>
      <c r="D36" s="13" t="s">
        <v>135</v>
      </c>
      <c r="G36" s="5" t="s">
        <v>121</v>
      </c>
      <c r="H36" s="5" t="s">
        <v>126</v>
      </c>
      <c r="I36" s="6"/>
      <c r="J36" s="13" t="s">
        <v>135</v>
      </c>
      <c r="L36" s="5" t="s">
        <v>121</v>
      </c>
      <c r="M36" s="5" t="s">
        <v>126</v>
      </c>
      <c r="N36" s="6"/>
      <c r="O36" s="13" t="s">
        <v>135</v>
      </c>
      <c r="R36" s="5" t="s">
        <v>121</v>
      </c>
      <c r="S36" s="5" t="s">
        <v>126</v>
      </c>
      <c r="T36" s="6"/>
      <c r="U36" s="13" t="s">
        <v>135</v>
      </c>
      <c r="X36" s="5" t="s">
        <v>121</v>
      </c>
      <c r="Y36" s="5" t="s">
        <v>126</v>
      </c>
      <c r="Z36" s="6"/>
      <c r="AA36" s="13" t="s">
        <v>135</v>
      </c>
    </row>
    <row r="37" spans="1:27" x14ac:dyDescent="0.25">
      <c r="A37" s="4">
        <f>'15oC'!AU7</f>
        <v>450.76602172851562</v>
      </c>
      <c r="B37" s="4">
        <f>'15oC'!E7</f>
        <v>5.029989169166309</v>
      </c>
      <c r="C37" s="4">
        <f>(((('15oC'!AU7*0.8*0.5)+C$26)-SQRT((('15oC'!AU7*0.8*0.5)+C$26)^2-(4*C$27*('15oC'!AU7*0.8*0.5)*C$26)))/(2*C$27))*((('15oC'!G7*'10oC'!AW7*0.001)-C$25)/(4*('15oC'!G7*'15oC'!AW7*0.001)+8*C$25))+B$45</f>
        <v>5.017664511858297</v>
      </c>
      <c r="D37" s="15">
        <f>D$25*(1-EXP(D$26-D$27*A37))</f>
        <v>4.8880646850389917</v>
      </c>
      <c r="G37" s="4">
        <f>'15oC'!AU17</f>
        <v>448.50588989257812</v>
      </c>
      <c r="H37" s="4">
        <f>'15oC'!E17</f>
        <v>5.9260959993647182</v>
      </c>
      <c r="J37" s="15">
        <f>J$25*(1-EXP(J$26-J$27*G37))</f>
        <v>6.001660697846499</v>
      </c>
      <c r="L37" s="4">
        <f>'15oC'!AU29</f>
        <v>299.01885986328125</v>
      </c>
      <c r="M37" s="4">
        <f>'15oC'!E29</f>
        <v>3.3337954500353235</v>
      </c>
      <c r="O37" s="15">
        <f>O$25*(1-EXP(O$26-O$27*L37))</f>
        <v>3.1969287162383409</v>
      </c>
      <c r="R37" s="4">
        <f>'15oC'!AU40</f>
        <v>500.60250854492187</v>
      </c>
      <c r="S37" s="4">
        <f>'15oC'!E40</f>
        <v>9.0723337778949062</v>
      </c>
      <c r="U37" s="15">
        <f>U$25*(1-EXP(U$26-U$27*R37))</f>
        <v>9.252321027210364</v>
      </c>
      <c r="X37" s="4">
        <f>'15oC'!AU52</f>
        <v>600.5889892578125</v>
      </c>
      <c r="Y37" s="4">
        <f>'15oC'!E52</f>
        <v>8.0625827718997627</v>
      </c>
      <c r="AA37" s="15">
        <f>AA$25*(1-EXP(AA$26-AA$27*X37))</f>
        <v>8.0959001559009938</v>
      </c>
    </row>
    <row r="38" spans="1:27" x14ac:dyDescent="0.25">
      <c r="A38" s="4">
        <f>'15oC'!AU8</f>
        <v>299.9078369140625</v>
      </c>
      <c r="B38" s="4">
        <f>'15oC'!E8</f>
        <v>4.6058301386457297</v>
      </c>
      <c r="C38" s="4">
        <f>(((('15oC'!AU8*0.8*0.5)+C$26)-SQRT((('15oC'!AU8*0.8*0.5)+C$26)^2-(4*C$27*('15oC'!AU8*0.8*0.5)*C$26)))/(2*C$27))*((('15oC'!G8*'10oC'!AW8*0.001)-C$25)/(4*('15oC'!G8*'15oC'!AW8*0.001)+8*C$25))+B$45</f>
        <v>4.6689320791761473</v>
      </c>
      <c r="D38" s="15">
        <f t="shared" ref="D38:D45" si="4">D$25*(1-EXP(D$26-D$27*A38))</f>
        <v>4.7073593185627329</v>
      </c>
      <c r="G38" s="4">
        <f>'15oC'!AU18</f>
        <v>298.33938598632812</v>
      </c>
      <c r="H38" s="4">
        <f>'15oC'!E18</f>
        <v>5.779056430872612</v>
      </c>
      <c r="J38" s="15">
        <f t="shared" ref="J38:J45" si="5">J$25*(1-EXP(J$26-J$27*G38))</f>
        <v>5.7613927789317119</v>
      </c>
      <c r="L38" s="4">
        <f>'15oC'!AU30</f>
        <v>200.37208557128906</v>
      </c>
      <c r="M38" s="4">
        <f>'15oC'!E30</f>
        <v>2.1271730564863183</v>
      </c>
      <c r="O38" s="15">
        <f t="shared" ref="O38:O46" si="6">O$25*(1-EXP(O$26-O$27*L38))</f>
        <v>2.388539312093632</v>
      </c>
      <c r="R38" s="4">
        <f>'15oC'!AU41</f>
        <v>450.95281982421875</v>
      </c>
      <c r="S38" s="4">
        <f>'15oC'!E41</f>
        <v>9.1776979244339696</v>
      </c>
      <c r="U38" s="15">
        <f t="shared" ref="U38:U47" si="7">U$25*(1-EXP(U$26-U$27*R38))</f>
        <v>9.0485265133730923</v>
      </c>
      <c r="X38" s="4">
        <f>'15oC'!AU53</f>
        <v>498.78341674804687</v>
      </c>
      <c r="Y38" s="4">
        <f>'15oC'!E53</f>
        <v>7.9178883951410617</v>
      </c>
      <c r="AA38" s="15">
        <f t="shared" ref="AA38:AA47" si="8">AA$25*(1-EXP(AA$26-AA$27*X38))</f>
        <v>8.0023432467724813</v>
      </c>
    </row>
    <row r="39" spans="1:27" x14ac:dyDescent="0.25">
      <c r="A39" s="4">
        <f>'15oC'!AU9</f>
        <v>198.45530700683594</v>
      </c>
      <c r="B39" s="4">
        <f>'15oC'!E9</f>
        <v>4.2321836231761019</v>
      </c>
      <c r="C39" s="4">
        <f>(((('15oC'!AU9*0.8*0.5)+C$26)-SQRT((('15oC'!AU9*0.8*0.5)+C$26)^2-(4*C$27*('15oC'!AU9*0.8*0.5)*C$26)))/(2*C$27))*((('15oC'!G9*'10oC'!AW9*0.001)-C$25)/(4*('15oC'!G9*'15oC'!AW9*0.001)+8*C$25))+B$45</f>
        <v>4.1449264357987339</v>
      </c>
      <c r="D39" s="15">
        <f t="shared" si="4"/>
        <v>4.2320869481533245</v>
      </c>
      <c r="G39" s="4">
        <f>'15oC'!AU19</f>
        <v>201.50923156738281</v>
      </c>
      <c r="H39" s="4">
        <f>'15oC'!E19</f>
        <v>5.3300111125782506</v>
      </c>
      <c r="J39" s="15">
        <f t="shared" si="5"/>
        <v>5.1858678614990321</v>
      </c>
      <c r="L39" s="4">
        <f>'15oC'!AU31</f>
        <v>176.79615783691406</v>
      </c>
      <c r="M39" s="4">
        <f>'15oC'!E31</f>
        <v>2.1815147842168296</v>
      </c>
      <c r="O39" s="15">
        <f t="shared" si="6"/>
        <v>2.1420799014625964</v>
      </c>
      <c r="R39" s="4">
        <f>'15oC'!AU42</f>
        <v>299.95010375976562</v>
      </c>
      <c r="S39" s="4">
        <f>'15oC'!E42</f>
        <v>8.0730162808556898</v>
      </c>
      <c r="U39" s="15">
        <f t="shared" si="7"/>
        <v>7.9190617744377576</v>
      </c>
      <c r="X39" s="4">
        <f>'15oC'!AU54</f>
        <v>446.3177490234375</v>
      </c>
      <c r="Y39" s="4">
        <f>'15oC'!E54</f>
        <v>8.3816286886741036</v>
      </c>
      <c r="AA39" s="15">
        <f t="shared" si="8"/>
        <v>7.9133333969869497</v>
      </c>
    </row>
    <row r="40" spans="1:27" x14ac:dyDescent="0.25">
      <c r="A40" s="4">
        <f>'15oC'!AU10</f>
        <v>175.83404541015625</v>
      </c>
      <c r="B40" s="4">
        <f>'15oC'!E10</f>
        <v>4.0100685625292858</v>
      </c>
      <c r="C40" s="4">
        <f>(((('15oC'!AU10*0.8*0.5)+C$26)-SQRT((('15oC'!AU10*0.8*0.5)+C$26)^2-(4*C$27*('15oC'!AU10*0.8*0.5)*C$26)))/(2*C$27))*((('15oC'!G10*'10oC'!AW10*0.001)-C$25)/(4*('15oC'!G10*'15oC'!AW10*0.001)+8*C$25))+B$45</f>
        <v>3.9617667491484472</v>
      </c>
      <c r="D40" s="15">
        <f t="shared" si="4"/>
        <v>4.028962322946736</v>
      </c>
      <c r="G40" s="4">
        <f>'15oC'!AU20</f>
        <v>174.45114135742187</v>
      </c>
      <c r="H40" s="4">
        <f>'15oC'!E20</f>
        <v>4.9130505525434085</v>
      </c>
      <c r="J40" s="15">
        <f t="shared" si="5"/>
        <v>4.8787146666559948</v>
      </c>
      <c r="L40" s="4">
        <f>'15oC'!AU32</f>
        <v>148.74024963378906</v>
      </c>
      <c r="M40" s="4">
        <f>'15oC'!E32</f>
        <v>1.7090335933371761</v>
      </c>
      <c r="O40" s="15">
        <f t="shared" si="6"/>
        <v>1.8160855527517186</v>
      </c>
      <c r="R40" s="4">
        <f>'15oC'!AU43</f>
        <v>198.33439636230469</v>
      </c>
      <c r="S40" s="4">
        <f>'15oC'!E43</f>
        <v>6.2582234104642236</v>
      </c>
      <c r="U40" s="15">
        <f t="shared" si="7"/>
        <v>6.3820677299339996</v>
      </c>
      <c r="X40" s="4">
        <f>'15oC'!AU55</f>
        <v>299.75323486328125</v>
      </c>
      <c r="Y40" s="4">
        <f>'15oC'!E55</f>
        <v>6.5939981663382126</v>
      </c>
      <c r="AA40" s="15">
        <f t="shared" si="8"/>
        <v>7.3195225114189135</v>
      </c>
    </row>
    <row r="41" spans="1:27" x14ac:dyDescent="0.25">
      <c r="A41" s="4">
        <f>'15oC'!AU11</f>
        <v>123.06011199951172</v>
      </c>
      <c r="B41" s="4">
        <f>'15oC'!E11</f>
        <v>3.2122911639984211</v>
      </c>
      <c r="C41" s="4">
        <f>(((('15oC'!AU11*0.8*0.5)+C$26)-SQRT((('15oC'!AU11*0.8*0.5)+C$26)^2-(4*C$27*('15oC'!AU11*0.8*0.5)*C$26)))/(2*C$27))*((('15oC'!G11*'10oC'!AW11*0.001)-C$25)/(4*('15oC'!G11*'15oC'!AW11*0.001)+8*C$25))+B$45</f>
        <v>3.2630386174703307</v>
      </c>
      <c r="D41" s="15">
        <f t="shared" si="4"/>
        <v>3.294025292027245</v>
      </c>
      <c r="G41" s="4">
        <f>'15oC'!AU21</f>
        <v>148.704345703125</v>
      </c>
      <c r="H41" s="4">
        <f>'15oC'!E21</f>
        <v>4.515884542304577</v>
      </c>
      <c r="J41" s="15">
        <f t="shared" si="5"/>
        <v>4.4864138410260379</v>
      </c>
      <c r="L41" s="4">
        <f>'15oC'!AU33</f>
        <v>124.337890625</v>
      </c>
      <c r="M41" s="4">
        <f>'15oC'!E33</f>
        <v>1.4022850845501367</v>
      </c>
      <c r="O41" s="15">
        <f t="shared" si="6"/>
        <v>1.5004888387366531</v>
      </c>
      <c r="R41" s="4">
        <f>'15oC'!AU44</f>
        <v>175.66706848144531</v>
      </c>
      <c r="S41" s="4">
        <f>'15oC'!E44</f>
        <v>5.9151426539778056</v>
      </c>
      <c r="U41" s="15">
        <f t="shared" si="7"/>
        <v>5.8996878395961403</v>
      </c>
      <c r="X41" s="4">
        <f>'15oC'!AU56</f>
        <v>200.00009155273437</v>
      </c>
      <c r="Y41" s="4">
        <f>'15oC'!E56</f>
        <v>6.7683434855824789</v>
      </c>
      <c r="AA41" s="15">
        <f t="shared" si="8"/>
        <v>6.2416543410762388</v>
      </c>
    </row>
    <row r="42" spans="1:27" x14ac:dyDescent="0.25">
      <c r="A42" s="4">
        <f>'15oC'!AU12</f>
        <v>101.62149810791016</v>
      </c>
      <c r="B42" s="4">
        <f>'15oC'!E12</f>
        <v>2.7259357532714108</v>
      </c>
      <c r="C42" s="4">
        <f>(((('15oC'!AU12*0.8*0.5)+C$26)-SQRT((('15oC'!AU12*0.8*0.5)+C$26)^2-(4*C$27*('15oC'!AU12*0.8*0.5)*C$26)))/(2*C$27))*((('15oC'!G12*'10oC'!AW12*0.001)-C$25)/(4*('15oC'!G12*'15oC'!AW12*0.001)+8*C$25))+B$45</f>
        <v>2.8570242663970147</v>
      </c>
      <c r="D42" s="15">
        <f t="shared" si="4"/>
        <v>2.8451992167664564</v>
      </c>
      <c r="G42" s="4">
        <f>'15oC'!AU22</f>
        <v>126.23232269287109</v>
      </c>
      <c r="H42" s="4">
        <f>'15oC'!E22</f>
        <v>3.8676336930168684</v>
      </c>
      <c r="J42" s="15">
        <f t="shared" si="5"/>
        <v>4.0386382168347463</v>
      </c>
      <c r="L42" s="4">
        <f>'15oC'!AU34</f>
        <v>99.09466552734375</v>
      </c>
      <c r="M42" s="4">
        <f>'15oC'!E34</f>
        <v>1.3435307431810071</v>
      </c>
      <c r="O42" s="15">
        <f t="shared" si="6"/>
        <v>1.1391339905426339</v>
      </c>
      <c r="R42" s="4">
        <f>'15oC'!AU45</f>
        <v>149.87188720703125</v>
      </c>
      <c r="S42" s="4">
        <f>'15oC'!E45</f>
        <v>5.2911863318938437</v>
      </c>
      <c r="U42" s="15">
        <f t="shared" si="7"/>
        <v>5.2691883146554588</v>
      </c>
      <c r="X42" s="4">
        <f>'15oC'!AU57</f>
        <v>176.07456970214844</v>
      </c>
      <c r="Y42" s="4">
        <f>'15oC'!E57</f>
        <v>5.5243734287255153</v>
      </c>
      <c r="AA42" s="15">
        <f t="shared" si="8"/>
        <v>5.822897275441643</v>
      </c>
    </row>
    <row r="43" spans="1:27" x14ac:dyDescent="0.25">
      <c r="A43" s="4">
        <f>'15oC'!AU13</f>
        <v>50.957740783691406</v>
      </c>
      <c r="B43" s="4">
        <f>'15oC'!E13</f>
        <v>1.5302428127516035</v>
      </c>
      <c r="C43" s="4">
        <f>(((('15oC'!AU13*0.8*0.5)+C$26)-SQRT((('15oC'!AU13*0.8*0.5)+C$26)^2-(4*C$27*('15oC'!AU13*0.8*0.5)*C$26)))/(2*C$27))*((('15oC'!G13*'10oC'!AW13*0.001)-C$25)/(4*('15oC'!G13*'15oC'!AW13*0.001)+8*C$25))+B$45</f>
        <v>1.3219296456093426</v>
      </c>
      <c r="D43" s="15">
        <f t="shared" si="4"/>
        <v>1.2320040910251671</v>
      </c>
      <c r="G43" s="4">
        <f>'15oC'!AU23</f>
        <v>100.76718902587891</v>
      </c>
      <c r="H43" s="4">
        <f>'15oC'!E23</f>
        <v>3.3492750208962394</v>
      </c>
      <c r="J43" s="15">
        <f t="shared" si="5"/>
        <v>3.3750747211373611</v>
      </c>
      <c r="L43" s="4">
        <f>'15oC'!AU35</f>
        <v>73.393722534179688</v>
      </c>
      <c r="M43" s="4">
        <f>'15oC'!E35</f>
        <v>0.86260631263995535</v>
      </c>
      <c r="O43" s="15">
        <f t="shared" si="6"/>
        <v>0.73083922685286296</v>
      </c>
      <c r="R43" s="4">
        <f>'15oC'!AU46</f>
        <v>123.00466156005859</v>
      </c>
      <c r="S43" s="4">
        <f>'15oC'!E46</f>
        <v>4.5898574112700929</v>
      </c>
      <c r="U43" s="15">
        <f t="shared" si="7"/>
        <v>4.5059223351612294</v>
      </c>
      <c r="X43" s="4">
        <f>'15oC'!AU58</f>
        <v>151.935546875</v>
      </c>
      <c r="Y43" s="4">
        <f>'15oC'!E58</f>
        <v>5.9115783428636837</v>
      </c>
      <c r="AA43" s="15">
        <f t="shared" si="8"/>
        <v>5.3080605917004906</v>
      </c>
    </row>
    <row r="44" spans="1:27" x14ac:dyDescent="0.25">
      <c r="A44" s="4">
        <f>'15oC'!AU14</f>
        <v>23.719820022583008</v>
      </c>
      <c r="B44" s="4">
        <f>'15oC'!E14</f>
        <v>-0.16293017241238614</v>
      </c>
      <c r="C44" s="4">
        <f>(((('15oC'!AU14*0.8*0.5)+C$26)-SQRT((('15oC'!AU14*0.8*0.5)+C$26)^2-(4*C$27*('15oC'!AU14*0.8*0.5)*C$26)))/(2*C$27))*((('15oC'!G14*'10oC'!AW14*0.001)-C$25)/(4*('15oC'!G14*'15oC'!AW14*0.001)+8*C$25))+B$45</f>
        <v>-1.5615159373800758E-2</v>
      </c>
      <c r="D44" s="15">
        <f t="shared" si="4"/>
        <v>-0.10286780535830647</v>
      </c>
      <c r="G44" s="4">
        <f>'15oC'!AU24</f>
        <v>75.046524047851563</v>
      </c>
      <c r="H44" s="4">
        <f>'15oC'!E24</f>
        <v>2.5001359452603946</v>
      </c>
      <c r="J44" s="15">
        <f t="shared" si="5"/>
        <v>2.4831715795599116</v>
      </c>
      <c r="L44" s="4">
        <f>'15oC'!AU36</f>
        <v>48.771472930908203</v>
      </c>
      <c r="M44" s="4">
        <f>'15oC'!E36</f>
        <v>0.5448466223195656</v>
      </c>
      <c r="O44" s="15">
        <f t="shared" si="6"/>
        <v>0.29731496122878365</v>
      </c>
      <c r="R44" s="4">
        <f>'15oC'!AU47</f>
        <v>101.53575897216797</v>
      </c>
      <c r="S44" s="4">
        <f>'15oC'!E47</f>
        <v>3.6770399505507076</v>
      </c>
      <c r="U44" s="15">
        <f t="shared" si="7"/>
        <v>3.8060473647908366</v>
      </c>
      <c r="X44" s="4">
        <f>'15oC'!AU59</f>
        <v>123.59687805175781</v>
      </c>
      <c r="Y44" s="4">
        <f>'15oC'!E59</f>
        <v>3.8023834654113617</v>
      </c>
      <c r="AA44" s="15">
        <f t="shared" si="8"/>
        <v>4.5576195922963256</v>
      </c>
    </row>
    <row r="45" spans="1:27" x14ac:dyDescent="0.25">
      <c r="A45" s="4">
        <f>'15oC'!AU15</f>
        <v>0.49582603573799133</v>
      </c>
      <c r="B45" s="4">
        <f>'15oC'!E15</f>
        <v>-1.6744178140484498</v>
      </c>
      <c r="C45" s="4">
        <f>(((('15oC'!AU15*0.8*0.5)+C$26)-SQRT((('15oC'!AU15*0.8*0.5)+C$26)^2-(4*C$27*('15oC'!AU15*0.8*0.5)*C$26)))/(2*C$27))*((('15oC'!G15*'10oC'!AW15*0.001)-C$25)/(4*('15oC'!G15*'15oC'!AW15*0.001)+8*C$25))+B$45</f>
        <v>-1.6344408261613999</v>
      </c>
      <c r="D45" s="15">
        <f t="shared" si="4"/>
        <v>-1.6156478985456184</v>
      </c>
      <c r="G45" s="4">
        <f>'15oC'!AU25</f>
        <v>50.365524291992188</v>
      </c>
      <c r="H45" s="4">
        <f>'15oC'!E25</f>
        <v>1.3794114067696024</v>
      </c>
      <c r="J45" s="15">
        <f t="shared" si="5"/>
        <v>1.3495995745433857</v>
      </c>
      <c r="L45" s="4">
        <f>'15oC'!AU37</f>
        <v>26.181018829345703</v>
      </c>
      <c r="M45" s="4">
        <f>'15oC'!E37</f>
        <v>-0.4341379446493307</v>
      </c>
      <c r="O45" s="15">
        <f t="shared" si="6"/>
        <v>-0.14070858792870733</v>
      </c>
      <c r="R45" s="4">
        <f>'15oC'!AU48</f>
        <v>75.931358337402344</v>
      </c>
      <c r="S45" s="4">
        <f>'15oC'!E48</f>
        <v>2.8354132210777805</v>
      </c>
      <c r="U45" s="15">
        <f t="shared" si="7"/>
        <v>2.8510854392135236</v>
      </c>
      <c r="X45" s="4">
        <f>'15oC'!AU60</f>
        <v>98.610298156738281</v>
      </c>
      <c r="Y45" s="4">
        <f>'15oC'!E60</f>
        <v>4.1743698071152782</v>
      </c>
      <c r="AA45" s="15">
        <f t="shared" si="8"/>
        <v>3.734132655510658</v>
      </c>
    </row>
    <row r="46" spans="1:27" x14ac:dyDescent="0.25">
      <c r="L46" s="4">
        <f>'15oC'!AU38</f>
        <v>-7.4982434511184692E-2</v>
      </c>
      <c r="M46" s="4">
        <f>'15oC'!E38</f>
        <v>-0.75642142457713235</v>
      </c>
      <c r="O46" s="15">
        <f t="shared" si="6"/>
        <v>-0.70333682037702472</v>
      </c>
      <c r="R46" s="4">
        <f>'15oC'!AU49</f>
        <v>23.71197509765625</v>
      </c>
      <c r="S46" s="4">
        <f>'15oC'!E49</f>
        <v>0.4562404773025357</v>
      </c>
      <c r="U46" s="15">
        <f t="shared" si="7"/>
        <v>0.4122431859530869</v>
      </c>
      <c r="X46" s="4">
        <f>'15oC'!AU61</f>
        <v>76.537590026855469</v>
      </c>
      <c r="Y46" s="4">
        <f>'15oC'!E61</f>
        <v>2.7100596298408881</v>
      </c>
      <c r="AA46" s="15">
        <f t="shared" si="8"/>
        <v>2.8517050941095876</v>
      </c>
    </row>
    <row r="47" spans="1:27" x14ac:dyDescent="0.25">
      <c r="R47" s="4">
        <f>'15oC'!AU50</f>
        <v>0.55691993236541748</v>
      </c>
      <c r="S47" s="4">
        <f>'15oC'!E50</f>
        <v>-1.0277183562700269</v>
      </c>
      <c r="U47" s="15">
        <f t="shared" si="7"/>
        <v>-0.92475842297687083</v>
      </c>
      <c r="X47" s="4">
        <f>'15oC'!AU62</f>
        <v>48.160869598388672</v>
      </c>
      <c r="Y47" s="4">
        <f>'15oC'!E62</f>
        <v>-1.3877419682284924</v>
      </c>
      <c r="AA47" s="15">
        <f t="shared" si="8"/>
        <v>1.4544676979391191</v>
      </c>
    </row>
    <row r="48" spans="1:27" ht="23.25" x14ac:dyDescent="0.35">
      <c r="A48" s="11" t="s">
        <v>119</v>
      </c>
      <c r="C48" s="9"/>
      <c r="D48" s="7"/>
      <c r="E48" s="7"/>
      <c r="F48" s="2"/>
      <c r="G48" s="11" t="s">
        <v>119</v>
      </c>
      <c r="L48" s="11" t="s">
        <v>119</v>
      </c>
      <c r="Q48" s="11" t="s">
        <v>119</v>
      </c>
      <c r="X48" s="11" t="s">
        <v>119</v>
      </c>
    </row>
    <row r="49" spans="1:27" x14ac:dyDescent="0.25">
      <c r="B49" s="4" t="s">
        <v>123</v>
      </c>
      <c r="C49" s="3">
        <v>7.240005695696448</v>
      </c>
      <c r="D49" s="12">
        <v>4.2792638674797532</v>
      </c>
      <c r="E49" s="4" t="s">
        <v>129</v>
      </c>
      <c r="H49" s="4" t="s">
        <v>123</v>
      </c>
      <c r="I49" s="3">
        <v>7.240005695696448</v>
      </c>
      <c r="J49" s="12">
        <v>4.6158066835186586</v>
      </c>
      <c r="K49" s="4" t="s">
        <v>129</v>
      </c>
      <c r="M49" s="4" t="s">
        <v>123</v>
      </c>
      <c r="N49" s="3">
        <v>7.240005695696448</v>
      </c>
      <c r="O49" s="12">
        <v>3.0795278269639685</v>
      </c>
      <c r="P49" s="4" t="s">
        <v>129</v>
      </c>
      <c r="R49" s="4" t="s">
        <v>123</v>
      </c>
      <c r="S49" s="3">
        <v>7.240005695696448</v>
      </c>
      <c r="T49" s="12">
        <v>11.026658916671401</v>
      </c>
      <c r="Y49" s="4" t="s">
        <v>123</v>
      </c>
      <c r="Z49" s="3">
        <v>7.240005695696448</v>
      </c>
      <c r="AA49" s="12">
        <v>8.1674050780108747</v>
      </c>
    </row>
    <row r="50" spans="1:27" x14ac:dyDescent="0.25">
      <c r="B50" s="4" t="s">
        <v>122</v>
      </c>
      <c r="C50" s="3">
        <v>50.565900933272054</v>
      </c>
      <c r="D50" s="12">
        <v>0.16434271028351108</v>
      </c>
      <c r="E50" s="4" t="s">
        <v>131</v>
      </c>
      <c r="H50" s="4" t="s">
        <v>122</v>
      </c>
      <c r="I50" s="3">
        <v>50.565900933272054</v>
      </c>
      <c r="J50" s="12">
        <v>0.14212008386455163</v>
      </c>
      <c r="K50" s="4" t="s">
        <v>131</v>
      </c>
      <c r="M50" s="4" t="s">
        <v>122</v>
      </c>
      <c r="N50" s="3">
        <v>50.565900933272054</v>
      </c>
      <c r="O50" s="12">
        <v>0.10658763537973691</v>
      </c>
      <c r="P50" s="4" t="s">
        <v>131</v>
      </c>
      <c r="R50" s="4" t="s">
        <v>122</v>
      </c>
      <c r="S50" s="3">
        <v>50.565900933272054</v>
      </c>
      <c r="T50" s="12">
        <v>0.11997767911027005</v>
      </c>
      <c r="Y50" s="4" t="s">
        <v>122</v>
      </c>
      <c r="Z50" s="3">
        <v>50.565900933272054</v>
      </c>
      <c r="AA50" s="12">
        <v>0.10060721667024985</v>
      </c>
    </row>
    <row r="51" spans="1:27" x14ac:dyDescent="0.25">
      <c r="B51" s="4" t="s">
        <v>124</v>
      </c>
      <c r="C51" s="4">
        <v>0.68393702328182482</v>
      </c>
      <c r="D51" s="12">
        <v>1.1970973509558424E-2</v>
      </c>
      <c r="E51" s="4" t="s">
        <v>133</v>
      </c>
      <c r="H51" s="4" t="s">
        <v>124</v>
      </c>
      <c r="I51" s="4">
        <v>0.68393702328182482</v>
      </c>
      <c r="J51" s="12">
        <v>8.8769417000367241E-3</v>
      </c>
      <c r="K51" s="4" t="s">
        <v>133</v>
      </c>
      <c r="M51" s="4" t="s">
        <v>124</v>
      </c>
      <c r="N51" s="4">
        <v>0.68393702328182482</v>
      </c>
      <c r="O51" s="12">
        <v>5.0051241244099083E-3</v>
      </c>
      <c r="P51" s="4" t="s">
        <v>133</v>
      </c>
      <c r="R51" s="4" t="s">
        <v>124</v>
      </c>
      <c r="S51" s="4">
        <v>0.68393702328182482</v>
      </c>
      <c r="T51" s="12">
        <v>4.5130548202605035E-3</v>
      </c>
      <c r="Y51" s="4" t="s">
        <v>124</v>
      </c>
      <c r="Z51" s="4">
        <v>0.68393702328182482</v>
      </c>
      <c r="AA51" s="12">
        <v>7.3777553490409287E-3</v>
      </c>
    </row>
    <row r="52" spans="1:27" x14ac:dyDescent="0.25">
      <c r="B52" s="4" t="s">
        <v>125</v>
      </c>
      <c r="C52" s="4">
        <f>SUMXMY2(B61:B72,C61:C72)</f>
        <v>0.22160040920546489</v>
      </c>
      <c r="D52" s="4">
        <f>SUMXMY2(B61:B70,D61:D70)</f>
        <v>0.15362183058465428</v>
      </c>
      <c r="H52" s="4" t="s">
        <v>125</v>
      </c>
      <c r="I52" s="4" t="e">
        <f>SUMXMY2(H61:H72,I61:I72)</f>
        <v>#DIV/0!</v>
      </c>
      <c r="J52" s="4">
        <f>SUMXMY2(H61:H70,J61:J70)</f>
        <v>0.22735916028840084</v>
      </c>
      <c r="M52" s="4" t="s">
        <v>125</v>
      </c>
      <c r="N52" s="4" t="e">
        <f>SUMXMY2(M61:M72,N61:N72)</f>
        <v>#DIV/0!</v>
      </c>
      <c r="O52" s="4">
        <f>SUMXMY2(M61:M70,O61:O70)</f>
        <v>0.24246710130345506</v>
      </c>
      <c r="R52" s="4" t="s">
        <v>125</v>
      </c>
      <c r="S52" s="4" t="e">
        <f>SUMXMY2(R61:R72,S61:S72)</f>
        <v>#DIV/0!</v>
      </c>
      <c r="T52" s="4">
        <f>SUMXMY2(R61:R72,T61:T72)</f>
        <v>2.2196876500306422</v>
      </c>
      <c r="Y52" s="4" t="s">
        <v>125</v>
      </c>
      <c r="Z52" s="4" t="e">
        <f>SUMXMY2(Y61:Y72,Z61:Z72)</f>
        <v>#DIV/0!</v>
      </c>
      <c r="AA52" s="4">
        <f>SUMXMY2(Y61:Y72,AA61:AA72)</f>
        <v>1.4172965881693516</v>
      </c>
    </row>
    <row r="54" spans="1:27" x14ac:dyDescent="0.25">
      <c r="B54" s="4" t="s">
        <v>130</v>
      </c>
      <c r="C54" s="4">
        <f>D50/D51</f>
        <v>13.728433209904683</v>
      </c>
      <c r="H54" s="4" t="s">
        <v>130</v>
      </c>
      <c r="I54" s="4">
        <f>J50/J51</f>
        <v>16.010027852719105</v>
      </c>
      <c r="M54" s="4" t="s">
        <v>130</v>
      </c>
      <c r="N54" s="4">
        <f>O50/O51</f>
        <v>21.295702709930961</v>
      </c>
      <c r="R54" s="4" t="s">
        <v>130</v>
      </c>
      <c r="S54" s="4">
        <f>T50/T51</f>
        <v>26.584582702530671</v>
      </c>
      <c r="Y54" s="4" t="s">
        <v>130</v>
      </c>
      <c r="Z54" s="4">
        <f>AA50/AA51</f>
        <v>13.636561787499268</v>
      </c>
    </row>
    <row r="55" spans="1:27" x14ac:dyDescent="0.25">
      <c r="B55" s="10" t="s">
        <v>132</v>
      </c>
      <c r="C55" s="4">
        <f>D49*D51*(EXP(D50))</f>
        <v>6.0377019270484313E-2</v>
      </c>
      <c r="H55" s="10" t="s">
        <v>132</v>
      </c>
      <c r="I55" s="4">
        <f>J49*J51*(EXP(J50))</f>
        <v>4.7231631501925317E-2</v>
      </c>
      <c r="M55" s="10" t="s">
        <v>132</v>
      </c>
      <c r="N55" s="4">
        <f>O49*O51*(EXP(O50))</f>
        <v>1.7147049709640014E-2</v>
      </c>
      <c r="R55" s="10" t="s">
        <v>132</v>
      </c>
      <c r="S55" s="4">
        <f>T49*T51*(EXP(T50))</f>
        <v>5.6107406428647963E-2</v>
      </c>
      <c r="Y55" s="10" t="s">
        <v>132</v>
      </c>
      <c r="Z55" s="4">
        <f>AA49*AA51*(EXP(AA50))</f>
        <v>6.6634862282337892E-2</v>
      </c>
    </row>
    <row r="56" spans="1:27" x14ac:dyDescent="0.25">
      <c r="B56" s="4" t="s">
        <v>134</v>
      </c>
      <c r="C56" s="4">
        <f>D49</f>
        <v>4.2792638674797532</v>
      </c>
      <c r="H56" s="4" t="s">
        <v>134</v>
      </c>
      <c r="I56" s="4">
        <f>J49</f>
        <v>4.6158066835186586</v>
      </c>
      <c r="M56" s="4" t="s">
        <v>134</v>
      </c>
      <c r="N56" s="4">
        <f>O49</f>
        <v>3.0795278269639685</v>
      </c>
      <c r="R56" s="4" t="s">
        <v>134</v>
      </c>
      <c r="S56" s="4">
        <f>T49</f>
        <v>11.026658916671401</v>
      </c>
      <c r="Y56" s="4" t="s">
        <v>134</v>
      </c>
      <c r="Z56" s="4">
        <f>AA49</f>
        <v>8.1674050780108747</v>
      </c>
    </row>
    <row r="58" spans="1:27" x14ac:dyDescent="0.25">
      <c r="B58" s="5"/>
      <c r="C58" s="5"/>
      <c r="H58" s="5"/>
      <c r="I58" s="5"/>
      <c r="M58" s="5"/>
      <c r="N58" s="5"/>
      <c r="R58" s="5"/>
      <c r="S58" s="5"/>
      <c r="Y58" s="5"/>
      <c r="Z58" s="5"/>
    </row>
    <row r="59" spans="1:27" x14ac:dyDescent="0.25">
      <c r="B59" s="5" t="s">
        <v>120</v>
      </c>
      <c r="C59" s="6"/>
      <c r="H59" s="5" t="s">
        <v>120</v>
      </c>
      <c r="I59" s="6"/>
      <c r="M59" s="5" t="s">
        <v>120</v>
      </c>
      <c r="N59" s="6"/>
      <c r="R59" s="5" t="s">
        <v>120</v>
      </c>
      <c r="S59" s="6"/>
      <c r="Y59" s="5" t="s">
        <v>120</v>
      </c>
      <c r="Z59" s="6"/>
    </row>
    <row r="60" spans="1:27" ht="26.25" x14ac:dyDescent="0.25">
      <c r="A60" s="5" t="s">
        <v>121</v>
      </c>
      <c r="B60" s="5" t="s">
        <v>126</v>
      </c>
      <c r="C60" s="6" t="s">
        <v>127</v>
      </c>
      <c r="D60" s="13" t="s">
        <v>135</v>
      </c>
      <c r="G60" s="5" t="s">
        <v>121</v>
      </c>
      <c r="H60" s="5" t="s">
        <v>126</v>
      </c>
      <c r="I60" s="6"/>
      <c r="J60" s="13" t="s">
        <v>135</v>
      </c>
      <c r="L60" s="5" t="s">
        <v>121</v>
      </c>
      <c r="M60" s="5" t="s">
        <v>126</v>
      </c>
      <c r="N60" s="6"/>
      <c r="O60" s="13" t="s">
        <v>135</v>
      </c>
      <c r="Q60" s="5" t="s">
        <v>121</v>
      </c>
      <c r="R60" s="5" t="s">
        <v>126</v>
      </c>
      <c r="S60" s="6"/>
      <c r="T60" s="13" t="s">
        <v>135</v>
      </c>
      <c r="X60" s="5" t="s">
        <v>121</v>
      </c>
      <c r="Y60" s="5" t="s">
        <v>126</v>
      </c>
      <c r="Z60" s="6"/>
      <c r="AA60" s="13" t="s">
        <v>135</v>
      </c>
    </row>
    <row r="61" spans="1:27" x14ac:dyDescent="0.25">
      <c r="A61" s="4">
        <f>'20oC'!AU7</f>
        <v>451.29324340820312</v>
      </c>
      <c r="B61" s="4">
        <f>'20oC'!E7</f>
        <v>4.2421756602797425</v>
      </c>
      <c r="C61" s="4">
        <f>(((('20oC'!AU7*0.8*0.5)+C$50)-SQRT((('20oC'!AU7*0.8*0.5)+C$50)^2-(4*C$51*('20oC'!AU7*0.8*0.5)*C$50)))/(2*C$51))*((('20oC'!G7*'10oC'!AW7*0.001)-C$49)/(4*('20oC'!G7*'20oC'!AW7*0.001)+8*C$49))+B$72</f>
        <v>4.2814107179988721</v>
      </c>
      <c r="D61" s="15">
        <f>D$49*(1-EXP(D$50-D$51*A61))</f>
        <v>4.2565390063622255</v>
      </c>
      <c r="G61" s="4">
        <f>'20oC'!AU20</f>
        <v>500.1983642578125</v>
      </c>
      <c r="H61" s="4">
        <f>'20oC'!E20</f>
        <v>4.4662995555185789</v>
      </c>
      <c r="J61" s="15">
        <f>J$49*(1-EXP(J$50-J$51*G61))</f>
        <v>4.5530584583434477</v>
      </c>
      <c r="L61" s="4">
        <f>'20oC'!AU33</f>
        <v>602.32476806640625</v>
      </c>
      <c r="M61" s="4">
        <f>'20oC'!E33</f>
        <v>3.0107304314159804</v>
      </c>
      <c r="O61" s="15">
        <f>O$49*(1-EXP(O$50-O$51*L61))</f>
        <v>2.9114530520284094</v>
      </c>
      <c r="Q61" s="4">
        <f>'20oC'!AU46</f>
        <v>597.7322998046875</v>
      </c>
      <c r="R61" s="4">
        <f>'20oC'!E46</f>
        <v>10.090731009322516</v>
      </c>
      <c r="T61" s="15">
        <f>T$49*(1-EXP(T$50-T$51*Q61))</f>
        <v>10.189134682269851</v>
      </c>
      <c r="X61" s="4">
        <f>'20oC'!AU60</f>
        <v>599.1795654296875</v>
      </c>
      <c r="Y61" s="4">
        <f>'20oC'!E60</f>
        <v>7.9128253737836287</v>
      </c>
      <c r="AA61" s="15">
        <f>AA$49*(1-EXP(AA$50-AA$51*X61))</f>
        <v>8.0587787842041774</v>
      </c>
    </row>
    <row r="62" spans="1:27" x14ac:dyDescent="0.25">
      <c r="A62" s="4">
        <f>'20oC'!AU8</f>
        <v>301.428466796875</v>
      </c>
      <c r="B62" s="4">
        <f>'20oC'!E8</f>
        <v>4.0671779964153698</v>
      </c>
      <c r="C62" s="4">
        <f>(((('20oC'!AU8*0.8*0.5)+C$50)-SQRT((('20oC'!AU8*0.8*0.5)+C$50)^2-(4*C$51*('20oC'!AU8*0.8*0.5)*C$50)))/(2*C$51))*((('20oC'!G8*'10oC'!AW8*0.001)-C$49)/(4*('20oC'!G8*'20oC'!AW8*0.001)+8*C$49))+B$72</f>
        <v>4.1199146942762859</v>
      </c>
      <c r="D62" s="15">
        <f t="shared" ref="D62:D72" si="9">D$49*(1-EXP(D$50-D$51*A62))</f>
        <v>4.1426051370339909</v>
      </c>
      <c r="G62" s="4">
        <f>'20oC'!AU21</f>
        <v>450.31265258789062</v>
      </c>
      <c r="H62" s="4">
        <f>'20oC'!E21</f>
        <v>4.5115288111860279</v>
      </c>
      <c r="J62" s="15">
        <f t="shared" ref="J62:J72" si="10">J$49*(1-EXP(J$50-J$51*G62))</f>
        <v>4.5181006954329304</v>
      </c>
      <c r="L62" s="4">
        <f>'20oC'!AU34</f>
        <v>451.36587524414062</v>
      </c>
      <c r="M62" s="4">
        <f>'20oC'!E34</f>
        <v>2.5762215125185111</v>
      </c>
      <c r="O62" s="15">
        <f t="shared" ref="O62:O72" si="11">O$49*(1-EXP(O$50-O$51*L62))</f>
        <v>2.7217268271022701</v>
      </c>
      <c r="Q62" s="4">
        <f>'20oC'!AU47</f>
        <v>498.30471801757812</v>
      </c>
      <c r="R62" s="4">
        <f>'20oC'!E47</f>
        <v>10.393624067497118</v>
      </c>
      <c r="T62" s="15">
        <f t="shared" ref="T62:T72" si="12">T$49*(1-EXP(T$50-T$51*Q62))</f>
        <v>9.7148368673962544</v>
      </c>
      <c r="X62" s="4">
        <f>'20oC'!AU61</f>
        <v>501.9024658203125</v>
      </c>
      <c r="Y62" s="4">
        <f>'20oC'!E61</f>
        <v>7.340936108335395</v>
      </c>
      <c r="AA62" s="15">
        <f t="shared" ref="AA62:AA72" si="13">AA$49*(1-EXP(AA$50-AA$51*X62))</f>
        <v>7.9447552773954664</v>
      </c>
    </row>
    <row r="63" spans="1:27" x14ac:dyDescent="0.25">
      <c r="A63" s="4">
        <f>'20oC'!AU9</f>
        <v>200.49736022949219</v>
      </c>
      <c r="B63" s="4">
        <f>'20oC'!E9</f>
        <v>3.8428616754169638</v>
      </c>
      <c r="C63" s="4">
        <f>(((('20oC'!AU9*0.8*0.5)+C$50)-SQRT((('20oC'!AU9*0.8*0.5)+C$50)^2-(4*C$51*('20oC'!AU9*0.8*0.5)*C$50)))/(2*C$51))*((('20oC'!G9*'10oC'!AW9*0.001)-C$49)/(4*('20oC'!G9*'20oC'!AW9*0.001)+8*C$49))+B$72</f>
        <v>3.8066075398664982</v>
      </c>
      <c r="D63" s="15">
        <f t="shared" si="9"/>
        <v>3.8217851326249428</v>
      </c>
      <c r="G63" s="4">
        <f>'20oC'!AU22</f>
        <v>299.595703125</v>
      </c>
      <c r="H63" s="4">
        <f>'20oC'!E22</f>
        <v>4.2276041684264847</v>
      </c>
      <c r="J63" s="15">
        <f t="shared" si="10"/>
        <v>4.2434439678681306</v>
      </c>
      <c r="L63" s="4">
        <f>'20oC'!AU35</f>
        <v>300.0052490234375</v>
      </c>
      <c r="M63" s="4">
        <f>'20oC'!E35</f>
        <v>2.2778886581059345</v>
      </c>
      <c r="O63" s="15">
        <f t="shared" si="11"/>
        <v>2.3163006816013643</v>
      </c>
      <c r="Q63" s="4">
        <f>'20oC'!AU48</f>
        <v>448.499267578125</v>
      </c>
      <c r="R63" s="4">
        <f>'20oC'!E48</f>
        <v>9.24088944971645</v>
      </c>
      <c r="T63" s="15">
        <f t="shared" si="12"/>
        <v>9.3842044051564457</v>
      </c>
      <c r="X63" s="4">
        <f>'20oC'!AU62</f>
        <v>450.58837890625</v>
      </c>
      <c r="Y63" s="4">
        <f>'20oC'!E62</f>
        <v>8.1762626221391681</v>
      </c>
      <c r="AA63" s="15">
        <f t="shared" si="13"/>
        <v>7.842288793941588</v>
      </c>
    </row>
    <row r="64" spans="1:27" x14ac:dyDescent="0.25">
      <c r="A64" s="4">
        <f>'20oC'!AU10</f>
        <v>173.65180969238281</v>
      </c>
      <c r="B64" s="4">
        <f>'20oC'!E10</f>
        <v>3.8266454602502202</v>
      </c>
      <c r="C64" s="4">
        <f>(((('20oC'!AU10*0.8*0.5)+C$50)-SQRT((('20oC'!AU10*0.8*0.5)+C$50)^2-(4*C$51*('20oC'!AU10*0.8*0.5)*C$50)))/(2*C$51))*((('20oC'!G10*'10oC'!AW10*0.001)-C$49)/(4*('20oC'!G10*'20oC'!AW10*0.001)+8*C$49))+B$72</f>
        <v>3.6250398729929372</v>
      </c>
      <c r="D64" s="15">
        <f t="shared" si="9"/>
        <v>3.6483951559394745</v>
      </c>
      <c r="G64" s="4">
        <f>'20oC'!AU23</f>
        <v>198.14157104492187</v>
      </c>
      <c r="H64" s="4">
        <f>'20oC'!E23</f>
        <v>3.9739885620889708</v>
      </c>
      <c r="J64" s="15">
        <f t="shared" si="10"/>
        <v>3.6993902922539919</v>
      </c>
      <c r="L64" s="4">
        <f>'20oC'!AU36</f>
        <v>201.12538146972656</v>
      </c>
      <c r="M64" s="4">
        <f>'20oC'!E36</f>
        <v>1.8574346324070476</v>
      </c>
      <c r="O64" s="15">
        <f t="shared" si="11"/>
        <v>1.8275727151466961</v>
      </c>
      <c r="Q64" s="4">
        <f>'20oC'!AU49</f>
        <v>298.18096923828125</v>
      </c>
      <c r="R64" s="4">
        <f>'20oC'!E49</f>
        <v>7.0167831081531222</v>
      </c>
      <c r="T64" s="15">
        <f t="shared" si="12"/>
        <v>7.7898546771270203</v>
      </c>
      <c r="X64" s="4">
        <f>'20oC'!AU63</f>
        <v>298.568603515625</v>
      </c>
      <c r="Y64" s="4">
        <f>'20oC'!E63</f>
        <v>7.7049945545306846</v>
      </c>
      <c r="AA64" s="15">
        <f t="shared" si="13"/>
        <v>7.1694107164867695</v>
      </c>
    </row>
    <row r="65" spans="1:27" x14ac:dyDescent="0.25">
      <c r="A65" s="4">
        <f>'20oC'!AU11</f>
        <v>147.99147033691406</v>
      </c>
      <c r="B65" s="4">
        <f>'20oC'!E11</f>
        <v>3.4222669549740874</v>
      </c>
      <c r="C65" s="4">
        <f>(((('20oC'!AU11*0.8*0.5)+C$50)-SQRT((('20oC'!AU11*0.8*0.5)+C$50)^2-(4*C$51*('20oC'!AU11*0.8*0.5)*C$50)))/(2*C$51))*((('20oC'!G11*'10oC'!AW11*0.001)-C$49)/(4*('20oC'!G11*'20oC'!AW11*0.001)+8*C$49))+B$72</f>
        <v>3.4474807532745877</v>
      </c>
      <c r="D65" s="15">
        <f t="shared" si="9"/>
        <v>3.4215444562679336</v>
      </c>
      <c r="G65" s="4">
        <f>'20oC'!AU24</f>
        <v>175.49748229980469</v>
      </c>
      <c r="H65" s="4">
        <f>'20oC'!E24</f>
        <v>3.6757556720598861</v>
      </c>
      <c r="J65" s="15">
        <f t="shared" si="10"/>
        <v>3.4953618114322462</v>
      </c>
      <c r="L65" s="4">
        <f>'20oC'!AU37</f>
        <v>173.67692565917969</v>
      </c>
      <c r="M65" s="4">
        <f>'20oC'!E37</f>
        <v>1.7467846579483386</v>
      </c>
      <c r="O65" s="15">
        <f t="shared" si="11"/>
        <v>1.643200558903533</v>
      </c>
      <c r="Q65" s="4">
        <f>'20oC'!AU50</f>
        <v>201.48908996582031</v>
      </c>
      <c r="R65" s="4">
        <f>'20oC'!E50</f>
        <v>5.385622652732537</v>
      </c>
      <c r="T65" s="15">
        <f t="shared" si="12"/>
        <v>6.0190314216033602</v>
      </c>
      <c r="X65" s="4">
        <f>'20oC'!AU64</f>
        <v>199.41017150878906</v>
      </c>
      <c r="Y65" s="4">
        <f>'20oC'!E64</f>
        <v>6.2664472440151089</v>
      </c>
      <c r="AA65" s="15">
        <f t="shared" si="13"/>
        <v>6.0932393797986037</v>
      </c>
    </row>
    <row r="66" spans="1:27" x14ac:dyDescent="0.25">
      <c r="A66" s="4">
        <f>'20oC'!AU12</f>
        <v>125.64658355712891</v>
      </c>
      <c r="B66" s="4">
        <f>'20oC'!E12</f>
        <v>3.1900927217061716</v>
      </c>
      <c r="C66" s="4">
        <f>(((('20oC'!AU12*0.8*0.5)+C$50)-SQRT((('20oC'!AU12*0.8*0.5)+C$50)^2-(4*C$51*('20oC'!AU12*0.8*0.5)*C$50)))/(2*C$51))*((('20oC'!G12*'10oC'!AW12*0.001)-C$49)/(4*('20oC'!G12*'20oC'!AW12*0.001)+8*C$49))+B$72</f>
        <v>3.1638041168886093</v>
      </c>
      <c r="D66" s="15">
        <f t="shared" si="9"/>
        <v>3.158498530894184</v>
      </c>
      <c r="G66" s="4">
        <f>'20oC'!AU25</f>
        <v>149.75994873046875</v>
      </c>
      <c r="H66" s="4">
        <f>'20oC'!E25</f>
        <v>3.0248076697069006</v>
      </c>
      <c r="J66" s="15">
        <f t="shared" si="10"/>
        <v>3.2077698766180043</v>
      </c>
      <c r="L66" s="4">
        <f>'20oC'!AU38</f>
        <v>149.72219848632812</v>
      </c>
      <c r="M66" s="4">
        <f>'20oC'!E38</f>
        <v>1.4894250716474784</v>
      </c>
      <c r="O66" s="15">
        <f t="shared" si="11"/>
        <v>1.4602411489251641</v>
      </c>
      <c r="Q66" s="4">
        <f>'20oC'!AU51</f>
        <v>174.31307983398438</v>
      </c>
      <c r="R66" s="4">
        <f>'20oC'!E51</f>
        <v>5.4607272095122177</v>
      </c>
      <c r="T66" s="15">
        <f t="shared" si="12"/>
        <v>5.3656106987711967</v>
      </c>
      <c r="X66" s="4">
        <f>'20oC'!AU65</f>
        <v>151.60383605957031</v>
      </c>
      <c r="Y66" s="4">
        <f>'20oC'!E65</f>
        <v>5.6396264652072219</v>
      </c>
      <c r="AA66" s="15">
        <f t="shared" si="13"/>
        <v>5.2160558041421483</v>
      </c>
    </row>
    <row r="67" spans="1:27" x14ac:dyDescent="0.25">
      <c r="A67" s="4">
        <f>'20oC'!AU13</f>
        <v>100.07487487792969</v>
      </c>
      <c r="B67" s="4">
        <f>'20oC'!E13</f>
        <v>2.6206852824172255</v>
      </c>
      <c r="C67" s="4">
        <f>(((('20oC'!AU13*0.8*0.5)+C$50)-SQRT((('20oC'!AU13*0.8*0.5)+C$50)^2-(4*C$51*('20oC'!AU13*0.8*0.5)*C$50)))/(2*C$51))*((('20oC'!G13*'10oC'!AW13*0.001)-C$49)/(4*('20oC'!G13*'20oC'!AW13*0.001)+8*C$49))+B$72</f>
        <v>2.7951552508000845</v>
      </c>
      <c r="D67" s="15">
        <f t="shared" si="9"/>
        <v>2.7571043901604111</v>
      </c>
      <c r="G67" s="4">
        <f>'20oC'!AU26</f>
        <v>127.05342864990234</v>
      </c>
      <c r="H67" s="4">
        <f>'20oC'!E26</f>
        <v>2.801348496793663</v>
      </c>
      <c r="J67" s="15">
        <f t="shared" si="10"/>
        <v>2.8933340198606468</v>
      </c>
      <c r="L67" s="4">
        <f>'20oC'!AU39</f>
        <v>125.49110412597656</v>
      </c>
      <c r="M67" s="4">
        <f>'20oC'!E39</f>
        <v>1.4428802154783957</v>
      </c>
      <c r="O67" s="15">
        <f t="shared" si="11"/>
        <v>1.2514494187290535</v>
      </c>
      <c r="Q67" s="4">
        <f>'20oC'!AU52</f>
        <v>148.85475158691406</v>
      </c>
      <c r="R67" s="4">
        <f>'20oC'!E52</f>
        <v>5.3343041149487656</v>
      </c>
      <c r="T67" s="15">
        <f t="shared" si="12"/>
        <v>4.6763471831787795</v>
      </c>
      <c r="X67" s="4">
        <f>'20oC'!AU66</f>
        <v>123.60165405273437</v>
      </c>
      <c r="Y67" s="4">
        <f>'20oC'!E66</f>
        <v>4.074800484470197</v>
      </c>
      <c r="AA67" s="15">
        <f t="shared" si="13"/>
        <v>4.538773161106918</v>
      </c>
    </row>
    <row r="68" spans="1:27" x14ac:dyDescent="0.25">
      <c r="A68" s="4">
        <f>'20oC'!AU14</f>
        <v>49.820995330810547</v>
      </c>
      <c r="B68" s="4">
        <f>'20oC'!E14</f>
        <v>1.3318231871931234</v>
      </c>
      <c r="C68" s="4">
        <f>(((('20oC'!AU14*0.8*0.5)+C$50)-SQRT((('20oC'!AU14*0.8*0.5)+C$50)^2-(4*C$51*('20oC'!AU14*0.8*0.5)*C$50)))/(2*C$51))*((('20oC'!G14*'10oC'!AW14*0.001)-C$49)/(4*('20oC'!G14*'20oC'!AW14*0.001)+8*C$49))+B$72</f>
        <v>1.4908737729499357</v>
      </c>
      <c r="D68" s="15">
        <f t="shared" si="9"/>
        <v>1.5013009483985031</v>
      </c>
      <c r="G68" s="4">
        <f>'20oC'!AU27</f>
        <v>101.18484497070312</v>
      </c>
      <c r="H68" s="4">
        <f>'20oC'!E27</f>
        <v>2.3694590673669431</v>
      </c>
      <c r="J68" s="15">
        <f t="shared" si="10"/>
        <v>2.4486960764670864</v>
      </c>
      <c r="L68" s="4">
        <f>'20oC'!AU40</f>
        <v>100.5137939453125</v>
      </c>
      <c r="M68" s="4">
        <f>'20oC'!E40</f>
        <v>0.82360469275777859</v>
      </c>
      <c r="O68" s="15">
        <f t="shared" si="11"/>
        <v>1.0080134916529953</v>
      </c>
      <c r="Q68" s="4">
        <f>'20oC'!AU53</f>
        <v>126.39411163330078</v>
      </c>
      <c r="R68" s="4">
        <f>'20oC'!E53</f>
        <v>4.1962001889346325</v>
      </c>
      <c r="T68" s="15">
        <f t="shared" si="12"/>
        <v>3.9988849850153345</v>
      </c>
      <c r="X68" s="4">
        <f>'20oC'!AU67</f>
        <v>98.633804321289063</v>
      </c>
      <c r="Y68" s="4">
        <f>'20oC'!E67</f>
        <v>3.5139565121573386</v>
      </c>
      <c r="AA68" s="15">
        <f t="shared" si="13"/>
        <v>3.804830503817743</v>
      </c>
    </row>
    <row r="69" spans="1:27" x14ac:dyDescent="0.25">
      <c r="A69" s="4">
        <f>'20oC'!AU15</f>
        <v>23.029382705688477</v>
      </c>
      <c r="B69" s="4">
        <f>'20oC'!E15</f>
        <v>0.69681546090285029</v>
      </c>
      <c r="C69" s="4">
        <f>(((('20oC'!AU15*0.8*0.5)+C$50)-SQRT((('20oC'!AU15*0.8*0.5)+C$50)^2-(4*C$51*('20oC'!AU15*0.8*0.5)*C$50)))/(2*C$51))*((('20oC'!G15*'10oC'!AW15*0.001)-C$49)/(4*('20oC'!G15*'20oC'!AW15*0.001)+8*C$49))+B$72</f>
        <v>0.3589428059226315</v>
      </c>
      <c r="D69" s="15">
        <f t="shared" si="9"/>
        <v>0.45089212152554525</v>
      </c>
      <c r="G69" s="4">
        <f>'20oC'!AU28</f>
        <v>75.339607238769531</v>
      </c>
      <c r="H69" s="4">
        <f>'20oC'!E28</f>
        <v>1.7160706451575711</v>
      </c>
      <c r="J69" s="15">
        <f t="shared" si="10"/>
        <v>1.889844579826083</v>
      </c>
      <c r="L69" s="4">
        <f>'20oC'!AU41</f>
        <v>75.057090759277344</v>
      </c>
      <c r="M69" s="4">
        <f>'20oC'!E41</f>
        <v>0.43580435030833453</v>
      </c>
      <c r="O69" s="15">
        <f t="shared" si="11"/>
        <v>0.72652135087118386</v>
      </c>
      <c r="Q69" s="4">
        <f>'20oC'!AU54</f>
        <v>100.67278289794922</v>
      </c>
      <c r="R69" s="4">
        <f>'20oC'!E54</f>
        <v>3.4133187648459384</v>
      </c>
      <c r="T69" s="15">
        <f t="shared" si="12"/>
        <v>3.1338524593143666</v>
      </c>
      <c r="X69" s="4">
        <f>'20oC'!AU68</f>
        <v>76.693244934082031</v>
      </c>
      <c r="Y69" s="4">
        <f>'20oC'!E68</f>
        <v>3.0369664285663673</v>
      </c>
      <c r="AA69" s="15">
        <f t="shared" si="13"/>
        <v>3.0382832488316085</v>
      </c>
    </row>
    <row r="70" spans="1:27" x14ac:dyDescent="0.25">
      <c r="A70" s="4">
        <f>'20oC'!AU16</f>
        <v>0.46755006909370422</v>
      </c>
      <c r="B70" s="4">
        <f>'20oC'!E16</f>
        <v>-0.81805122296715871</v>
      </c>
      <c r="C70" s="4">
        <f>(((('20oC'!AU16*0.8*0.5)+C$50)-SQRT((('20oC'!AU16*0.8*0.5)+C$50)^2-(4*C$51*('20oC'!AU16*0.8*0.5)*C$50)))/(2*C$51))*((('20oC'!G16*'10oC'!AW16*0.001)-C$49)/(4*('20oC'!G16*'20oC'!AW16*0.001)+8*C$49))+B$72</f>
        <v>-0.85528997347097235</v>
      </c>
      <c r="D70" s="15">
        <f t="shared" si="9"/>
        <v>-0.73620385623758033</v>
      </c>
      <c r="G70" s="4">
        <f>'20oC'!AU29</f>
        <v>50.384498596191406</v>
      </c>
      <c r="H70" s="4">
        <f>'20oC'!E29</f>
        <v>1.3960167670779191</v>
      </c>
      <c r="J70" s="15">
        <f t="shared" si="10"/>
        <v>1.2138645784591413</v>
      </c>
      <c r="L70" s="4">
        <f>'20oC'!AU42</f>
        <v>50.488552093505859</v>
      </c>
      <c r="M70" s="4">
        <f>'20oC'!E42</f>
        <v>0.62435614952771434</v>
      </c>
      <c r="O70" s="15">
        <f t="shared" si="11"/>
        <v>0.41863305254761141</v>
      </c>
      <c r="Q70" s="4">
        <f>'20oC'!AU55</f>
        <v>75.140724182128906</v>
      </c>
      <c r="R70" s="4">
        <f>'20oC'!E55</f>
        <v>2.2818875329462935</v>
      </c>
      <c r="T70" s="15">
        <f t="shared" si="12"/>
        <v>2.1699136096773044</v>
      </c>
      <c r="X70" s="4">
        <f>'20oC'!AU69</f>
        <v>48.412349700927734</v>
      </c>
      <c r="Y70" s="4">
        <f>'20oC'!E69</f>
        <v>1.7617653435097591</v>
      </c>
      <c r="AA70" s="15">
        <f t="shared" si="13"/>
        <v>1.8482596165962433</v>
      </c>
    </row>
    <row r="71" spans="1:27" x14ac:dyDescent="0.25">
      <c r="A71" s="4">
        <f>'20oC'!AU17</f>
        <v>0.619098961353302</v>
      </c>
      <c r="B71" s="4">
        <f>'20oC'!E17</f>
        <v>-0.93478409641872207</v>
      </c>
      <c r="C71" s="4">
        <f>(((('20oC'!AU17*0.8*0.5)+C$50)-SQRT((('20oC'!AU17*0.8*0.5)+C$50)^2-(4*C$51*('20oC'!AU17*0.8*0.5)*C$50)))/(2*C$51))*((('20oC'!G17*'10oC'!AW17*0.001)-C$49)/(4*('20oC'!G17*'20oC'!AW17*0.001)+8*C$49))+B$72</f>
        <v>-0.89186989482266532</v>
      </c>
      <c r="D71" s="15">
        <f t="shared" si="9"/>
        <v>-0.72711310466762691</v>
      </c>
      <c r="G71" s="4">
        <f>'20oC'!AU30</f>
        <v>23.330867767333984</v>
      </c>
      <c r="H71" s="4">
        <f>'20oC'!E30</f>
        <v>0.43719028334513954</v>
      </c>
      <c r="J71" s="15">
        <f t="shared" si="10"/>
        <v>0.29042676240550253</v>
      </c>
      <c r="L71" s="4">
        <f>'20oC'!AU43</f>
        <v>24.966220855712891</v>
      </c>
      <c r="M71" s="4">
        <f>'20oC'!E43</f>
        <v>0.10113664278984059</v>
      </c>
      <c r="O71" s="15">
        <f t="shared" si="11"/>
        <v>5.6058718970096053E-2</v>
      </c>
      <c r="Q71" s="4">
        <f>'20oC'!AU56</f>
        <v>50.371551513671875</v>
      </c>
      <c r="R71" s="4">
        <f>'20oC'!E56</f>
        <v>1.1471125266398932</v>
      </c>
      <c r="T71" s="15">
        <f t="shared" si="12"/>
        <v>1.1224086547686689</v>
      </c>
      <c r="X71" s="4">
        <f>'20oC'!AU70</f>
        <v>26.184534072875977</v>
      </c>
      <c r="Y71" s="4">
        <f>'20oC'!E70</f>
        <v>0.5525447217905135</v>
      </c>
      <c r="AA71" s="15">
        <f t="shared" si="13"/>
        <v>0.72216157244828627</v>
      </c>
    </row>
    <row r="72" spans="1:27" x14ac:dyDescent="0.25">
      <c r="A72" s="4">
        <f>'20oC'!AU18</f>
        <v>0.45957627892494202</v>
      </c>
      <c r="B72" s="4">
        <f>'20oC'!E18</f>
        <v>-0.88441402045121575</v>
      </c>
      <c r="C72" s="4">
        <f>(((('20oC'!AU18*0.8*0.5)+C$50)-SQRT((('20oC'!AU18*0.8*0.5)+C$50)^2-(4*C$51*('20oC'!AU18*0.8*0.5)*C$50)))/(2*C$51))*((('20oC'!G18*'10oC'!AW18*0.001)-C$49)/(4*('20oC'!G18*'20oC'!AW18*0.001)+8*C$49))+B$72</f>
        <v>-0.85490612818634959</v>
      </c>
      <c r="D72" s="15">
        <f t="shared" si="9"/>
        <v>-0.73668262569843657</v>
      </c>
      <c r="G72" s="4">
        <f>'20oC'!AU31</f>
        <v>0.37401127815246582</v>
      </c>
      <c r="H72" s="4">
        <f>'20oC'!E31</f>
        <v>-0.25031808267697636</v>
      </c>
      <c r="J72" s="15">
        <f t="shared" si="10"/>
        <v>-0.68726733666113859</v>
      </c>
      <c r="L72" s="4">
        <f>'20oC'!AU44</f>
        <v>0.12461073696613312</v>
      </c>
      <c r="M72" s="4">
        <f>'20oC'!E44</f>
        <v>-0.89685303241953684</v>
      </c>
      <c r="O72" s="15">
        <f t="shared" si="11"/>
        <v>-0.34423512811437507</v>
      </c>
      <c r="Q72" s="4">
        <f>'20oC'!AU57</f>
        <v>23.319021224975586</v>
      </c>
      <c r="R72" s="4">
        <f>'20oC'!E57</f>
        <v>-0.5608618599822528</v>
      </c>
      <c r="T72" s="15">
        <f t="shared" si="12"/>
        <v>-0.16371051932383168</v>
      </c>
      <c r="X72" s="4">
        <f>'20oC'!AU71</f>
        <v>0.22641526162624359</v>
      </c>
      <c r="Y72" s="4">
        <f>'20oC'!E71</f>
        <v>-0.55363881756497313</v>
      </c>
      <c r="AA72" s="15">
        <f t="shared" si="13"/>
        <v>-0.84938156656466024</v>
      </c>
    </row>
    <row r="78" spans="1:27" x14ac:dyDescent="0.25">
      <c r="G78" s="4" t="s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3"/>
  <sheetViews>
    <sheetView workbookViewId="0">
      <selection activeCell="I19" sqref="I19"/>
    </sheetView>
  </sheetViews>
  <sheetFormatPr defaultRowHeight="15" x14ac:dyDescent="0.25"/>
  <cols>
    <col min="2" max="2" width="13.85546875" customWidth="1"/>
    <col min="5" max="5" width="14.7109375" customWidth="1"/>
    <col min="6" max="6" width="14.5703125" customWidth="1"/>
    <col min="7" max="7" width="13.5703125" customWidth="1"/>
  </cols>
  <sheetData>
    <row r="3" spans="2:7" x14ac:dyDescent="0.25">
      <c r="B3" t="s">
        <v>173</v>
      </c>
      <c r="C3" t="s">
        <v>174</v>
      </c>
      <c r="D3" t="s">
        <v>175</v>
      </c>
      <c r="E3" t="s">
        <v>130</v>
      </c>
      <c r="F3" t="s">
        <v>132</v>
      </c>
      <c r="G3" t="s">
        <v>134</v>
      </c>
    </row>
    <row r="4" spans="2:7" x14ac:dyDescent="0.25">
      <c r="B4" s="35" t="s">
        <v>176</v>
      </c>
      <c r="C4" s="35">
        <v>1</v>
      </c>
      <c r="D4" s="35">
        <v>10</v>
      </c>
      <c r="E4" s="35">
        <f>Fitting!C7</f>
        <v>30.37916427673116</v>
      </c>
      <c r="F4" s="35">
        <f>Fitting!C8</f>
        <v>6.7757648712470822E-2</v>
      </c>
      <c r="G4" s="35">
        <f>Fitting!C9</f>
        <v>6.1857889711285416</v>
      </c>
    </row>
    <row r="5" spans="2:7" x14ac:dyDescent="0.25">
      <c r="B5" s="35" t="s">
        <v>176</v>
      </c>
      <c r="C5" s="35">
        <v>2</v>
      </c>
      <c r="D5" s="35">
        <v>10</v>
      </c>
      <c r="E5" s="35">
        <f>Fitting!I7</f>
        <v>31.375532700238995</v>
      </c>
      <c r="F5" s="35">
        <f>Fitting!I8</f>
        <v>0.10550328153595999</v>
      </c>
      <c r="G5" s="35">
        <f>Fitting!I9</f>
        <v>5.2960865164274464</v>
      </c>
    </row>
    <row r="6" spans="2:7" x14ac:dyDescent="0.25">
      <c r="B6" s="35" t="s">
        <v>176</v>
      </c>
      <c r="C6" s="35">
        <v>3</v>
      </c>
      <c r="D6" s="35">
        <v>10</v>
      </c>
      <c r="E6" s="35">
        <f>Fitting!O7</f>
        <v>20.449927121996115</v>
      </c>
      <c r="F6" s="35">
        <f>Fitting!O8</f>
        <v>5.8375420463572386E-2</v>
      </c>
      <c r="G6" s="35">
        <f>Fitting!O9</f>
        <v>9.2783568338249616</v>
      </c>
    </row>
    <row r="7" spans="2:7" x14ac:dyDescent="0.25">
      <c r="B7" s="35" t="s">
        <v>176</v>
      </c>
      <c r="C7" s="35">
        <v>4</v>
      </c>
      <c r="D7" s="35">
        <v>10</v>
      </c>
      <c r="E7" s="35">
        <f>Fitting!U7</f>
        <v>16.299211377347582</v>
      </c>
      <c r="F7" s="35">
        <f>Fitting!U8</f>
        <v>9.9429900912475597E-2</v>
      </c>
      <c r="G7" s="35">
        <f>Fitting!U9</f>
        <v>8.2403397883239577</v>
      </c>
    </row>
    <row r="8" spans="2:7" x14ac:dyDescent="0.25">
      <c r="B8" s="35" t="s">
        <v>176</v>
      </c>
      <c r="C8" s="35">
        <v>5</v>
      </c>
      <c r="D8" s="35">
        <v>10</v>
      </c>
      <c r="E8" s="35"/>
      <c r="F8" s="35"/>
      <c r="G8" s="35"/>
    </row>
    <row r="9" spans="2:7" x14ac:dyDescent="0.25">
      <c r="B9" s="20" t="s">
        <v>176</v>
      </c>
      <c r="C9" s="20">
        <v>1</v>
      </c>
      <c r="D9" s="20">
        <v>15</v>
      </c>
      <c r="E9" s="20">
        <f>Fitting!C30</f>
        <v>25.544793797450954</v>
      </c>
      <c r="F9" s="20">
        <f>Fitting!C31</f>
        <v>7.4492799138210469E-2</v>
      </c>
      <c r="G9" s="20">
        <f>Fitting!C32</f>
        <v>4.9280751178466211</v>
      </c>
    </row>
    <row r="10" spans="2:7" x14ac:dyDescent="0.25">
      <c r="B10" s="20" t="s">
        <v>176</v>
      </c>
      <c r="C10" s="20">
        <v>2</v>
      </c>
      <c r="D10" s="20">
        <v>15</v>
      </c>
      <c r="E10" s="20">
        <f>Fitting!I30</f>
        <v>27.782671431111186</v>
      </c>
      <c r="F10" s="20">
        <f>Fitting!I31</f>
        <v>9.219357852057683E-2</v>
      </c>
      <c r="G10" s="20">
        <f>Fitting!I32</f>
        <v>6.0569534022550275</v>
      </c>
    </row>
    <row r="11" spans="2:7" x14ac:dyDescent="0.25">
      <c r="B11" s="20" t="s">
        <v>176</v>
      </c>
      <c r="C11" s="20">
        <v>3</v>
      </c>
      <c r="D11" s="20">
        <v>15</v>
      </c>
      <c r="E11" s="20">
        <f>Fitting!N30</f>
        <v>33.212948482367374</v>
      </c>
      <c r="F11" s="20">
        <f>Fitting!N31</f>
        <v>2.2592359269911735E-2</v>
      </c>
      <c r="G11" s="20">
        <f>Fitting!N32</f>
        <v>4.8241772107702721</v>
      </c>
    </row>
    <row r="12" spans="2:7" x14ac:dyDescent="0.25">
      <c r="B12" s="20" t="s">
        <v>176</v>
      </c>
      <c r="C12" s="20">
        <v>4</v>
      </c>
      <c r="D12" s="20">
        <v>15</v>
      </c>
      <c r="E12" s="20">
        <f>Fitting!T30</f>
        <v>16.240777160303246</v>
      </c>
      <c r="F12" s="20">
        <f>Fitting!T31</f>
        <v>6.183732457136281E-2</v>
      </c>
      <c r="G12" s="20">
        <f>Fitting!T32</f>
        <v>9.8743367758737257</v>
      </c>
    </row>
    <row r="13" spans="2:7" x14ac:dyDescent="0.25">
      <c r="B13" s="20" t="s">
        <v>176</v>
      </c>
      <c r="C13" s="20">
        <v>5</v>
      </c>
      <c r="D13" s="20">
        <v>15</v>
      </c>
      <c r="E13" s="20">
        <f>Fitting!Z30</f>
        <v>24.314496976114594</v>
      </c>
      <c r="F13" s="20">
        <f>Fitting!Z31</f>
        <v>8.2038327960729032E-2</v>
      </c>
      <c r="G13" s="20">
        <f>Fitting!Z32</f>
        <v>8.1673150645219508</v>
      </c>
    </row>
    <row r="14" spans="2:7" x14ac:dyDescent="0.25">
      <c r="B14" s="36" t="s">
        <v>176</v>
      </c>
      <c r="C14" s="36">
        <v>1</v>
      </c>
      <c r="D14" s="36">
        <v>20</v>
      </c>
      <c r="E14" s="36">
        <f>Fitting!C54</f>
        <v>13.728433209904683</v>
      </c>
      <c r="F14" s="36">
        <f>Fitting!C55</f>
        <v>6.0377019270484313E-2</v>
      </c>
      <c r="G14" s="36">
        <f>Fitting!C56</f>
        <v>4.2792638674797532</v>
      </c>
    </row>
    <row r="15" spans="2:7" x14ac:dyDescent="0.25">
      <c r="B15" s="36" t="s">
        <v>176</v>
      </c>
      <c r="C15" s="36">
        <v>2</v>
      </c>
      <c r="D15" s="36">
        <v>20</v>
      </c>
      <c r="E15" s="36">
        <f>Fitting!I54</f>
        <v>16.010027852719105</v>
      </c>
      <c r="F15" s="36">
        <f>Fitting!I55</f>
        <v>4.7231631501925317E-2</v>
      </c>
      <c r="G15" s="36">
        <f>Fitting!I56</f>
        <v>4.6158066835186586</v>
      </c>
    </row>
    <row r="16" spans="2:7" x14ac:dyDescent="0.25">
      <c r="B16" s="36" t="s">
        <v>176</v>
      </c>
      <c r="C16" s="36">
        <v>3</v>
      </c>
      <c r="D16" s="36">
        <v>20</v>
      </c>
      <c r="E16" s="36">
        <f>Fitting!N54</f>
        <v>21.295702709930961</v>
      </c>
      <c r="F16" s="36">
        <f>Fitting!N55</f>
        <v>1.7147049709640014E-2</v>
      </c>
      <c r="G16" s="36">
        <f>Fitting!N56</f>
        <v>3.0795278269639685</v>
      </c>
    </row>
    <row r="17" spans="2:7" x14ac:dyDescent="0.25">
      <c r="B17" s="36" t="s">
        <v>176</v>
      </c>
      <c r="C17" s="36">
        <v>4</v>
      </c>
      <c r="D17" s="36">
        <v>20</v>
      </c>
      <c r="E17" s="36">
        <f>Fitting!S54</f>
        <v>26.584582702530671</v>
      </c>
      <c r="F17" s="36">
        <f>Fitting!S55</f>
        <v>5.6107406428647963E-2</v>
      </c>
      <c r="G17" s="36">
        <f>Fitting!S56</f>
        <v>11.026658916671401</v>
      </c>
    </row>
    <row r="18" spans="2:7" x14ac:dyDescent="0.25">
      <c r="B18" s="36" t="s">
        <v>176</v>
      </c>
      <c r="C18" s="36">
        <v>5</v>
      </c>
      <c r="D18" s="36">
        <v>20</v>
      </c>
      <c r="E18" s="36">
        <f>Fitting!Z54</f>
        <v>13.636561787499268</v>
      </c>
      <c r="F18" s="36">
        <f>Fitting!Z55</f>
        <v>6.6634862282337892E-2</v>
      </c>
      <c r="G18" s="36">
        <f>Fitting!Z56</f>
        <v>8.1674050780108747</v>
      </c>
    </row>
    <row r="19" spans="2:7" x14ac:dyDescent="0.25">
      <c r="B19" s="25" t="s">
        <v>177</v>
      </c>
      <c r="C19" s="25">
        <v>1</v>
      </c>
      <c r="D19" s="25">
        <v>10</v>
      </c>
      <c r="E19" s="25">
        <f>[1]Fitting!$C$7</f>
        <v>20.10103833642939</v>
      </c>
      <c r="F19" s="25">
        <f>[1]Fitting!$C$8</f>
        <v>3.3620544014554096E-2</v>
      </c>
      <c r="G19" s="25">
        <f>[1]Fitting!$C$9</f>
        <v>5.2383859019293242</v>
      </c>
    </row>
    <row r="20" spans="2:7" x14ac:dyDescent="0.25">
      <c r="B20" s="25" t="s">
        <v>177</v>
      </c>
      <c r="C20" s="25">
        <v>2</v>
      </c>
      <c r="D20" s="25">
        <v>10</v>
      </c>
      <c r="E20" s="25">
        <f>[1]Fitting!$H$7</f>
        <v>17.790894552933182</v>
      </c>
      <c r="F20" s="25">
        <f>[1]Fitting!$H$8</f>
        <v>6.4637438658064414E-2</v>
      </c>
      <c r="G20" s="25">
        <f>[1]Fitting!$H$9</f>
        <v>6.5622454957840519</v>
      </c>
    </row>
    <row r="21" spans="2:7" x14ac:dyDescent="0.25">
      <c r="B21" s="25" t="s">
        <v>177</v>
      </c>
      <c r="C21" s="25">
        <v>3</v>
      </c>
      <c r="D21" s="25">
        <v>10</v>
      </c>
      <c r="E21" s="25">
        <f>[1]Fitting!$N$7</f>
        <v>11.548951787146541</v>
      </c>
      <c r="F21" s="25">
        <f>[1]Fitting!$N$8</f>
        <v>1.6287866849208927E-2</v>
      </c>
      <c r="G21" s="25">
        <f>[1]Fitting!$N$9</f>
        <v>9.8211989051201378</v>
      </c>
    </row>
    <row r="22" spans="2:7" x14ac:dyDescent="0.25">
      <c r="B22" s="25" t="s">
        <v>177</v>
      </c>
      <c r="C22" s="25">
        <v>4</v>
      </c>
      <c r="D22" s="25">
        <v>10</v>
      </c>
      <c r="E22" s="25">
        <f>AVERAGE(E19:E21,E23)</f>
        <v>18.035198707102978</v>
      </c>
      <c r="F22" s="25">
        <f>[1]Fitting!$T$8</f>
        <v>1.3675340559158058E-2</v>
      </c>
      <c r="G22" s="25">
        <f>[1]Fitting!$T$9</f>
        <v>12.739458763366169</v>
      </c>
    </row>
    <row r="23" spans="2:7" x14ac:dyDescent="0.25">
      <c r="B23" s="25" t="s">
        <v>177</v>
      </c>
      <c r="C23" s="25">
        <v>5</v>
      </c>
      <c r="D23" s="25">
        <v>10</v>
      </c>
      <c r="E23" s="25">
        <f>[1]Fitting!$Z$7</f>
        <v>22.699910151902802</v>
      </c>
      <c r="F23" s="25">
        <f>[1]Fitting!$Z$8</f>
        <v>5.2549518042229564E-2</v>
      </c>
      <c r="G23" s="25">
        <f>[1]Fitting!$Z$9</f>
        <v>13.847027431316944</v>
      </c>
    </row>
    <row r="24" spans="2:7" x14ac:dyDescent="0.25">
      <c r="B24" s="22" t="s">
        <v>177</v>
      </c>
      <c r="C24" s="22">
        <v>1</v>
      </c>
      <c r="D24" s="22">
        <v>15</v>
      </c>
      <c r="E24" s="22">
        <f>[1]Fitting!$D$34</f>
        <v>66.986945349128092</v>
      </c>
      <c r="F24" s="22">
        <f>[1]Fitting!$D$35</f>
        <v>6.1450872285082433E-2</v>
      </c>
      <c r="G24" s="22">
        <f>[1]Fitting!$D$36</f>
        <v>8.2865785877007703</v>
      </c>
    </row>
    <row r="25" spans="2:7" x14ac:dyDescent="0.25">
      <c r="B25" s="22" t="s">
        <v>177</v>
      </c>
      <c r="C25" s="22">
        <v>2</v>
      </c>
      <c r="D25" s="22">
        <v>15</v>
      </c>
      <c r="E25" s="22">
        <f>[1]Fitting!$I$34</f>
        <v>34.047774282945078</v>
      </c>
      <c r="F25" s="22">
        <f>[1]Fitting!$I$35</f>
        <v>6.8861529681728859E-2</v>
      </c>
      <c r="G25" s="22">
        <f>[1]Fitting!$I$36</f>
        <v>5.7941158632476357</v>
      </c>
    </row>
    <row r="26" spans="2:7" x14ac:dyDescent="0.25">
      <c r="B26" s="22" t="s">
        <v>177</v>
      </c>
      <c r="C26" s="22">
        <v>3</v>
      </c>
      <c r="D26" s="22">
        <v>15</v>
      </c>
      <c r="E26" s="22">
        <f>[1]Fitting!$O$34</f>
        <v>30.759284685158182</v>
      </c>
      <c r="F26" s="22">
        <f>[1]Fitting!$O$35</f>
        <v>2.9292153151449757E-2</v>
      </c>
      <c r="G26" s="22">
        <f>[1]Fitting!$O$36</f>
        <v>7.4474672300792966</v>
      </c>
    </row>
    <row r="27" spans="2:7" x14ac:dyDescent="0.25">
      <c r="B27" s="22" t="s">
        <v>177</v>
      </c>
      <c r="C27" s="22">
        <v>4</v>
      </c>
      <c r="D27" s="22">
        <v>15</v>
      </c>
      <c r="E27" s="22">
        <f>[1]Fitting!$U$34</f>
        <v>18.736440271962891</v>
      </c>
      <c r="F27" s="22">
        <f>[1]Fitting!$U$35</f>
        <v>6.3859357736581801E-2</v>
      </c>
      <c r="G27" s="22">
        <f>[1]Fitting!$U$36</f>
        <v>7.443542375115813</v>
      </c>
    </row>
    <row r="28" spans="2:7" x14ac:dyDescent="0.25">
      <c r="B28" s="22" t="s">
        <v>177</v>
      </c>
      <c r="C28" s="22">
        <v>5</v>
      </c>
      <c r="D28" s="22">
        <v>15</v>
      </c>
      <c r="E28" s="22">
        <f>[1]Fitting!$AA$34</f>
        <v>5.356042667498234</v>
      </c>
      <c r="F28" s="22">
        <f>[1]Fitting!$AA$35</f>
        <v>5.6219232195707042E-2</v>
      </c>
      <c r="G28" s="22">
        <f>[1]Fitting!$AA$36</f>
        <v>18.927572810651011</v>
      </c>
    </row>
    <row r="29" spans="2:7" x14ac:dyDescent="0.25">
      <c r="B29" s="32" t="s">
        <v>177</v>
      </c>
      <c r="C29" s="32">
        <v>1</v>
      </c>
      <c r="D29" s="32">
        <v>20</v>
      </c>
      <c r="E29" s="32">
        <f>[1]Fitting!$D$60</f>
        <v>57.289758726229955</v>
      </c>
      <c r="F29" s="32">
        <f>[1]Fitting!$D$61</f>
        <v>6.1961483160382205E-2</v>
      </c>
      <c r="G29" s="32">
        <f>[1]Fitting!$D$62</f>
        <v>8.5923946936426709</v>
      </c>
    </row>
    <row r="30" spans="2:7" x14ac:dyDescent="0.25">
      <c r="B30" s="32" t="s">
        <v>177</v>
      </c>
      <c r="C30" s="32">
        <v>2</v>
      </c>
      <c r="D30" s="32">
        <v>20</v>
      </c>
      <c r="E30" s="32">
        <f>[1]Fitting!$I$60</f>
        <v>10.187641259503</v>
      </c>
      <c r="F30" s="32">
        <f>[1]Fitting!$I$61</f>
        <v>5.5036015268330733E-2</v>
      </c>
      <c r="G30" s="32">
        <f>[1]Fitting!$I$62</f>
        <v>7.5595039485638251</v>
      </c>
    </row>
    <row r="31" spans="2:7" x14ac:dyDescent="0.25">
      <c r="B31" s="32" t="s">
        <v>177</v>
      </c>
      <c r="C31" s="32">
        <v>3</v>
      </c>
      <c r="D31" s="32">
        <v>20</v>
      </c>
      <c r="E31" s="32">
        <f>[1]Fitting!$O$60</f>
        <v>43.554957880809781</v>
      </c>
      <c r="F31" s="32">
        <f>[1]Fitting!$O$61</f>
        <v>2.8593975043618367E-2</v>
      </c>
      <c r="G31" s="32">
        <f>[1]Fitting!$O$62</f>
        <v>7.1000286288545862</v>
      </c>
    </row>
    <row r="32" spans="2:7" x14ac:dyDescent="0.25">
      <c r="B32" s="32" t="s">
        <v>177</v>
      </c>
      <c r="C32" s="32">
        <v>4</v>
      </c>
      <c r="D32" s="32">
        <v>20</v>
      </c>
      <c r="E32" s="32">
        <f>[1]Fitting!$T$60</f>
        <v>14.725420415923661</v>
      </c>
      <c r="F32" s="32">
        <f>[1]Fitting!$T$61</f>
        <v>4.4577794819318048E-2</v>
      </c>
      <c r="G32" s="32">
        <f>[1]Fitting!$T$62</f>
        <v>5.6242681519095283</v>
      </c>
    </row>
    <row r="33" spans="2:7" x14ac:dyDescent="0.25">
      <c r="B33" s="32" t="s">
        <v>177</v>
      </c>
      <c r="C33" s="32">
        <v>5</v>
      </c>
      <c r="D33" s="32">
        <v>20</v>
      </c>
      <c r="E33" s="32">
        <f>[1]Fitting!$Z$60</f>
        <v>4.9631194959144391</v>
      </c>
      <c r="F33" s="32">
        <f>[1]Fitting!$Z$61</f>
        <v>4.7591287290700619E-2</v>
      </c>
      <c r="G33" s="32">
        <f>[1]Fitting!$Z$62</f>
        <v>18.6093728112962</v>
      </c>
    </row>
    <row r="34" spans="2:7" x14ac:dyDescent="0.25">
      <c r="B34" s="24" t="s">
        <v>178</v>
      </c>
      <c r="C34" s="24">
        <v>1</v>
      </c>
      <c r="D34" s="24">
        <v>10</v>
      </c>
      <c r="E34" s="24">
        <f>[2]Fitting!$C$7</f>
        <v>22.976435657632408</v>
      </c>
      <c r="F34" s="24">
        <f>[2]Fitting!$C$8</f>
        <v>6.1692867576514814E-2</v>
      </c>
      <c r="G34" s="24">
        <f>[2]Fitting!$C$9</f>
        <v>6.7452251312513267</v>
      </c>
    </row>
    <row r="35" spans="2:7" x14ac:dyDescent="0.25">
      <c r="B35" s="24" t="s">
        <v>178</v>
      </c>
      <c r="C35" s="24">
        <v>2</v>
      </c>
      <c r="D35" s="24">
        <v>10</v>
      </c>
      <c r="E35" s="24">
        <f>[2]Fitting!$I$7</f>
        <v>9.9063164825775676</v>
      </c>
      <c r="F35" s="24">
        <f>[2]Fitting!$I$8</f>
        <v>7.5574566813003285E-2</v>
      </c>
      <c r="G35" s="24">
        <f>[2]Fitting!$I$9</f>
        <v>9.0966172090547932</v>
      </c>
    </row>
    <row r="36" spans="2:7" x14ac:dyDescent="0.25">
      <c r="B36" s="24" t="s">
        <v>178</v>
      </c>
      <c r="C36" s="24">
        <v>3</v>
      </c>
      <c r="D36" s="24">
        <v>10</v>
      </c>
      <c r="E36" s="24">
        <f>[2]Fitting!$O$7</f>
        <v>23.572644188518488</v>
      </c>
      <c r="F36" s="24">
        <f>[2]Fitting!$O$8</f>
        <v>5.8358617246260062E-2</v>
      </c>
      <c r="G36" s="24">
        <f>[2]Fitting!$O$9</f>
        <v>8.6226391603380979</v>
      </c>
    </row>
    <row r="37" spans="2:7" x14ac:dyDescent="0.25">
      <c r="B37" s="24" t="s">
        <v>178</v>
      </c>
      <c r="C37" s="24">
        <v>4</v>
      </c>
      <c r="D37" s="24">
        <v>10</v>
      </c>
      <c r="E37" s="24">
        <f>[2]Fitting!$O$7</f>
        <v>23.572644188518488</v>
      </c>
      <c r="F37" s="24">
        <f>[2]Fitting!$O$8</f>
        <v>5.8358617246260062E-2</v>
      </c>
      <c r="G37" s="24">
        <f>[2]Fitting!$O$9</f>
        <v>8.6226391603380979</v>
      </c>
    </row>
    <row r="38" spans="2:7" x14ac:dyDescent="0.25">
      <c r="B38" s="24" t="s">
        <v>178</v>
      </c>
      <c r="C38" s="24">
        <v>5</v>
      </c>
      <c r="D38" s="24">
        <v>10</v>
      </c>
      <c r="E38" s="24">
        <f>[2]Fitting!$V$7</f>
        <v>26.007187318791662</v>
      </c>
      <c r="F38" s="24">
        <f>[2]Fitting!$V$8</f>
        <v>6.7744727856311415E-2</v>
      </c>
      <c r="G38" s="24">
        <f>[2]Fitting!$V$9</f>
        <v>4.9981148440439584</v>
      </c>
    </row>
    <row r="39" spans="2:7" x14ac:dyDescent="0.25">
      <c r="B39" s="17" t="s">
        <v>178</v>
      </c>
      <c r="C39" s="17">
        <v>1</v>
      </c>
      <c r="D39" s="17">
        <v>15</v>
      </c>
      <c r="E39" s="17">
        <f>[2]Fitting!$C$32</f>
        <v>25.120153704349576</v>
      </c>
      <c r="F39" s="17">
        <f>[2]Fitting!$C$33</f>
        <v>4.8882096373533065E-2</v>
      </c>
      <c r="G39" s="17">
        <f>[2]Fitting!$C$34</f>
        <v>5.7531037438547914</v>
      </c>
    </row>
    <row r="40" spans="2:7" x14ac:dyDescent="0.25">
      <c r="B40" s="17" t="s">
        <v>178</v>
      </c>
      <c r="C40" s="17">
        <v>2</v>
      </c>
      <c r="D40" s="17">
        <v>15</v>
      </c>
      <c r="E40" s="17">
        <f>[2]Fitting!$I$32</f>
        <v>33.390606151508187</v>
      </c>
      <c r="F40" s="17">
        <f>[2]Fitting!$I$33</f>
        <v>8.0137351812083243E-2</v>
      </c>
      <c r="G40" s="17">
        <f>[2]Fitting!$I$34</f>
        <v>8.4629283135635127</v>
      </c>
    </row>
    <row r="41" spans="2:7" x14ac:dyDescent="0.25">
      <c r="B41" s="17" t="s">
        <v>178</v>
      </c>
      <c r="C41" s="17">
        <v>3</v>
      </c>
      <c r="D41" s="17">
        <v>15</v>
      </c>
      <c r="E41" s="17">
        <f>[2]Fitting!$O$32</f>
        <v>30.944613395480161</v>
      </c>
      <c r="F41" s="17">
        <f>[2]Fitting!$O$33</f>
        <v>4.9469470288012671E-2</v>
      </c>
      <c r="G41" s="17">
        <f>[2]Fitting!$O$34</f>
        <v>6.5014024619808541</v>
      </c>
    </row>
    <row r="42" spans="2:7" x14ac:dyDescent="0.25">
      <c r="B42" s="17" t="s">
        <v>178</v>
      </c>
      <c r="C42" s="17">
        <v>4</v>
      </c>
      <c r="D42" s="17">
        <v>15</v>
      </c>
      <c r="E42" s="17">
        <f>[2]Fitting!$U$32</f>
        <v>18.466804626703677</v>
      </c>
      <c r="F42" s="17">
        <f>[2]Fitting!$U$33</f>
        <v>6.5805926702777101E-2</v>
      </c>
      <c r="G42" s="17">
        <f>[2]Fitting!$U$34</f>
        <v>9.4029324204485949</v>
      </c>
    </row>
    <row r="43" spans="2:7" x14ac:dyDescent="0.25">
      <c r="B43" s="17" t="s">
        <v>178</v>
      </c>
      <c r="C43" s="17">
        <v>5</v>
      </c>
      <c r="D43" s="17">
        <v>15</v>
      </c>
      <c r="E43" s="17">
        <f>[2]Fitting!$AA$32</f>
        <v>14.628457431963025</v>
      </c>
      <c r="F43" s="17">
        <f>[2]Fitting!$AA$33</f>
        <v>6.226291129255937E-2</v>
      </c>
      <c r="G43" s="17">
        <f>[2]Fitting!$AA$34</f>
        <v>6.7095787160731577</v>
      </c>
    </row>
    <row r="44" spans="2:7" x14ac:dyDescent="0.25">
      <c r="B44" s="31" t="s">
        <v>178</v>
      </c>
      <c r="C44" s="31">
        <v>1</v>
      </c>
      <c r="D44" s="31">
        <v>20</v>
      </c>
      <c r="E44" s="31">
        <f>[2]Fitting!$C$58</f>
        <v>15.212157063011194</v>
      </c>
      <c r="F44" s="31">
        <f>[2]Fitting!$C$59</f>
        <v>5.6824117579426715E-2</v>
      </c>
      <c r="G44" s="31">
        <f>[2]Fitting!$C$60</f>
        <v>5.1838594912217442</v>
      </c>
    </row>
    <row r="45" spans="2:7" x14ac:dyDescent="0.25">
      <c r="B45" s="31" t="s">
        <v>178</v>
      </c>
      <c r="C45" s="31">
        <v>2</v>
      </c>
      <c r="D45" s="31">
        <v>20</v>
      </c>
      <c r="E45" s="31">
        <f>[2]Fitting!$I$58</f>
        <v>21.661374557112847</v>
      </c>
      <c r="F45" s="31">
        <f>[2]Fitting!$I$59</f>
        <v>7.0405106972573503E-2</v>
      </c>
      <c r="G45" s="31">
        <f>[2]Fitting!$I$60</f>
        <v>9.3928871633705313</v>
      </c>
    </row>
    <row r="46" spans="2:7" x14ac:dyDescent="0.25">
      <c r="B46" s="31" t="s">
        <v>178</v>
      </c>
      <c r="C46" s="31">
        <v>3</v>
      </c>
      <c r="D46" s="31">
        <v>20</v>
      </c>
      <c r="E46" s="31">
        <f>[2]Fitting!$O$58</f>
        <v>39.37535153996398</v>
      </c>
      <c r="F46" s="31">
        <f>[2]Fitting!$O$59</f>
        <v>3.6442631879488291E-2</v>
      </c>
      <c r="G46" s="31">
        <f>[2]Fitting!$O$60</f>
        <v>4.9806205405706248</v>
      </c>
    </row>
    <row r="47" spans="2:7" x14ac:dyDescent="0.25">
      <c r="B47" s="31" t="s">
        <v>178</v>
      </c>
      <c r="C47" s="31">
        <v>4</v>
      </c>
      <c r="D47" s="31">
        <v>20</v>
      </c>
      <c r="E47" s="31">
        <f>[2]Fitting!$U$58</f>
        <v>25.956212502696108</v>
      </c>
      <c r="F47" s="31">
        <f>[2]Fitting!$U$59</f>
        <v>6.5668862055223376E-2</v>
      </c>
      <c r="G47" s="31">
        <f>[2]Fitting!$U$60</f>
        <v>10.033911204196329</v>
      </c>
    </row>
    <row r="48" spans="2:7" x14ac:dyDescent="0.25">
      <c r="B48" s="31" t="s">
        <v>178</v>
      </c>
      <c r="C48" s="31">
        <v>5</v>
      </c>
      <c r="D48" s="31">
        <v>20</v>
      </c>
      <c r="E48" s="31">
        <f>[2]Fitting!$AA$58</f>
        <v>18.281711874162131</v>
      </c>
      <c r="F48" s="31">
        <f>[2]Fitting!$AA$59</f>
        <v>8.2940530395701401E-2</v>
      </c>
      <c r="G48" s="31">
        <f>[2]Fitting!$AA$60</f>
        <v>8.4808646862539234</v>
      </c>
    </row>
    <row r="49" spans="2:7" x14ac:dyDescent="0.25">
      <c r="B49" s="29" t="s">
        <v>247</v>
      </c>
      <c r="C49" s="29">
        <v>1</v>
      </c>
      <c r="D49" s="29">
        <v>10</v>
      </c>
      <c r="E49" s="29">
        <f>[3]Fitting!$C$7</f>
        <v>40.158937766182099</v>
      </c>
      <c r="F49" s="29">
        <f>[3]Fitting!$C$8</f>
        <v>7.3584512295029242E-2</v>
      </c>
      <c r="G49" s="29">
        <f>[3]Fitting!$C$9</f>
        <v>9.7654357178675806</v>
      </c>
    </row>
    <row r="50" spans="2:7" x14ac:dyDescent="0.25">
      <c r="B50" s="29" t="s">
        <v>247</v>
      </c>
      <c r="C50" s="29">
        <v>2</v>
      </c>
      <c r="D50" s="29">
        <v>10</v>
      </c>
      <c r="E50" s="29">
        <f>[3]Fitting!$I$7</f>
        <v>7.6322458840730558</v>
      </c>
      <c r="F50" s="29">
        <f>[3]Fitting!$I$8</f>
        <v>2.851930948879506E-2</v>
      </c>
      <c r="G50" s="29">
        <f>[3]Fitting!$I$9</f>
        <v>6.9701319326593785</v>
      </c>
    </row>
    <row r="51" spans="2:7" x14ac:dyDescent="0.25">
      <c r="B51" s="29" t="s">
        <v>247</v>
      </c>
      <c r="C51" s="29">
        <v>3</v>
      </c>
      <c r="D51" s="29">
        <v>10</v>
      </c>
      <c r="E51" s="29">
        <f>[3]Fitting!$O$7</f>
        <v>34.598057076042736</v>
      </c>
      <c r="F51" s="29">
        <f>[3]Fitting!$O$8</f>
        <v>4.6001002839436915E-2</v>
      </c>
      <c r="G51" s="29">
        <f>[3]Fitting!$O$9</f>
        <v>7.4402629282220776</v>
      </c>
    </row>
    <row r="52" spans="2:7" x14ac:dyDescent="0.25">
      <c r="B52" s="29" t="s">
        <v>247</v>
      </c>
      <c r="C52" s="29">
        <v>4</v>
      </c>
      <c r="D52" s="29">
        <v>10</v>
      </c>
      <c r="E52" s="29">
        <f>[3]Fitting!$T$7</f>
        <v>23.893125104019081</v>
      </c>
      <c r="F52" s="29">
        <f>[3]Fitting!$T$8</f>
        <v>4.4498548080679191E-2</v>
      </c>
      <c r="G52" s="29">
        <f>[3]Fitting!$T$9</f>
        <v>10.177198124218101</v>
      </c>
    </row>
    <row r="53" spans="2:7" x14ac:dyDescent="0.25">
      <c r="B53" s="29" t="s">
        <v>247</v>
      </c>
      <c r="C53" s="29">
        <v>5</v>
      </c>
      <c r="D53" s="29">
        <v>10</v>
      </c>
      <c r="E53" s="29">
        <f>[3]Fitting!$AF$7</f>
        <v>14.432631679097463</v>
      </c>
      <c r="F53" s="29">
        <f>[3]Fitting!$AF$8</f>
        <v>5.6056275051814514E-2</v>
      </c>
      <c r="G53" s="29">
        <f>[3]Fitting!$AF$9</f>
        <v>9.5613728439787344</v>
      </c>
    </row>
    <row r="54" spans="2:7" x14ac:dyDescent="0.25">
      <c r="B54" s="30" t="s">
        <v>247</v>
      </c>
      <c r="C54" s="30">
        <v>1</v>
      </c>
      <c r="D54" s="30">
        <v>15</v>
      </c>
      <c r="E54" s="30">
        <f>[3]Fitting!$C$33</f>
        <v>30.087548512694855</v>
      </c>
      <c r="F54" s="30">
        <f>[3]Fitting!$C$34</f>
        <v>9.2113635058329854E-2</v>
      </c>
      <c r="G54" s="30">
        <f>[3]Fitting!$C$35</f>
        <v>10.60260974457708</v>
      </c>
    </row>
    <row r="55" spans="2:7" x14ac:dyDescent="0.25">
      <c r="B55" s="30" t="s">
        <v>247</v>
      </c>
      <c r="C55" s="30">
        <v>2</v>
      </c>
      <c r="D55" s="30">
        <v>15</v>
      </c>
      <c r="E55" s="30">
        <f>[3]Fitting!$I$33</f>
        <v>8.561944341788557</v>
      </c>
      <c r="F55" s="30">
        <f>[3]Fitting!$I$34</f>
        <v>0.11384195602176177</v>
      </c>
      <c r="G55" s="30">
        <f>[3]Fitting!$I$35</f>
        <v>12.112535268505685</v>
      </c>
    </row>
    <row r="56" spans="2:7" x14ac:dyDescent="0.25">
      <c r="B56" s="30" t="s">
        <v>247</v>
      </c>
      <c r="C56" s="30">
        <v>3</v>
      </c>
      <c r="D56" s="30">
        <v>15</v>
      </c>
      <c r="E56" s="30">
        <f>[3]Fitting!$O$33</f>
        <v>27.628860822150418</v>
      </c>
      <c r="F56" s="30">
        <f>[3]Fitting!$O$34</f>
        <v>3.8402964747098971E-2</v>
      </c>
      <c r="G56" s="30">
        <f>[3]Fitting!$O$35</f>
        <v>9.0875950442010076</v>
      </c>
    </row>
    <row r="57" spans="2:7" x14ac:dyDescent="0.25">
      <c r="B57" s="30" t="s">
        <v>247</v>
      </c>
      <c r="C57" s="30">
        <v>4</v>
      </c>
      <c r="D57" s="30">
        <v>15</v>
      </c>
      <c r="E57" s="30">
        <f>[3]Fitting!$U$33</f>
        <v>26.5636226782016</v>
      </c>
      <c r="F57" s="30">
        <f>[3]Fitting!$U$34</f>
        <v>4.9143214696237586E-2</v>
      </c>
      <c r="G57" s="30">
        <f>[3]Fitting!$U$35</f>
        <v>10.555241512296028</v>
      </c>
    </row>
    <row r="58" spans="2:7" x14ac:dyDescent="0.25">
      <c r="B58" s="30" t="s">
        <v>247</v>
      </c>
      <c r="C58" s="30">
        <v>5</v>
      </c>
      <c r="D58" s="30">
        <v>15</v>
      </c>
      <c r="E58" s="30">
        <f>[3]Fitting!$AA$33</f>
        <v>44.605681149356528</v>
      </c>
      <c r="F58" s="30">
        <f>[3]Fitting!$AA$34</f>
        <v>7.1700650745223374E-2</v>
      </c>
      <c r="G58" s="30">
        <f>[3]Fitting!$AA$35</f>
        <v>9.5860149730680941</v>
      </c>
    </row>
    <row r="59" spans="2:7" x14ac:dyDescent="0.25">
      <c r="B59" s="19" t="s">
        <v>247</v>
      </c>
      <c r="C59" s="19">
        <v>1</v>
      </c>
      <c r="D59" s="19">
        <v>20</v>
      </c>
      <c r="E59" s="19">
        <f>[3]Fitting!$C$59</f>
        <v>24.896406622331966</v>
      </c>
      <c r="F59" s="19">
        <f>[3]Fitting!$C$60</f>
        <v>8.7384144944043798E-2</v>
      </c>
      <c r="G59" s="19">
        <f>[3]Fitting!$C$61</f>
        <v>12.244883598938877</v>
      </c>
    </row>
    <row r="60" spans="2:7" x14ac:dyDescent="0.25">
      <c r="B60" s="19" t="s">
        <v>247</v>
      </c>
      <c r="C60" s="19">
        <v>2</v>
      </c>
      <c r="D60" s="19">
        <v>20</v>
      </c>
      <c r="E60" s="19">
        <f>[3]Fitting!$I$59</f>
        <v>34.716086031677563</v>
      </c>
      <c r="F60" s="19">
        <f>[3]Fitting!$I$60</f>
        <v>9.0484461299255137E-2</v>
      </c>
      <c r="G60" s="19">
        <f>[3]Fitting!$I$61</f>
        <v>13.239902428624934</v>
      </c>
    </row>
    <row r="61" spans="2:7" x14ac:dyDescent="0.25">
      <c r="B61" s="19" t="s">
        <v>247</v>
      </c>
      <c r="C61" s="19">
        <v>3</v>
      </c>
      <c r="D61" s="19">
        <v>20</v>
      </c>
      <c r="E61" s="19">
        <f>[3]Fitting!$O$59</f>
        <v>45.451307205789931</v>
      </c>
      <c r="F61" s="19">
        <f>[3]Fitting!$O$60</f>
        <v>5.4013904415214163E-2</v>
      </c>
      <c r="G61" s="19">
        <f>[3]Fitting!$O$61</f>
        <v>10.269105133329466</v>
      </c>
    </row>
    <row r="62" spans="2:7" x14ac:dyDescent="0.25">
      <c r="B62" s="19" t="s">
        <v>247</v>
      </c>
      <c r="C62" s="19">
        <v>4</v>
      </c>
      <c r="D62" s="19">
        <v>20</v>
      </c>
      <c r="E62" s="19">
        <f>[3]Fitting!$T$59</f>
        <v>28.238407499678186</v>
      </c>
      <c r="F62" s="19">
        <f>[3]Fitting!$T$60</f>
        <v>5.603430598580092E-2</v>
      </c>
      <c r="G62" s="19">
        <f>[3]Fitting!$T$61</f>
        <v>13.640306891858474</v>
      </c>
    </row>
    <row r="63" spans="2:7" x14ac:dyDescent="0.25">
      <c r="B63" s="19" t="s">
        <v>247</v>
      </c>
      <c r="C63" s="19">
        <v>5</v>
      </c>
      <c r="D63" s="19">
        <v>20</v>
      </c>
      <c r="E63" s="19">
        <f>[3]Fitting!$Z$59</f>
        <v>22.19798077539831</v>
      </c>
      <c r="F63" s="19">
        <f>[3]Fitting!$Z$60</f>
        <v>4.5869704788520732E-2</v>
      </c>
      <c r="G63" s="19">
        <f>[3]Fitting!$Z$61</f>
        <v>9.5079060351436553</v>
      </c>
    </row>
    <row r="64" spans="2:7" x14ac:dyDescent="0.25">
      <c r="B64" s="26" t="s">
        <v>248</v>
      </c>
      <c r="C64" s="26">
        <v>1</v>
      </c>
      <c r="D64" s="26">
        <v>10</v>
      </c>
      <c r="E64" s="26">
        <f>[4]Fitting!$C$7</f>
        <v>5.0316609338732441</v>
      </c>
      <c r="F64" s="26">
        <f>[4]Fitting!$C$8</f>
        <v>5.1960938277728387E-2</v>
      </c>
      <c r="G64" s="26">
        <f>[4]Fitting!$C$9</f>
        <v>5.6514219800979246</v>
      </c>
    </row>
    <row r="65" spans="2:7" x14ac:dyDescent="0.25">
      <c r="B65" s="26" t="s">
        <v>248</v>
      </c>
      <c r="C65" s="26">
        <v>2</v>
      </c>
      <c r="D65" s="26">
        <v>10</v>
      </c>
      <c r="E65" s="26">
        <f>[4]Fitting!$I$7</f>
        <v>30.961860365800558</v>
      </c>
      <c r="F65" s="26">
        <f>[4]Fitting!$I$8</f>
        <v>6.8135217084448155E-2</v>
      </c>
      <c r="G65" s="26">
        <f>[4]Fitting!$I$9</f>
        <v>7.2493728778268585</v>
      </c>
    </row>
    <row r="66" spans="2:7" x14ac:dyDescent="0.25">
      <c r="B66" s="26" t="s">
        <v>248</v>
      </c>
      <c r="C66" s="26">
        <v>3</v>
      </c>
      <c r="D66" s="26">
        <v>10</v>
      </c>
      <c r="E66" s="26">
        <f>[4]Fitting!$N$7</f>
        <v>33.624680251309819</v>
      </c>
      <c r="F66" s="26">
        <f>[4]Fitting!$N$8</f>
        <v>6.8694514018007566E-2</v>
      </c>
      <c r="G66" s="26">
        <f>[4]Fitting!$N$9</f>
        <v>5.6781284492981916</v>
      </c>
    </row>
    <row r="67" spans="2:7" x14ac:dyDescent="0.25">
      <c r="B67" s="26" t="s">
        <v>248</v>
      </c>
      <c r="C67" s="26">
        <v>4</v>
      </c>
      <c r="D67" s="26">
        <v>10</v>
      </c>
      <c r="E67" s="26">
        <f>[4]Fitting!$T$7</f>
        <v>24.765080658416387</v>
      </c>
      <c r="F67" s="26">
        <f>[4]Fitting!$T$8</f>
        <v>6.775562534213006E-2</v>
      </c>
      <c r="G67" s="26">
        <f>[4]Fitting!$T$9</f>
        <v>6.9814407553426827</v>
      </c>
    </row>
    <row r="68" spans="2:7" x14ac:dyDescent="0.25">
      <c r="B68" s="26" t="s">
        <v>248</v>
      </c>
      <c r="C68" s="26">
        <v>5</v>
      </c>
      <c r="D68" s="26">
        <v>10</v>
      </c>
      <c r="E68" s="26"/>
      <c r="F68" s="26"/>
      <c r="G68" s="26"/>
    </row>
    <row r="69" spans="2:7" x14ac:dyDescent="0.25">
      <c r="B69" s="33" t="s">
        <v>248</v>
      </c>
      <c r="C69" s="33">
        <v>1</v>
      </c>
      <c r="D69" s="33">
        <v>15</v>
      </c>
      <c r="E69" s="33">
        <f>[4]Fitting!$C$35</f>
        <v>14.921764384984638</v>
      </c>
      <c r="F69" s="33">
        <f>[4]Fitting!$C$36</f>
        <v>4.4617712465371009E-2</v>
      </c>
      <c r="G69" s="33">
        <f>[4]Fitting!$C$37</f>
        <v>7.4399146757797272</v>
      </c>
    </row>
    <row r="70" spans="2:7" x14ac:dyDescent="0.25">
      <c r="B70" s="33" t="s">
        <v>248</v>
      </c>
      <c r="C70" s="33">
        <v>2</v>
      </c>
      <c r="D70" s="33">
        <v>15</v>
      </c>
      <c r="E70" s="33">
        <f>[4]Fitting!$I$35</f>
        <v>28.842735464522178</v>
      </c>
      <c r="F70" s="33">
        <f>[4]Fitting!$I$36</f>
        <v>7.5419162670177245E-2</v>
      </c>
      <c r="G70" s="33">
        <f>[4]Fitting!$I$37</f>
        <v>7.9365500444544441</v>
      </c>
    </row>
    <row r="71" spans="2:7" x14ac:dyDescent="0.25">
      <c r="B71" s="33" t="s">
        <v>248</v>
      </c>
      <c r="C71" s="33">
        <v>3</v>
      </c>
      <c r="D71" s="33">
        <v>15</v>
      </c>
      <c r="E71" s="33">
        <f>[4]Fitting!$O$35</f>
        <v>11.079063415731921</v>
      </c>
      <c r="F71" s="33">
        <f>[4]Fitting!$O$36</f>
        <v>5.9279801474989145E-2</v>
      </c>
      <c r="G71" s="33">
        <f>[4]Fitting!$O$37</f>
        <v>10.804544771933637</v>
      </c>
    </row>
    <row r="72" spans="2:7" x14ac:dyDescent="0.25">
      <c r="B72" s="33" t="s">
        <v>248</v>
      </c>
      <c r="C72" s="33">
        <v>4</v>
      </c>
      <c r="D72" s="33">
        <v>15</v>
      </c>
      <c r="E72" s="33">
        <f>[4]Fitting!$U$35</f>
        <v>39.919100912069432</v>
      </c>
      <c r="F72" s="33">
        <f>[4]Fitting!$U$36</f>
        <v>7.4460003384522022E-2</v>
      </c>
      <c r="G72" s="33">
        <f>[4]Fitting!$U$37</f>
        <v>7.0008158444183595</v>
      </c>
    </row>
    <row r="73" spans="2:7" x14ac:dyDescent="0.25">
      <c r="B73" s="33" t="s">
        <v>248</v>
      </c>
      <c r="C73" s="33">
        <v>5</v>
      </c>
      <c r="D73" s="33">
        <v>15</v>
      </c>
      <c r="E73" s="33"/>
      <c r="F73" s="33"/>
      <c r="G73" s="33"/>
    </row>
    <row r="74" spans="2:7" x14ac:dyDescent="0.25">
      <c r="B74" s="21" t="s">
        <v>248</v>
      </c>
      <c r="C74" s="21">
        <v>1</v>
      </c>
      <c r="D74" s="21">
        <v>20</v>
      </c>
      <c r="E74" s="43">
        <f>AVERAGE(E75:E77)</f>
        <v>34.403536883805394</v>
      </c>
      <c r="F74" s="21">
        <f>[4]Fitting!$C$64</f>
        <v>6.1694943270537268E-2</v>
      </c>
      <c r="G74" s="21">
        <f>[4]Fitting!$C$65</f>
        <v>5.6288982637343894</v>
      </c>
    </row>
    <row r="75" spans="2:7" x14ac:dyDescent="0.25">
      <c r="B75" s="21" t="s">
        <v>248</v>
      </c>
      <c r="C75" s="21">
        <v>2</v>
      </c>
      <c r="D75" s="21">
        <v>20</v>
      </c>
      <c r="E75" s="21">
        <f>[4]Fitting!$I$63</f>
        <v>44.479753626810862</v>
      </c>
      <c r="F75" s="21">
        <f>[4]Fitting!$I$64</f>
        <v>8.1638528365264779E-2</v>
      </c>
      <c r="G75" s="21">
        <f>[4]Fitting!$I$65</f>
        <v>9.2566291924687452</v>
      </c>
    </row>
    <row r="76" spans="2:7" x14ac:dyDescent="0.25">
      <c r="B76" s="21" t="s">
        <v>248</v>
      </c>
      <c r="C76" s="21">
        <v>3</v>
      </c>
      <c r="D76" s="21">
        <v>20</v>
      </c>
      <c r="E76" s="21">
        <f>[4]Fitting!$N$63</f>
        <v>36.770169189788099</v>
      </c>
      <c r="F76" s="21">
        <f>[4]Fitting!$N$64</f>
        <v>8.4294033625497047E-2</v>
      </c>
      <c r="G76" s="21">
        <f>[4]Fitting!$N$65</f>
        <v>9.2849637996029415</v>
      </c>
    </row>
    <row r="77" spans="2:7" x14ac:dyDescent="0.25">
      <c r="B77" s="21" t="s">
        <v>248</v>
      </c>
      <c r="C77" s="21">
        <v>4</v>
      </c>
      <c r="D77" s="21">
        <v>20</v>
      </c>
      <c r="E77" s="21">
        <f>[4]Fitting!$T$63</f>
        <v>21.960687834817222</v>
      </c>
      <c r="F77" s="21">
        <f>[4]Fitting!$T$64</f>
        <v>5.4126396285984084E-2</v>
      </c>
      <c r="G77" s="21">
        <f>[4]Fitting!$T$65</f>
        <v>9.5081698538320829</v>
      </c>
    </row>
    <row r="78" spans="2:7" x14ac:dyDescent="0.25">
      <c r="B78" s="21" t="s">
        <v>248</v>
      </c>
      <c r="C78" s="21">
        <v>5</v>
      </c>
      <c r="D78" s="21">
        <v>20</v>
      </c>
      <c r="E78" s="21">
        <f>[4]Fitting!$Z$63</f>
        <v>7.7862615852207382</v>
      </c>
      <c r="F78" s="21">
        <f>[4]Fitting!$Z$64</f>
        <v>2.9676589137857617E-2</v>
      </c>
      <c r="G78" s="21">
        <f>[4]Fitting!$Z$65</f>
        <v>9.8475493756322816</v>
      </c>
    </row>
    <row r="79" spans="2:7" x14ac:dyDescent="0.25">
      <c r="B79" s="35" t="s">
        <v>268</v>
      </c>
      <c r="C79" s="35">
        <v>1</v>
      </c>
      <c r="D79" s="35">
        <v>10</v>
      </c>
      <c r="E79" s="35">
        <f>[5]Fitting!$C$7</f>
        <v>30.706344279527254</v>
      </c>
      <c r="F79" s="35">
        <f>[5]Fitting!$C$8</f>
        <v>6.4988479870100688E-2</v>
      </c>
      <c r="G79" s="35">
        <f>[5]Fitting!$C$9</f>
        <v>13.96143134857992</v>
      </c>
    </row>
    <row r="80" spans="2:7" x14ac:dyDescent="0.25">
      <c r="B80" s="35" t="s">
        <v>268</v>
      </c>
      <c r="C80" s="35">
        <v>2</v>
      </c>
      <c r="D80" s="35">
        <v>10</v>
      </c>
      <c r="E80" s="35">
        <f>[5]Fitting!$I$7</f>
        <v>42.613454808822894</v>
      </c>
      <c r="F80" s="35">
        <f>[5]Fitting!$I$8</f>
        <v>4.2079451977548012E-2</v>
      </c>
      <c r="G80" s="35">
        <f>[5]Fitting!$I$9</f>
        <v>3.3227475268785569</v>
      </c>
    </row>
    <row r="81" spans="2:7" x14ac:dyDescent="0.25">
      <c r="B81" s="35" t="s">
        <v>268</v>
      </c>
      <c r="C81" s="35">
        <v>3</v>
      </c>
      <c r="D81" s="35">
        <v>10</v>
      </c>
      <c r="E81" s="35">
        <f>[5]Fitting!$N$7</f>
        <v>14.711659607349363</v>
      </c>
      <c r="F81" s="35">
        <f>[5]Fitting!$N$8</f>
        <v>5.0299003746850188E-2</v>
      </c>
      <c r="G81" s="35">
        <f>[5]Fitting!$N$9</f>
        <v>10.365489525829277</v>
      </c>
    </row>
    <row r="82" spans="2:7" x14ac:dyDescent="0.25">
      <c r="B82" s="35" t="s">
        <v>268</v>
      </c>
      <c r="C82" s="35">
        <v>4</v>
      </c>
      <c r="D82" s="35">
        <v>10</v>
      </c>
      <c r="E82" s="35"/>
      <c r="F82" s="35"/>
      <c r="G82" s="35"/>
    </row>
    <row r="83" spans="2:7" x14ac:dyDescent="0.25">
      <c r="B83" s="35" t="s">
        <v>268</v>
      </c>
      <c r="C83" s="35">
        <v>5</v>
      </c>
      <c r="D83" s="35">
        <v>10</v>
      </c>
      <c r="E83" s="35"/>
      <c r="F83" s="35"/>
      <c r="G83" s="35"/>
    </row>
    <row r="84" spans="2:7" x14ac:dyDescent="0.25">
      <c r="B84" s="35" t="s">
        <v>268</v>
      </c>
      <c r="C84" s="36">
        <v>1</v>
      </c>
      <c r="D84" s="36">
        <v>15</v>
      </c>
      <c r="E84" s="36">
        <f>[5]Fitting!$C$35</f>
        <v>28.433528147365543</v>
      </c>
      <c r="F84" s="36">
        <f>[5]Fitting!$C$36</f>
        <v>9.3171952797021229E-2</v>
      </c>
      <c r="G84" s="36">
        <f>[5]Fitting!$C$37</f>
        <v>12.887263036717913</v>
      </c>
    </row>
    <row r="85" spans="2:7" x14ac:dyDescent="0.25">
      <c r="B85" s="35" t="s">
        <v>268</v>
      </c>
      <c r="C85" s="36">
        <v>2</v>
      </c>
      <c r="D85" s="36">
        <v>15</v>
      </c>
      <c r="E85" s="36">
        <f>[5]Fitting!$I$35</f>
        <v>44.363054173588068</v>
      </c>
      <c r="F85" s="36">
        <f>[5]Fitting!$I$36</f>
        <v>6.4031380453569972E-2</v>
      </c>
      <c r="G85" s="36">
        <f>[5]Fitting!$I$37</f>
        <v>4.3973836776337771</v>
      </c>
    </row>
    <row r="86" spans="2:7" x14ac:dyDescent="0.25">
      <c r="B86" s="35" t="s">
        <v>268</v>
      </c>
      <c r="C86" s="36">
        <v>3</v>
      </c>
      <c r="D86" s="36">
        <v>15</v>
      </c>
      <c r="E86" s="36">
        <f>[5]Fitting!$O$35</f>
        <v>18.983830988377211</v>
      </c>
      <c r="F86" s="36">
        <f>[5]Fitting!$O$36</f>
        <v>6.3153233992545729E-2</v>
      </c>
      <c r="G86" s="36">
        <f>[5]Fitting!$O$37</f>
        <v>7.3364684361569061</v>
      </c>
    </row>
    <row r="87" spans="2:7" x14ac:dyDescent="0.25">
      <c r="B87" s="35" t="s">
        <v>268</v>
      </c>
      <c r="C87" s="36">
        <v>4</v>
      </c>
      <c r="D87" s="36">
        <v>15</v>
      </c>
      <c r="E87" s="36"/>
      <c r="F87" s="36"/>
      <c r="G87" s="36"/>
    </row>
    <row r="88" spans="2:7" x14ac:dyDescent="0.25">
      <c r="B88" s="35" t="s">
        <v>268</v>
      </c>
      <c r="C88" s="36">
        <v>5</v>
      </c>
      <c r="D88" s="36">
        <v>15</v>
      </c>
      <c r="E88" s="36"/>
      <c r="F88" s="36"/>
      <c r="G88" s="36"/>
    </row>
    <row r="89" spans="2:7" x14ac:dyDescent="0.25">
      <c r="B89" s="35" t="s">
        <v>268</v>
      </c>
      <c r="C89" s="52">
        <v>1</v>
      </c>
      <c r="D89" s="52">
        <v>20</v>
      </c>
      <c r="E89" s="52">
        <f>[5]Fitting!$C$63</f>
        <v>35.634435648217718</v>
      </c>
      <c r="F89" s="52">
        <f>[5]Fitting!$C$64</f>
        <v>6.7418675141447684E-2</v>
      </c>
      <c r="G89" s="52">
        <f>[5]Fitting!$C$65</f>
        <v>16.644071111462058</v>
      </c>
    </row>
    <row r="90" spans="2:7" x14ac:dyDescent="0.25">
      <c r="B90" s="35" t="s">
        <v>268</v>
      </c>
      <c r="C90" s="52">
        <v>2</v>
      </c>
      <c r="D90" s="52">
        <v>20</v>
      </c>
      <c r="E90" s="52">
        <f>[5]Fitting!$I$63</f>
        <v>21.804873085109431</v>
      </c>
      <c r="F90" s="52">
        <f>[5]Fitting!$I$64</f>
        <v>4.5007086585690907E-2</v>
      </c>
      <c r="G90" s="52">
        <f>[5]Fitting!$I$65</f>
        <v>8.3179986999567319</v>
      </c>
    </row>
    <row r="91" spans="2:7" x14ac:dyDescent="0.25">
      <c r="B91" s="35" t="s">
        <v>268</v>
      </c>
      <c r="C91" s="52">
        <v>3</v>
      </c>
      <c r="D91" s="52">
        <v>20</v>
      </c>
      <c r="E91" s="52">
        <f>[5]Fitting!$N$63</f>
        <v>30.290508539573022</v>
      </c>
      <c r="F91" s="52">
        <f>[5]Fitting!$N$64</f>
        <v>5.7712052851605862E-2</v>
      </c>
      <c r="G91" s="52">
        <f>[5]Fitting!$N$65</f>
        <v>4.7591096160556923</v>
      </c>
    </row>
    <row r="92" spans="2:7" x14ac:dyDescent="0.25">
      <c r="B92" s="35" t="s">
        <v>268</v>
      </c>
      <c r="C92" s="52">
        <v>4</v>
      </c>
      <c r="D92" s="52">
        <v>20</v>
      </c>
      <c r="E92" s="52"/>
      <c r="F92" s="52"/>
      <c r="G92" s="52"/>
    </row>
    <row r="93" spans="2:7" x14ac:dyDescent="0.25">
      <c r="B93" s="35" t="s">
        <v>268</v>
      </c>
      <c r="C93" s="52">
        <v>5</v>
      </c>
      <c r="D93" s="52">
        <v>20</v>
      </c>
      <c r="E93" s="52"/>
      <c r="F93" s="52"/>
      <c r="G93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V46"/>
  <sheetViews>
    <sheetView topLeftCell="T4" zoomScaleNormal="100" workbookViewId="0">
      <selection activeCell="AG22" sqref="AG22"/>
    </sheetView>
  </sheetViews>
  <sheetFormatPr defaultRowHeight="15" x14ac:dyDescent="0.25"/>
  <cols>
    <col min="22" max="22" width="11.7109375" customWidth="1"/>
    <col min="24" max="26" width="11.140625" customWidth="1"/>
  </cols>
  <sheetData>
    <row r="1" spans="3:48" x14ac:dyDescent="0.25">
      <c r="C1" s="20"/>
      <c r="D1" s="20"/>
      <c r="E1" s="20" t="s">
        <v>209</v>
      </c>
      <c r="F1" s="20"/>
      <c r="G1" s="20"/>
      <c r="H1" s="20"/>
      <c r="I1" s="20"/>
      <c r="J1" s="20" t="s">
        <v>210</v>
      </c>
      <c r="K1" s="20"/>
      <c r="L1" s="20"/>
      <c r="M1" s="20"/>
      <c r="N1" s="20"/>
      <c r="O1" s="20" t="s">
        <v>134</v>
      </c>
      <c r="P1" s="20"/>
      <c r="Q1" s="20"/>
      <c r="R1" s="20"/>
      <c r="S1" s="20"/>
    </row>
    <row r="2" spans="3:48" x14ac:dyDescent="0.25">
      <c r="C2" s="20" t="s">
        <v>173</v>
      </c>
      <c r="D2" s="20" t="s">
        <v>175</v>
      </c>
      <c r="E2" s="20" t="s">
        <v>206</v>
      </c>
      <c r="F2" s="20" t="s">
        <v>207</v>
      </c>
      <c r="G2" s="20" t="s">
        <v>208</v>
      </c>
      <c r="H2" s="20" t="s">
        <v>250</v>
      </c>
      <c r="I2" s="20" t="s">
        <v>251</v>
      </c>
      <c r="J2" s="20" t="s">
        <v>206</v>
      </c>
      <c r="K2" s="20" t="s">
        <v>207</v>
      </c>
      <c r="L2" s="20" t="s">
        <v>208</v>
      </c>
      <c r="M2" s="20" t="s">
        <v>250</v>
      </c>
      <c r="N2" s="20" t="s">
        <v>251</v>
      </c>
      <c r="O2" s="20" t="s">
        <v>206</v>
      </c>
      <c r="P2" s="20" t="s">
        <v>207</v>
      </c>
      <c r="Q2" s="20" t="s">
        <v>208</v>
      </c>
      <c r="R2" s="20" t="s">
        <v>250</v>
      </c>
      <c r="S2" s="20" t="s">
        <v>251</v>
      </c>
      <c r="T2" s="46" t="s">
        <v>255</v>
      </c>
      <c r="V2" s="30" t="s">
        <v>209</v>
      </c>
      <c r="W2" s="30"/>
      <c r="X2" s="30"/>
      <c r="Y2" s="30"/>
      <c r="Z2" s="30"/>
      <c r="AA2" s="30"/>
      <c r="AB2" s="31" t="s">
        <v>210</v>
      </c>
      <c r="AC2" s="31"/>
      <c r="AD2" s="31"/>
      <c r="AE2" s="31"/>
      <c r="AF2" s="31"/>
      <c r="AG2" s="31"/>
      <c r="AH2" s="21" t="s">
        <v>134</v>
      </c>
      <c r="AI2" s="21"/>
      <c r="AJ2" s="21"/>
      <c r="AK2" s="21"/>
      <c r="AL2" s="21"/>
    </row>
    <row r="3" spans="3:48" x14ac:dyDescent="0.25">
      <c r="C3" s="20" t="s">
        <v>176</v>
      </c>
      <c r="D3" s="20">
        <v>10</v>
      </c>
      <c r="E3" s="20">
        <f>'Summary paramters'!E4</f>
        <v>30.37916427673116</v>
      </c>
      <c r="F3" s="20">
        <f>'Summary paramters'!E5</f>
        <v>31.375532700238995</v>
      </c>
      <c r="G3" s="20">
        <f>'Summary paramters'!E6</f>
        <v>20.449927121996115</v>
      </c>
      <c r="H3" s="43">
        <f>AVERAGE(E3:G3)</f>
        <v>27.401541366322089</v>
      </c>
      <c r="I3" s="20">
        <f>'Summary paramters'!E8</f>
        <v>0</v>
      </c>
      <c r="J3" s="20">
        <f>'Summary paramters'!F4</f>
        <v>6.7757648712470822E-2</v>
      </c>
      <c r="K3" s="20">
        <f>'Summary paramters'!F5</f>
        <v>0.10550328153595999</v>
      </c>
      <c r="L3" s="20">
        <f>'Summary paramters'!F6</f>
        <v>5.8375420463572386E-2</v>
      </c>
      <c r="M3" s="43">
        <f>AVERAGE(J3:L3)</f>
        <v>7.7212116904001066E-2</v>
      </c>
      <c r="N3" s="20">
        <f>'Summary paramters'!F8</f>
        <v>0</v>
      </c>
      <c r="O3" s="20">
        <f>'Summary paramters'!G4</f>
        <v>6.1857889711285416</v>
      </c>
      <c r="P3" s="20">
        <f>'Summary paramters'!G5</f>
        <v>5.2960865164274464</v>
      </c>
      <c r="Q3" s="20">
        <f>'Summary paramters'!G6</f>
        <v>9.2783568338249616</v>
      </c>
      <c r="R3" s="43">
        <f>AVERAGE(O3,P3,Q3)</f>
        <v>6.9200774404603171</v>
      </c>
      <c r="S3" s="20">
        <f>'Summary paramters'!G8</f>
        <v>0</v>
      </c>
      <c r="T3" t="s">
        <v>254</v>
      </c>
      <c r="U3" t="s">
        <v>174</v>
      </c>
      <c r="V3" s="44" t="s">
        <v>176</v>
      </c>
      <c r="W3" s="44" t="s">
        <v>177</v>
      </c>
      <c r="X3" s="44" t="s">
        <v>178</v>
      </c>
      <c r="Y3" s="44" t="str">
        <f>C24</f>
        <v>P. annua</v>
      </c>
      <c r="Z3" s="44" t="str">
        <f>C31</f>
        <v>A. stolonifera</v>
      </c>
      <c r="AA3" s="44" t="s">
        <v>268</v>
      </c>
      <c r="AB3" s="45" t="s">
        <v>176</v>
      </c>
      <c r="AC3" s="45" t="s">
        <v>177</v>
      </c>
      <c r="AD3" s="45" t="s">
        <v>178</v>
      </c>
      <c r="AE3" s="45" t="str">
        <f>Y3</f>
        <v>P. annua</v>
      </c>
      <c r="AF3" s="45" t="str">
        <f>Z3</f>
        <v>A. stolonifera</v>
      </c>
      <c r="AG3" s="44" t="s">
        <v>268</v>
      </c>
      <c r="AH3" s="38" t="s">
        <v>176</v>
      </c>
      <c r="AI3" s="38" t="s">
        <v>177</v>
      </c>
      <c r="AJ3" s="38" t="s">
        <v>178</v>
      </c>
      <c r="AK3" s="38" t="str">
        <f>AE3</f>
        <v>P. annua</v>
      </c>
      <c r="AL3" s="38" t="str">
        <f>AF3</f>
        <v>A. stolonifera</v>
      </c>
      <c r="AM3" s="44" t="s">
        <v>268</v>
      </c>
    </row>
    <row r="4" spans="3:48" x14ac:dyDescent="0.25">
      <c r="C4" s="20" t="s">
        <v>176</v>
      </c>
      <c r="D4" s="20">
        <v>15</v>
      </c>
      <c r="E4" s="20">
        <f>'Summary paramters'!E9</f>
        <v>25.544793797450954</v>
      </c>
      <c r="F4" s="20">
        <f>'Summary paramters'!E10</f>
        <v>27.782671431111186</v>
      </c>
      <c r="G4" s="20">
        <f>'Summary paramters'!E11</f>
        <v>33.212948482367374</v>
      </c>
      <c r="H4" s="20">
        <f>'Summary paramters'!E12</f>
        <v>16.240777160303246</v>
      </c>
      <c r="I4" s="20">
        <f>'Summary paramters'!E13</f>
        <v>24.314496976114594</v>
      </c>
      <c r="J4" s="20">
        <f>'Summary paramters'!F9</f>
        <v>7.4492799138210469E-2</v>
      </c>
      <c r="K4" s="20">
        <f>'Summary paramters'!F10</f>
        <v>9.219357852057683E-2</v>
      </c>
      <c r="L4" s="20">
        <f>'Summary paramters'!F11</f>
        <v>2.2592359269911735E-2</v>
      </c>
      <c r="M4" s="20">
        <f>'Summary paramters'!F12</f>
        <v>6.183732457136281E-2</v>
      </c>
      <c r="N4" s="20">
        <f>'Summary paramters'!F13</f>
        <v>8.2038327960729032E-2</v>
      </c>
      <c r="O4" s="20">
        <f>'Summary paramters'!G9</f>
        <v>4.9280751178466211</v>
      </c>
      <c r="P4" s="20">
        <f>'Summary paramters'!G10</f>
        <v>6.0569534022550275</v>
      </c>
      <c r="Q4" s="20">
        <f>'Summary paramters'!G11</f>
        <v>4.8241772107702721</v>
      </c>
      <c r="R4" s="20">
        <f>'Summary paramters'!G12</f>
        <v>9.8743367758737257</v>
      </c>
      <c r="S4" s="20">
        <f>'Summary paramters'!G13</f>
        <v>8.1673150645219508</v>
      </c>
      <c r="T4">
        <v>0</v>
      </c>
      <c r="U4">
        <v>1</v>
      </c>
      <c r="V4" s="30">
        <f>E7</f>
        <v>-1.6650731066826479</v>
      </c>
      <c r="W4" s="30">
        <f>E14</f>
        <v>3.7188720389800562</v>
      </c>
      <c r="X4" s="30">
        <f>E21</f>
        <v>-0.77642785946212145</v>
      </c>
      <c r="Y4" s="30">
        <f>E28</f>
        <v>-1.5262531143850133</v>
      </c>
      <c r="Z4" s="30">
        <f>E35</f>
        <v>2.9371875949932154</v>
      </c>
      <c r="AA4" s="30">
        <f>E42</f>
        <v>0</v>
      </c>
      <c r="AB4" s="31">
        <f>J7</f>
        <v>-7.3806294419865096E-4</v>
      </c>
      <c r="AC4" s="31">
        <f>J14</f>
        <v>2.8340939145828107E-3</v>
      </c>
      <c r="AD4" s="31">
        <f>J21</f>
        <v>-4.8687499970880981E-4</v>
      </c>
      <c r="AE4" s="31">
        <f>J28</f>
        <v>1.3799632649014557E-3</v>
      </c>
      <c r="AF4" s="31">
        <f>J35</f>
        <v>9.7340049928088814E-4</v>
      </c>
      <c r="AG4" s="31">
        <f>J42</f>
        <v>2.4301952713469966E-4</v>
      </c>
      <c r="AH4" s="21">
        <f>O7</f>
        <v>-0.19065251036487887</v>
      </c>
      <c r="AI4" s="21">
        <f>O14</f>
        <v>0.33540087917133471</v>
      </c>
      <c r="AJ4" s="21">
        <f>O21</f>
        <v>-0.15613656400295825</v>
      </c>
      <c r="AK4" s="21">
        <f>O28</f>
        <v>0.24794478810712964</v>
      </c>
      <c r="AL4" s="21">
        <f>O35</f>
        <v>-2.2523716363535228E-3</v>
      </c>
      <c r="AM4">
        <f>'Individual fits'!O42</f>
        <v>0.2682639762882138</v>
      </c>
    </row>
    <row r="5" spans="3:48" x14ac:dyDescent="0.25">
      <c r="C5" s="20" t="s">
        <v>176</v>
      </c>
      <c r="D5" s="20">
        <v>20</v>
      </c>
      <c r="E5" s="20">
        <f>'Summary paramters'!E14</f>
        <v>13.728433209904683</v>
      </c>
      <c r="F5" s="20">
        <f>'Summary paramters'!E15</f>
        <v>16.010027852719105</v>
      </c>
      <c r="G5" s="20">
        <f>'Summary paramters'!E17</f>
        <v>26.584582702530671</v>
      </c>
      <c r="H5" s="20">
        <f>'Summary paramters'!E17</f>
        <v>26.584582702530671</v>
      </c>
      <c r="I5" s="20">
        <f>'Summary paramters'!E18</f>
        <v>13.636561787499268</v>
      </c>
      <c r="J5" s="20">
        <f>'Summary paramters'!F14</f>
        <v>6.0377019270484313E-2</v>
      </c>
      <c r="K5" s="20">
        <f>'Summary paramters'!F15</f>
        <v>4.7231631501925317E-2</v>
      </c>
      <c r="L5" s="20">
        <f>'Summary paramters'!F17</f>
        <v>5.6107406428647963E-2</v>
      </c>
      <c r="M5" s="20">
        <f>'Summary paramters'!F17</f>
        <v>5.6107406428647963E-2</v>
      </c>
      <c r="N5" s="20">
        <f>'Summary paramters'!F18</f>
        <v>6.6634862282337892E-2</v>
      </c>
      <c r="O5" s="20">
        <f>'Summary paramters'!G14</f>
        <v>4.2792638674797532</v>
      </c>
      <c r="P5" s="20">
        <f>'Summary paramters'!G15</f>
        <v>4.6158066835186586</v>
      </c>
      <c r="Q5" s="20">
        <f>'Summary paramters'!G16</f>
        <v>3.0795278269639685</v>
      </c>
      <c r="R5" s="20">
        <f>'Summary paramters'!G17</f>
        <v>11.026658916671401</v>
      </c>
      <c r="S5" s="20">
        <f>'Summary paramters'!G18</f>
        <v>8.1674050780108747</v>
      </c>
      <c r="T5">
        <v>0</v>
      </c>
      <c r="U5">
        <v>2</v>
      </c>
      <c r="V5" s="30">
        <f>F7</f>
        <v>-1.5365504847519889</v>
      </c>
      <c r="W5" s="30">
        <f>F14</f>
        <v>-0.76032532934301822</v>
      </c>
      <c r="X5" s="30">
        <f>F21</f>
        <v>1.1755058074535278</v>
      </c>
      <c r="Y5" s="30">
        <f>F28</f>
        <v>2.7083840147604508</v>
      </c>
      <c r="Z5" s="30">
        <f>F35</f>
        <v>1.3517893261010303</v>
      </c>
      <c r="AA5" s="30">
        <f>F42</f>
        <v>-2.0808581723713462</v>
      </c>
      <c r="AB5" s="31">
        <f>K7</f>
        <v>-5.8271650034034672E-3</v>
      </c>
      <c r="AC5" s="31">
        <f>K14</f>
        <v>-9.6014233897336802E-4</v>
      </c>
      <c r="AD5" s="31">
        <f>K21</f>
        <v>-5.1694598404297828E-4</v>
      </c>
      <c r="AE5" s="31">
        <f>K28</f>
        <v>6.1965151810460077E-3</v>
      </c>
      <c r="AF5" s="31">
        <f>K35</f>
        <v>1.3503311280816624E-3</v>
      </c>
      <c r="AG5" s="31">
        <f>K42</f>
        <v>2.9276346081428953E-4</v>
      </c>
      <c r="AH5" s="21">
        <f>P7</f>
        <v>-6.802798329087878E-2</v>
      </c>
      <c r="AI5" s="21">
        <f>P14</f>
        <v>9.9725845277977315E-2</v>
      </c>
      <c r="AJ5" s="21">
        <f>P21</f>
        <v>2.9626995431573811E-2</v>
      </c>
      <c r="AK5" s="21">
        <f>P28</f>
        <v>0.62697704959655554</v>
      </c>
      <c r="AL5" s="21">
        <f>P35</f>
        <v>0.20072563146418865</v>
      </c>
      <c r="AM5">
        <f>P42</f>
        <v>0.49952511730781751</v>
      </c>
    </row>
    <row r="6" spans="3:48" x14ac:dyDescent="0.25"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>
        <v>0.28999999999999998</v>
      </c>
      <c r="U6">
        <v>3</v>
      </c>
      <c r="V6" s="30">
        <f>G7</f>
        <v>0.6134655580534556</v>
      </c>
      <c r="W6" s="30">
        <f>G14</f>
        <v>3.2006006093663242</v>
      </c>
      <c r="X6" s="30">
        <f>G21</f>
        <v>1.8759705628083949</v>
      </c>
      <c r="Y6" s="30">
        <f>G28</f>
        <v>1.0853250129747196</v>
      </c>
      <c r="Z6" s="30">
        <f>G35</f>
        <v>0.31454889384782803</v>
      </c>
      <c r="AA6" s="30">
        <f>G42</f>
        <v>1.5578848932223661</v>
      </c>
      <c r="AB6" s="31">
        <f>L7</f>
        <v>-2.2680140349244231E-4</v>
      </c>
      <c r="AC6" s="31">
        <f>L14</f>
        <v>1.230610819440944E-3</v>
      </c>
      <c r="AD6" s="31">
        <f>L21</f>
        <v>-2.1915985366771774E-3</v>
      </c>
      <c r="AE6" s="31">
        <f>L28</f>
        <v>8.0129015757772482E-4</v>
      </c>
      <c r="AF6" s="31">
        <f>L35</f>
        <v>1.5599519607489482E-3</v>
      </c>
      <c r="AG6" s="31">
        <f>L42</f>
        <v>7.4130491047556747E-4</v>
      </c>
      <c r="AH6" s="21">
        <f>Q7</f>
        <v>-0.6198829006860993</v>
      </c>
      <c r="AI6" s="21">
        <f>Q14</f>
        <v>-0.27211702762655515</v>
      </c>
      <c r="AJ6" s="21">
        <f>Q21</f>
        <v>-0.23850285456014184</v>
      </c>
      <c r="AK6" s="21">
        <f>Q28</f>
        <v>0.28288422051073886</v>
      </c>
      <c r="AL6" s="21">
        <f>Q35</f>
        <v>0.36068353503047507</v>
      </c>
      <c r="AM6">
        <f>Q42</f>
        <v>-0.56063799097735856</v>
      </c>
    </row>
    <row r="7" spans="3:48" x14ac:dyDescent="0.25">
      <c r="C7" s="37" t="s">
        <v>201</v>
      </c>
      <c r="D7" s="37"/>
      <c r="E7" s="37">
        <f>SLOPE(E3:E5,$D3:$D5)</f>
        <v>-1.6650731066826479</v>
      </c>
      <c r="F7" s="37">
        <f t="shared" ref="F7:S7" si="0">SLOPE(F3:F5,$D3:$D5)</f>
        <v>-1.5365504847519889</v>
      </c>
      <c r="G7" s="37">
        <f t="shared" si="0"/>
        <v>0.6134655580534556</v>
      </c>
      <c r="H7" s="37">
        <f t="shared" si="0"/>
        <v>-8.1695866379141793E-2</v>
      </c>
      <c r="I7" s="37"/>
      <c r="J7" s="37">
        <f t="shared" si="0"/>
        <v>-7.3806294419865096E-4</v>
      </c>
      <c r="K7" s="37">
        <f t="shared" si="0"/>
        <v>-5.8271650034034672E-3</v>
      </c>
      <c r="L7" s="37">
        <f t="shared" si="0"/>
        <v>-2.2680140349244231E-4</v>
      </c>
      <c r="M7" s="37">
        <f t="shared" si="0"/>
        <v>-2.1104710475353104E-3</v>
      </c>
      <c r="N7" s="37">
        <f t="shared" si="0"/>
        <v>6.6634862282337892E-3</v>
      </c>
      <c r="O7" s="37">
        <f t="shared" si="0"/>
        <v>-0.19065251036487887</v>
      </c>
      <c r="P7" s="37">
        <f t="shared" si="0"/>
        <v>-6.802798329087878E-2</v>
      </c>
      <c r="Q7" s="37">
        <f t="shared" si="0"/>
        <v>-0.6198829006860993</v>
      </c>
      <c r="R7" s="37">
        <f t="shared" si="0"/>
        <v>0.41065814762110842</v>
      </c>
      <c r="S7" s="37">
        <f t="shared" si="0"/>
        <v>0.81674050780108753</v>
      </c>
      <c r="T7">
        <v>1.48</v>
      </c>
      <c r="U7">
        <v>4</v>
      </c>
      <c r="V7" s="30">
        <f>H7</f>
        <v>-8.1695866379141793E-2</v>
      </c>
      <c r="W7" s="30"/>
      <c r="X7" s="30">
        <f>H21</f>
        <v>0.23835683141776193</v>
      </c>
      <c r="Y7" s="30">
        <f>H28</f>
        <v>0.43452823956591047</v>
      </c>
      <c r="Z7" s="30">
        <f>H35</f>
        <v>-0.2804392823599165</v>
      </c>
      <c r="AA7" s="30"/>
      <c r="AB7" s="31">
        <f>M7</f>
        <v>-2.1104710475353104E-3</v>
      </c>
      <c r="AC7" s="31"/>
      <c r="AD7" s="31">
        <f>M21</f>
        <v>7.3102448089633137E-4</v>
      </c>
      <c r="AE7" s="31">
        <f>M28</f>
        <v>1.1535757905121729E-3</v>
      </c>
      <c r="AF7" s="31">
        <f>M35</f>
        <v>-1.3629229056145976E-3</v>
      </c>
      <c r="AG7" s="31"/>
      <c r="AH7" s="21">
        <f>R7</f>
        <v>0.41065814762110842</v>
      </c>
      <c r="AI7" s="21"/>
      <c r="AJ7" s="21">
        <f>R21</f>
        <v>0.1411272043858231</v>
      </c>
      <c r="AK7" s="21">
        <f>R28</f>
        <v>0.34631087676403721</v>
      </c>
      <c r="AL7" s="21">
        <f>R35</f>
        <v>0.25267290984893997</v>
      </c>
    </row>
    <row r="8" spans="3:48" x14ac:dyDescent="0.25">
      <c r="T8">
        <v>0.56000000000000005</v>
      </c>
      <c r="U8">
        <v>5</v>
      </c>
      <c r="V8" s="30"/>
      <c r="W8" s="30"/>
      <c r="X8" s="30">
        <f>I21</f>
        <v>-0.77254754446295304</v>
      </c>
      <c r="Y8" s="30">
        <f>I28</f>
        <v>-1.7736790655988364</v>
      </c>
      <c r="Z8" s="30"/>
      <c r="AA8" s="30"/>
      <c r="AB8" s="31"/>
      <c r="AC8" s="31"/>
      <c r="AD8" s="31"/>
      <c r="AE8" s="31">
        <f>N28</f>
        <v>-4.9582307515289438E-4</v>
      </c>
      <c r="AF8" s="31"/>
      <c r="AG8" s="31"/>
      <c r="AH8" s="21"/>
      <c r="AI8" s="21"/>
      <c r="AJ8" s="21">
        <f>S21</f>
        <v>0.34827498422099651</v>
      </c>
      <c r="AK8" s="21">
        <f>S28</f>
        <v>0.4762345379979257</v>
      </c>
      <c r="AL8" s="21">
        <f>S35</f>
        <v>0.98475493756322807</v>
      </c>
    </row>
    <row r="9" spans="3:48" x14ac:dyDescent="0.25">
      <c r="C9" s="33" t="s">
        <v>173</v>
      </c>
      <c r="D9" s="33" t="s">
        <v>175</v>
      </c>
      <c r="E9" s="33" t="s">
        <v>206</v>
      </c>
      <c r="F9" s="33" t="s">
        <v>207</v>
      </c>
      <c r="G9" s="33" t="s">
        <v>208</v>
      </c>
      <c r="H9" s="33" t="s">
        <v>250</v>
      </c>
      <c r="I9" s="33" t="s">
        <v>251</v>
      </c>
      <c r="J9" s="33" t="s">
        <v>206</v>
      </c>
      <c r="K9" s="33" t="s">
        <v>207</v>
      </c>
      <c r="L9" s="33" t="s">
        <v>208</v>
      </c>
      <c r="M9" s="33" t="s">
        <v>250</v>
      </c>
      <c r="N9" s="33" t="s">
        <v>251</v>
      </c>
      <c r="O9" s="33" t="s">
        <v>206</v>
      </c>
      <c r="P9" s="33" t="s">
        <v>207</v>
      </c>
      <c r="Q9" s="33" t="s">
        <v>208</v>
      </c>
      <c r="R9" s="33" t="s">
        <v>250</v>
      </c>
      <c r="S9" s="33" t="s">
        <v>251</v>
      </c>
    </row>
    <row r="10" spans="3:48" x14ac:dyDescent="0.25">
      <c r="C10" s="33" t="s">
        <v>177</v>
      </c>
      <c r="D10" s="33">
        <v>10</v>
      </c>
      <c r="E10" s="33">
        <f>'Summary paramters'!E19</f>
        <v>20.10103833642939</v>
      </c>
      <c r="F10" s="33">
        <f>'Summary paramters'!E20</f>
        <v>17.790894552933182</v>
      </c>
      <c r="G10" s="33">
        <f>'Summary paramters'!E21</f>
        <v>11.548951787146541</v>
      </c>
      <c r="H10" s="33">
        <f>AVERAGE(E10:G10)</f>
        <v>16.480294892169706</v>
      </c>
      <c r="I10" s="33">
        <f>'Summary paramters'!E23</f>
        <v>22.699910151902802</v>
      </c>
      <c r="J10" s="33">
        <f>'Summary paramters'!F19</f>
        <v>3.3620544014554096E-2</v>
      </c>
      <c r="K10" s="33">
        <f>'Summary paramters'!F20</f>
        <v>6.4637438658064414E-2</v>
      </c>
      <c r="L10" s="33">
        <f>'Summary paramters'!F21</f>
        <v>1.6287866849208927E-2</v>
      </c>
      <c r="M10" s="33">
        <f>'Summary paramters'!F22</f>
        <v>1.3675340559158058E-2</v>
      </c>
      <c r="N10" s="33">
        <f>'Summary paramters'!F23</f>
        <v>5.2549518042229564E-2</v>
      </c>
      <c r="O10" s="33">
        <f>'Summary paramters'!G19</f>
        <v>5.2383859019293242</v>
      </c>
      <c r="P10" s="33">
        <f>'Summary paramters'!G20</f>
        <v>6.5622454957840519</v>
      </c>
      <c r="Q10" s="33">
        <f>'Summary paramters'!G21</f>
        <v>9.8211989051201378</v>
      </c>
      <c r="R10" s="33">
        <f>'Summary paramters'!G22</f>
        <v>12.739458763366169</v>
      </c>
      <c r="S10" s="33">
        <f>'Summary paramters'!G23</f>
        <v>13.847027431316944</v>
      </c>
      <c r="T10" s="46"/>
      <c r="AI10" t="s">
        <v>258</v>
      </c>
      <c r="AP10" t="s">
        <v>259</v>
      </c>
    </row>
    <row r="11" spans="3:48" x14ac:dyDescent="0.25">
      <c r="C11" s="33" t="s">
        <v>177</v>
      </c>
      <c r="D11" s="33">
        <v>15</v>
      </c>
      <c r="E11" s="33">
        <f>'Summary paramters'!E24</f>
        <v>66.986945349128092</v>
      </c>
      <c r="F11" s="33">
        <f>'Summary paramters'!E25</f>
        <v>34.047774282945078</v>
      </c>
      <c r="G11" s="33">
        <f>'Summary paramters'!E26</f>
        <v>30.759284685158182</v>
      </c>
      <c r="H11" s="33">
        <f>'Summary paramters'!E27</f>
        <v>18.736440271962891</v>
      </c>
      <c r="I11" s="33">
        <f>'Summary paramters'!E28</f>
        <v>5.356042667498234</v>
      </c>
      <c r="J11" s="33">
        <f>'Summary paramters'!F24</f>
        <v>6.1450872285082433E-2</v>
      </c>
      <c r="K11" s="33">
        <f>'Summary paramters'!F25</f>
        <v>6.8861529681728859E-2</v>
      </c>
      <c r="L11" s="33">
        <f>'Summary paramters'!F26</f>
        <v>2.9292153151449757E-2</v>
      </c>
      <c r="M11" s="33">
        <f>'Summary paramters'!F27</f>
        <v>6.3859357736581801E-2</v>
      </c>
      <c r="N11" s="33">
        <f>'Summary paramters'!F28</f>
        <v>5.6219232195707042E-2</v>
      </c>
      <c r="O11" s="33">
        <f>'Summary paramters'!G24</f>
        <v>8.2865785877007703</v>
      </c>
      <c r="P11" s="33">
        <f>'Summary paramters'!G25</f>
        <v>5.7941158632476357</v>
      </c>
      <c r="Q11" s="33">
        <f>'Summary paramters'!G26</f>
        <v>7.4474672300792966</v>
      </c>
      <c r="R11" s="33">
        <f>'Summary paramters'!G27</f>
        <v>7.443542375115813</v>
      </c>
      <c r="S11" s="33">
        <f>'Summary paramters'!G28</f>
        <v>18.927572810651011</v>
      </c>
      <c r="T11" s="46"/>
      <c r="V11" t="s">
        <v>254</v>
      </c>
      <c r="W11" t="s">
        <v>305</v>
      </c>
      <c r="X11" t="s">
        <v>209</v>
      </c>
      <c r="Y11" t="s">
        <v>210</v>
      </c>
      <c r="Z11" t="s">
        <v>134</v>
      </c>
      <c r="AA11" t="s">
        <v>256</v>
      </c>
      <c r="AB11" t="s">
        <v>257</v>
      </c>
      <c r="AC11" t="s">
        <v>262</v>
      </c>
      <c r="AD11" t="s">
        <v>264</v>
      </c>
      <c r="AE11" t="s">
        <v>263</v>
      </c>
      <c r="AG11" t="s">
        <v>303</v>
      </c>
      <c r="AH11" t="s">
        <v>254</v>
      </c>
      <c r="AI11" s="16" t="s">
        <v>202</v>
      </c>
      <c r="AP11" s="16" t="s">
        <v>202</v>
      </c>
    </row>
    <row r="12" spans="3:48" x14ac:dyDescent="0.25">
      <c r="C12" s="33" t="s">
        <v>177</v>
      </c>
      <c r="D12" s="33">
        <v>20</v>
      </c>
      <c r="E12" s="33">
        <f>'Summary paramters'!E29</f>
        <v>57.289758726229955</v>
      </c>
      <c r="F12" s="33">
        <f>'Summary paramters'!E30</f>
        <v>10.187641259503</v>
      </c>
      <c r="G12" s="33">
        <f>'Summary paramters'!E31</f>
        <v>43.554957880809781</v>
      </c>
      <c r="H12" s="33">
        <f>'Summary paramters'!E32</f>
        <v>14.725420415923661</v>
      </c>
      <c r="I12" s="33">
        <f>'Summary paramters'!E33</f>
        <v>4.9631194959144391</v>
      </c>
      <c r="J12" s="33">
        <f>'Summary paramters'!F29</f>
        <v>6.1961483160382205E-2</v>
      </c>
      <c r="K12" s="33">
        <f>'Summary paramters'!F30</f>
        <v>5.5036015268330733E-2</v>
      </c>
      <c r="L12" s="33">
        <f>'Summary paramters'!F31</f>
        <v>2.8593975043618367E-2</v>
      </c>
      <c r="M12" s="33">
        <f>'Summary paramters'!F32</f>
        <v>4.4577794819318048E-2</v>
      </c>
      <c r="N12" s="33">
        <f>'Summary paramters'!F33</f>
        <v>4.7591287290700619E-2</v>
      </c>
      <c r="O12" s="33">
        <f>'Summary paramters'!G29</f>
        <v>8.5923946936426709</v>
      </c>
      <c r="P12" s="33">
        <f>'Summary paramters'!G30</f>
        <v>7.5595039485638251</v>
      </c>
      <c r="Q12" s="33">
        <f>'Summary paramters'!G31</f>
        <v>7.1000286288545862</v>
      </c>
      <c r="R12" s="33">
        <f>'Summary paramters'!G32</f>
        <v>5.6242681519095283</v>
      </c>
      <c r="S12" s="33">
        <f>'Summary paramters'!G33</f>
        <v>18.6093728112962</v>
      </c>
      <c r="T12" s="46"/>
      <c r="U12" s="33" t="s">
        <v>176</v>
      </c>
      <c r="V12" s="33">
        <f>T$4</f>
        <v>0</v>
      </c>
      <c r="W12">
        <v>8693.8472080764768</v>
      </c>
      <c r="X12" s="33">
        <f>V4</f>
        <v>-1.6650731066826479</v>
      </c>
      <c r="Y12" s="33">
        <f>AB4</f>
        <v>-7.3806294419865096E-4</v>
      </c>
      <c r="Z12" s="33">
        <f>AH4</f>
        <v>-0.19065251036487887</v>
      </c>
      <c r="AA12" s="33"/>
      <c r="AB12" s="33"/>
      <c r="AC12">
        <f>$O5</f>
        <v>4.2792638674797532</v>
      </c>
      <c r="AD12">
        <f>$O4</f>
        <v>4.9280751178466211</v>
      </c>
      <c r="AE12">
        <f>$O3</f>
        <v>6.1857889711285416</v>
      </c>
      <c r="AF12" t="s">
        <v>259</v>
      </c>
      <c r="AG12" t="s">
        <v>304</v>
      </c>
      <c r="AH12" t="s">
        <v>253</v>
      </c>
      <c r="AI12" s="16" t="s">
        <v>203</v>
      </c>
      <c r="AJ12" t="s">
        <v>130</v>
      </c>
      <c r="AK12" t="s">
        <v>132</v>
      </c>
      <c r="AL12" t="s">
        <v>134</v>
      </c>
      <c r="AM12" t="s">
        <v>262</v>
      </c>
      <c r="AN12" t="s">
        <v>262</v>
      </c>
      <c r="AO12" t="s">
        <v>263</v>
      </c>
      <c r="AP12" s="16" t="s">
        <v>203</v>
      </c>
      <c r="AQ12" t="s">
        <v>130</v>
      </c>
      <c r="AR12" t="s">
        <v>132</v>
      </c>
      <c r="AS12" t="s">
        <v>134</v>
      </c>
      <c r="AT12" s="51" t="s">
        <v>262</v>
      </c>
      <c r="AU12" s="51" t="s">
        <v>262</v>
      </c>
      <c r="AV12" s="51" t="s">
        <v>263</v>
      </c>
    </row>
    <row r="13" spans="3:48" x14ac:dyDescent="0.25"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46"/>
      <c r="U13" s="33" t="s">
        <v>176</v>
      </c>
      <c r="V13" s="33">
        <f>T$4</f>
        <v>0</v>
      </c>
      <c r="W13">
        <v>8693.8472080764768</v>
      </c>
      <c r="X13" s="33">
        <f>V5</f>
        <v>-1.5365504847519889</v>
      </c>
      <c r="Y13" s="33">
        <f>AB5</f>
        <v>-5.8271650034034672E-3</v>
      </c>
      <c r="Z13" s="33">
        <f>AH5</f>
        <v>-6.802798329087878E-2</v>
      </c>
      <c r="AA13" s="33"/>
      <c r="AB13" s="33"/>
      <c r="AC13">
        <f>$P5</f>
        <v>4.6158066835186586</v>
      </c>
      <c r="AD13">
        <f>$P4</f>
        <v>6.0569534022550275</v>
      </c>
      <c r="AE13">
        <f>$P3</f>
        <v>5.2960865164274464</v>
      </c>
      <c r="AF13" s="53">
        <v>717.64647376544781</v>
      </c>
      <c r="AG13">
        <v>8693.8472080764768</v>
      </c>
      <c r="AH13">
        <v>0</v>
      </c>
      <c r="AI13" s="17" t="s">
        <v>176</v>
      </c>
      <c r="AJ13" s="17">
        <f>AVERAGE(X12:X16)</f>
        <v>-0.66746347494008074</v>
      </c>
      <c r="AK13" s="17">
        <f>AVERAGE(Y12:Y16)</f>
        <v>-2.2256250996574678E-3</v>
      </c>
      <c r="AL13" s="17">
        <f>AVERAGE(Z12:Z16)</f>
        <v>-0.11697631168018713</v>
      </c>
      <c r="AM13">
        <f>AVERAGE(AC12:AC16)</f>
        <v>5.7503143236584453</v>
      </c>
      <c r="AN13">
        <f>AVERAGE(AD12:AD16)</f>
        <v>6.4208856266864114</v>
      </c>
      <c r="AO13">
        <f>AVERAGE(AE12:AE16)</f>
        <v>6.9200774404603171</v>
      </c>
      <c r="AP13" s="17" t="s">
        <v>176</v>
      </c>
      <c r="AQ13" s="17">
        <f>STDEV(X12:X16)/(COUNTA(X12:X16))</f>
        <v>0.27892801067861805</v>
      </c>
      <c r="AR13" s="17">
        <f>STDEV(Y12:Y16)/(COUNTA(Y12:Y16))</f>
        <v>6.3233178706374456E-4</v>
      </c>
      <c r="AS13" s="17">
        <f>STDEV(Z12:Z16)/(COUNTA(Z12:Z16))</f>
        <v>0.10598125630393189</v>
      </c>
      <c r="AT13" s="51">
        <f>STDEV(AC12:AC16)/(COUNTA(AC12:AC16))</f>
        <v>0.89470676999624776</v>
      </c>
      <c r="AU13" s="51">
        <f>STDEV(AD12:AD16)/(COUNTA(AD12:AD16))</f>
        <v>0.5922543879913903</v>
      </c>
      <c r="AV13" s="51">
        <f>STDEV(AE12:AE16)/(COUNTA(AE12:AE16))</f>
        <v>0.42666360125940772</v>
      </c>
    </row>
    <row r="14" spans="3:48" x14ac:dyDescent="0.25">
      <c r="C14" s="39" t="s">
        <v>201</v>
      </c>
      <c r="D14" s="39"/>
      <c r="E14" s="39">
        <f>SLOPE(E10:E12,$D10:$D12)</f>
        <v>3.7188720389800562</v>
      </c>
      <c r="F14" s="39">
        <f>SLOPE(F10:F12,$D10:$D12)</f>
        <v>-0.76032532934301822</v>
      </c>
      <c r="G14" s="39">
        <f>SLOPE(G10:G12,$D10:$D12)</f>
        <v>3.2006006093663242</v>
      </c>
      <c r="H14" s="39">
        <f>SLOPE(H10:H12,$D10:$D12)</f>
        <v>-0.17548744762460444</v>
      </c>
      <c r="I14" s="39"/>
      <c r="J14" s="39">
        <f>SLOPE(J10:J12,$D10:$D12)</f>
        <v>2.8340939145828107E-3</v>
      </c>
      <c r="K14" s="39">
        <f>SLOPE(K10:K12,$D10:$D12)</f>
        <v>-9.6014233897336802E-4</v>
      </c>
      <c r="L14" s="39">
        <f>SLOPE(L10:L12,$D10:$D12)</f>
        <v>1.230610819440944E-3</v>
      </c>
      <c r="M14" s="39">
        <f>SLOPE(M10:M12,$D10:$D12)</f>
        <v>3.0902454260159991E-3</v>
      </c>
      <c r="N14" s="39"/>
      <c r="O14" s="39">
        <f>SLOPE(O10:O12,$D10:$D12)</f>
        <v>0.33540087917133471</v>
      </c>
      <c r="P14" s="39">
        <f>SLOPE(P10:P12,$D10:$D12)</f>
        <v>9.9725845277977315E-2</v>
      </c>
      <c r="Q14" s="39">
        <f>SLOPE(Q10:Q12,$D10:$D12)</f>
        <v>-0.27211702762655515</v>
      </c>
      <c r="R14" s="39">
        <f>SLOPE(R10:R12,$D10:$D12)</f>
        <v>-0.71151906114566399</v>
      </c>
      <c r="S14" s="39"/>
      <c r="T14" s="47"/>
      <c r="U14" s="33" t="s">
        <v>176</v>
      </c>
      <c r="V14" s="33">
        <f>T$4</f>
        <v>0</v>
      </c>
      <c r="W14">
        <v>8693.8472080764768</v>
      </c>
      <c r="X14" s="33">
        <f>V6</f>
        <v>0.6134655580534556</v>
      </c>
      <c r="Y14" s="33">
        <f>AB6</f>
        <v>-2.2680140349244231E-4</v>
      </c>
      <c r="Z14" s="33">
        <f>AH6</f>
        <v>-0.6198829006860993</v>
      </c>
      <c r="AA14" s="33"/>
      <c r="AB14" s="33"/>
      <c r="AC14">
        <f>$Q5</f>
        <v>3.0795278269639685</v>
      </c>
      <c r="AD14">
        <f>$Q4</f>
        <v>4.8241772107702721</v>
      </c>
      <c r="AE14">
        <f>$Q3</f>
        <v>9.2783568338249616</v>
      </c>
      <c r="AF14" s="53">
        <v>95.056510928179563</v>
      </c>
      <c r="AG14">
        <v>1415.8322348383324</v>
      </c>
      <c r="AH14">
        <v>0</v>
      </c>
      <c r="AI14" s="20" t="s">
        <v>204</v>
      </c>
      <c r="AJ14" s="20">
        <f>AVERAGE(X17:X21)</f>
        <v>2.0530491063344543</v>
      </c>
      <c r="AK14" s="20">
        <f>AVERAGE(Y17:Y21)</f>
        <v>1.0348541316834621E-3</v>
      </c>
      <c r="AL14" s="20">
        <f>AVERAGE(Z17:Z21)</f>
        <v>5.4336565607585617E-2</v>
      </c>
      <c r="AM14">
        <f>AVERAGE(AC17:AC21)</f>
        <v>7.7506424236870286</v>
      </c>
      <c r="AN14">
        <f>AVERAGE(AD17:AD21)</f>
        <v>7.1760538936759017</v>
      </c>
      <c r="AO14">
        <f>AVERAGE(AE17:AE21)</f>
        <v>7.2072767676111722</v>
      </c>
      <c r="AP14" s="20" t="s">
        <v>204</v>
      </c>
      <c r="AQ14" s="20">
        <f>STDEV(X17:X21)/(COUNTA(X17:X21))</f>
        <v>0.81673184128921994</v>
      </c>
      <c r="AR14" s="20">
        <f>STDEV(Y17:Y21)/(COUNTA(Y17:Y21))</f>
        <v>6.3489261537779773E-4</v>
      </c>
      <c r="AS14" s="20">
        <f>STDEV(Z17:Z21)/(COUNTA(Z17:Z21))</f>
        <v>0.10209725309275258</v>
      </c>
      <c r="AT14" s="51">
        <f>STDEV(AC17:AC21)/(COUNTA(AC17:AC21))</f>
        <v>0.25477431305571119</v>
      </c>
      <c r="AU14" s="51">
        <f>STDEV(AD17:AD21)/(COUNTA(AD17:AD21))</f>
        <v>0.42273468269514597</v>
      </c>
      <c r="AV14" s="51">
        <f>STDEV(AE17:AE21)/(COUNTA(AE17:AE21))</f>
        <v>0.7861716494633878</v>
      </c>
    </row>
    <row r="15" spans="3:48" x14ac:dyDescent="0.25">
      <c r="T15" s="46"/>
      <c r="U15" s="33" t="s">
        <v>176</v>
      </c>
      <c r="V15" s="33">
        <f>T$4</f>
        <v>0</v>
      </c>
      <c r="W15">
        <v>8693.8472080764768</v>
      </c>
      <c r="X15" s="33">
        <f>V7</f>
        <v>-8.1695866379141793E-2</v>
      </c>
      <c r="Y15" s="33">
        <f>AB7</f>
        <v>-2.1104710475353104E-3</v>
      </c>
      <c r="Z15" s="33">
        <f>AH7</f>
        <v>0.41065814762110842</v>
      </c>
      <c r="AA15" s="33"/>
      <c r="AB15" s="33"/>
      <c r="AC15">
        <f>$R5</f>
        <v>11.026658916671401</v>
      </c>
      <c r="AD15">
        <f>$R4</f>
        <v>9.8743367758737257</v>
      </c>
      <c r="AE15">
        <f>R3</f>
        <v>6.9200774404603171</v>
      </c>
      <c r="AF15" s="53">
        <v>243.25973826834215</v>
      </c>
      <c r="AG15">
        <v>3737.7087242026269</v>
      </c>
      <c r="AH15">
        <v>0.28999999999999998</v>
      </c>
      <c r="AI15" s="22" t="s">
        <v>205</v>
      </c>
      <c r="AJ15" s="22">
        <f>AVERAGE(X22:X26)</f>
        <v>0.34817155955092205</v>
      </c>
      <c r="AK15" s="22">
        <f>AVERAGE(Y22:Y26)</f>
        <v>-6.1609875988315849E-4</v>
      </c>
      <c r="AL15" s="22">
        <f>AVERAGE(Z22:Z26)</f>
        <v>2.4877953095058671E-2</v>
      </c>
      <c r="AM15">
        <f>AVERAGE(AC22:AC26)</f>
        <v>7.6144286171226296</v>
      </c>
      <c r="AN15">
        <f>AVERAGE(AD22:AD26)</f>
        <v>7.3659891311841816</v>
      </c>
      <c r="AO15">
        <f>AVERAGE(AE22:AE26)</f>
        <v>7.3656490861720441</v>
      </c>
      <c r="AP15" s="22" t="s">
        <v>205</v>
      </c>
      <c r="AQ15" s="22">
        <f>STDEV(X22:X26)/(COUNTA(X22:X26))</f>
        <v>0.23561507146123306</v>
      </c>
      <c r="AR15" s="22">
        <f>STDEV(Y22:Y26)/(COUNTA(Y22:Y26))</f>
        <v>3.0012048364214805E-4</v>
      </c>
      <c r="AS15" s="22">
        <f>STDEV(Z22:Z26)/(COUNTA(Z22:Z26))</f>
        <v>4.6931629719324908E-2</v>
      </c>
      <c r="AT15" s="51">
        <f>STDEV(AC22:AC26)/(COUNTA(AC22:AC26))</f>
        <v>0.47552217100425481</v>
      </c>
      <c r="AU15" s="51">
        <f>STDEV(AD22:AD26)/(COUNTA(AD22:AD26))</f>
        <v>0.3021952605156048</v>
      </c>
      <c r="AV15" s="51">
        <f>STDEV(AE22:AE26)/(COUNTA(AE22:AE26))</f>
        <v>0.32506028610823334</v>
      </c>
    </row>
    <row r="16" spans="3:48" x14ac:dyDescent="0.25">
      <c r="C16" s="17" t="s">
        <v>173</v>
      </c>
      <c r="D16" s="17" t="s">
        <v>175</v>
      </c>
      <c r="E16" s="17" t="s">
        <v>206</v>
      </c>
      <c r="F16" s="17" t="s">
        <v>207</v>
      </c>
      <c r="G16" s="17" t="s">
        <v>208</v>
      </c>
      <c r="H16" s="17" t="s">
        <v>250</v>
      </c>
      <c r="I16" s="17" t="s">
        <v>251</v>
      </c>
      <c r="J16" s="17" t="s">
        <v>206</v>
      </c>
      <c r="K16" s="17" t="s">
        <v>207</v>
      </c>
      <c r="L16" s="17" t="s">
        <v>208</v>
      </c>
      <c r="M16" s="17" t="s">
        <v>250</v>
      </c>
      <c r="N16" s="17" t="s">
        <v>251</v>
      </c>
      <c r="O16" s="17" t="s">
        <v>206</v>
      </c>
      <c r="P16" s="17" t="s">
        <v>207</v>
      </c>
      <c r="Q16" s="17" t="s">
        <v>208</v>
      </c>
      <c r="R16" s="17" t="s">
        <v>250</v>
      </c>
      <c r="S16" s="17" t="s">
        <v>251</v>
      </c>
      <c r="T16" s="46"/>
      <c r="U16" s="33" t="s">
        <v>176</v>
      </c>
      <c r="V16" s="33">
        <f>T$4</f>
        <v>0</v>
      </c>
      <c r="W16">
        <v>8693.8472080764768</v>
      </c>
      <c r="X16" s="33"/>
      <c r="Y16" s="33"/>
      <c r="Z16" s="33"/>
      <c r="AA16" s="33"/>
      <c r="AB16" s="33"/>
      <c r="AF16" s="53">
        <v>287.17898537786442</v>
      </c>
      <c r="AG16" s="53">
        <v>6172</v>
      </c>
      <c r="AH16">
        <v>1.48</v>
      </c>
      <c r="AI16" s="27" t="s">
        <v>249</v>
      </c>
      <c r="AJ16" s="27">
        <f>AVERAGE(X27:X31)</f>
        <v>0.18566101746344627</v>
      </c>
      <c r="AK16" s="27">
        <f>AVERAGE(Y27:Y31)</f>
        <v>1.8071042637768937E-3</v>
      </c>
      <c r="AL16" s="27">
        <f>AVERAGE(Z27:Z31)</f>
        <v>0.39607029459527743</v>
      </c>
      <c r="AM16">
        <f>AVERAGE(AC27:AC31)</f>
        <v>13.600714172809589</v>
      </c>
      <c r="AN16">
        <f>AVERAGE(AD27:AD31)</f>
        <v>10.58949539239495</v>
      </c>
      <c r="AO16">
        <f>AVERAGE(AE27:AE31)</f>
        <v>9.6400112268568172</v>
      </c>
      <c r="AP16" s="27" t="s">
        <v>249</v>
      </c>
      <c r="AQ16" s="27">
        <f>STDEV(X27:X31)/(COUNTA(X27:X31))</f>
        <v>0.37423421912038546</v>
      </c>
      <c r="AR16" s="27">
        <f>STDEV(Y27:Y31)/(COUNTA(Y27:Y31))</f>
        <v>5.1177742665683068E-4</v>
      </c>
      <c r="AS16" s="27">
        <f>STDEV(Z27:Z31)/(COUNTA(Z27:Z31))</f>
        <v>3.114040592662274E-2</v>
      </c>
      <c r="AT16" s="51">
        <f>STDEV(AC27:AC31)/(COUNTA(AC27:AC31))</f>
        <v>0.61770793577562466</v>
      </c>
      <c r="AU16" s="51">
        <f>STDEV(AD27:AD31)/(COUNTA(AD27:AD31))</f>
        <v>0.30878459437309624</v>
      </c>
      <c r="AV16" s="51">
        <f>STDEV(AE27:AE31)/(COUNTA(AE27:AE31))</f>
        <v>0.54745259551090464</v>
      </c>
    </row>
    <row r="17" spans="3:48" x14ac:dyDescent="0.25">
      <c r="C17" s="17" t="s">
        <v>178</v>
      </c>
      <c r="D17" s="17">
        <v>10</v>
      </c>
      <c r="E17" s="17">
        <f>'Summary paramters'!E34</f>
        <v>22.976435657632408</v>
      </c>
      <c r="F17" s="17">
        <f>'Summary paramters'!E35</f>
        <v>9.9063164825775676</v>
      </c>
      <c r="G17" s="43">
        <f>AVERAGE(E17,F17,H17,I17)</f>
        <v>20.61564591188003</v>
      </c>
      <c r="H17" s="17">
        <f>'Summary paramters'!E37</f>
        <v>23.572644188518488</v>
      </c>
      <c r="I17" s="17">
        <f>'Summary paramters'!E38</f>
        <v>26.007187318791662</v>
      </c>
      <c r="J17" s="17">
        <f>'Summary paramters'!F34</f>
        <v>6.1692867576514814E-2</v>
      </c>
      <c r="K17" s="17">
        <f>'Summary paramters'!F35</f>
        <v>7.5574566813003285E-2</v>
      </c>
      <c r="L17" s="17">
        <f>'Summary paramters'!F36</f>
        <v>5.8358617246260062E-2</v>
      </c>
      <c r="M17" s="17">
        <f>'Summary paramters'!F37</f>
        <v>5.8358617246260062E-2</v>
      </c>
      <c r="N17" s="17">
        <f>'Summary paramters'!F38</f>
        <v>6.7744727856311415E-2</v>
      </c>
      <c r="O17" s="17">
        <f>'Summary paramters'!G34</f>
        <v>6.7452251312513267</v>
      </c>
      <c r="P17" s="17">
        <f>'Summary paramters'!G35</f>
        <v>9.0966172090547932</v>
      </c>
      <c r="Q17" s="43">
        <f>AVERAGE(O17,P17,S17,R17)</f>
        <v>7.3656490861720432</v>
      </c>
      <c r="R17" s="17">
        <f>'Summary paramters'!G37</f>
        <v>8.6226391603380979</v>
      </c>
      <c r="S17" s="17">
        <f>'Summary paramters'!G38</f>
        <v>4.9981148440439584</v>
      </c>
      <c r="T17" s="46"/>
      <c r="U17" s="42" t="s">
        <v>177</v>
      </c>
      <c r="V17" s="42">
        <f>T$5</f>
        <v>0</v>
      </c>
      <c r="W17">
        <v>1415.8322348383324</v>
      </c>
      <c r="X17" s="42">
        <f>W4</f>
        <v>3.7188720389800562</v>
      </c>
      <c r="Y17" s="42">
        <f>AC4</f>
        <v>2.8340939145828107E-3</v>
      </c>
      <c r="Z17" s="42">
        <f>AI4</f>
        <v>0.33540087917133471</v>
      </c>
      <c r="AA17" s="42"/>
      <c r="AB17" s="42"/>
      <c r="AC17">
        <f>$O12</f>
        <v>8.5923946936426709</v>
      </c>
      <c r="AD17">
        <f>$O11</f>
        <v>8.2865785877007703</v>
      </c>
      <c r="AE17">
        <f>$O10</f>
        <v>5.2383859019293242</v>
      </c>
      <c r="AF17" s="53">
        <v>142.42827981813818</v>
      </c>
      <c r="AG17">
        <v>8111.8569016349502</v>
      </c>
      <c r="AH17">
        <v>0.56000000000000005</v>
      </c>
      <c r="AI17" s="33" t="s">
        <v>248</v>
      </c>
      <c r="AJ17" s="33">
        <f>AVERAGE(X32:X36)</f>
        <v>1.0807716331455395</v>
      </c>
      <c r="AK17" s="33">
        <f>AVERAGE(Y32:Y36)</f>
        <v>6.3019017062422534E-4</v>
      </c>
      <c r="AL17" s="33">
        <f>AVERAGE(Z32:Z36)</f>
        <v>0.20295742617681253</v>
      </c>
      <c r="AM17">
        <f>AVERAGE(AC32:AC36)</f>
        <v>8.4196652774095391</v>
      </c>
      <c r="AN17">
        <f>AVERAGE(AD32:AD36)</f>
        <v>8.295456334146543</v>
      </c>
      <c r="AO17">
        <f>AVERAGE(AE32:AE36)</f>
        <v>6.3900910156414144</v>
      </c>
      <c r="AP17" s="33" t="s">
        <v>248</v>
      </c>
      <c r="AQ17" s="33">
        <f>STDEV(X32:X36)/(COUNTA(X32:X36))</f>
        <v>0.35236472747252706</v>
      </c>
      <c r="AR17" s="33">
        <f>STDEV(Y32:Y36)/(COUNTA(Y32:Y36))</f>
        <v>3.3768060135017759E-4</v>
      </c>
      <c r="AS17" s="33">
        <f>STDEV(Z32:Z36)/(COUNTA(Z32:Z36))</f>
        <v>3.8041971545975481E-2</v>
      </c>
      <c r="AT17" s="51">
        <f>STDEV(AC32:AC36)/(COUNTA(AC32:AC36))</f>
        <v>0.4659773077703519</v>
      </c>
      <c r="AU17" s="51">
        <f>STDEV(AD32:AD36)/(COUNTA(AD32:AD36))</f>
        <v>0.42896153771497036</v>
      </c>
      <c r="AV17" s="51">
        <f>STDEV(AE32:AE36)/(COUNTA(AE32:AE36))</f>
        <v>0.21117639118313841</v>
      </c>
    </row>
    <row r="18" spans="3:48" x14ac:dyDescent="0.25">
      <c r="C18" s="17" t="s">
        <v>178</v>
      </c>
      <c r="D18" s="17">
        <v>15</v>
      </c>
      <c r="E18" s="17">
        <f>'Summary paramters'!E39</f>
        <v>25.120153704349576</v>
      </c>
      <c r="F18" s="17">
        <f>'Summary paramters'!E40</f>
        <v>33.390606151508187</v>
      </c>
      <c r="G18" s="17">
        <f>'Summary paramters'!E41</f>
        <v>30.944613395480161</v>
      </c>
      <c r="H18" s="17">
        <f>'Summary paramters'!E42</f>
        <v>18.466804626703677</v>
      </c>
      <c r="I18" s="17">
        <f>'Summary paramters'!E43</f>
        <v>14.628457431963025</v>
      </c>
      <c r="J18" s="17">
        <f>'Summary paramters'!F39</f>
        <v>4.8882096373533065E-2</v>
      </c>
      <c r="K18" s="17">
        <f>'Summary paramters'!F40</f>
        <v>8.0137351812083243E-2</v>
      </c>
      <c r="L18" s="17">
        <f>'Summary paramters'!F41</f>
        <v>4.9469470288012671E-2</v>
      </c>
      <c r="M18" s="17">
        <f>'Summary paramters'!F42</f>
        <v>6.5805926702777101E-2</v>
      </c>
      <c r="N18" s="17">
        <f>'Summary paramters'!F43</f>
        <v>6.226291129255937E-2</v>
      </c>
      <c r="O18" s="17">
        <f>'Summary paramters'!G39</f>
        <v>5.7531037438547914</v>
      </c>
      <c r="P18" s="17">
        <f>'Summary paramters'!G40</f>
        <v>8.4629283135635127</v>
      </c>
      <c r="Q18" s="17">
        <f>'Summary paramters'!G41</f>
        <v>6.5014024619808541</v>
      </c>
      <c r="R18" s="17">
        <f>'Summary paramters'!G42</f>
        <v>9.4029324204485949</v>
      </c>
      <c r="S18" s="17">
        <f>'Summary paramters'!G43</f>
        <v>6.7095787160731577</v>
      </c>
      <c r="T18" s="46"/>
      <c r="U18" s="42" t="s">
        <v>177</v>
      </c>
      <c r="V18" s="42">
        <f>T$5</f>
        <v>0</v>
      </c>
      <c r="W18">
        <v>1415.8322348383324</v>
      </c>
      <c r="X18" s="42">
        <f>W5</f>
        <v>-0.76032532934301822</v>
      </c>
      <c r="Y18" s="42">
        <f>AC5</f>
        <v>-9.6014233897336802E-4</v>
      </c>
      <c r="Z18" s="42">
        <f>AI5</f>
        <v>9.9725845277977315E-2</v>
      </c>
      <c r="AA18" s="42"/>
      <c r="AB18" s="42"/>
      <c r="AC18">
        <f>$P12</f>
        <v>7.5595039485638251</v>
      </c>
      <c r="AD18">
        <f>$P11</f>
        <v>5.7941158632476357</v>
      </c>
      <c r="AE18">
        <f>$P10</f>
        <v>6.5622454957840519</v>
      </c>
      <c r="AH18">
        <v>0</v>
      </c>
      <c r="AI18" s="20" t="s">
        <v>268</v>
      </c>
      <c r="AJ18" s="20">
        <f>AVERAGE(X37:X41)</f>
        <v>-0.26148663957449003</v>
      </c>
      <c r="AK18" s="20">
        <f>AVERAGE(Y37:Y41)</f>
        <v>4.2569596614151886E-4</v>
      </c>
      <c r="AL18" s="20">
        <f>AVERAGE(Z37:Z41)</f>
        <v>-0.14618700734457238</v>
      </c>
      <c r="AM18" s="20">
        <f>AVERAGE(AC37:AC41)</f>
        <v>6.5385541580062121</v>
      </c>
      <c r="AN18" s="20">
        <f>AVERAGE(AD37:AD41)</f>
        <v>8.2070383835028657</v>
      </c>
      <c r="AO18" s="20">
        <f>AVERAGE(AE37:AE41)</f>
        <v>9.2165561337625856</v>
      </c>
      <c r="AP18" s="20" t="s">
        <v>248</v>
      </c>
      <c r="AQ18" s="20">
        <f>STDEV(X37:X41)/(COUNTA(X37:X41))</f>
        <v>1.28648994833842</v>
      </c>
      <c r="AR18" s="20">
        <f>STDEV(Y37:Y41)/(COUNTA(Y37:Y41))</f>
        <v>9.1484891917384249E-5</v>
      </c>
      <c r="AS18" s="20">
        <f>STDEV(Z37:Z41)/(COUNTA(Z37:Z41))</f>
        <v>0.29306110099617794</v>
      </c>
      <c r="AT18" s="20">
        <f>STDEV(AC37:AC41)/(COUNTA(AC37:AC41))</f>
        <v>1.2582573023586023</v>
      </c>
      <c r="AU18" s="20">
        <f>STDEV(AD37:AD41)/(COUNTA(AD37:AD41))</f>
        <v>1.4371241308741549</v>
      </c>
      <c r="AV18" s="20">
        <f>STDEV(AE37:AE41)/(COUNTA(AE37:AE41))</f>
        <v>1.803867275207691</v>
      </c>
    </row>
    <row r="19" spans="3:48" x14ac:dyDescent="0.25">
      <c r="C19" s="17" t="s">
        <v>178</v>
      </c>
      <c r="D19" s="17">
        <v>20</v>
      </c>
      <c r="E19" s="17">
        <f>'Summary paramters'!E44</f>
        <v>15.212157063011194</v>
      </c>
      <c r="F19" s="17">
        <f>'Summary paramters'!E45</f>
        <v>21.661374557112847</v>
      </c>
      <c r="G19" s="17">
        <f>'Summary paramters'!E46</f>
        <v>39.37535153996398</v>
      </c>
      <c r="H19" s="17">
        <f>'Summary paramters'!E47</f>
        <v>25.956212502696108</v>
      </c>
      <c r="I19" s="17">
        <f>'Summary paramters'!E48</f>
        <v>18.281711874162131</v>
      </c>
      <c r="J19" s="17">
        <f>'Summary paramters'!F44</f>
        <v>5.6824117579426715E-2</v>
      </c>
      <c r="K19" s="17">
        <f>'Summary paramters'!F45</f>
        <v>7.0405106972573503E-2</v>
      </c>
      <c r="L19" s="17">
        <f>'Summary paramters'!F46</f>
        <v>3.6442631879488291E-2</v>
      </c>
      <c r="M19" s="17">
        <f>'Summary paramters'!F47</f>
        <v>6.5668862055223376E-2</v>
      </c>
      <c r="N19" s="17">
        <f>'Summary paramters'!F48</f>
        <v>8.2940530395701401E-2</v>
      </c>
      <c r="O19" s="17">
        <f>'Summary paramters'!G44</f>
        <v>5.1838594912217442</v>
      </c>
      <c r="P19" s="17">
        <f>'Summary paramters'!G45</f>
        <v>9.3928871633705313</v>
      </c>
      <c r="Q19" s="17">
        <f>'Summary paramters'!G46</f>
        <v>4.9806205405706248</v>
      </c>
      <c r="R19" s="17">
        <f>'Summary paramters'!G47</f>
        <v>10.033911204196329</v>
      </c>
      <c r="S19" s="17">
        <f>'Summary paramters'!G48</f>
        <v>8.4808646862539234</v>
      </c>
      <c r="T19" s="46"/>
      <c r="U19" s="42" t="s">
        <v>177</v>
      </c>
      <c r="V19" s="42">
        <f>T$5</f>
        <v>0</v>
      </c>
      <c r="W19">
        <v>1415.8322348383324</v>
      </c>
      <c r="X19" s="42">
        <f>W6</f>
        <v>3.2006006093663242</v>
      </c>
      <c r="Y19" s="42">
        <f>AC6</f>
        <v>1.230610819440944E-3</v>
      </c>
      <c r="Z19" s="42">
        <f>AI6</f>
        <v>-0.27211702762655515</v>
      </c>
      <c r="AA19" s="42"/>
      <c r="AB19" s="42"/>
      <c r="AC19">
        <f>$Q12</f>
        <v>7.1000286288545862</v>
      </c>
      <c r="AD19">
        <f>$Q11</f>
        <v>7.4474672300792966</v>
      </c>
      <c r="AE19">
        <f>$Q10</f>
        <v>9.8211989051201378</v>
      </c>
    </row>
    <row r="20" spans="3:48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46"/>
      <c r="U20" s="42" t="s">
        <v>177</v>
      </c>
      <c r="V20" s="42">
        <f>T$5</f>
        <v>0</v>
      </c>
      <c r="W20">
        <v>1415.8322348383324</v>
      </c>
      <c r="X20" s="42"/>
      <c r="Y20" s="42"/>
      <c r="Z20" s="42"/>
      <c r="AA20" s="42"/>
      <c r="AB20" s="42"/>
    </row>
    <row r="21" spans="3:48" x14ac:dyDescent="0.25">
      <c r="C21" s="40" t="s">
        <v>201</v>
      </c>
      <c r="D21" s="40"/>
      <c r="E21" s="40">
        <f>SLOPE(E17:E19,$D17:$D19)</f>
        <v>-0.77642785946212145</v>
      </c>
      <c r="F21" s="40">
        <f>SLOPE(F17:F19,$D17:$D19)</f>
        <v>1.1755058074535278</v>
      </c>
      <c r="G21" s="40">
        <f>SLOPE(G17:G19,$D17:$D19)</f>
        <v>1.8759705628083949</v>
      </c>
      <c r="H21" s="40">
        <f t="shared" ref="H21:Q21" si="1">SLOPE(H17:H19,$D17:$D19)</f>
        <v>0.23835683141776193</v>
      </c>
      <c r="I21" s="40">
        <f t="shared" si="1"/>
        <v>-0.77254754446295304</v>
      </c>
      <c r="J21" s="40">
        <f t="shared" si="1"/>
        <v>-4.8687499970880981E-4</v>
      </c>
      <c r="K21" s="40">
        <f t="shared" si="1"/>
        <v>-5.1694598404297828E-4</v>
      </c>
      <c r="L21" s="40">
        <f t="shared" si="1"/>
        <v>-2.1915985366771774E-3</v>
      </c>
      <c r="M21" s="40">
        <f t="shared" si="1"/>
        <v>7.3102448089633137E-4</v>
      </c>
      <c r="N21" s="40">
        <f t="shared" si="1"/>
        <v>1.5195802539389985E-3</v>
      </c>
      <c r="O21" s="40">
        <f t="shared" si="1"/>
        <v>-0.15613656400295825</v>
      </c>
      <c r="P21" s="40">
        <f t="shared" si="1"/>
        <v>2.9626995431573811E-2</v>
      </c>
      <c r="Q21" s="40">
        <f t="shared" si="1"/>
        <v>-0.23850285456014184</v>
      </c>
      <c r="R21" s="40">
        <f>SLOPE(R17:R19,$D17:$D19)</f>
        <v>0.1411272043858231</v>
      </c>
      <c r="S21" s="40">
        <f>SLOPE(S17:S19,$D17:$D19)</f>
        <v>0.34827498422099651</v>
      </c>
      <c r="T21" s="47"/>
      <c r="U21" s="42" t="s">
        <v>177</v>
      </c>
      <c r="V21" s="42">
        <f>T$5</f>
        <v>0</v>
      </c>
      <c r="W21">
        <v>1415.8322348383324</v>
      </c>
      <c r="X21" s="42"/>
      <c r="Y21" s="42"/>
      <c r="Z21" s="42"/>
      <c r="AA21" s="42"/>
      <c r="AB21" s="42"/>
    </row>
    <row r="22" spans="3:48" x14ac:dyDescent="0.25">
      <c r="T22" s="46"/>
      <c r="U22" s="17" t="s">
        <v>178</v>
      </c>
      <c r="V22" s="17">
        <f>T$6</f>
        <v>0.28999999999999998</v>
      </c>
      <c r="W22">
        <v>3737.7087242026269</v>
      </c>
      <c r="X22" s="17">
        <f>X4</f>
        <v>-0.77642785946212145</v>
      </c>
      <c r="Y22" s="17">
        <f>AD4</f>
        <v>-4.8687499970880981E-4</v>
      </c>
      <c r="Z22" s="17">
        <f>AJ4</f>
        <v>-0.15613656400295825</v>
      </c>
      <c r="AA22" s="17"/>
      <c r="AB22" s="17"/>
      <c r="AC22">
        <f>$O19</f>
        <v>5.1838594912217442</v>
      </c>
      <c r="AD22">
        <f>$O18</f>
        <v>5.7531037438547914</v>
      </c>
      <c r="AE22">
        <f>$O17</f>
        <v>6.7452251312513267</v>
      </c>
    </row>
    <row r="23" spans="3:48" x14ac:dyDescent="0.25">
      <c r="C23" s="32" t="s">
        <v>173</v>
      </c>
      <c r="D23" s="32" t="s">
        <v>175</v>
      </c>
      <c r="E23" s="32" t="s">
        <v>206</v>
      </c>
      <c r="F23" s="32" t="s">
        <v>207</v>
      </c>
      <c r="G23" s="32" t="s">
        <v>208</v>
      </c>
      <c r="H23" s="32" t="s">
        <v>250</v>
      </c>
      <c r="I23" s="32" t="s">
        <v>251</v>
      </c>
      <c r="J23" s="32" t="s">
        <v>206</v>
      </c>
      <c r="K23" s="32" t="s">
        <v>207</v>
      </c>
      <c r="L23" s="32" t="s">
        <v>208</v>
      </c>
      <c r="M23" s="32" t="s">
        <v>250</v>
      </c>
      <c r="N23" s="32" t="s">
        <v>251</v>
      </c>
      <c r="O23" s="32" t="s">
        <v>206</v>
      </c>
      <c r="P23" s="32" t="s">
        <v>207</v>
      </c>
      <c r="Q23" s="32" t="s">
        <v>208</v>
      </c>
      <c r="R23" s="32" t="s">
        <v>250</v>
      </c>
      <c r="S23" s="32" t="s">
        <v>251</v>
      </c>
      <c r="T23" s="46"/>
      <c r="U23" s="17" t="s">
        <v>178</v>
      </c>
      <c r="V23" s="17">
        <f>T$6</f>
        <v>0.28999999999999998</v>
      </c>
      <c r="W23">
        <v>3737.7087242026269</v>
      </c>
      <c r="X23" s="17">
        <f>X5</f>
        <v>1.1755058074535278</v>
      </c>
      <c r="Y23" s="17">
        <f>AD5</f>
        <v>-5.1694598404297828E-4</v>
      </c>
      <c r="Z23" s="17">
        <f>AJ5</f>
        <v>2.9626995431573811E-2</v>
      </c>
      <c r="AA23" s="17"/>
      <c r="AB23" s="17"/>
      <c r="AC23">
        <f>$P19</f>
        <v>9.3928871633705313</v>
      </c>
      <c r="AD23">
        <f>$P18</f>
        <v>8.4629283135635127</v>
      </c>
      <c r="AE23">
        <f>$P17</f>
        <v>9.0966172090547932</v>
      </c>
    </row>
    <row r="24" spans="3:48" x14ac:dyDescent="0.25">
      <c r="C24" s="32" t="s">
        <v>247</v>
      </c>
      <c r="D24" s="32">
        <v>10</v>
      </c>
      <c r="E24" s="32">
        <f>'Summary paramters'!E49</f>
        <v>40.158937766182099</v>
      </c>
      <c r="F24" s="32">
        <f>'Summary paramters'!E50</f>
        <v>7.6322458840730558</v>
      </c>
      <c r="G24" s="32">
        <f>'Summary paramters'!E51</f>
        <v>34.598057076042736</v>
      </c>
      <c r="H24" s="32">
        <f>'Summary paramters'!E52</f>
        <v>23.893125104019081</v>
      </c>
      <c r="I24" s="32">
        <f>'Summary paramters'!E23</f>
        <v>22.699910151902802</v>
      </c>
      <c r="J24" s="32">
        <f>'Summary paramters'!F49</f>
        <v>7.3584512295029242E-2</v>
      </c>
      <c r="K24" s="32">
        <f>'Summary paramters'!F50</f>
        <v>2.851930948879506E-2</v>
      </c>
      <c r="L24" s="32">
        <f>'Summary paramters'!F51</f>
        <v>4.6001002839436915E-2</v>
      </c>
      <c r="M24" s="32">
        <f>'Summary paramters'!F52</f>
        <v>4.4498548080679191E-2</v>
      </c>
      <c r="N24" s="32">
        <f>'Summary paramters'!F23</f>
        <v>5.2549518042229564E-2</v>
      </c>
      <c r="O24" s="32">
        <f>'Summary paramters'!G49</f>
        <v>9.7654357178675806</v>
      </c>
      <c r="P24" s="32">
        <f>'Summary paramters'!G50</f>
        <v>6.9701319326593785</v>
      </c>
      <c r="Q24" s="32">
        <f>'Summary paramters'!G51</f>
        <v>7.4402629282220776</v>
      </c>
      <c r="R24" s="32">
        <f>'Summary paramters'!G52</f>
        <v>10.177198124218101</v>
      </c>
      <c r="S24" s="32">
        <f>'Summary paramters'!G23</f>
        <v>13.847027431316944</v>
      </c>
      <c r="T24" s="46"/>
      <c r="U24" s="17" t="s">
        <v>178</v>
      </c>
      <c r="V24" s="17">
        <f>T$6</f>
        <v>0.28999999999999998</v>
      </c>
      <c r="W24">
        <v>3737.7087242026269</v>
      </c>
      <c r="X24" s="17">
        <f>X6</f>
        <v>1.8759705628083949</v>
      </c>
      <c r="Y24" s="17">
        <f>AD6</f>
        <v>-2.1915985366771774E-3</v>
      </c>
      <c r="Z24" s="17">
        <f>AJ6</f>
        <v>-0.23850285456014184</v>
      </c>
      <c r="AA24" s="17"/>
      <c r="AB24" s="17"/>
      <c r="AC24">
        <f>$Q19</f>
        <v>4.9806205405706248</v>
      </c>
      <c r="AD24">
        <f>$Q18</f>
        <v>6.5014024619808541</v>
      </c>
      <c r="AE24">
        <f>Q17</f>
        <v>7.3656490861720432</v>
      </c>
    </row>
    <row r="25" spans="3:48" x14ac:dyDescent="0.25">
      <c r="C25" s="32" t="s">
        <v>247</v>
      </c>
      <c r="D25" s="32">
        <v>15</v>
      </c>
      <c r="E25" s="32">
        <f>'Summary paramters'!E54</f>
        <v>30.087548512694855</v>
      </c>
      <c r="F25" s="32">
        <f>'Summary paramters'!E55</f>
        <v>8.561944341788557</v>
      </c>
      <c r="G25" s="32">
        <f>'Summary paramters'!E56</f>
        <v>27.628860822150418</v>
      </c>
      <c r="H25" s="32">
        <f>'Summary paramters'!E57</f>
        <v>26.5636226782016</v>
      </c>
      <c r="I25" s="32">
        <f>'Summary paramters'!E28</f>
        <v>5.356042667498234</v>
      </c>
      <c r="J25" s="32">
        <f>'Summary paramters'!F54</f>
        <v>9.2113635058329854E-2</v>
      </c>
      <c r="K25" s="32">
        <f>'Summary paramters'!F55</f>
        <v>0.11384195602176177</v>
      </c>
      <c r="L25" s="32">
        <f>'Summary paramters'!F56</f>
        <v>3.8402964747098971E-2</v>
      </c>
      <c r="M25" s="32">
        <f>'Summary paramters'!F57</f>
        <v>4.9143214696237586E-2</v>
      </c>
      <c r="N25" s="32">
        <f>'Summary paramters'!F28</f>
        <v>5.6219232195707042E-2</v>
      </c>
      <c r="O25" s="32">
        <f>'Summary paramters'!G54</f>
        <v>10.60260974457708</v>
      </c>
      <c r="P25" s="32">
        <f>'Summary paramters'!G55</f>
        <v>12.112535268505685</v>
      </c>
      <c r="Q25" s="32">
        <f>'Summary paramters'!G56</f>
        <v>9.0875950442010076</v>
      </c>
      <c r="R25" s="32">
        <f>'Summary paramters'!G57</f>
        <v>10.555241512296028</v>
      </c>
      <c r="S25" s="32">
        <f>'Summary paramters'!G28</f>
        <v>18.927572810651011</v>
      </c>
      <c r="T25" s="46"/>
      <c r="U25" s="17" t="s">
        <v>178</v>
      </c>
      <c r="V25" s="17">
        <f>T$6</f>
        <v>0.28999999999999998</v>
      </c>
      <c r="W25">
        <v>3737.7087242026269</v>
      </c>
      <c r="X25" s="17">
        <f>X7</f>
        <v>0.23835683141776193</v>
      </c>
      <c r="Y25" s="17">
        <f>AD7</f>
        <v>7.3102448089633137E-4</v>
      </c>
      <c r="Z25" s="17">
        <f>AJ7</f>
        <v>0.1411272043858231</v>
      </c>
      <c r="AA25" s="17"/>
      <c r="AB25" s="17"/>
      <c r="AC25">
        <f>$R19</f>
        <v>10.033911204196329</v>
      </c>
      <c r="AD25">
        <f>$R18</f>
        <v>9.4029324204485949</v>
      </c>
      <c r="AE25">
        <f>$R17</f>
        <v>8.6226391603380979</v>
      </c>
    </row>
    <row r="26" spans="3:48" x14ac:dyDescent="0.25">
      <c r="C26" s="32" t="s">
        <v>247</v>
      </c>
      <c r="D26" s="32">
        <v>20</v>
      </c>
      <c r="E26" s="32">
        <f>'Summary paramters'!E59</f>
        <v>24.896406622331966</v>
      </c>
      <c r="F26" s="32">
        <f>'Summary paramters'!E60</f>
        <v>34.716086031677563</v>
      </c>
      <c r="G26" s="32">
        <f>'Summary paramters'!E61</f>
        <v>45.451307205789931</v>
      </c>
      <c r="H26" s="32">
        <f>'Summary paramters'!E62</f>
        <v>28.238407499678186</v>
      </c>
      <c r="I26" s="32">
        <f>'Summary paramters'!E33</f>
        <v>4.9631194959144391</v>
      </c>
      <c r="J26" s="32">
        <f>'Summary paramters'!F59</f>
        <v>8.7384144944043798E-2</v>
      </c>
      <c r="K26" s="32">
        <f>'Summary paramters'!F60</f>
        <v>9.0484461299255137E-2</v>
      </c>
      <c r="L26" s="32">
        <f>'Summary paramters'!F61</f>
        <v>5.4013904415214163E-2</v>
      </c>
      <c r="M26" s="32">
        <f>'Summary paramters'!F62</f>
        <v>5.603430598580092E-2</v>
      </c>
      <c r="N26" s="32">
        <f>'Summary paramters'!F33</f>
        <v>4.7591287290700619E-2</v>
      </c>
      <c r="O26" s="32">
        <f>'Summary paramters'!G59</f>
        <v>12.244883598938877</v>
      </c>
      <c r="P26" s="32">
        <f>'Summary paramters'!G60</f>
        <v>13.239902428624934</v>
      </c>
      <c r="Q26" s="32">
        <f>'Summary paramters'!G61</f>
        <v>10.269105133329466</v>
      </c>
      <c r="R26" s="32">
        <f>'Summary paramters'!G62</f>
        <v>13.640306891858474</v>
      </c>
      <c r="S26" s="32">
        <f>'Summary paramters'!G33</f>
        <v>18.6093728112962</v>
      </c>
      <c r="T26" s="46"/>
      <c r="U26" s="17" t="s">
        <v>178</v>
      </c>
      <c r="V26" s="17">
        <f>T$6</f>
        <v>0.28999999999999998</v>
      </c>
      <c r="W26">
        <v>3737.7087242026269</v>
      </c>
      <c r="X26" s="17">
        <f>X8</f>
        <v>-0.77254754446295304</v>
      </c>
      <c r="Y26" s="17"/>
      <c r="Z26" s="17">
        <f>AJ8</f>
        <v>0.34827498422099651</v>
      </c>
      <c r="AA26" s="17"/>
      <c r="AB26" s="17"/>
      <c r="AC26">
        <f>$S19</f>
        <v>8.4808646862539234</v>
      </c>
      <c r="AD26">
        <f>$S18</f>
        <v>6.7095787160731577</v>
      </c>
      <c r="AE26">
        <f>$S17</f>
        <v>4.9981148440439584</v>
      </c>
    </row>
    <row r="27" spans="3:48" x14ac:dyDescent="0.25"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46"/>
      <c r="U27" s="22" t="s">
        <v>247</v>
      </c>
      <c r="V27" s="22">
        <f>T$7</f>
        <v>1.48</v>
      </c>
      <c r="W27">
        <v>6172.9893147502899</v>
      </c>
      <c r="X27" s="22">
        <f>Y4</f>
        <v>-1.5262531143850133</v>
      </c>
      <c r="Y27" s="22">
        <f>AE4</f>
        <v>1.3799632649014557E-3</v>
      </c>
      <c r="Z27" s="22">
        <f>AK4</f>
        <v>0.24794478810712964</v>
      </c>
      <c r="AA27" s="22"/>
      <c r="AB27" s="22"/>
      <c r="AC27">
        <f>$O26</f>
        <v>12.244883598938877</v>
      </c>
      <c r="AD27">
        <f>$O25</f>
        <v>10.60260974457708</v>
      </c>
      <c r="AE27">
        <f>$O24</f>
        <v>9.7654357178675806</v>
      </c>
    </row>
    <row r="28" spans="3:48" x14ac:dyDescent="0.25">
      <c r="C28" s="41" t="s">
        <v>201</v>
      </c>
      <c r="D28" s="41"/>
      <c r="E28" s="41">
        <f t="shared" ref="E28:S28" si="2">SLOPE(E24:E26,$D24:$D26)</f>
        <v>-1.5262531143850133</v>
      </c>
      <c r="F28" s="41">
        <f t="shared" si="2"/>
        <v>2.7083840147604508</v>
      </c>
      <c r="G28" s="41">
        <f t="shared" si="2"/>
        <v>1.0853250129747196</v>
      </c>
      <c r="H28" s="41">
        <f t="shared" si="2"/>
        <v>0.43452823956591047</v>
      </c>
      <c r="I28" s="41">
        <f t="shared" si="2"/>
        <v>-1.7736790655988364</v>
      </c>
      <c r="J28" s="41">
        <f t="shared" si="2"/>
        <v>1.3799632649014557E-3</v>
      </c>
      <c r="K28" s="41">
        <f t="shared" si="2"/>
        <v>6.1965151810460077E-3</v>
      </c>
      <c r="L28" s="41">
        <f t="shared" si="2"/>
        <v>8.0129015757772482E-4</v>
      </c>
      <c r="M28" s="41">
        <f t="shared" si="2"/>
        <v>1.1535757905121729E-3</v>
      </c>
      <c r="N28" s="41">
        <f t="shared" si="2"/>
        <v>-4.9582307515289438E-4</v>
      </c>
      <c r="O28" s="41">
        <f t="shared" si="2"/>
        <v>0.24794478810712964</v>
      </c>
      <c r="P28" s="41">
        <f t="shared" si="2"/>
        <v>0.62697704959655554</v>
      </c>
      <c r="Q28" s="41">
        <f t="shared" si="2"/>
        <v>0.28288422051073886</v>
      </c>
      <c r="R28" s="41">
        <f t="shared" si="2"/>
        <v>0.34631087676403721</v>
      </c>
      <c r="S28" s="41">
        <f t="shared" si="2"/>
        <v>0.4762345379979257</v>
      </c>
      <c r="T28" s="47"/>
      <c r="U28" s="22" t="s">
        <v>247</v>
      </c>
      <c r="V28" s="22">
        <f>T$7</f>
        <v>1.48</v>
      </c>
      <c r="W28">
        <v>6172.9893147502899</v>
      </c>
      <c r="X28" s="22">
        <f>Y5</f>
        <v>2.7083840147604508</v>
      </c>
      <c r="Y28" s="22">
        <f>AE5</f>
        <v>6.1965151810460077E-3</v>
      </c>
      <c r="Z28" s="22">
        <f>AK5</f>
        <v>0.62697704959655554</v>
      </c>
      <c r="AA28" s="22"/>
      <c r="AB28" s="22"/>
      <c r="AC28">
        <f>$P26</f>
        <v>13.239902428624934</v>
      </c>
      <c r="AD28">
        <f>$P25</f>
        <v>12.112535268505685</v>
      </c>
      <c r="AE28">
        <f>$P24</f>
        <v>6.9701319326593785</v>
      </c>
    </row>
    <row r="29" spans="3:48" x14ac:dyDescent="0.25">
      <c r="T29" s="46"/>
      <c r="U29" s="22" t="s">
        <v>247</v>
      </c>
      <c r="V29" s="22">
        <f>T$7</f>
        <v>1.48</v>
      </c>
      <c r="W29">
        <v>6172.9893147502899</v>
      </c>
      <c r="X29" s="22">
        <f>Y6</f>
        <v>1.0853250129747196</v>
      </c>
      <c r="Y29" s="22">
        <f>AE6</f>
        <v>8.0129015757772482E-4</v>
      </c>
      <c r="Z29" s="22">
        <f>AK6</f>
        <v>0.28288422051073886</v>
      </c>
      <c r="AA29" s="22"/>
      <c r="AB29" s="22"/>
      <c r="AC29">
        <f>$Q26</f>
        <v>10.269105133329466</v>
      </c>
      <c r="AD29">
        <f>$Q25</f>
        <v>9.0875950442010076</v>
      </c>
      <c r="AE29">
        <f>$Q24</f>
        <v>7.4402629282220776</v>
      </c>
    </row>
    <row r="30" spans="3:48" x14ac:dyDescent="0.25">
      <c r="C30" s="21" t="s">
        <v>173</v>
      </c>
      <c r="D30" s="21" t="s">
        <v>175</v>
      </c>
      <c r="E30" s="21" t="s">
        <v>206</v>
      </c>
      <c r="F30" s="21" t="s">
        <v>207</v>
      </c>
      <c r="G30" s="21" t="s">
        <v>208</v>
      </c>
      <c r="H30" s="21" t="s">
        <v>250</v>
      </c>
      <c r="I30" s="21" t="s">
        <v>251</v>
      </c>
      <c r="J30" s="21" t="s">
        <v>206</v>
      </c>
      <c r="K30" s="21" t="s">
        <v>207</v>
      </c>
      <c r="L30" s="21" t="s">
        <v>208</v>
      </c>
      <c r="M30" s="21" t="s">
        <v>250</v>
      </c>
      <c r="N30" s="21" t="s">
        <v>251</v>
      </c>
      <c r="O30" s="21" t="s">
        <v>206</v>
      </c>
      <c r="P30" s="21" t="s">
        <v>207</v>
      </c>
      <c r="Q30" s="21" t="s">
        <v>208</v>
      </c>
      <c r="R30" s="21" t="s">
        <v>250</v>
      </c>
      <c r="S30" s="21" t="s">
        <v>251</v>
      </c>
      <c r="T30" s="46"/>
      <c r="U30" s="22" t="s">
        <v>247</v>
      </c>
      <c r="V30" s="22">
        <f>T$7</f>
        <v>1.48</v>
      </c>
      <c r="W30">
        <v>6172.9893147502899</v>
      </c>
      <c r="X30" s="22">
        <f>Y7</f>
        <v>0.43452823956591047</v>
      </c>
      <c r="Y30" s="22">
        <f>AE7</f>
        <v>1.1535757905121729E-3</v>
      </c>
      <c r="Z30" s="22">
        <f>AK7</f>
        <v>0.34631087676403721</v>
      </c>
      <c r="AA30" s="22"/>
      <c r="AB30" s="22"/>
      <c r="AC30">
        <f>R26</f>
        <v>13.640306891858474</v>
      </c>
      <c r="AD30">
        <f>R25</f>
        <v>10.555241512296028</v>
      </c>
      <c r="AE30">
        <f>R24</f>
        <v>10.177198124218101</v>
      </c>
    </row>
    <row r="31" spans="3:48" x14ac:dyDescent="0.25">
      <c r="C31" s="21" t="s">
        <v>248</v>
      </c>
      <c r="D31" s="21">
        <v>10</v>
      </c>
      <c r="E31" s="21">
        <f>'Summary paramters'!E64</f>
        <v>5.0316609338732441</v>
      </c>
      <c r="F31" s="21">
        <f>'Summary paramters'!E65</f>
        <v>30.961860365800558</v>
      </c>
      <c r="G31" s="21">
        <f>'Summary paramters'!E66</f>
        <v>33.624680251309819</v>
      </c>
      <c r="H31" s="21">
        <f>'Summary paramters'!E67</f>
        <v>24.765080658416387</v>
      </c>
      <c r="I31" s="21">
        <f>'Summary paramters'!E68</f>
        <v>0</v>
      </c>
      <c r="J31" s="21">
        <f>'Summary paramters'!F64</f>
        <v>5.1960938277728387E-2</v>
      </c>
      <c r="K31" s="21">
        <f>'Summary paramters'!F65</f>
        <v>6.8135217084448155E-2</v>
      </c>
      <c r="L31" s="21">
        <f>'Summary paramters'!F66</f>
        <v>6.8694514018007566E-2</v>
      </c>
      <c r="M31" s="21">
        <f>'Summary paramters'!F67</f>
        <v>6.775562534213006E-2</v>
      </c>
      <c r="N31" s="21">
        <f>'Summary paramters'!F68</f>
        <v>0</v>
      </c>
      <c r="O31" s="21">
        <f>'Summary paramters'!G64</f>
        <v>5.6514219800979246</v>
      </c>
      <c r="P31" s="21">
        <f>'Summary paramters'!G65</f>
        <v>7.2493728778268585</v>
      </c>
      <c r="Q31" s="21">
        <f>'Summary paramters'!G66</f>
        <v>5.6781284492981916</v>
      </c>
      <c r="R31" s="21">
        <f>'Summary paramters'!G67</f>
        <v>6.9814407553426827</v>
      </c>
      <c r="S31" s="21">
        <f>'Summary paramters'!G68</f>
        <v>0</v>
      </c>
      <c r="T31" s="46"/>
      <c r="U31" s="22" t="s">
        <v>247</v>
      </c>
      <c r="V31" s="22">
        <f>T$7</f>
        <v>1.48</v>
      </c>
      <c r="W31">
        <v>6172.9893147502899</v>
      </c>
      <c r="X31" s="22">
        <f>Y8</f>
        <v>-1.7736790655988364</v>
      </c>
      <c r="Y31" s="22">
        <f>AE8</f>
        <v>-4.9582307515289438E-4</v>
      </c>
      <c r="Z31" s="22">
        <f>AK8</f>
        <v>0.4762345379979257</v>
      </c>
      <c r="AA31" s="22"/>
      <c r="AB31" s="22"/>
      <c r="AC31">
        <f>S26</f>
        <v>18.6093728112962</v>
      </c>
      <c r="AE31">
        <f>S24</f>
        <v>13.847027431316944</v>
      </c>
    </row>
    <row r="32" spans="3:48" x14ac:dyDescent="0.25">
      <c r="C32" s="21" t="s">
        <v>248</v>
      </c>
      <c r="D32" s="21">
        <v>15</v>
      </c>
      <c r="E32" s="21">
        <f>'Summary paramters'!E69</f>
        <v>14.921764384984638</v>
      </c>
      <c r="F32" s="21">
        <f>'Summary paramters'!E70</f>
        <v>28.842735464522178</v>
      </c>
      <c r="G32" s="21">
        <f>'Summary paramters'!E71</f>
        <v>11.079063415731921</v>
      </c>
      <c r="H32" s="21">
        <f>'Summary paramters'!E72</f>
        <v>39.919100912069432</v>
      </c>
      <c r="I32" s="21">
        <f>'Summary paramters'!E73</f>
        <v>0</v>
      </c>
      <c r="J32" s="21">
        <f>'Summary paramters'!F69</f>
        <v>4.4617712465371009E-2</v>
      </c>
      <c r="K32" s="21">
        <f>'Summary paramters'!F70</f>
        <v>7.5419162670177245E-2</v>
      </c>
      <c r="L32" s="21">
        <f>'Summary paramters'!F71</f>
        <v>5.9279801474989145E-2</v>
      </c>
      <c r="M32" s="21">
        <f>'Summary paramters'!F72</f>
        <v>7.4460003384522022E-2</v>
      </c>
      <c r="N32" s="21">
        <f>'Summary paramters'!F73</f>
        <v>0</v>
      </c>
      <c r="O32" s="21">
        <f>'Summary paramters'!G69</f>
        <v>7.4399146757797272</v>
      </c>
      <c r="P32" s="21">
        <f>'Summary paramters'!G70</f>
        <v>7.9365500444544441</v>
      </c>
      <c r="Q32" s="21">
        <f>'Summary paramters'!G71</f>
        <v>10.804544771933637</v>
      </c>
      <c r="R32" s="21">
        <f>'Summary paramters'!G72</f>
        <v>7.0008158444183595</v>
      </c>
      <c r="S32" s="21">
        <f>'Summary paramters'!G73</f>
        <v>0</v>
      </c>
      <c r="T32" s="46"/>
      <c r="U32" s="20" t="s">
        <v>248</v>
      </c>
      <c r="V32" s="20">
        <f>T$8</f>
        <v>0.56000000000000005</v>
      </c>
      <c r="W32">
        <v>8111.8569016349502</v>
      </c>
      <c r="X32" s="20">
        <f>Z4</f>
        <v>2.9371875949932154</v>
      </c>
      <c r="Y32" s="20">
        <f>AF4</f>
        <v>9.7340049928088814E-4</v>
      </c>
      <c r="Z32" s="20">
        <f>AL4</f>
        <v>-2.2523716363535228E-3</v>
      </c>
      <c r="AA32" s="20"/>
      <c r="AB32" s="20"/>
      <c r="AC32">
        <f>$O33</f>
        <v>5.6288982637343894</v>
      </c>
      <c r="AD32">
        <f>$O32</f>
        <v>7.4399146757797272</v>
      </c>
      <c r="AE32">
        <f>$O31</f>
        <v>5.6514219800979246</v>
      </c>
    </row>
    <row r="33" spans="3:31" x14ac:dyDescent="0.25">
      <c r="C33" s="21" t="s">
        <v>248</v>
      </c>
      <c r="D33" s="21">
        <v>20</v>
      </c>
      <c r="E33" s="43">
        <f>'Summary paramters'!E74</f>
        <v>34.403536883805394</v>
      </c>
      <c r="F33" s="21">
        <f>'Summary paramters'!E75</f>
        <v>44.479753626810862</v>
      </c>
      <c r="G33" s="21">
        <f>'Summary paramters'!E76</f>
        <v>36.770169189788099</v>
      </c>
      <c r="H33" s="21">
        <f>'Summary paramters'!E77</f>
        <v>21.960687834817222</v>
      </c>
      <c r="I33" s="21">
        <f>'Summary paramters'!E78</f>
        <v>7.7862615852207382</v>
      </c>
      <c r="J33" s="21">
        <f>'Summary paramters'!F74</f>
        <v>6.1694943270537268E-2</v>
      </c>
      <c r="K33" s="21">
        <f>'Summary paramters'!F75</f>
        <v>8.1638528365264779E-2</v>
      </c>
      <c r="L33" s="21">
        <f>'Summary paramters'!F76</f>
        <v>8.4294033625497047E-2</v>
      </c>
      <c r="M33" s="21">
        <f>'Summary paramters'!F77</f>
        <v>5.4126396285984084E-2</v>
      </c>
      <c r="N33" s="21">
        <f>'Summary paramters'!F78</f>
        <v>2.9676589137857617E-2</v>
      </c>
      <c r="O33" s="21">
        <f>'Summary paramters'!G74</f>
        <v>5.6288982637343894</v>
      </c>
      <c r="P33" s="21">
        <f>'Summary paramters'!G75</f>
        <v>9.2566291924687452</v>
      </c>
      <c r="Q33" s="21">
        <f>'Summary paramters'!G76</f>
        <v>9.2849637996029415</v>
      </c>
      <c r="R33" s="21">
        <f>'Summary paramters'!G77</f>
        <v>9.5081698538320829</v>
      </c>
      <c r="S33" s="21">
        <f>'Summary paramters'!G78</f>
        <v>9.8475493756322816</v>
      </c>
      <c r="T33" s="46"/>
      <c r="U33" s="20" t="s">
        <v>248</v>
      </c>
      <c r="V33" s="20">
        <f>T$8</f>
        <v>0.56000000000000005</v>
      </c>
      <c r="W33">
        <v>8111.8569016349502</v>
      </c>
      <c r="X33" s="20">
        <f>Z5</f>
        <v>1.3517893261010303</v>
      </c>
      <c r="Y33" s="20">
        <f>AF5</f>
        <v>1.3503311280816624E-3</v>
      </c>
      <c r="Z33" s="20">
        <f>AL5</f>
        <v>0.20072563146418865</v>
      </c>
      <c r="AA33" s="20"/>
      <c r="AB33" s="20"/>
      <c r="AC33">
        <f>$P33</f>
        <v>9.2566291924687452</v>
      </c>
      <c r="AD33">
        <f>$P32</f>
        <v>7.9365500444544441</v>
      </c>
      <c r="AE33">
        <f>$P31</f>
        <v>7.2493728778268585</v>
      </c>
    </row>
    <row r="34" spans="3:31" x14ac:dyDescent="0.25"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46"/>
      <c r="U34" s="20" t="s">
        <v>248</v>
      </c>
      <c r="V34" s="20">
        <f>T$8</f>
        <v>0.56000000000000005</v>
      </c>
      <c r="W34">
        <v>8111.8569016349502</v>
      </c>
      <c r="X34" s="20">
        <f>Z6</f>
        <v>0.31454889384782803</v>
      </c>
      <c r="Y34" s="20">
        <f>AF6</f>
        <v>1.5599519607489482E-3</v>
      </c>
      <c r="Z34" s="20">
        <f>AL6</f>
        <v>0.36068353503047507</v>
      </c>
      <c r="AA34" s="20"/>
      <c r="AB34" s="20"/>
      <c r="AC34">
        <f>$Q33</f>
        <v>9.2849637996029415</v>
      </c>
      <c r="AD34">
        <f>$Q32</f>
        <v>10.804544771933637</v>
      </c>
      <c r="AE34">
        <f>$Q31</f>
        <v>5.6781284492981916</v>
      </c>
    </row>
    <row r="35" spans="3:31" x14ac:dyDescent="0.25">
      <c r="C35" s="38" t="s">
        <v>201</v>
      </c>
      <c r="D35" s="38"/>
      <c r="E35" s="38">
        <f>SLOPE(E31:E33,$D31:$D33)</f>
        <v>2.9371875949932154</v>
      </c>
      <c r="F35" s="38">
        <f>SLOPE(F31:F33,$D31:$D33)</f>
        <v>1.3517893261010303</v>
      </c>
      <c r="G35" s="38">
        <f>SLOPE(G31:G33,$D31:$D33)</f>
        <v>0.31454889384782803</v>
      </c>
      <c r="H35" s="38">
        <f>SLOPE(H31:H33,$D31:$D33)</f>
        <v>-0.2804392823599165</v>
      </c>
      <c r="I35" s="38"/>
      <c r="J35" s="38">
        <f>SLOPE(J31:J33,$D31:$D33)</f>
        <v>9.7340049928088814E-4</v>
      </c>
      <c r="K35" s="38">
        <f>SLOPE(K31:K33,$D31:$D33)</f>
        <v>1.3503311280816624E-3</v>
      </c>
      <c r="L35" s="38">
        <f>SLOPE(L31:L33,$D31:$D33)</f>
        <v>1.5599519607489482E-3</v>
      </c>
      <c r="M35" s="38">
        <f>SLOPE(M31:M33,$D31:$D33)</f>
        <v>-1.3629229056145976E-3</v>
      </c>
      <c r="N35" s="38"/>
      <c r="O35" s="38">
        <f>SLOPE(O31:O33,$D31:$D33)</f>
        <v>-2.2523716363535228E-3</v>
      </c>
      <c r="P35" s="38">
        <f>SLOPE(P31:P33,$D31:$D33)</f>
        <v>0.20072563146418865</v>
      </c>
      <c r="Q35" s="38">
        <f>SLOPE(Q31:Q33,$D31:$D33)</f>
        <v>0.36068353503047507</v>
      </c>
      <c r="R35" s="38">
        <f>SLOPE(R31:R33,$D31:$D33)</f>
        <v>0.25267290984893997</v>
      </c>
      <c r="S35" s="38">
        <f>SLOPE(S31:S33,$D31:$D33)</f>
        <v>0.98475493756322807</v>
      </c>
      <c r="T35" s="47"/>
      <c r="U35" s="20" t="s">
        <v>248</v>
      </c>
      <c r="V35" s="20">
        <f>T$8</f>
        <v>0.56000000000000005</v>
      </c>
      <c r="W35">
        <v>8111.8569016349502</v>
      </c>
      <c r="X35" s="20">
        <f>Z7</f>
        <v>-0.2804392823599165</v>
      </c>
      <c r="Y35" s="20">
        <f>AF7</f>
        <v>-1.3629229056145976E-3</v>
      </c>
      <c r="Z35" s="20">
        <f>AL7</f>
        <v>0.25267290984893997</v>
      </c>
      <c r="AA35" s="20"/>
      <c r="AB35" s="20"/>
      <c r="AC35">
        <f>$R33</f>
        <v>9.5081698538320829</v>
      </c>
      <c r="AD35">
        <f>$R32</f>
        <v>7.0008158444183595</v>
      </c>
      <c r="AE35">
        <f>$R31</f>
        <v>6.9814407553426827</v>
      </c>
    </row>
    <row r="36" spans="3:31" x14ac:dyDescent="0.25">
      <c r="T36" s="46"/>
      <c r="U36" s="20" t="s">
        <v>248</v>
      </c>
      <c r="V36" s="20">
        <f>T$8</f>
        <v>0.56000000000000005</v>
      </c>
      <c r="W36">
        <v>8111.8569016349502</v>
      </c>
      <c r="X36" s="20"/>
      <c r="Y36" s="20"/>
      <c r="Z36" s="20"/>
      <c r="AA36" s="20"/>
      <c r="AB36" s="20"/>
    </row>
    <row r="37" spans="3:31" x14ac:dyDescent="0.25">
      <c r="C37" s="30" t="s">
        <v>173</v>
      </c>
      <c r="D37" s="30" t="s">
        <v>175</v>
      </c>
      <c r="E37" s="30" t="s">
        <v>206</v>
      </c>
      <c r="F37" s="30" t="s">
        <v>207</v>
      </c>
      <c r="G37" s="30" t="s">
        <v>208</v>
      </c>
      <c r="H37" s="30" t="s">
        <v>250</v>
      </c>
      <c r="I37" s="30" t="s">
        <v>251</v>
      </c>
      <c r="J37" s="30" t="s">
        <v>206</v>
      </c>
      <c r="K37" s="30" t="s">
        <v>207</v>
      </c>
      <c r="L37" s="30" t="s">
        <v>208</v>
      </c>
      <c r="M37" s="30" t="s">
        <v>250</v>
      </c>
      <c r="N37" s="30" t="s">
        <v>251</v>
      </c>
      <c r="O37" s="30" t="s">
        <v>206</v>
      </c>
      <c r="P37" s="30" t="s">
        <v>207</v>
      </c>
      <c r="Q37" s="30" t="s">
        <v>208</v>
      </c>
      <c r="R37" s="30" t="s">
        <v>250</v>
      </c>
      <c r="S37" s="30" t="s">
        <v>251</v>
      </c>
      <c r="T37" s="46"/>
      <c r="U37" s="32" t="s">
        <v>268</v>
      </c>
      <c r="V37" s="32">
        <v>0</v>
      </c>
      <c r="W37" s="32"/>
      <c r="X37" s="32"/>
      <c r="Y37" s="32">
        <f>AG4</f>
        <v>2.4301952713469966E-4</v>
      </c>
      <c r="Z37" s="32">
        <f>AM4</f>
        <v>0.2682639762882138</v>
      </c>
      <c r="AA37" s="32"/>
      <c r="AB37" s="32"/>
      <c r="AD37">
        <f>$O39</f>
        <v>12.887263036717913</v>
      </c>
      <c r="AE37">
        <f>$O38</f>
        <v>13.96143134857992</v>
      </c>
    </row>
    <row r="38" spans="3:31" x14ac:dyDescent="0.25">
      <c r="C38" s="30" t="s">
        <v>268</v>
      </c>
      <c r="D38" s="30">
        <v>10</v>
      </c>
      <c r="E38" s="30">
        <f>'Summary paramters'!E89</f>
        <v>35.634435648217718</v>
      </c>
      <c r="F38" s="30">
        <f>'Summary paramters'!E80</f>
        <v>42.613454808822894</v>
      </c>
      <c r="G38" s="30">
        <f>'Summary paramters'!E81</f>
        <v>14.711659607349363</v>
      </c>
      <c r="H38" s="30"/>
      <c r="I38" s="30"/>
      <c r="J38" s="30">
        <f>'Summary paramters'!F79</f>
        <v>6.4988479870100688E-2</v>
      </c>
      <c r="K38" s="30">
        <f>'Summary paramters'!F80</f>
        <v>4.2079451977548012E-2</v>
      </c>
      <c r="L38" s="30">
        <f>'Summary paramters'!F81</f>
        <v>5.0299003746850188E-2</v>
      </c>
      <c r="M38" s="30"/>
      <c r="N38" s="30"/>
      <c r="O38" s="30">
        <f>'Summary paramters'!G79</f>
        <v>13.96143134857992</v>
      </c>
      <c r="P38" s="30">
        <f>'Summary paramters'!G80</f>
        <v>3.3227475268785569</v>
      </c>
      <c r="Q38" s="30">
        <f>'Summary paramters'!G81</f>
        <v>10.365489525829277</v>
      </c>
      <c r="R38" s="30"/>
      <c r="S38" s="30"/>
      <c r="U38" s="32" t="s">
        <v>268</v>
      </c>
      <c r="V38" s="32">
        <v>0</v>
      </c>
      <c r="W38" s="32"/>
      <c r="X38" s="32">
        <f>AA5</f>
        <v>-2.0808581723713462</v>
      </c>
      <c r="Y38" s="32">
        <f>AG5</f>
        <v>2.9276346081428953E-4</v>
      </c>
      <c r="Z38" s="32"/>
      <c r="AA38" s="32"/>
      <c r="AB38" s="32"/>
      <c r="AC38">
        <f>$P40</f>
        <v>8.3179986999567319</v>
      </c>
      <c r="AD38">
        <f>$P39</f>
        <v>4.3973836776337771</v>
      </c>
      <c r="AE38">
        <f>$P38</f>
        <v>3.3227475268785569</v>
      </c>
    </row>
    <row r="39" spans="3:31" x14ac:dyDescent="0.25">
      <c r="C39" s="30" t="s">
        <v>268</v>
      </c>
      <c r="D39" s="30">
        <v>15</v>
      </c>
      <c r="E39" s="30">
        <f>'Summary paramters'!E84</f>
        <v>28.433528147365543</v>
      </c>
      <c r="F39" s="30">
        <f>'Summary paramters'!E85</f>
        <v>44.363054173588068</v>
      </c>
      <c r="G39" s="30">
        <f>'Summary paramters'!E86</f>
        <v>18.983830988377211</v>
      </c>
      <c r="H39" s="30"/>
      <c r="I39" s="30"/>
      <c r="J39" s="30">
        <f>'Summary paramters'!F84</f>
        <v>9.3171952797021229E-2</v>
      </c>
      <c r="K39" s="30">
        <f>'Summary paramters'!F85</f>
        <v>6.4031380453569972E-2</v>
      </c>
      <c r="L39" s="30">
        <f>'Summary paramters'!F86</f>
        <v>6.3153233992545729E-2</v>
      </c>
      <c r="M39" s="30"/>
      <c r="N39" s="30"/>
      <c r="O39" s="30">
        <f>'Summary paramters'!G84</f>
        <v>12.887263036717913</v>
      </c>
      <c r="P39" s="30">
        <f>'Summary paramters'!G85</f>
        <v>4.3973836776337771</v>
      </c>
      <c r="Q39" s="30">
        <f>'Summary paramters'!G86</f>
        <v>7.3364684361569061</v>
      </c>
      <c r="R39" s="30"/>
      <c r="S39" s="30"/>
      <c r="U39" s="32" t="s">
        <v>268</v>
      </c>
      <c r="V39" s="32">
        <v>0</v>
      </c>
      <c r="W39" s="32"/>
      <c r="X39" s="32">
        <f>AA6</f>
        <v>1.5578848932223661</v>
      </c>
      <c r="Y39" s="32">
        <f>AG6</f>
        <v>7.4130491047556747E-4</v>
      </c>
      <c r="Z39" s="32">
        <f>AM6</f>
        <v>-0.56063799097735856</v>
      </c>
      <c r="AA39" s="32"/>
      <c r="AB39" s="32"/>
      <c r="AC39">
        <f>Q40</f>
        <v>4.7591096160556923</v>
      </c>
      <c r="AD39">
        <f>Q39</f>
        <v>7.3364684361569061</v>
      </c>
      <c r="AE39">
        <f>Q38</f>
        <v>10.365489525829277</v>
      </c>
    </row>
    <row r="40" spans="3:31" x14ac:dyDescent="0.25">
      <c r="C40" s="30" t="s">
        <v>268</v>
      </c>
      <c r="D40" s="30">
        <v>20</v>
      </c>
      <c r="E40" s="30">
        <f>'Summary paramters'!E89</f>
        <v>35.634435648217718</v>
      </c>
      <c r="F40" s="30">
        <f>'Summary paramters'!E90</f>
        <v>21.804873085109431</v>
      </c>
      <c r="G40" s="30">
        <f>'Summary paramters'!E91</f>
        <v>30.290508539573022</v>
      </c>
      <c r="H40" s="30"/>
      <c r="I40" s="30"/>
      <c r="J40" s="30">
        <f>'Summary paramters'!F89</f>
        <v>6.7418675141447684E-2</v>
      </c>
      <c r="K40" s="30">
        <f>'Summary paramters'!F90</f>
        <v>4.5007086585690907E-2</v>
      </c>
      <c r="L40" s="30">
        <f>'Summary paramters'!F91</f>
        <v>5.7712052851605862E-2</v>
      </c>
      <c r="M40" s="30"/>
      <c r="N40" s="30"/>
      <c r="O40" s="30">
        <f>'Summary paramters'!G89</f>
        <v>16.644071111462058</v>
      </c>
      <c r="P40" s="30">
        <f>'Summary paramters'!G90</f>
        <v>8.3179986999567319</v>
      </c>
      <c r="Q40" s="30">
        <f>'Summary paramters'!G91</f>
        <v>4.7591096160556923</v>
      </c>
      <c r="R40" s="30"/>
      <c r="S40" s="30"/>
      <c r="U40" s="32" t="s">
        <v>268</v>
      </c>
      <c r="V40" s="32">
        <v>0</v>
      </c>
      <c r="W40" s="32"/>
      <c r="X40" s="32"/>
      <c r="Y40" s="32"/>
      <c r="Z40" s="32"/>
      <c r="AA40" s="32"/>
      <c r="AB40" s="32"/>
    </row>
    <row r="41" spans="3:31" x14ac:dyDescent="0.25"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U41" s="32" t="s">
        <v>268</v>
      </c>
      <c r="V41" s="32">
        <v>0</v>
      </c>
      <c r="W41" s="32"/>
      <c r="X41" s="32"/>
      <c r="Y41" s="32"/>
      <c r="Z41" s="32"/>
      <c r="AA41" s="32"/>
      <c r="AB41" s="32"/>
    </row>
    <row r="42" spans="3:31" x14ac:dyDescent="0.25">
      <c r="C42" s="44" t="s">
        <v>201</v>
      </c>
      <c r="D42" s="44"/>
      <c r="E42" s="44">
        <f>SLOPE(E38:E40,$D38:$D40)</f>
        <v>0</v>
      </c>
      <c r="F42" s="44">
        <f>SLOPE(F38:F40,$D38:$D40)</f>
        <v>-2.0808581723713462</v>
      </c>
      <c r="G42" s="44">
        <f>SLOPE(G38:G40,$D38:$D40)</f>
        <v>1.5578848932223661</v>
      </c>
      <c r="H42" s="44"/>
      <c r="I42" s="44"/>
      <c r="J42" s="44">
        <f>SLOPE(J38:J40,$D38:$D40)</f>
        <v>2.4301952713469966E-4</v>
      </c>
      <c r="K42" s="44">
        <f>SLOPE(K38:K40,$D38:$D40)</f>
        <v>2.9276346081428953E-4</v>
      </c>
      <c r="L42" s="44">
        <f>SLOPE(L38:L40,$D38:$D40)</f>
        <v>7.4130491047556747E-4</v>
      </c>
      <c r="M42" s="44" t="e">
        <f>SLOPE(M38:M40,$D38:$D40)</f>
        <v>#DIV/0!</v>
      </c>
      <c r="N42" s="44"/>
      <c r="O42" s="44">
        <f>SLOPE(O38:O40,$D38:$D40)</f>
        <v>0.2682639762882138</v>
      </c>
      <c r="P42" s="44">
        <f>SLOPE(P38:P40,$D38:$D40)</f>
        <v>0.49952511730781751</v>
      </c>
      <c r="Q42" s="44">
        <f>SLOPE(Q38:Q40,$D38:$D40)</f>
        <v>-0.56063799097735856</v>
      </c>
      <c r="R42" s="44" t="e">
        <f>SLOPE(R38:R40,$D38:$D40)</f>
        <v>#DIV/0!</v>
      </c>
      <c r="S42" s="44"/>
    </row>
    <row r="45" spans="3:31" x14ac:dyDescent="0.25"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3:31" x14ac:dyDescent="0.25"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2"/>
  <sheetViews>
    <sheetView workbookViewId="0">
      <selection activeCell="O35" sqref="O35"/>
    </sheetView>
  </sheetViews>
  <sheetFormatPr defaultRowHeight="15" x14ac:dyDescent="0.25"/>
  <sheetData>
    <row r="12" spans="12:12" x14ac:dyDescent="0.25">
      <c r="L12" t="s">
        <v>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10oC</vt:lpstr>
      <vt:lpstr>15oC</vt:lpstr>
      <vt:lpstr>20oC</vt:lpstr>
      <vt:lpstr>Fitting1</vt:lpstr>
      <vt:lpstr>Summary paramters (2)</vt:lpstr>
      <vt:lpstr>Fitting</vt:lpstr>
      <vt:lpstr>Summary paramters</vt:lpstr>
      <vt:lpstr>Individual fits</vt:lpstr>
      <vt:lpstr>Graphs</vt:lpstr>
      <vt:lpstr>Graphs (2)</vt:lpstr>
      <vt:lpstr>Rates of spread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Ripley</dc:creator>
  <cp:lastModifiedBy>Brad Ripley</cp:lastModifiedBy>
  <dcterms:created xsi:type="dcterms:W3CDTF">2015-04-15T12:54:35Z</dcterms:created>
  <dcterms:modified xsi:type="dcterms:W3CDTF">2015-04-24T06:18:46Z</dcterms:modified>
</cp:coreProperties>
</file>