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Documents/Information &amp; Documents/CEDS_Project/CEDS/input/default-emissions-data/"/>
    </mc:Choice>
  </mc:AlternateContent>
  <xr:revisionPtr revIDLastSave="0" documentId="13_ncr:1_{AE6F7AB3-2DC4-7D4F-B18F-6DED73BF7E5C}" xr6:coauthVersionLast="45" xr6:coauthVersionMax="45" xr10:uidLastSave="{00000000-0000-0000-0000-000000000000}"/>
  <bookViews>
    <workbookView xWindow="240" yWindow="460" windowWidth="23380" windowHeight="10880" tabRatio="881" activeTab="3" xr2:uid="{00000000-000D-0000-FFFF-FFFF00000000}"/>
    <workbookView xWindow="6600" yWindow="4620" windowWidth="20160" windowHeight="12700" tabRatio="500" activeTab="1" xr2:uid="{00000000-000D-0000-FFFF-FFFF01000000}"/>
    <workbookView xWindow="1580" yWindow="460" windowWidth="20020" windowHeight="13260" tabRatio="500" activeTab="3" xr2:uid="{00000000-000D-0000-FFFF-FFFF02000000}"/>
  </bookViews>
  <sheets>
    <sheet name="CDIAC" sheetId="2" r:id="rId1"/>
    <sheet name="EIA" sheetId="4" r:id="rId2"/>
    <sheet name="conversion" sheetId="5" r:id="rId3"/>
    <sheet name="Emission_Coefficient" sheetId="6" r:id="rId4"/>
    <sheet name="Fraction_Oxidized" sheetId="7" r:id="rId5"/>
  </sheets>
  <definedNames>
    <definedName name="CO2_to_C">conversion!$B$5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4" l="1"/>
  <c r="J10" i="4" l="1"/>
  <c r="E9" i="6" l="1"/>
  <c r="Q4" i="6" l="1"/>
  <c r="P4" i="6" s="1"/>
  <c r="I4" i="6" s="1"/>
  <c r="Q18" i="6"/>
  <c r="E18" i="6" s="1"/>
  <c r="Q17" i="6"/>
  <c r="E17" i="6" s="1"/>
  <c r="Q16" i="6"/>
  <c r="E16" i="6" s="1"/>
  <c r="Q15" i="6"/>
  <c r="E15" i="6" s="1"/>
  <c r="K3" i="6"/>
  <c r="P3" i="6"/>
  <c r="I3" i="6" s="1"/>
  <c r="I2" i="6"/>
  <c r="D6" i="6"/>
  <c r="D4" i="6"/>
  <c r="H14" i="6"/>
  <c r="H13" i="6"/>
  <c r="H12" i="6"/>
  <c r="D11" i="6"/>
  <c r="H11" i="6" s="1"/>
  <c r="D10" i="6"/>
  <c r="H10" i="6" s="1"/>
  <c r="D9" i="6"/>
  <c r="H8" i="6"/>
  <c r="D7" i="6"/>
  <c r="H7" i="6" s="1"/>
  <c r="D5" i="6"/>
  <c r="H5" i="6"/>
  <c r="D3" i="6"/>
  <c r="D2" i="6"/>
  <c r="E2" i="2"/>
  <c r="G2" i="2" s="1"/>
  <c r="B22" i="5"/>
  <c r="B4" i="2"/>
  <c r="E4" i="2" s="1"/>
  <c r="G4" i="2" s="1"/>
  <c r="E4" i="6" s="1"/>
  <c r="B6" i="2"/>
  <c r="E6" i="2" s="1"/>
  <c r="G6" i="2" s="1"/>
  <c r="E6" i="6" s="1"/>
  <c r="B5" i="2"/>
  <c r="E5" i="2" s="1"/>
  <c r="G5" i="2" s="1"/>
  <c r="B3" i="2"/>
  <c r="D8" i="4"/>
  <c r="B13" i="5"/>
  <c r="C13" i="5" s="1"/>
  <c r="B32" i="4"/>
  <c r="D32" i="4"/>
  <c r="J32" i="4" s="1"/>
  <c r="E10" i="6" s="1"/>
  <c r="B20" i="5"/>
  <c r="D19" i="4"/>
  <c r="B12" i="5"/>
  <c r="C12" i="5"/>
  <c r="D15" i="4"/>
  <c r="D12" i="4"/>
  <c r="J12" i="4" s="1"/>
  <c r="E7" i="6" s="1"/>
  <c r="B14" i="5"/>
  <c r="C14" i="5"/>
  <c r="B23" i="4"/>
  <c r="D23" i="4" s="1"/>
  <c r="E3" i="2"/>
  <c r="G3" i="2" s="1"/>
  <c r="B3" i="5"/>
  <c r="B2" i="5"/>
  <c r="G37" i="4"/>
  <c r="B37" i="4"/>
  <c r="D37" i="4" s="1"/>
  <c r="G36" i="4"/>
  <c r="D36" i="4"/>
  <c r="G35" i="4"/>
  <c r="D35" i="4"/>
  <c r="G34" i="4"/>
  <c r="G32" i="4"/>
  <c r="G31" i="4"/>
  <c r="D31" i="4"/>
  <c r="D30" i="4"/>
  <c r="D29" i="4"/>
  <c r="D28" i="4"/>
  <c r="G26" i="4"/>
  <c r="B26" i="4"/>
  <c r="D26" i="4"/>
  <c r="G25" i="4"/>
  <c r="B25" i="4"/>
  <c r="D25" i="4"/>
  <c r="G24" i="4"/>
  <c r="B24" i="4"/>
  <c r="D24" i="4"/>
  <c r="G23" i="4"/>
  <c r="G22" i="4"/>
  <c r="B22" i="4"/>
  <c r="D22" i="4" s="1"/>
  <c r="G20" i="4"/>
  <c r="B20" i="4"/>
  <c r="D20" i="4" s="1"/>
  <c r="G19" i="4"/>
  <c r="G18" i="4"/>
  <c r="D18" i="4"/>
  <c r="D16" i="4"/>
  <c r="G15" i="4"/>
  <c r="G13" i="4"/>
  <c r="D13" i="4"/>
  <c r="G11" i="4"/>
  <c r="D11" i="4"/>
  <c r="G10" i="4"/>
  <c r="D10" i="4"/>
  <c r="G9" i="4"/>
  <c r="D9" i="4"/>
  <c r="G8" i="4"/>
  <c r="G7" i="4"/>
  <c r="D7" i="4"/>
  <c r="G6" i="4"/>
  <c r="D6" i="4"/>
  <c r="G5" i="4"/>
  <c r="D5" i="4"/>
  <c r="E2" i="6" l="1"/>
  <c r="H2" i="6" s="1"/>
  <c r="M2" i="6" s="1"/>
  <c r="E3" i="6"/>
  <c r="H3" i="6" s="1"/>
  <c r="M3" i="6" s="1"/>
  <c r="J15" i="4"/>
  <c r="J8" i="4"/>
  <c r="E14" i="6"/>
  <c r="E5" i="6"/>
  <c r="E13" i="6"/>
  <c r="H4" i="6"/>
  <c r="M4" i="6" s="1"/>
  <c r="H6" i="6"/>
  <c r="E12" i="6" l="1"/>
  <c r="E11" i="6"/>
  <c r="E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Smith</author>
  </authors>
  <commentList>
    <comment ref="P3" authorId="0" shapeId="0" xr:uid="{00000000-0006-0000-0300-000001000000}">
      <text>
        <r>
          <rPr>
            <b/>
            <sz val="9"/>
            <color indexed="81"/>
            <rFont val="Calibri"/>
            <family val="2"/>
          </rPr>
          <t>Steve Smith:</t>
        </r>
        <r>
          <rPr>
            <sz val="9"/>
            <color indexed="81"/>
            <rFont val="Calibri"/>
            <family val="2"/>
          </rPr>
          <t xml:space="preserve">
Sub-bituminous</t>
        </r>
      </text>
    </comment>
    <comment ref="S3" authorId="0" shapeId="0" xr:uid="{00000000-0006-0000-0300-000002000000}">
      <text>
        <r>
          <rPr>
            <b/>
            <sz val="9"/>
            <color indexed="81"/>
            <rFont val="Calibri"/>
            <family val="2"/>
          </rPr>
          <t>Steve Smith:</t>
        </r>
        <r>
          <rPr>
            <sz val="9"/>
            <color indexed="81"/>
            <rFont val="Calibri"/>
            <family val="2"/>
          </rPr>
          <t xml:space="preserve">
S</t>
        </r>
      </text>
    </comment>
    <comment ref="R4" authorId="0" shapeId="0" xr:uid="{00000000-0006-0000-0300-000003000000}">
      <text>
        <r>
          <rPr>
            <b/>
            <sz val="9"/>
            <color indexed="81"/>
            <rFont val="Calibri"/>
            <family val="2"/>
          </rPr>
          <t>Steve Smith:</t>
        </r>
        <r>
          <rPr>
            <sz val="9"/>
            <color indexed="81"/>
            <rFont val="Calibri"/>
            <family val="2"/>
          </rPr>
          <t xml:space="preserve">
From guideline doc, is TJ Net</t>
        </r>
      </text>
    </comment>
  </commentList>
</comments>
</file>

<file path=xl/sharedStrings.xml><?xml version="1.0" encoding="utf-8"?>
<sst xmlns="http://schemas.openxmlformats.org/spreadsheetml/2006/main" count="300" uniqueCount="125">
  <si>
    <t>cdiac_fuel</t>
  </si>
  <si>
    <t>units</t>
  </si>
  <si>
    <t>EF</t>
  </si>
  <si>
    <t>solid_fuels</t>
  </si>
  <si>
    <t>liquid_fuels</t>
  </si>
  <si>
    <t>gas_fuels</t>
  </si>
  <si>
    <t>bunker_fuels</t>
  </si>
  <si>
    <t>http://cdiac.ornl.gov/epubs/ndp/ndp030/tables/table4.htm</t>
  </si>
  <si>
    <t>gas_flaring</t>
  </si>
  <si>
    <t>src</t>
  </si>
  <si>
    <t>coal_coke</t>
  </si>
  <si>
    <t>https://www.eia.gov/environment/emissions/co2_vol_mass.cfm</t>
  </si>
  <si>
    <t>t C/tce</t>
  </si>
  <si>
    <t>original EF</t>
  </si>
  <si>
    <t>original units</t>
  </si>
  <si>
    <t>kJ/ktce</t>
  </si>
  <si>
    <t>t C/t</t>
  </si>
  <si>
    <t>10^6 t C/10^15 J</t>
  </si>
  <si>
    <t>10^6 t C/10^12 J</t>
  </si>
  <si>
    <t>Carbon Dioxide Emissions Coefficients by Fuel</t>
  </si>
  <si>
    <t xml:space="preserve">Pounds CO2 </t>
  </si>
  <si>
    <t>Kilograms CO2</t>
  </si>
  <si>
    <t>Pounds CO2</t>
  </si>
  <si>
    <t xml:space="preserve">Carbon Dioxide (CO2) Factors: </t>
  </si>
  <si>
    <t>Per Unit of Volume or Mass</t>
  </si>
  <si>
    <t>Per Million Btu</t>
  </si>
  <si>
    <t>For homes and businesses</t>
  </si>
  <si>
    <t>Propane</t>
  </si>
  <si>
    <t>gallon</t>
  </si>
  <si>
    <t>Butane</t>
  </si>
  <si>
    <t>Butane/Propane Mix</t>
  </si>
  <si>
    <t>Home Heating and Diesel Fuel (Distillate)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</si>
  <si>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</si>
  <si>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</si>
  <si>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</si>
  <si>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</si>
  <si>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</si>
  <si>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</si>
  <si>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</si>
  <si>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</si>
  <si>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</si>
  <si>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</si>
  <si>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</si>
  <si>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</si>
  <si>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</si>
  <si>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</si>
  <si>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</si>
  <si>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</si>
  <si>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</si>
  <si>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</si>
  <si>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</si>
  <si>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</si>
  <si>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</si>
  <si>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Anthractie</t>
  </si>
  <si>
    <t>Bituminous</t>
  </si>
  <si>
    <t>Subbituminous</t>
  </si>
  <si>
    <t>Lignite</t>
  </si>
  <si>
    <t>Coke</t>
  </si>
  <si>
    <t>Other fuels</t>
  </si>
  <si>
    <t>Geothermal (average all generation)</t>
  </si>
  <si>
    <t>NA</t>
  </si>
  <si>
    <t>Municiple Solid Waste</t>
  </si>
  <si>
    <t>Tire-derived fuel</t>
  </si>
  <si>
    <t>Waste oil</t>
  </si>
  <si>
    <t>barrel</t>
  </si>
  <si>
    <t>Source: U.S. Energy Information Administration estimates.</t>
  </si>
  <si>
    <t>Note: To convert to carbon equivalents multiply by 12/44.</t>
  </si>
  <si>
    <t>Coefficients may vary slightly with estimation method and across time.</t>
  </si>
  <si>
    <t>kJ/Mbtu</t>
  </si>
  <si>
    <t>kg/kt</t>
  </si>
  <si>
    <t>kJ/TJ</t>
  </si>
  <si>
    <t>t/short ton</t>
  </si>
  <si>
    <t>CO2/C</t>
  </si>
  <si>
    <t>kt CO2/kJ</t>
  </si>
  <si>
    <t>kt CO2/kt</t>
  </si>
  <si>
    <t>kt CO2/TJ</t>
  </si>
  <si>
    <t>heavy_oil</t>
  </si>
  <si>
    <t>diesel_oil</t>
  </si>
  <si>
    <t>light_oil</t>
  </si>
  <si>
    <t>diesel</t>
  </si>
  <si>
    <t>diesel aviation</t>
  </si>
  <si>
    <t>coal coke</t>
  </si>
  <si>
    <t>heavy oil</t>
  </si>
  <si>
    <t>light oil</t>
  </si>
  <si>
    <t>Source: https://www.energyinst.org/_uploads/documents/DSI06.pdf</t>
  </si>
  <si>
    <t>kg/m3</t>
  </si>
  <si>
    <t>crude oil</t>
  </si>
  <si>
    <t>Petroleum product densities (kg/m3)</t>
  </si>
  <si>
    <t>diesel oil</t>
  </si>
  <si>
    <t>motor gasoline</t>
  </si>
  <si>
    <t>m3/gallon</t>
  </si>
  <si>
    <t>kg/gallon</t>
  </si>
  <si>
    <t>Fraction oxidized</t>
  </si>
  <si>
    <t>personal correspondence, also http://cdiac.ornl.gov/pns/convert.html</t>
  </si>
  <si>
    <t>Source: http://cdiac.ornl.gov/epubs/ndp/ndp030/tables/table4.htm</t>
  </si>
  <si>
    <t>iso</t>
  </si>
  <si>
    <t>sector</t>
  </si>
  <si>
    <t>fuel</t>
  </si>
  <si>
    <t>default</t>
  </si>
  <si>
    <t>Emission_Coefficient</t>
  </si>
  <si>
    <t>emission_coefficent</t>
  </si>
  <si>
    <t>1A3aii_Domestic-aviation</t>
  </si>
  <si>
    <t>1A3ai_International-aviation</t>
  </si>
  <si>
    <t>1A3di_International-shipping</t>
  </si>
  <si>
    <t>1A3dii_Domestic-navigation</t>
  </si>
  <si>
    <t>Fraction_Oxidized</t>
  </si>
  <si>
    <t>hard_coal</t>
  </si>
  <si>
    <t>brown_coal</t>
  </si>
  <si>
    <t>natural_gas</t>
  </si>
  <si>
    <t>chn</t>
  </si>
  <si>
    <t>discussed in data and assumptions supplement</t>
  </si>
  <si>
    <t>EC (kg/GJ)</t>
  </si>
  <si>
    <t>IPCC_2008</t>
  </si>
  <si>
    <t>IPCC_1996</t>
  </si>
  <si>
    <t>IPCC_1996 (kgC/GJ)</t>
  </si>
  <si>
    <t>gas_works_gas</t>
  </si>
  <si>
    <t>coke_oven_gas</t>
  </si>
  <si>
    <t>blast_furnace_gas</t>
  </si>
  <si>
    <t>oxygen_steel_furnace_gas</t>
  </si>
  <si>
    <t>IPCC_96_diff</t>
  </si>
  <si>
    <t>IPCC_08_diff</t>
  </si>
  <si>
    <t>1A1b_Mass_Balance_Adjust</t>
  </si>
  <si>
    <t>kgCO2/GJ</t>
  </si>
  <si>
    <t>From: US GHG inventory 2019, Table A-23, 85.68% carbon content of residual oil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</si>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</sst>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/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7" fillId="0" borderId="1" applyNumberFormat="0" applyProtection="0">
      <alignment wrapText="1"/>
    </xf>
    <xf numFmtId="0" fontId="6" fillId="0" borderId="5" applyNumberFormat="0" applyProtection="0">
      <alignment vertical="top" wrapText="1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Protection="0">
      <alignment vertical="top" wrapText="1"/>
    </xf>
    <xf numFmtId="0" fontId="7" fillId="0" borderId="6" applyNumberFormat="0" applyProtection="0">
      <alignment horizontal="left" wrapText="1"/>
    </xf>
    <xf numFmtId="0" fontId="6" fillId="0" borderId="7" applyNumberFormat="0" applyFont="0" applyFill="0" applyProtection="0">
      <alignment wrapText="1"/>
    </xf>
    <xf numFmtId="0" fontId="7" fillId="0" borderId="8" applyNumberFormat="0" applyFill="0" applyProtection="0">
      <alignment wrapText="1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2" borderId="9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1" fillId="0" borderId="0" xfId="0" applyFont="1"/>
    <xf numFmtId="0" fontId="5" fillId="0" borderId="0" xfId="24"/>
    <xf numFmtId="0" fontId="6" fillId="0" borderId="0" xfId="25" applyBorder="1">
      <alignment wrapText="1"/>
    </xf>
    <xf numFmtId="0" fontId="7" fillId="0" borderId="3" xfId="26" applyAlignment="1">
      <alignment horizontal="right" wrapText="1"/>
    </xf>
    <xf numFmtId="2" fontId="7" fillId="0" borderId="3" xfId="26" applyNumberFormat="1" applyAlignment="1">
      <alignment horizontal="right" wrapText="1"/>
    </xf>
    <xf numFmtId="0" fontId="7" fillId="0" borderId="1" xfId="27">
      <alignment wrapText="1"/>
    </xf>
    <xf numFmtId="0" fontId="7" fillId="0" borderId="1" xfId="27" applyAlignment="1">
      <alignment horizontal="right" wrapText="1"/>
    </xf>
    <xf numFmtId="2" fontId="7" fillId="0" borderId="1" xfId="27" applyNumberFormat="1" applyAlignment="1">
      <alignment horizontal="right" wrapText="1"/>
    </xf>
    <xf numFmtId="4" fontId="6" fillId="0" borderId="2" xfId="25" applyNumberFormat="1">
      <alignment wrapText="1"/>
    </xf>
    <xf numFmtId="4" fontId="6" fillId="0" borderId="0" xfId="25" applyNumberFormat="1" applyBorder="1">
      <alignment wrapText="1"/>
    </xf>
    <xf numFmtId="4" fontId="7" fillId="0" borderId="0" xfId="25" applyNumberFormat="1" applyFont="1" applyBorder="1">
      <alignment wrapText="1"/>
    </xf>
    <xf numFmtId="4" fontId="6" fillId="0" borderId="0" xfId="25" applyNumberFormat="1" applyBorder="1" applyAlignment="1">
      <alignment horizontal="right" wrapText="1"/>
    </xf>
    <xf numFmtId="164" fontId="6" fillId="0" borderId="0" xfId="25" applyNumberFormat="1" applyBorder="1">
      <alignment wrapText="1"/>
    </xf>
    <xf numFmtId="2" fontId="6" fillId="0" borderId="0" xfId="25" applyNumberFormat="1" applyBorder="1">
      <alignment wrapText="1"/>
    </xf>
    <xf numFmtId="0" fontId="8" fillId="0" borderId="0" xfId="29" applyAlignment="1" applyProtection="1"/>
    <xf numFmtId="2" fontId="5" fillId="0" borderId="0" xfId="24" applyNumberFormat="1"/>
    <xf numFmtId="0" fontId="9" fillId="0" borderId="0" xfId="24" applyFont="1"/>
    <xf numFmtId="4" fontId="10" fillId="0" borderId="2" xfId="25" applyNumberFormat="1" applyFont="1">
      <alignment wrapText="1"/>
    </xf>
    <xf numFmtId="4" fontId="10" fillId="0" borderId="0" xfId="25" applyNumberFormat="1" applyFont="1" applyBorder="1">
      <alignment wrapText="1"/>
    </xf>
    <xf numFmtId="0" fontId="9" fillId="0" borderId="0" xfId="0" applyFont="1"/>
    <xf numFmtId="4" fontId="11" fillId="0" borderId="2" xfId="25" applyNumberFormat="1" applyFont="1">
      <alignment wrapText="1"/>
    </xf>
    <xf numFmtId="0" fontId="13" fillId="0" borderId="0" xfId="0" applyFont="1"/>
    <xf numFmtId="0" fontId="14" fillId="0" borderId="0" xfId="24" applyFont="1"/>
    <xf numFmtId="0" fontId="12" fillId="2" borderId="9" xfId="54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82" applyFont="1" applyAlignment="1">
      <alignment horizontal="center"/>
    </xf>
    <xf numFmtId="0" fontId="18" fillId="0" borderId="0" xfId="0" applyFont="1"/>
    <xf numFmtId="0" fontId="0" fillId="3" borderId="0" xfId="0" applyFill="1"/>
    <xf numFmtId="0" fontId="7" fillId="0" borderId="5" xfId="28" applyFont="1">
      <alignment vertical="top" wrapText="1"/>
    </xf>
    <xf numFmtId="0" fontId="7" fillId="0" borderId="0" xfId="25" applyFont="1" applyBorder="1">
      <alignment wrapText="1"/>
    </xf>
    <xf numFmtId="0" fontId="6" fillId="0" borderId="0" xfId="25" applyBorder="1" applyAlignment="1">
      <alignment vertical="top" wrapText="1"/>
    </xf>
    <xf numFmtId="0" fontId="4" fillId="0" borderId="0" xfId="23">
      <alignment horizontal="left"/>
    </xf>
    <xf numFmtId="0" fontId="7" fillId="0" borderId="3" xfId="26">
      <alignment wrapText="1"/>
    </xf>
    <xf numFmtId="4" fontId="7" fillId="0" borderId="3" xfId="26" applyNumberFormat="1">
      <alignment wrapText="1"/>
    </xf>
    <xf numFmtId="4" fontId="7" fillId="0" borderId="4" xfId="26" applyNumberFormat="1" applyBorder="1">
      <alignment wrapText="1"/>
    </xf>
    <xf numFmtId="9" fontId="19" fillId="0" borderId="0" xfId="82" applyFont="1"/>
  </cellXfs>
  <cellStyles count="129">
    <cellStyle name="Body: normal cell" xfId="25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nt: Calibri, 9pt regular" xfId="30" xr:uid="{00000000-0005-0000-0000-000068000000}"/>
    <cellStyle name="Footnotes: all except top row" xfId="31" xr:uid="{00000000-0005-0000-0000-000069000000}"/>
    <cellStyle name="Footnotes: top row" xfId="28" xr:uid="{00000000-0005-0000-0000-00006A000000}"/>
    <cellStyle name="Header: bottom row" xfId="27" xr:uid="{00000000-0005-0000-0000-00006B000000}"/>
    <cellStyle name="Header: top rows" xfId="32" xr:uid="{00000000-0005-0000-0000-00006C00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9" builtinId="8"/>
    <cellStyle name="Normal" xfId="0" builtinId="0"/>
    <cellStyle name="Normal 2" xfId="24" xr:uid="{00000000-0005-0000-0000-00007A000000}"/>
    <cellStyle name="Output" xfId="54" builtinId="21"/>
    <cellStyle name="Parent row" xfId="26" xr:uid="{00000000-0005-0000-0000-00007C000000}"/>
    <cellStyle name="Percent" xfId="82" builtinId="5"/>
    <cellStyle name="Section Break" xfId="33" xr:uid="{00000000-0005-0000-0000-00007E000000}"/>
    <cellStyle name="Section Break: parent row" xfId="34" xr:uid="{00000000-0005-0000-0000-00007F000000}"/>
    <cellStyle name="Table title" xfId="23" xr:uid="{00000000-0005-0000-0000-000080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ortal.pnl.gov/+CSCO+1075676763663A2F2F7A6E76797661672E636161792E746269++/owa/-CSCO-3h--redir.aspx?C=Mg-icqFT_fUUZTcnSvigsfmH0eiqvqGv2P7c-T_uZfwS78jUZ_fTCA..&amp;URL=https%3a%2f%2fwww.eia.gov%2fenvironment%2femissions%2fco2_vol_mass.cf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C6" sqref="C6"/>
    </sheetView>
    <sheetView workbookViewId="1"/>
    <sheetView workbookViewId="2">
      <selection activeCell="F6" sqref="F6"/>
    </sheetView>
  </sheetViews>
  <sheetFormatPr baseColWidth="10" defaultColWidth="11" defaultRowHeight="16" x14ac:dyDescent="0.2"/>
  <cols>
    <col min="7" max="7" width="17" customWidth="1"/>
  </cols>
  <sheetData>
    <row r="1" spans="1:8" s="2" customFormat="1" x14ac:dyDescent="0.2">
      <c r="A1" s="2" t="s">
        <v>0</v>
      </c>
      <c r="B1" s="2" t="s">
        <v>13</v>
      </c>
      <c r="C1" s="2" t="s">
        <v>14</v>
      </c>
      <c r="E1" s="2" t="s">
        <v>2</v>
      </c>
      <c r="F1" s="2" t="s">
        <v>1</v>
      </c>
      <c r="G1" s="2" t="s">
        <v>100</v>
      </c>
      <c r="H1" s="2" t="s">
        <v>9</v>
      </c>
    </row>
    <row r="2" spans="1:8" x14ac:dyDescent="0.2">
      <c r="A2" t="s">
        <v>3</v>
      </c>
      <c r="B2">
        <v>0.72409999999999997</v>
      </c>
      <c r="C2" t="s">
        <v>12</v>
      </c>
      <c r="E2" s="1">
        <f>B2*conversion!B5/conversion!B6</f>
        <v>9.0526088796080198E-11</v>
      </c>
      <c r="F2" t="s">
        <v>73</v>
      </c>
      <c r="G2" s="1">
        <f>E2/conversion!B20</f>
        <v>9.2185426472586756E-11</v>
      </c>
      <c r="H2" s="1" t="s">
        <v>93</v>
      </c>
    </row>
    <row r="3" spans="1:8" x14ac:dyDescent="0.2">
      <c r="A3" t="s">
        <v>4</v>
      </c>
      <c r="B3">
        <f>0.85*conversion!B21</f>
        <v>0.83724999999999994</v>
      </c>
      <c r="C3" t="s">
        <v>16</v>
      </c>
      <c r="E3">
        <f>B3*conversion!B5</f>
        <v>3.0676839999999999</v>
      </c>
      <c r="F3" t="s">
        <v>74</v>
      </c>
      <c r="G3">
        <f>E3/conversion!B21</f>
        <v>3.1143999999999998</v>
      </c>
      <c r="H3" t="s">
        <v>7</v>
      </c>
    </row>
    <row r="4" spans="1:8" x14ac:dyDescent="0.2">
      <c r="A4" t="s">
        <v>5</v>
      </c>
      <c r="B4">
        <f>0.0137*conversion!B22</f>
        <v>1.3426E-2</v>
      </c>
      <c r="C4" t="s">
        <v>17</v>
      </c>
      <c r="E4">
        <f>B4*conversion!B5</f>
        <v>4.9192864000000003E-2</v>
      </c>
      <c r="F4" t="s">
        <v>75</v>
      </c>
      <c r="G4">
        <f>E4/conversion!B22</f>
        <v>5.0196800000000007E-2</v>
      </c>
      <c r="H4" t="s">
        <v>7</v>
      </c>
    </row>
    <row r="5" spans="1:8" x14ac:dyDescent="0.2">
      <c r="A5" t="s">
        <v>6</v>
      </c>
      <c r="B5">
        <f>0.855*conversion!B23</f>
        <v>0.85499999999999998</v>
      </c>
      <c r="C5" t="s">
        <v>16</v>
      </c>
      <c r="E5">
        <f>B5*conversion!B5</f>
        <v>3.1327199999999999</v>
      </c>
      <c r="F5" t="s">
        <v>74</v>
      </c>
      <c r="G5">
        <f>E5</f>
        <v>3.1327199999999999</v>
      </c>
      <c r="H5" t="s">
        <v>7</v>
      </c>
    </row>
    <row r="6" spans="1:8" x14ac:dyDescent="0.2">
      <c r="A6" t="s">
        <v>8</v>
      </c>
      <c r="B6">
        <f>13.454*conversion!B24</f>
        <v>13.454000000000001</v>
      </c>
      <c r="C6" t="s">
        <v>18</v>
      </c>
      <c r="E6">
        <f>B6*conversion!B5/1000</f>
        <v>4.9295456000000001E-2</v>
      </c>
      <c r="F6" t="s">
        <v>75</v>
      </c>
      <c r="G6">
        <f>E6</f>
        <v>4.9295456000000001E-2</v>
      </c>
      <c r="H6" t="s">
        <v>7</v>
      </c>
    </row>
    <row r="9" spans="1:8" x14ac:dyDescent="0.2">
      <c r="D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showGridLines="0" workbookViewId="0">
      <selection activeCell="J31" sqref="J31"/>
    </sheetView>
    <sheetView tabSelected="1" topLeftCell="A2" zoomScale="120" zoomScaleNormal="120" workbookViewId="1">
      <selection activeCell="L10" sqref="L10"/>
    </sheetView>
    <sheetView workbookViewId="2">
      <selection activeCell="J8" sqref="J8"/>
    </sheetView>
  </sheetViews>
  <sheetFormatPr baseColWidth="10" defaultColWidth="8.83203125" defaultRowHeight="15" x14ac:dyDescent="0.2"/>
  <cols>
    <col min="1" max="1" width="19" style="3" customWidth="1"/>
    <col min="2" max="2" width="11.5" style="3" customWidth="1"/>
    <col min="3" max="3" width="11.33203125" style="3" customWidth="1"/>
    <col min="4" max="4" width="8.83203125" style="3" customWidth="1"/>
    <col min="5" max="5" width="9.33203125" style="3" customWidth="1"/>
    <col min="6" max="6" width="7.5" style="17" customWidth="1"/>
    <col min="7" max="7" width="11.6640625" style="17" customWidth="1"/>
    <col min="8" max="9" width="8.83203125" style="3"/>
    <col min="10" max="11" width="8.83203125" style="18"/>
    <col min="12" max="16384" width="8.83203125" style="3"/>
  </cols>
  <sheetData>
    <row r="1" spans="1:13" ht="18.75" customHeight="1" x14ac:dyDescent="0.2">
      <c r="A1" s="34" t="s">
        <v>19</v>
      </c>
      <c r="B1" s="34"/>
      <c r="C1" s="34"/>
      <c r="D1" s="34"/>
      <c r="E1" s="34"/>
      <c r="F1" s="34"/>
      <c r="G1" s="34"/>
    </row>
    <row r="2" spans="1:13" ht="30" customHeight="1" x14ac:dyDescent="0.2">
      <c r="A2" s="4"/>
      <c r="B2" s="5" t="s">
        <v>20</v>
      </c>
      <c r="C2" s="5"/>
      <c r="D2" s="5" t="s">
        <v>21</v>
      </c>
      <c r="E2" s="5"/>
      <c r="F2" s="6" t="s">
        <v>22</v>
      </c>
      <c r="G2" s="6" t="s">
        <v>21</v>
      </c>
    </row>
    <row r="3" spans="1:13" ht="27.75" customHeight="1" thickBot="1" x14ac:dyDescent="0.25">
      <c r="A3" s="7" t="s">
        <v>23</v>
      </c>
      <c r="B3" s="8" t="s">
        <v>24</v>
      </c>
      <c r="C3" s="8"/>
      <c r="D3" s="8" t="s">
        <v>24</v>
      </c>
      <c r="E3" s="8"/>
      <c r="F3" s="9" t="s">
        <v>25</v>
      </c>
      <c r="G3" s="9" t="s">
        <v>25</v>
      </c>
      <c r="J3" s="25" t="s">
        <v>99</v>
      </c>
    </row>
    <row r="4" spans="1:13" ht="15.75" customHeight="1" thickTop="1" x14ac:dyDescent="0.2">
      <c r="A4" s="35" t="s">
        <v>26</v>
      </c>
      <c r="B4" s="35"/>
      <c r="C4" s="35"/>
      <c r="D4" s="35"/>
      <c r="E4" s="35"/>
      <c r="F4" s="35"/>
      <c r="G4" s="35"/>
      <c r="J4" s="25"/>
    </row>
    <row r="5" spans="1:13" ht="16" x14ac:dyDescent="0.2">
      <c r="A5" s="10" t="s">
        <v>27</v>
      </c>
      <c r="B5" s="10">
        <v>12.7</v>
      </c>
      <c r="C5" s="10" t="s">
        <v>28</v>
      </c>
      <c r="D5" s="10">
        <f t="shared" ref="D5:D13" si="0">B5/2.20462</f>
        <v>5.7606299498326248</v>
      </c>
      <c r="E5" s="10" t="s">
        <v>28</v>
      </c>
      <c r="F5" s="10">
        <v>139.04859867504859</v>
      </c>
      <c r="G5" s="10">
        <f>(F5/2.20462)</f>
        <v>63.071458425963932</v>
      </c>
      <c r="J5" s="25"/>
    </row>
    <row r="6" spans="1:13" ht="16" x14ac:dyDescent="0.2">
      <c r="A6" s="10" t="s">
        <v>29</v>
      </c>
      <c r="B6" s="10">
        <v>14.8</v>
      </c>
      <c r="C6" s="10" t="s">
        <v>28</v>
      </c>
      <c r="D6" s="10">
        <f t="shared" si="0"/>
        <v>6.7131750596474689</v>
      </c>
      <c r="E6" s="10" t="s">
        <v>28</v>
      </c>
      <c r="F6" s="10">
        <v>143.19829002512873</v>
      </c>
      <c r="G6" s="10">
        <f t="shared" ref="G6:G13" si="1">(F6/2.20462)</f>
        <v>64.953728998706694</v>
      </c>
      <c r="J6" s="25"/>
    </row>
    <row r="7" spans="1:13" ht="15" customHeight="1" x14ac:dyDescent="0.2">
      <c r="A7" s="10" t="s">
        <v>30</v>
      </c>
      <c r="B7" s="10">
        <v>13.7</v>
      </c>
      <c r="C7" s="10" t="s">
        <v>28</v>
      </c>
      <c r="D7" s="10">
        <f t="shared" si="0"/>
        <v>6.214222859268264</v>
      </c>
      <c r="E7" s="10" t="s">
        <v>28</v>
      </c>
      <c r="F7" s="10">
        <v>141.12344435008868</v>
      </c>
      <c r="G7" s="10">
        <f t="shared" si="1"/>
        <v>64.012593712335317</v>
      </c>
      <c r="J7" s="25"/>
    </row>
    <row r="8" spans="1:13" ht="26.25" customHeight="1" x14ac:dyDescent="0.2">
      <c r="A8" s="19" t="s">
        <v>31</v>
      </c>
      <c r="B8" s="10">
        <v>22.4</v>
      </c>
      <c r="C8" s="10" t="s">
        <v>28</v>
      </c>
      <c r="D8" s="10">
        <f t="shared" si="0"/>
        <v>10.160481171358329</v>
      </c>
      <c r="E8" s="10" t="s">
        <v>28</v>
      </c>
      <c r="F8" s="10">
        <v>161.30000000000001</v>
      </c>
      <c r="G8" s="10">
        <f t="shared" si="1"/>
        <v>73.164536291968702</v>
      </c>
      <c r="H8" s="3" t="s">
        <v>79</v>
      </c>
      <c r="J8" s="25">
        <f>D8/conversion!C13</f>
        <v>3.2338752156172763</v>
      </c>
      <c r="K8" s="18" t="s">
        <v>74</v>
      </c>
    </row>
    <row r="9" spans="1:13" ht="16" x14ac:dyDescent="0.2">
      <c r="A9" s="10" t="s">
        <v>32</v>
      </c>
      <c r="B9" s="10">
        <v>21.5</v>
      </c>
      <c r="C9" s="10" t="s">
        <v>28</v>
      </c>
      <c r="D9" s="10">
        <f t="shared" si="0"/>
        <v>9.7522475528662547</v>
      </c>
      <c r="E9" s="10" t="s">
        <v>28</v>
      </c>
      <c r="F9" s="10">
        <v>159.4</v>
      </c>
      <c r="G9" s="10">
        <f t="shared" si="1"/>
        <v>72.302709764040983</v>
      </c>
      <c r="J9" s="25"/>
    </row>
    <row r="10" spans="1:13" ht="16" x14ac:dyDescent="0.2">
      <c r="A10" s="10" t="s">
        <v>33</v>
      </c>
      <c r="B10" s="10">
        <v>4631.5</v>
      </c>
      <c r="C10" s="10" t="s">
        <v>34</v>
      </c>
      <c r="D10" s="10">
        <f t="shared" si="0"/>
        <v>2100.8155600511654</v>
      </c>
      <c r="E10" s="10" t="s">
        <v>34</v>
      </c>
      <c r="F10" s="10">
        <v>210.2</v>
      </c>
      <c r="G10" s="10">
        <f t="shared" si="1"/>
        <v>95.345229563371475</v>
      </c>
      <c r="J10" s="25">
        <f>B10/2000</f>
        <v>2.31575</v>
      </c>
      <c r="K10" s="18" t="s">
        <v>74</v>
      </c>
      <c r="L10" s="38">
        <f>EIA!B10/2000/((15.9994*2+12.011)/12.011)</f>
        <v>0.63200635426654972</v>
      </c>
      <c r="M10" s="3" t="s">
        <v>124</v>
      </c>
    </row>
    <row r="11" spans="1:13" ht="27" x14ac:dyDescent="0.2">
      <c r="A11" s="10" t="s">
        <v>35</v>
      </c>
      <c r="B11" s="10">
        <v>117.1</v>
      </c>
      <c r="C11" s="10" t="s">
        <v>36</v>
      </c>
      <c r="D11" s="10">
        <f t="shared" si="0"/>
        <v>53.115729694913412</v>
      </c>
      <c r="E11" s="10" t="s">
        <v>36</v>
      </c>
      <c r="F11" s="10">
        <v>117</v>
      </c>
      <c r="G11" s="10">
        <f t="shared" si="1"/>
        <v>53.070370403969847</v>
      </c>
      <c r="J11" s="25"/>
    </row>
    <row r="12" spans="1:13" ht="15" customHeight="1" x14ac:dyDescent="0.2">
      <c r="A12" s="19" t="s">
        <v>37</v>
      </c>
      <c r="B12" s="10">
        <v>19.600000000000001</v>
      </c>
      <c r="C12" s="10" t="s">
        <v>28</v>
      </c>
      <c r="D12" s="10">
        <f t="shared" si="0"/>
        <v>8.89042102493854</v>
      </c>
      <c r="E12" s="10" t="s">
        <v>28</v>
      </c>
      <c r="F12" s="10">
        <v>157.19999999999999</v>
      </c>
      <c r="G12" s="10">
        <v>71.3</v>
      </c>
      <c r="H12" s="3" t="s">
        <v>83</v>
      </c>
      <c r="J12" s="25">
        <f>D12/conversion!C14</f>
        <v>3.1314691671227299</v>
      </c>
      <c r="K12" s="18" t="s">
        <v>74</v>
      </c>
    </row>
    <row r="13" spans="1:13" ht="27" x14ac:dyDescent="0.2">
      <c r="A13" s="10" t="s">
        <v>38</v>
      </c>
      <c r="B13" s="10">
        <v>26</v>
      </c>
      <c r="C13" s="10" t="s">
        <v>28</v>
      </c>
      <c r="D13" s="10">
        <f t="shared" si="0"/>
        <v>11.793415645326633</v>
      </c>
      <c r="E13" s="10" t="s">
        <v>28</v>
      </c>
      <c r="F13" s="10">
        <v>173.7</v>
      </c>
      <c r="G13" s="10">
        <f t="shared" si="1"/>
        <v>78.789088368970624</v>
      </c>
      <c r="J13" s="25"/>
    </row>
    <row r="14" spans="1:13" ht="15.75" customHeight="1" x14ac:dyDescent="0.2">
      <c r="A14" s="36" t="s">
        <v>39</v>
      </c>
      <c r="B14" s="36"/>
      <c r="C14" s="36"/>
      <c r="D14" s="36"/>
      <c r="E14" s="36"/>
      <c r="F14" s="36"/>
      <c r="G14" s="36"/>
      <c r="J14" s="25"/>
    </row>
    <row r="15" spans="1:13" ht="15" customHeight="1" x14ac:dyDescent="0.2">
      <c r="A15" s="19" t="s">
        <v>40</v>
      </c>
      <c r="B15" s="10">
        <v>21.1</v>
      </c>
      <c r="C15" s="10" t="s">
        <v>28</v>
      </c>
      <c r="D15" s="10">
        <f>B15/2.20462</f>
        <v>9.5708103890919993</v>
      </c>
      <c r="E15" s="10" t="s">
        <v>28</v>
      </c>
      <c r="F15" s="10">
        <v>156.30000000000001</v>
      </c>
      <c r="G15" s="10">
        <f>(F15/2.20462)</f>
        <v>70.896571744790492</v>
      </c>
      <c r="H15" s="3" t="s">
        <v>80</v>
      </c>
      <c r="J15" s="25">
        <f>D15/conversion!C13</f>
        <v>3.0461949575680598</v>
      </c>
      <c r="K15" s="18" t="s">
        <v>74</v>
      </c>
    </row>
    <row r="16" spans="1:13" ht="16" x14ac:dyDescent="0.2">
      <c r="A16" s="10" t="s">
        <v>41</v>
      </c>
      <c r="B16" s="10">
        <v>18.399999999999999</v>
      </c>
      <c r="C16" s="10" t="s">
        <v>28</v>
      </c>
      <c r="D16" s="10">
        <f>B16/2.20462</f>
        <v>8.3461095336157705</v>
      </c>
      <c r="E16" s="10" t="s">
        <v>28</v>
      </c>
      <c r="F16" s="10">
        <v>152.6</v>
      </c>
      <c r="G16" s="10">
        <v>69.2</v>
      </c>
      <c r="J16" s="25"/>
    </row>
    <row r="17" spans="1:11" ht="15.75" customHeight="1" x14ac:dyDescent="0.2">
      <c r="A17" s="36" t="s">
        <v>42</v>
      </c>
      <c r="B17" s="36"/>
      <c r="C17" s="36"/>
      <c r="D17" s="36"/>
      <c r="E17" s="36"/>
      <c r="F17" s="36"/>
      <c r="G17" s="36"/>
      <c r="J17" s="25"/>
    </row>
    <row r="18" spans="1:11" ht="22.5" customHeight="1" x14ac:dyDescent="0.2">
      <c r="A18" s="10" t="s">
        <v>43</v>
      </c>
      <c r="B18" s="10">
        <v>120.7</v>
      </c>
      <c r="C18" s="10" t="s">
        <v>36</v>
      </c>
      <c r="D18" s="10">
        <f>B18/2.20462</f>
        <v>54.748664168881717</v>
      </c>
      <c r="E18" s="10" t="s">
        <v>36</v>
      </c>
      <c r="F18" s="10">
        <v>120.6</v>
      </c>
      <c r="G18" s="10">
        <f>(F18/2.20462)</f>
        <v>54.703304877938152</v>
      </c>
      <c r="J18" s="25"/>
    </row>
    <row r="19" spans="1:11" ht="16" x14ac:dyDescent="0.2">
      <c r="A19" s="19" t="s">
        <v>44</v>
      </c>
      <c r="B19" s="10">
        <v>32.4</v>
      </c>
      <c r="C19" s="10" t="s">
        <v>28</v>
      </c>
      <c r="D19" s="10">
        <f>B19/2.20462</f>
        <v>14.696410265714727</v>
      </c>
      <c r="E19" s="10" t="s">
        <v>28</v>
      </c>
      <c r="F19" s="10">
        <v>225.1</v>
      </c>
      <c r="G19" s="10">
        <f>(F19/2.20462)</f>
        <v>102.10376391396251</v>
      </c>
      <c r="H19" s="3" t="s">
        <v>82</v>
      </c>
      <c r="J19" s="25"/>
      <c r="K19" s="21"/>
    </row>
    <row r="20" spans="1:11" ht="27" x14ac:dyDescent="0.2">
      <c r="A20" s="10" t="s">
        <v>45</v>
      </c>
      <c r="B20" s="10">
        <f>F20*5.796/42</f>
        <v>22.093800000000002</v>
      </c>
      <c r="C20" s="10" t="s">
        <v>28</v>
      </c>
      <c r="D20" s="10">
        <f>B20/2.20462</f>
        <v>10.021591022489138</v>
      </c>
      <c r="E20" s="10" t="s">
        <v>28</v>
      </c>
      <c r="F20" s="10">
        <v>160.1</v>
      </c>
      <c r="G20" s="10">
        <f>(F20/2.20462)</f>
        <v>72.620224800645914</v>
      </c>
      <c r="J20" s="25"/>
    </row>
    <row r="21" spans="1:11" ht="15.75" customHeight="1" x14ac:dyDescent="0.2">
      <c r="A21" s="36" t="s">
        <v>46</v>
      </c>
      <c r="B21" s="36"/>
      <c r="C21" s="36"/>
      <c r="D21" s="36"/>
      <c r="E21" s="36"/>
      <c r="F21" s="36"/>
      <c r="G21" s="36"/>
      <c r="J21" s="25"/>
    </row>
    <row r="22" spans="1:11" ht="16" x14ac:dyDescent="0.2">
      <c r="A22" s="10" t="s">
        <v>47</v>
      </c>
      <c r="B22" s="10">
        <f>F22*6.636/42</f>
        <v>26.3386</v>
      </c>
      <c r="C22" s="10" t="s">
        <v>28</v>
      </c>
      <c r="D22" s="10">
        <f>B22/2.20462</f>
        <v>11.94700220446154</v>
      </c>
      <c r="E22" s="10" t="s">
        <v>28</v>
      </c>
      <c r="F22" s="10">
        <v>166.7</v>
      </c>
      <c r="G22" s="10">
        <f>(F22/2.20462)</f>
        <v>75.613938002921145</v>
      </c>
      <c r="J22" s="25"/>
    </row>
    <row r="23" spans="1:11" ht="16" x14ac:dyDescent="0.2">
      <c r="A23" s="22" t="s">
        <v>48</v>
      </c>
      <c r="B23" s="10">
        <f>F23*6.065/42</f>
        <v>23.624619047619049</v>
      </c>
      <c r="C23" s="10" t="s">
        <v>28</v>
      </c>
      <c r="D23" s="10">
        <f>B23/2.20462</f>
        <v>10.715959688118158</v>
      </c>
      <c r="E23" s="10" t="s">
        <v>28</v>
      </c>
      <c r="F23" s="10">
        <v>163.6</v>
      </c>
      <c r="G23" s="10">
        <f>(F23/2.20462)</f>
        <v>74.207799983670654</v>
      </c>
      <c r="J23" s="25"/>
      <c r="K23" s="21"/>
    </row>
    <row r="24" spans="1:11" ht="16" x14ac:dyDescent="0.2">
      <c r="A24" s="10" t="s">
        <v>49</v>
      </c>
      <c r="B24" s="10">
        <f>F24*6.636/42</f>
        <v>24.742799999999999</v>
      </c>
      <c r="C24" s="10" t="s">
        <v>28</v>
      </c>
      <c r="D24" s="10">
        <f>B24/2.20462</f>
        <v>11.223158639584147</v>
      </c>
      <c r="E24" s="10" t="s">
        <v>28</v>
      </c>
      <c r="F24" s="10">
        <v>156.6</v>
      </c>
      <c r="G24" s="10">
        <f>(F24/2.20462)</f>
        <v>71.032649617621175</v>
      </c>
      <c r="J24" s="25"/>
    </row>
    <row r="25" spans="1:11" ht="16" x14ac:dyDescent="0.2">
      <c r="A25" s="10" t="s">
        <v>50</v>
      </c>
      <c r="B25" s="10">
        <f>F25*5.248/42</f>
        <v>20.054857142857145</v>
      </c>
      <c r="C25" s="10" t="s">
        <v>28</v>
      </c>
      <c r="D25" s="10">
        <f>B25/2.20462</f>
        <v>9.0967409997446946</v>
      </c>
      <c r="E25" s="10" t="s">
        <v>28</v>
      </c>
      <c r="F25" s="10">
        <v>160.5</v>
      </c>
      <c r="G25" s="10">
        <f>(F25/2.20462)</f>
        <v>72.801661964420177</v>
      </c>
      <c r="J25" s="25"/>
    </row>
    <row r="26" spans="1:11" ht="16" x14ac:dyDescent="0.2">
      <c r="A26" s="10" t="s">
        <v>51</v>
      </c>
      <c r="B26" s="10">
        <f>F26*5.537/42</f>
        <v>21.106516666666668</v>
      </c>
      <c r="C26" s="10" t="s">
        <v>28</v>
      </c>
      <c r="D26" s="10">
        <f>B26/2.20462</f>
        <v>9.5737663028851543</v>
      </c>
      <c r="E26" s="10" t="s">
        <v>28</v>
      </c>
      <c r="F26" s="10">
        <v>160.1</v>
      </c>
      <c r="G26" s="10">
        <f>(F26/2.20462)</f>
        <v>72.620224800645914</v>
      </c>
      <c r="J26" s="25"/>
    </row>
    <row r="27" spans="1:11" ht="15.75" customHeight="1" x14ac:dyDescent="0.2">
      <c r="A27" s="37" t="s">
        <v>52</v>
      </c>
      <c r="B27" s="37"/>
      <c r="C27" s="37"/>
      <c r="D27" s="37"/>
      <c r="E27" s="37"/>
      <c r="F27" s="37"/>
      <c r="G27" s="37"/>
      <c r="J27" s="25"/>
    </row>
    <row r="28" spans="1:11" ht="16" x14ac:dyDescent="0.2">
      <c r="A28" s="10" t="s">
        <v>53</v>
      </c>
      <c r="B28" s="10">
        <v>5685</v>
      </c>
      <c r="C28" s="10" t="s">
        <v>34</v>
      </c>
      <c r="D28" s="10">
        <f>B28/2.20462</f>
        <v>2578.675690141612</v>
      </c>
      <c r="E28" s="10" t="s">
        <v>34</v>
      </c>
      <c r="F28" s="10">
        <v>228.6</v>
      </c>
      <c r="G28" s="10">
        <v>103.7</v>
      </c>
      <c r="J28" s="25"/>
    </row>
    <row r="29" spans="1:11" ht="16" x14ac:dyDescent="0.2">
      <c r="A29" s="10" t="s">
        <v>54</v>
      </c>
      <c r="B29" s="10">
        <v>4931.3</v>
      </c>
      <c r="C29" s="10" t="s">
        <v>34</v>
      </c>
      <c r="D29" s="10">
        <f>B29/2.20462</f>
        <v>2236.8027142999704</v>
      </c>
      <c r="E29" s="10" t="s">
        <v>34</v>
      </c>
      <c r="F29" s="10">
        <v>205.7</v>
      </c>
      <c r="G29" s="10">
        <v>93.3</v>
      </c>
      <c r="J29" s="25"/>
    </row>
    <row r="30" spans="1:11" ht="16" x14ac:dyDescent="0.2">
      <c r="A30" s="10" t="s">
        <v>55</v>
      </c>
      <c r="B30" s="10">
        <v>3715.9</v>
      </c>
      <c r="C30" s="10" t="s">
        <v>34</v>
      </c>
      <c r="D30" s="10">
        <f>B30/2.20462</f>
        <v>1685.5058921718937</v>
      </c>
      <c r="E30" s="10" t="s">
        <v>34</v>
      </c>
      <c r="F30" s="10">
        <v>214.3</v>
      </c>
      <c r="G30" s="10">
        <v>97.2</v>
      </c>
      <c r="J30" s="25"/>
    </row>
    <row r="31" spans="1:11" ht="16" x14ac:dyDescent="0.2">
      <c r="A31" s="10" t="s">
        <v>56</v>
      </c>
      <c r="B31" s="10">
        <v>2791.6</v>
      </c>
      <c r="C31" s="10" t="s">
        <v>34</v>
      </c>
      <c r="D31" s="10">
        <f>B31/2.20462</f>
        <v>1266.2499659805319</v>
      </c>
      <c r="E31" s="10" t="s">
        <v>34</v>
      </c>
      <c r="F31" s="10">
        <v>215.4</v>
      </c>
      <c r="G31" s="10">
        <f>(F31/2.20462)</f>
        <v>97.703912692436802</v>
      </c>
      <c r="J31" s="25"/>
    </row>
    <row r="32" spans="1:11" ht="16" x14ac:dyDescent="0.2">
      <c r="A32" s="20" t="s">
        <v>57</v>
      </c>
      <c r="B32" s="11">
        <f>F32*24.8</f>
        <v>6239.68</v>
      </c>
      <c r="C32" s="11" t="s">
        <v>34</v>
      </c>
      <c r="D32" s="11">
        <f>B32/2.20462</f>
        <v>2830.2746051473728</v>
      </c>
      <c r="E32" s="11" t="s">
        <v>34</v>
      </c>
      <c r="F32" s="11">
        <v>251.6</v>
      </c>
      <c r="G32" s="11">
        <f>(F32/2.20462)</f>
        <v>114.12397601400696</v>
      </c>
      <c r="H32" s="3" t="s">
        <v>81</v>
      </c>
      <c r="J32" s="25">
        <f>D32/(1000*conversion!B4)</f>
        <v>3.1198462551669484</v>
      </c>
      <c r="K32" s="18" t="s">
        <v>74</v>
      </c>
    </row>
    <row r="33" spans="1:11" ht="16" x14ac:dyDescent="0.2">
      <c r="A33" s="12" t="s">
        <v>58</v>
      </c>
      <c r="B33" s="11"/>
      <c r="C33" s="11"/>
      <c r="D33" s="11"/>
      <c r="E33" s="11"/>
      <c r="F33" s="11"/>
      <c r="G33" s="11"/>
      <c r="J33" s="25"/>
    </row>
    <row r="34" spans="1:11" ht="27" x14ac:dyDescent="0.2">
      <c r="A34" s="11" t="s">
        <v>59</v>
      </c>
      <c r="B34" s="13" t="s">
        <v>60</v>
      </c>
      <c r="C34" s="13"/>
      <c r="D34" s="13" t="s">
        <v>60</v>
      </c>
      <c r="E34" s="11"/>
      <c r="F34" s="11">
        <v>16.989999999999998</v>
      </c>
      <c r="G34" s="11">
        <f>(F34/2.20462)</f>
        <v>7.7065435313115183</v>
      </c>
    </row>
    <row r="35" spans="1:11" x14ac:dyDescent="0.2">
      <c r="A35" s="11" t="s">
        <v>61</v>
      </c>
      <c r="B35" s="11">
        <v>5771</v>
      </c>
      <c r="C35" s="11" t="s">
        <v>34</v>
      </c>
      <c r="D35" s="11">
        <f>B35/2.20462</f>
        <v>2617.6846803530771</v>
      </c>
      <c r="E35" s="11" t="s">
        <v>34</v>
      </c>
      <c r="F35" s="11">
        <v>91.9</v>
      </c>
      <c r="G35" s="11">
        <f>(F35/2.20462)</f>
        <v>41.685188377135297</v>
      </c>
    </row>
    <row r="36" spans="1:11" x14ac:dyDescent="0.2">
      <c r="A36" s="11" t="s">
        <v>62</v>
      </c>
      <c r="B36" s="11">
        <v>6160</v>
      </c>
      <c r="C36" s="11" t="s">
        <v>34</v>
      </c>
      <c r="D36" s="11">
        <f>B36/2.20462</f>
        <v>2794.1323221235407</v>
      </c>
      <c r="E36" s="11" t="s">
        <v>34</v>
      </c>
      <c r="F36" s="11">
        <v>189.54</v>
      </c>
      <c r="G36" s="11">
        <f>(F36/2.20462)</f>
        <v>85.974000054431158</v>
      </c>
    </row>
    <row r="37" spans="1:11" ht="16" thickBot="1" x14ac:dyDescent="0.25">
      <c r="A37" s="4" t="s">
        <v>63</v>
      </c>
      <c r="B37" s="14">
        <f>F37*4.4</f>
        <v>924.00000000000011</v>
      </c>
      <c r="C37" s="4" t="s">
        <v>64</v>
      </c>
      <c r="D37" s="11">
        <f>B37/2.20462</f>
        <v>419.11984831853118</v>
      </c>
      <c r="E37" s="4" t="s">
        <v>64</v>
      </c>
      <c r="F37" s="15">
        <v>210</v>
      </c>
      <c r="G37" s="11">
        <f>(F37/2.20462)</f>
        <v>95.254510981484344</v>
      </c>
    </row>
    <row r="38" spans="1:11" ht="13.5" customHeight="1" x14ac:dyDescent="0.2">
      <c r="A38" s="31" t="s">
        <v>65</v>
      </c>
      <c r="B38" s="31"/>
      <c r="C38" s="31"/>
      <c r="D38" s="31"/>
      <c r="E38" s="31"/>
      <c r="F38" s="31"/>
      <c r="G38" s="31"/>
    </row>
    <row r="39" spans="1:11" ht="11.25" customHeight="1" x14ac:dyDescent="0.2">
      <c r="A39" s="32" t="s">
        <v>66</v>
      </c>
      <c r="B39" s="32"/>
      <c r="C39" s="32"/>
      <c r="D39" s="32"/>
      <c r="E39" s="32"/>
      <c r="F39" s="32"/>
      <c r="G39" s="32"/>
      <c r="K39" s="21"/>
    </row>
    <row r="40" spans="1:11" ht="12.75" customHeight="1" x14ac:dyDescent="0.2">
      <c r="A40" s="32" t="s">
        <v>67</v>
      </c>
      <c r="B40" s="32"/>
      <c r="C40" s="32"/>
      <c r="D40" s="32"/>
      <c r="E40" s="32"/>
      <c r="F40" s="32"/>
      <c r="G40" s="32"/>
    </row>
    <row r="41" spans="1:11" ht="24" customHeight="1" x14ac:dyDescent="0.2">
      <c r="A41" s="4"/>
      <c r="B41" s="4"/>
      <c r="C41" s="4"/>
      <c r="D41" s="33"/>
      <c r="E41" s="33"/>
      <c r="F41" s="33"/>
      <c r="G41" s="33"/>
    </row>
    <row r="42" spans="1:11" ht="12" customHeight="1" x14ac:dyDescent="0.2">
      <c r="A42" s="4"/>
      <c r="B42" s="4"/>
      <c r="C42" s="4"/>
      <c r="D42" s="4"/>
      <c r="E42" s="4"/>
      <c r="F42" s="4"/>
      <c r="G42" s="4"/>
    </row>
    <row r="43" spans="1:11" x14ac:dyDescent="0.2">
      <c r="A43" s="16" t="s">
        <v>11</v>
      </c>
      <c r="D43" s="4"/>
      <c r="E43" s="4"/>
      <c r="F43" s="15"/>
      <c r="G43" s="15"/>
    </row>
  </sheetData>
  <mergeCells count="10">
    <mergeCell ref="A38:G38"/>
    <mergeCell ref="A39:G39"/>
    <mergeCell ref="A40:G40"/>
    <mergeCell ref="D41:G41"/>
    <mergeCell ref="A1:G1"/>
    <mergeCell ref="A4:G4"/>
    <mergeCell ref="A14:G14"/>
    <mergeCell ref="A17:G17"/>
    <mergeCell ref="A21:G21"/>
    <mergeCell ref="A27:G27"/>
  </mergeCells>
  <hyperlinks>
    <hyperlink ref="A43" r:id="rId1" xr:uid="{00000000-0004-0000-0100-000000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5" sqref="B5"/>
    </sheetView>
    <sheetView workbookViewId="1"/>
    <sheetView topLeftCell="A5" workbookViewId="2">
      <selection activeCell="C14" sqref="C14"/>
    </sheetView>
  </sheetViews>
  <sheetFormatPr baseColWidth="10" defaultColWidth="11" defaultRowHeight="16" x14ac:dyDescent="0.2"/>
  <sheetData>
    <row r="1" spans="1:4" x14ac:dyDescent="0.2">
      <c r="A1" t="s">
        <v>68</v>
      </c>
      <c r="B1">
        <v>1055870</v>
      </c>
    </row>
    <row r="2" spans="1:4" x14ac:dyDescent="0.2">
      <c r="A2" t="s">
        <v>69</v>
      </c>
      <c r="B2">
        <f>10^6</f>
        <v>1000000</v>
      </c>
    </row>
    <row r="3" spans="1:4" x14ac:dyDescent="0.2">
      <c r="A3" t="s">
        <v>70</v>
      </c>
      <c r="B3">
        <f>10^9</f>
        <v>1000000000</v>
      </c>
    </row>
    <row r="4" spans="1:4" x14ac:dyDescent="0.2">
      <c r="A4" t="s">
        <v>71</v>
      </c>
      <c r="B4">
        <v>0.90718399999999999</v>
      </c>
    </row>
    <row r="5" spans="1:4" x14ac:dyDescent="0.2">
      <c r="A5" t="s">
        <v>72</v>
      </c>
      <c r="B5">
        <v>3.6640000000000001</v>
      </c>
    </row>
    <row r="6" spans="1:4" x14ac:dyDescent="0.2">
      <c r="A6" t="s">
        <v>15</v>
      </c>
      <c r="B6" s="1">
        <v>29307600000</v>
      </c>
    </row>
    <row r="7" spans="1:4" x14ac:dyDescent="0.2">
      <c r="A7" t="s">
        <v>90</v>
      </c>
      <c r="B7">
        <v>3.7854099999999999E-3</v>
      </c>
    </row>
    <row r="10" spans="1:4" x14ac:dyDescent="0.2">
      <c r="A10" s="2" t="s">
        <v>87</v>
      </c>
    </row>
    <row r="11" spans="1:4" x14ac:dyDescent="0.2">
      <c r="A11" t="s">
        <v>84</v>
      </c>
    </row>
    <row r="12" spans="1:4" x14ac:dyDescent="0.2">
      <c r="A12" t="s">
        <v>86</v>
      </c>
      <c r="B12">
        <f>(800+970)/2</f>
        <v>885</v>
      </c>
      <c r="C12">
        <f>B12*$B$7</f>
        <v>3.35008785</v>
      </c>
      <c r="D12" t="s">
        <v>76</v>
      </c>
    </row>
    <row r="13" spans="1:4" x14ac:dyDescent="0.2">
      <c r="A13" t="s">
        <v>88</v>
      </c>
      <c r="B13">
        <f>(800+860)/2</f>
        <v>830</v>
      </c>
      <c r="C13">
        <f>B13*$B$7</f>
        <v>3.1418903</v>
      </c>
      <c r="D13" t="s">
        <v>77</v>
      </c>
    </row>
    <row r="14" spans="1:4" x14ac:dyDescent="0.2">
      <c r="A14" t="s">
        <v>89</v>
      </c>
      <c r="B14">
        <f>(710+790)/2</f>
        <v>750</v>
      </c>
      <c r="C14">
        <f>B14*$B$7</f>
        <v>2.8390575</v>
      </c>
      <c r="D14" t="s">
        <v>78</v>
      </c>
    </row>
    <row r="15" spans="1:4" x14ac:dyDescent="0.2">
      <c r="B15" t="s">
        <v>85</v>
      </c>
      <c r="C15" t="s">
        <v>91</v>
      </c>
    </row>
    <row r="18" spans="1:2" x14ac:dyDescent="0.2">
      <c r="A18" s="2" t="s">
        <v>92</v>
      </c>
    </row>
    <row r="19" spans="1:2" x14ac:dyDescent="0.2">
      <c r="A19" t="s">
        <v>94</v>
      </c>
    </row>
    <row r="20" spans="1:2" x14ac:dyDescent="0.2">
      <c r="A20" t="s">
        <v>3</v>
      </c>
      <c r="B20">
        <f>0.982</f>
        <v>0.98199999999999998</v>
      </c>
    </row>
    <row r="21" spans="1:2" x14ac:dyDescent="0.2">
      <c r="A21" t="s">
        <v>4</v>
      </c>
      <c r="B21">
        <v>0.98499999999999999</v>
      </c>
    </row>
    <row r="22" spans="1:2" x14ac:dyDescent="0.2">
      <c r="A22" t="s">
        <v>5</v>
      </c>
      <c r="B22">
        <f>0.98</f>
        <v>0.98</v>
      </c>
    </row>
    <row r="23" spans="1:2" x14ac:dyDescent="0.2">
      <c r="A23" t="s">
        <v>6</v>
      </c>
      <c r="B23">
        <v>1</v>
      </c>
    </row>
    <row r="24" spans="1:2" x14ac:dyDescent="0.2">
      <c r="A24" t="s">
        <v>8</v>
      </c>
      <c r="B2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"/>
  <sheetViews>
    <sheetView tabSelected="1"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M4" sqref="M4"/>
    </sheetView>
    <sheetView workbookViewId="1">
      <selection activeCell="I12" sqref="I12"/>
    </sheetView>
    <sheetView tabSelected="1" workbookViewId="2">
      <selection activeCell="I17" sqref="I17"/>
    </sheetView>
  </sheetViews>
  <sheetFormatPr baseColWidth="10" defaultRowHeight="16" x14ac:dyDescent="0.2"/>
  <cols>
    <col min="2" max="2" width="22.5" customWidth="1"/>
    <col min="10" max="10" width="8.83203125" customWidth="1"/>
    <col min="11" max="11" width="7.6640625" customWidth="1"/>
    <col min="12" max="12" width="3.1640625" customWidth="1"/>
    <col min="15" max="15" width="3.1640625" customWidth="1"/>
    <col min="16" max="16" width="15.83203125" customWidth="1"/>
  </cols>
  <sheetData>
    <row r="1" spans="1:19" x14ac:dyDescent="0.2">
      <c r="A1" t="s">
        <v>95</v>
      </c>
      <c r="B1" t="s">
        <v>96</v>
      </c>
      <c r="C1" t="s">
        <v>97</v>
      </c>
      <c r="D1" t="s">
        <v>1</v>
      </c>
      <c r="E1" t="s">
        <v>99</v>
      </c>
      <c r="H1" t="s">
        <v>111</v>
      </c>
      <c r="I1" t="s">
        <v>113</v>
      </c>
      <c r="J1" t="s">
        <v>112</v>
      </c>
      <c r="M1" s="29" t="s">
        <v>119</v>
      </c>
      <c r="N1" s="29" t="s">
        <v>120</v>
      </c>
      <c r="P1" t="s">
        <v>114</v>
      </c>
      <c r="Q1" t="s">
        <v>112</v>
      </c>
      <c r="R1" t="s">
        <v>122</v>
      </c>
    </row>
    <row r="2" spans="1:19" x14ac:dyDescent="0.2">
      <c r="A2" t="s">
        <v>98</v>
      </c>
      <c r="B2" t="s">
        <v>98</v>
      </c>
      <c r="C2" t="s">
        <v>106</v>
      </c>
      <c r="D2" t="str">
        <f>CDIAC!F2</f>
        <v>kt CO2/kJ</v>
      </c>
      <c r="E2" s="1">
        <f>CDIAC!G2</f>
        <v>9.2185426472586756E-11</v>
      </c>
      <c r="F2" t="s">
        <v>73</v>
      </c>
      <c r="H2" s="26">
        <f>IF(D2="kt CO2/kJ",E2*1000000*1000000,"")</f>
        <v>92.185426472586755</v>
      </c>
      <c r="I2" s="26">
        <f>P2*CO2_to_C</f>
        <v>94.531200000000013</v>
      </c>
      <c r="M2" s="28">
        <f>(H2-I2)/I2</f>
        <v>-2.4814807464765675E-2</v>
      </c>
      <c r="P2" s="27">
        <v>25.8</v>
      </c>
      <c r="Q2" s="27"/>
      <c r="R2" s="27"/>
    </row>
    <row r="3" spans="1:19" x14ac:dyDescent="0.2">
      <c r="A3" t="s">
        <v>98</v>
      </c>
      <c r="B3" t="s">
        <v>98</v>
      </c>
      <c r="C3" t="s">
        <v>107</v>
      </c>
      <c r="D3" t="str">
        <f>CDIAC!F2</f>
        <v>kt CO2/kJ</v>
      </c>
      <c r="E3" s="1">
        <f>CDIAC!G2</f>
        <v>9.2185426472586756E-11</v>
      </c>
      <c r="F3" t="s">
        <v>73</v>
      </c>
      <c r="H3" s="26">
        <f t="shared" ref="H3:H14" si="0">IF(D3="kt CO2/kJ",E3*1000000*1000000,"")</f>
        <v>92.185426472586755</v>
      </c>
      <c r="I3" s="26">
        <f>P3*CO2_to_C</f>
        <v>95.996800000000007</v>
      </c>
      <c r="K3" s="26">
        <f>S3*CO2_to_C</f>
        <v>101.1264</v>
      </c>
      <c r="L3" s="26"/>
      <c r="M3" s="28">
        <f>(H3-I3)/I3</f>
        <v>-3.9703131014921872E-2</v>
      </c>
      <c r="N3" s="28"/>
      <c r="O3" s="26"/>
      <c r="P3" s="26">
        <f>26.2</f>
        <v>26.2</v>
      </c>
      <c r="Q3" s="27"/>
      <c r="S3" s="26">
        <v>27.6</v>
      </c>
    </row>
    <row r="4" spans="1:19" x14ac:dyDescent="0.2">
      <c r="A4" t="s">
        <v>98</v>
      </c>
      <c r="B4" t="s">
        <v>98</v>
      </c>
      <c r="C4" t="s">
        <v>108</v>
      </c>
      <c r="D4" s="1" t="str">
        <f>CDIAC!F4</f>
        <v>kt CO2/TJ</v>
      </c>
      <c r="E4">
        <f>CDIAC!G4</f>
        <v>5.0196800000000007E-2</v>
      </c>
      <c r="F4" t="s">
        <v>75</v>
      </c>
      <c r="H4" s="26">
        <f>IF(D4="kt CO2/TJ",E4/1000*1000000,"")</f>
        <v>50.19680000000001</v>
      </c>
      <c r="I4" s="26">
        <f>P4*CO2_to_C</f>
        <v>56.1</v>
      </c>
      <c r="M4" s="28">
        <f>(H4-I4)/I4</f>
        <v>-0.10522638146167541</v>
      </c>
      <c r="P4" s="26">
        <f>Q4</f>
        <v>15.31113537117904</v>
      </c>
      <c r="Q4" s="26">
        <f>R4/CO2_to_C</f>
        <v>15.31113537117904</v>
      </c>
      <c r="R4" s="27">
        <v>56.1</v>
      </c>
    </row>
    <row r="5" spans="1:19" x14ac:dyDescent="0.2">
      <c r="A5" t="s">
        <v>98</v>
      </c>
      <c r="B5" t="s">
        <v>98</v>
      </c>
      <c r="C5" t="s">
        <v>6</v>
      </c>
      <c r="D5" s="1" t="str">
        <f>CDIAC!F5</f>
        <v>kt CO2/kt</v>
      </c>
      <c r="E5">
        <f>CDIAC!G5</f>
        <v>3.1327199999999999</v>
      </c>
      <c r="F5" t="s">
        <v>74</v>
      </c>
      <c r="H5" s="26" t="str">
        <f t="shared" si="0"/>
        <v/>
      </c>
    </row>
    <row r="6" spans="1:19" x14ac:dyDescent="0.2">
      <c r="A6" t="s">
        <v>98</v>
      </c>
      <c r="B6" t="s">
        <v>98</v>
      </c>
      <c r="C6" t="s">
        <v>8</v>
      </c>
      <c r="D6" s="1" t="str">
        <f>CDIAC!F6</f>
        <v>kt CO2/TJ</v>
      </c>
      <c r="E6">
        <f>CDIAC!G6</f>
        <v>4.9295456000000001E-2</v>
      </c>
      <c r="F6" t="s">
        <v>75</v>
      </c>
      <c r="H6" s="26">
        <f>IF(D6="kt CO2/TJ",E6/1000*1000000,"")</f>
        <v>49.295456000000001</v>
      </c>
    </row>
    <row r="7" spans="1:19" x14ac:dyDescent="0.2">
      <c r="A7" t="s">
        <v>98</v>
      </c>
      <c r="B7" t="s">
        <v>98</v>
      </c>
      <c r="C7" t="s">
        <v>78</v>
      </c>
      <c r="D7" s="1" t="str">
        <f>EIA!K8</f>
        <v>kt CO2/kt</v>
      </c>
      <c r="E7">
        <f>EIA!J12</f>
        <v>3.1314691671227299</v>
      </c>
      <c r="F7" t="s">
        <v>74</v>
      </c>
      <c r="H7" s="26" t="str">
        <f t="shared" si="0"/>
        <v/>
      </c>
    </row>
    <row r="8" spans="1:19" x14ac:dyDescent="0.2">
      <c r="A8" t="s">
        <v>98</v>
      </c>
      <c r="B8" t="s">
        <v>98</v>
      </c>
      <c r="C8" t="s">
        <v>77</v>
      </c>
      <c r="D8" t="s">
        <v>74</v>
      </c>
      <c r="E8">
        <f>EIA!J8</f>
        <v>3.2338752156172763</v>
      </c>
      <c r="F8" t="s">
        <v>74</v>
      </c>
      <c r="H8" s="26" t="str">
        <f t="shared" si="0"/>
        <v/>
      </c>
    </row>
    <row r="9" spans="1:19" x14ac:dyDescent="0.2">
      <c r="A9" t="s">
        <v>98</v>
      </c>
      <c r="B9" t="s">
        <v>98</v>
      </c>
      <c r="C9" t="s">
        <v>76</v>
      </c>
      <c r="D9">
        <f>EIA!K19</f>
        <v>0</v>
      </c>
      <c r="E9" s="30">
        <f>85.68%*(15.9994*2+12.011)/12.011</f>
        <v>3.1394219165764721</v>
      </c>
      <c r="F9" t="s">
        <v>74</v>
      </c>
      <c r="G9" t="s">
        <v>123</v>
      </c>
      <c r="H9" s="26"/>
    </row>
    <row r="10" spans="1:19" x14ac:dyDescent="0.2">
      <c r="A10" t="s">
        <v>98</v>
      </c>
      <c r="B10" t="s">
        <v>98</v>
      </c>
      <c r="C10" t="s">
        <v>10</v>
      </c>
      <c r="D10" t="str">
        <f>EIA!K32</f>
        <v>kt CO2/kt</v>
      </c>
      <c r="E10">
        <f>EIA!J32</f>
        <v>3.1198462551669484</v>
      </c>
      <c r="F10" t="s">
        <v>74</v>
      </c>
      <c r="H10" s="26" t="str">
        <f t="shared" si="0"/>
        <v/>
      </c>
    </row>
    <row r="11" spans="1:19" x14ac:dyDescent="0.2">
      <c r="A11" t="s">
        <v>98</v>
      </c>
      <c r="B11" t="s">
        <v>101</v>
      </c>
      <c r="C11" t="s">
        <v>77</v>
      </c>
      <c r="D11" s="24" t="str">
        <f>EIA!K15</f>
        <v>kt CO2/kt</v>
      </c>
      <c r="E11" s="24">
        <f>EIA!J$8</f>
        <v>3.2338752156172763</v>
      </c>
      <c r="F11" t="s">
        <v>74</v>
      </c>
      <c r="H11" s="26" t="str">
        <f t="shared" si="0"/>
        <v/>
      </c>
    </row>
    <row r="12" spans="1:19" x14ac:dyDescent="0.2">
      <c r="A12" t="s">
        <v>98</v>
      </c>
      <c r="B12" t="s">
        <v>102</v>
      </c>
      <c r="C12" t="s">
        <v>77</v>
      </c>
      <c r="D12" s="24" t="s">
        <v>74</v>
      </c>
      <c r="E12" s="24">
        <f>EIA!J$8</f>
        <v>3.2338752156172763</v>
      </c>
      <c r="F12" t="s">
        <v>74</v>
      </c>
      <c r="H12" s="26" t="str">
        <f t="shared" si="0"/>
        <v/>
      </c>
    </row>
    <row r="13" spans="1:19" x14ac:dyDescent="0.2">
      <c r="A13" t="s">
        <v>98</v>
      </c>
      <c r="B13" t="s">
        <v>103</v>
      </c>
      <c r="C13" t="s">
        <v>77</v>
      </c>
      <c r="D13" s="24" t="s">
        <v>74</v>
      </c>
      <c r="E13" s="24">
        <f>CDIAC!G5</f>
        <v>3.1327199999999999</v>
      </c>
      <c r="F13" t="s">
        <v>74</v>
      </c>
      <c r="H13" s="26" t="str">
        <f t="shared" si="0"/>
        <v/>
      </c>
    </row>
    <row r="14" spans="1:19" x14ac:dyDescent="0.2">
      <c r="A14" t="s">
        <v>98</v>
      </c>
      <c r="B14" t="s">
        <v>104</v>
      </c>
      <c r="C14" t="s">
        <v>77</v>
      </c>
      <c r="D14" s="24" t="s">
        <v>74</v>
      </c>
      <c r="E14" s="24">
        <f>CDIAC!G5</f>
        <v>3.1327199999999999</v>
      </c>
      <c r="F14" t="s">
        <v>74</v>
      </c>
      <c r="H14" s="26" t="str">
        <f t="shared" si="0"/>
        <v/>
      </c>
    </row>
    <row r="15" spans="1:19" x14ac:dyDescent="0.2">
      <c r="A15" t="s">
        <v>98</v>
      </c>
      <c r="B15" t="s">
        <v>121</v>
      </c>
      <c r="C15" t="s">
        <v>115</v>
      </c>
      <c r="D15" s="1" t="s">
        <v>75</v>
      </c>
      <c r="E15">
        <f>Q15*CO2_to_C/1000</f>
        <v>4.4400000000000002E-2</v>
      </c>
      <c r="F15" t="s">
        <v>75</v>
      </c>
      <c r="Q15" s="26">
        <f>R15/CO2_to_C</f>
        <v>12.117903930131003</v>
      </c>
      <c r="R15" s="27">
        <v>44.4</v>
      </c>
    </row>
    <row r="16" spans="1:19" x14ac:dyDescent="0.2">
      <c r="A16" t="s">
        <v>98</v>
      </c>
      <c r="B16" t="s">
        <v>121</v>
      </c>
      <c r="C16" t="s">
        <v>116</v>
      </c>
      <c r="D16" s="1" t="s">
        <v>75</v>
      </c>
      <c r="E16">
        <f>Q16*CO2_to_C/1000</f>
        <v>4.4400000000000002E-2</v>
      </c>
      <c r="F16" t="s">
        <v>75</v>
      </c>
      <c r="Q16" s="26">
        <f>R16/CO2_to_C</f>
        <v>12.117903930131003</v>
      </c>
      <c r="R16" s="27">
        <v>44.4</v>
      </c>
    </row>
    <row r="17" spans="1:18" x14ac:dyDescent="0.2">
      <c r="A17" t="s">
        <v>98</v>
      </c>
      <c r="B17" t="s">
        <v>121</v>
      </c>
      <c r="C17" t="s">
        <v>117</v>
      </c>
      <c r="D17" s="1" t="s">
        <v>75</v>
      </c>
      <c r="E17">
        <f>Q17*CO2_to_C/1000</f>
        <v>0.26</v>
      </c>
      <c r="F17" t="s">
        <v>75</v>
      </c>
      <c r="Q17" s="26">
        <f>R17/CO2_to_C</f>
        <v>70.960698689956331</v>
      </c>
      <c r="R17" s="27">
        <v>260</v>
      </c>
    </row>
    <row r="18" spans="1:18" x14ac:dyDescent="0.2">
      <c r="A18" t="s">
        <v>98</v>
      </c>
      <c r="B18" t="s">
        <v>121</v>
      </c>
      <c r="C18" t="s">
        <v>118</v>
      </c>
      <c r="D18" s="1" t="s">
        <v>75</v>
      </c>
      <c r="E18">
        <f>Q18*CO2_to_C/1000</f>
        <v>0.182</v>
      </c>
      <c r="F18" t="s">
        <v>75</v>
      </c>
      <c r="Q18" s="26">
        <f>R18/CO2_to_C</f>
        <v>49.672489082969427</v>
      </c>
      <c r="R18" s="27">
        <v>182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E20" sqref="E20"/>
    </sheetView>
    <sheetView workbookViewId="1"/>
    <sheetView workbookViewId="2">
      <selection activeCell="D12" sqref="D12"/>
    </sheetView>
  </sheetViews>
  <sheetFormatPr baseColWidth="10" defaultRowHeight="16" x14ac:dyDescent="0.2"/>
  <sheetData>
    <row r="1" spans="1:5" x14ac:dyDescent="0.2">
      <c r="A1" t="s">
        <v>95</v>
      </c>
      <c r="B1" t="s">
        <v>96</v>
      </c>
      <c r="C1" t="s">
        <v>97</v>
      </c>
      <c r="D1" t="s">
        <v>105</v>
      </c>
    </row>
    <row r="2" spans="1:5" x14ac:dyDescent="0.2">
      <c r="A2" t="s">
        <v>98</v>
      </c>
      <c r="B2" t="s">
        <v>98</v>
      </c>
      <c r="C2" s="23" t="s">
        <v>106</v>
      </c>
      <c r="D2" s="23">
        <v>0.98199999999999998</v>
      </c>
      <c r="E2" t="s">
        <v>94</v>
      </c>
    </row>
    <row r="3" spans="1:5" x14ac:dyDescent="0.2">
      <c r="A3" t="s">
        <v>98</v>
      </c>
      <c r="B3" t="s">
        <v>98</v>
      </c>
      <c r="C3" s="23" t="s">
        <v>107</v>
      </c>
      <c r="D3" s="23">
        <v>0.98199999999999998</v>
      </c>
    </row>
    <row r="4" spans="1:5" x14ac:dyDescent="0.2">
      <c r="A4" t="s">
        <v>98</v>
      </c>
      <c r="B4" t="s">
        <v>98</v>
      </c>
      <c r="C4" s="23" t="s">
        <v>10</v>
      </c>
      <c r="D4" s="23">
        <v>0.98199999999999998</v>
      </c>
    </row>
    <row r="5" spans="1:5" x14ac:dyDescent="0.2">
      <c r="A5" t="s">
        <v>98</v>
      </c>
      <c r="B5" t="s">
        <v>98</v>
      </c>
      <c r="C5" s="23" t="s">
        <v>76</v>
      </c>
      <c r="D5" s="23">
        <v>0.98499999999999999</v>
      </c>
      <c r="E5" t="s">
        <v>94</v>
      </c>
    </row>
    <row r="6" spans="1:5" x14ac:dyDescent="0.2">
      <c r="A6" t="s">
        <v>98</v>
      </c>
      <c r="B6" t="s">
        <v>98</v>
      </c>
      <c r="C6" s="23" t="s">
        <v>78</v>
      </c>
      <c r="D6" s="23">
        <v>0.98499999999999999</v>
      </c>
    </row>
    <row r="7" spans="1:5" x14ac:dyDescent="0.2">
      <c r="A7" t="s">
        <v>98</v>
      </c>
      <c r="B7" t="s">
        <v>98</v>
      </c>
      <c r="C7" s="23" t="s">
        <v>77</v>
      </c>
      <c r="D7" s="23">
        <v>0.98</v>
      </c>
    </row>
    <row r="8" spans="1:5" x14ac:dyDescent="0.2">
      <c r="A8" t="s">
        <v>98</v>
      </c>
      <c r="B8" t="s">
        <v>98</v>
      </c>
      <c r="C8" s="23" t="s">
        <v>108</v>
      </c>
      <c r="D8" s="23">
        <v>0.98</v>
      </c>
      <c r="E8" t="s">
        <v>94</v>
      </c>
    </row>
    <row r="9" spans="1:5" x14ac:dyDescent="0.2">
      <c r="A9" t="s">
        <v>98</v>
      </c>
      <c r="B9" t="s">
        <v>98</v>
      </c>
      <c r="C9" s="23" t="s">
        <v>6</v>
      </c>
      <c r="D9" s="23">
        <v>1</v>
      </c>
      <c r="E9" t="s">
        <v>94</v>
      </c>
    </row>
    <row r="10" spans="1:5" x14ac:dyDescent="0.2">
      <c r="A10" t="s">
        <v>98</v>
      </c>
      <c r="B10" t="s">
        <v>98</v>
      </c>
      <c r="C10" s="23" t="s">
        <v>8</v>
      </c>
      <c r="D10" s="23">
        <v>1</v>
      </c>
      <c r="E10" t="s">
        <v>94</v>
      </c>
    </row>
    <row r="11" spans="1:5" x14ac:dyDescent="0.2">
      <c r="A11" t="s">
        <v>109</v>
      </c>
      <c r="B11" t="s">
        <v>98</v>
      </c>
      <c r="C11" s="23" t="s">
        <v>106</v>
      </c>
      <c r="D11" s="23">
        <v>0.96</v>
      </c>
      <c r="E11" t="s">
        <v>110</v>
      </c>
    </row>
    <row r="12" spans="1:5" x14ac:dyDescent="0.2">
      <c r="A12" t="s">
        <v>109</v>
      </c>
      <c r="B12" t="s">
        <v>98</v>
      </c>
      <c r="C12" s="23" t="s">
        <v>107</v>
      </c>
      <c r="D12" s="23">
        <v>0.96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CDIAC</vt:lpstr>
      <vt:lpstr>EIA</vt:lpstr>
      <vt:lpstr>conversion</vt:lpstr>
      <vt:lpstr>Emission_Coefficient</vt:lpstr>
      <vt:lpstr>Fraction_Oxidized</vt:lpstr>
      <vt:lpstr>CO2_to_C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Smith, Steven J (PNNL-JGCRI)</cp:lastModifiedBy>
  <dcterms:created xsi:type="dcterms:W3CDTF">2016-10-19T18:07:28Z</dcterms:created>
  <dcterms:modified xsi:type="dcterms:W3CDTF">2020-04-29T23:28:13Z</dcterms:modified>
</cp:coreProperties>
</file>