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3k117/Documents/Information &amp; Documents/CEDS_Project/CEDS_System_Development/2025-update to 2023/CO2 Emissions Diagnostics/"/>
    </mc:Choice>
  </mc:AlternateContent>
  <xr:revisionPtr revIDLastSave="0" documentId="13_ncr:1_{E67C16E4-D4C4-9546-B976-F24DE6D36B47}" xr6:coauthVersionLast="47" xr6:coauthVersionMax="47" xr10:uidLastSave="{00000000-0000-0000-0000-000000000000}"/>
  <bookViews>
    <workbookView xWindow="980" yWindow="1020" windowWidth="20160" windowHeight="12700" tabRatio="500" xr2:uid="{00000000-000D-0000-FFFF-FFFF01000000}"/>
    <workbookView xWindow="7000" yWindow="3960" windowWidth="23240" windowHeight="15300" activeTab="5" xr2:uid="{903CB4B2-5F97-7549-A846-EA38FC701EF8}"/>
  </bookViews>
  <sheets>
    <sheet name="Emission_Coefficient" sheetId="6" r:id="rId1"/>
    <sheet name="Fraction_Oxidized" sheetId="7" r:id="rId2"/>
    <sheet name="CDIAC" sheetId="2" r:id="rId3"/>
    <sheet name="EIA" sheetId="4" r:id="rId4"/>
    <sheet name="conversion" sheetId="5" r:id="rId5"/>
    <sheet name="IPCC_Table2.2" sheetId="8" r:id="rId6"/>
  </sheets>
  <definedNames>
    <definedName name="CO2_to_C">conversion!$B$5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6" l="1"/>
  <c r="E18" i="6" l="1"/>
  <c r="I4" i="6"/>
  <c r="J4" i="6"/>
  <c r="E3" i="6"/>
  <c r="J3" i="6"/>
  <c r="I3" i="6"/>
  <c r="J2" i="6"/>
  <c r="I2" i="6"/>
  <c r="E17" i="6"/>
  <c r="E16" i="6"/>
  <c r="E15" i="6"/>
  <c r="M5" i="8"/>
  <c r="N5" i="8"/>
  <c r="O5" i="8"/>
  <c r="Q5" i="8"/>
  <c r="R5" i="8"/>
  <c r="S5" i="8"/>
  <c r="M6" i="8"/>
  <c r="N6" i="8"/>
  <c r="O6" i="8"/>
  <c r="Q6" i="8"/>
  <c r="R6" i="8"/>
  <c r="S6" i="8"/>
  <c r="M7" i="8"/>
  <c r="N7" i="8"/>
  <c r="O7" i="8"/>
  <c r="Q7" i="8"/>
  <c r="R7" i="8"/>
  <c r="S7" i="8"/>
  <c r="M8" i="8"/>
  <c r="N8" i="8"/>
  <c r="O8" i="8"/>
  <c r="Q8" i="8"/>
  <c r="R8" i="8"/>
  <c r="S8" i="8"/>
  <c r="M9" i="8"/>
  <c r="N9" i="8"/>
  <c r="O9" i="8"/>
  <c r="Q9" i="8"/>
  <c r="R9" i="8"/>
  <c r="S9" i="8"/>
  <c r="M10" i="8"/>
  <c r="N10" i="8"/>
  <c r="O10" i="8"/>
  <c r="Q10" i="8"/>
  <c r="R10" i="8"/>
  <c r="S10" i="8"/>
  <c r="M11" i="8"/>
  <c r="N11" i="8"/>
  <c r="O11" i="8"/>
  <c r="Q11" i="8"/>
  <c r="R11" i="8"/>
  <c r="S11" i="8"/>
  <c r="M12" i="8"/>
  <c r="N12" i="8"/>
  <c r="O12" i="8"/>
  <c r="Q12" i="8"/>
  <c r="R12" i="8"/>
  <c r="S12" i="8"/>
  <c r="M13" i="8"/>
  <c r="N13" i="8"/>
  <c r="O13" i="8"/>
  <c r="Q13" i="8"/>
  <c r="R13" i="8"/>
  <c r="S13" i="8"/>
  <c r="M14" i="8"/>
  <c r="N14" i="8"/>
  <c r="O14" i="8"/>
  <c r="Q14" i="8"/>
  <c r="R14" i="8"/>
  <c r="S14" i="8"/>
  <c r="M15" i="8"/>
  <c r="N15" i="8"/>
  <c r="O15" i="8"/>
  <c r="Q15" i="8"/>
  <c r="R15" i="8"/>
  <c r="S15" i="8"/>
  <c r="M16" i="8"/>
  <c r="N16" i="8"/>
  <c r="O16" i="8"/>
  <c r="Q16" i="8"/>
  <c r="R16" i="8"/>
  <c r="S16" i="8"/>
  <c r="M17" i="8"/>
  <c r="N17" i="8"/>
  <c r="O17" i="8"/>
  <c r="Q17" i="8"/>
  <c r="R17" i="8"/>
  <c r="S17" i="8"/>
  <c r="M18" i="8"/>
  <c r="N18" i="8"/>
  <c r="O18" i="8"/>
  <c r="Q18" i="8"/>
  <c r="R18" i="8"/>
  <c r="S18" i="8"/>
  <c r="M19" i="8"/>
  <c r="N19" i="8"/>
  <c r="O19" i="8"/>
  <c r="Q19" i="8"/>
  <c r="R19" i="8"/>
  <c r="S19" i="8"/>
  <c r="M20" i="8"/>
  <c r="N20" i="8"/>
  <c r="O20" i="8"/>
  <c r="Q20" i="8"/>
  <c r="R20" i="8"/>
  <c r="S20" i="8"/>
  <c r="M21" i="8"/>
  <c r="N21" i="8"/>
  <c r="O21" i="8"/>
  <c r="Q21" i="8"/>
  <c r="R21" i="8"/>
  <c r="S21" i="8"/>
  <c r="M22" i="8"/>
  <c r="N22" i="8"/>
  <c r="O22" i="8"/>
  <c r="Q22" i="8"/>
  <c r="R22" i="8"/>
  <c r="S22" i="8"/>
  <c r="M23" i="8"/>
  <c r="N23" i="8"/>
  <c r="O23" i="8"/>
  <c r="Q23" i="8"/>
  <c r="R23" i="8"/>
  <c r="S23" i="8"/>
  <c r="M24" i="8"/>
  <c r="N24" i="8"/>
  <c r="O24" i="8"/>
  <c r="Q24" i="8"/>
  <c r="R24" i="8"/>
  <c r="S24" i="8"/>
  <c r="M25" i="8"/>
  <c r="N25" i="8"/>
  <c r="O25" i="8"/>
  <c r="Q25" i="8"/>
  <c r="R25" i="8"/>
  <c r="S25" i="8"/>
  <c r="M26" i="8"/>
  <c r="N26" i="8"/>
  <c r="O26" i="8"/>
  <c r="Q26" i="8"/>
  <c r="R26" i="8"/>
  <c r="S26" i="8"/>
  <c r="M27" i="8"/>
  <c r="N27" i="8"/>
  <c r="O27" i="8"/>
  <c r="Q27" i="8"/>
  <c r="R27" i="8"/>
  <c r="S27" i="8"/>
  <c r="M28" i="8"/>
  <c r="N28" i="8"/>
  <c r="O28" i="8"/>
  <c r="Q28" i="8"/>
  <c r="R28" i="8"/>
  <c r="S28" i="8"/>
  <c r="M29" i="8"/>
  <c r="N29" i="8"/>
  <c r="O29" i="8"/>
  <c r="Q29" i="8"/>
  <c r="R29" i="8"/>
  <c r="S29" i="8"/>
  <c r="M30" i="8"/>
  <c r="N30" i="8"/>
  <c r="O30" i="8"/>
  <c r="Q30" i="8"/>
  <c r="R30" i="8"/>
  <c r="S30" i="8"/>
  <c r="M31" i="8"/>
  <c r="N31" i="8"/>
  <c r="O31" i="8"/>
  <c r="Q31" i="8"/>
  <c r="R31" i="8"/>
  <c r="S31" i="8"/>
  <c r="M32" i="8"/>
  <c r="N32" i="8"/>
  <c r="O32" i="8"/>
  <c r="Q32" i="8"/>
  <c r="R32" i="8"/>
  <c r="S32" i="8"/>
  <c r="M33" i="8"/>
  <c r="N33" i="8"/>
  <c r="O33" i="8"/>
  <c r="Q33" i="8"/>
  <c r="R33" i="8"/>
  <c r="S33" i="8"/>
  <c r="M34" i="8"/>
  <c r="N34" i="8"/>
  <c r="O34" i="8"/>
  <c r="Q34" i="8"/>
  <c r="R34" i="8"/>
  <c r="S34" i="8"/>
  <c r="M35" i="8"/>
  <c r="N35" i="8"/>
  <c r="O35" i="8"/>
  <c r="Q35" i="8"/>
  <c r="R35" i="8"/>
  <c r="S35" i="8"/>
  <c r="M36" i="8"/>
  <c r="N36" i="8"/>
  <c r="O36" i="8"/>
  <c r="Q36" i="8"/>
  <c r="R36" i="8"/>
  <c r="S36" i="8"/>
  <c r="M37" i="8"/>
  <c r="N37" i="8"/>
  <c r="O37" i="8"/>
  <c r="Q37" i="8"/>
  <c r="R37" i="8"/>
  <c r="S37" i="8"/>
  <c r="M38" i="8"/>
  <c r="N38" i="8"/>
  <c r="O38" i="8"/>
  <c r="Q38" i="8"/>
  <c r="R38" i="8"/>
  <c r="S38" i="8"/>
  <c r="M39" i="8"/>
  <c r="N39" i="8"/>
  <c r="O39" i="8"/>
  <c r="Q39" i="8"/>
  <c r="R39" i="8"/>
  <c r="S39" i="8"/>
  <c r="M40" i="8"/>
  <c r="N40" i="8"/>
  <c r="O40" i="8"/>
  <c r="Q40" i="8"/>
  <c r="R40" i="8"/>
  <c r="S40" i="8"/>
  <c r="M41" i="8"/>
  <c r="N41" i="8"/>
  <c r="O41" i="8"/>
  <c r="Q41" i="8"/>
  <c r="R41" i="8"/>
  <c r="S41" i="8"/>
  <c r="M42" i="8"/>
  <c r="N42" i="8"/>
  <c r="O42" i="8"/>
  <c r="Q42" i="8"/>
  <c r="R42" i="8"/>
  <c r="S42" i="8"/>
  <c r="M47" i="8"/>
  <c r="N47" i="8"/>
  <c r="O47" i="8"/>
  <c r="Q47" i="8"/>
  <c r="R47" i="8"/>
  <c r="S47" i="8"/>
  <c r="M48" i="8"/>
  <c r="N48" i="8"/>
  <c r="O48" i="8"/>
  <c r="Q48" i="8"/>
  <c r="R48" i="8"/>
  <c r="S48" i="8"/>
  <c r="M49" i="8"/>
  <c r="N49" i="8"/>
  <c r="O49" i="8"/>
  <c r="Q49" i="8"/>
  <c r="R49" i="8"/>
  <c r="S49" i="8"/>
  <c r="M50" i="8"/>
  <c r="N50" i="8"/>
  <c r="O50" i="8"/>
  <c r="Q50" i="8"/>
  <c r="R50" i="8"/>
  <c r="S50" i="8"/>
  <c r="M51" i="8"/>
  <c r="N51" i="8"/>
  <c r="O51" i="8"/>
  <c r="Q51" i="8"/>
  <c r="R51" i="8"/>
  <c r="S51" i="8"/>
  <c r="M52" i="8"/>
  <c r="N52" i="8"/>
  <c r="O52" i="8"/>
  <c r="Q52" i="8"/>
  <c r="R52" i="8"/>
  <c r="S52" i="8"/>
  <c r="M53" i="8"/>
  <c r="N53" i="8"/>
  <c r="O53" i="8"/>
  <c r="Q53" i="8"/>
  <c r="R53" i="8"/>
  <c r="S53" i="8"/>
  <c r="M54" i="8"/>
  <c r="N54" i="8"/>
  <c r="O54" i="8"/>
  <c r="Q54" i="8"/>
  <c r="R54" i="8"/>
  <c r="S54" i="8"/>
  <c r="M55" i="8"/>
  <c r="N55" i="8"/>
  <c r="O55" i="8"/>
  <c r="Q55" i="8"/>
  <c r="R55" i="8"/>
  <c r="S55" i="8"/>
  <c r="M56" i="8"/>
  <c r="N56" i="8"/>
  <c r="O56" i="8"/>
  <c r="Q56" i="8"/>
  <c r="R56" i="8"/>
  <c r="S56" i="8"/>
  <c r="M57" i="8"/>
  <c r="N57" i="8"/>
  <c r="O57" i="8"/>
  <c r="Q57" i="8"/>
  <c r="R57" i="8"/>
  <c r="S57" i="8"/>
  <c r="M58" i="8"/>
  <c r="N58" i="8"/>
  <c r="O58" i="8"/>
  <c r="Q58" i="8"/>
  <c r="R58" i="8"/>
  <c r="S58" i="8"/>
  <c r="M59" i="8"/>
  <c r="N59" i="8"/>
  <c r="O59" i="8"/>
  <c r="Q59" i="8"/>
  <c r="R59" i="8"/>
  <c r="S59" i="8"/>
  <c r="M60" i="8"/>
  <c r="N60" i="8"/>
  <c r="O60" i="8"/>
  <c r="Q60" i="8"/>
  <c r="R60" i="8"/>
  <c r="S60" i="8"/>
  <c r="M61" i="8"/>
  <c r="N61" i="8"/>
  <c r="O61" i="8"/>
  <c r="Q61" i="8"/>
  <c r="R61" i="8"/>
  <c r="S61" i="8"/>
  <c r="H10" i="6"/>
  <c r="H11" i="6"/>
  <c r="H12" i="6"/>
  <c r="H13" i="6"/>
  <c r="H14" i="6"/>
  <c r="G2" i="2"/>
  <c r="L10" i="4"/>
  <c r="J10" i="4" l="1"/>
  <c r="E9" i="6" l="1"/>
  <c r="D6" i="6" l="1"/>
  <c r="D4" i="6"/>
  <c r="D11" i="6"/>
  <c r="D10" i="6"/>
  <c r="D9" i="6"/>
  <c r="D7" i="6"/>
  <c r="D5" i="6"/>
  <c r="D3" i="6"/>
  <c r="D2" i="6"/>
  <c r="E2" i="2"/>
  <c r="B22" i="5"/>
  <c r="B4" i="2"/>
  <c r="E4" i="2" s="1"/>
  <c r="G4" i="2" s="1"/>
  <c r="B6" i="2"/>
  <c r="E6" i="2" s="1"/>
  <c r="G6" i="2" s="1"/>
  <c r="E6" i="6" s="1"/>
  <c r="B5" i="2"/>
  <c r="E5" i="2" s="1"/>
  <c r="G5" i="2" s="1"/>
  <c r="B3" i="2"/>
  <c r="D8" i="4"/>
  <c r="B13" i="5"/>
  <c r="C13" i="5" s="1"/>
  <c r="B32" i="4"/>
  <c r="D32" i="4"/>
  <c r="J32" i="4" s="1"/>
  <c r="E10" i="6" s="1"/>
  <c r="B20" i="5"/>
  <c r="D19" i="4"/>
  <c r="B12" i="5"/>
  <c r="C12" i="5"/>
  <c r="D15" i="4"/>
  <c r="D12" i="4"/>
  <c r="J12" i="4" s="1"/>
  <c r="E7" i="6" s="1"/>
  <c r="B14" i="5"/>
  <c r="C14" i="5"/>
  <c r="B23" i="4"/>
  <c r="D23" i="4" s="1"/>
  <c r="E3" i="2"/>
  <c r="G3" i="2" s="1"/>
  <c r="B3" i="5"/>
  <c r="B2" i="5"/>
  <c r="G37" i="4"/>
  <c r="B37" i="4"/>
  <c r="D37" i="4" s="1"/>
  <c r="G36" i="4"/>
  <c r="D36" i="4"/>
  <c r="G35" i="4"/>
  <c r="D35" i="4"/>
  <c r="G34" i="4"/>
  <c r="G32" i="4"/>
  <c r="G31" i="4"/>
  <c r="D31" i="4"/>
  <c r="D30" i="4"/>
  <c r="D29" i="4"/>
  <c r="D28" i="4"/>
  <c r="G26" i="4"/>
  <c r="B26" i="4"/>
  <c r="D26" i="4"/>
  <c r="G25" i="4"/>
  <c r="B25" i="4"/>
  <c r="D25" i="4"/>
  <c r="G24" i="4"/>
  <c r="B24" i="4"/>
  <c r="D24" i="4"/>
  <c r="G23" i="4"/>
  <c r="G22" i="4"/>
  <c r="B22" i="4"/>
  <c r="D22" i="4" s="1"/>
  <c r="G20" i="4"/>
  <c r="B20" i="4"/>
  <c r="D20" i="4" s="1"/>
  <c r="G19" i="4"/>
  <c r="G18" i="4"/>
  <c r="D18" i="4"/>
  <c r="D16" i="4"/>
  <c r="G15" i="4"/>
  <c r="G13" i="4"/>
  <c r="D13" i="4"/>
  <c r="G11" i="4"/>
  <c r="D11" i="4"/>
  <c r="G10" i="4"/>
  <c r="D10" i="4"/>
  <c r="G9" i="4"/>
  <c r="D9" i="4"/>
  <c r="G8" i="4"/>
  <c r="G7" i="4"/>
  <c r="D7" i="4"/>
  <c r="G6" i="4"/>
  <c r="D6" i="4"/>
  <c r="G5" i="4"/>
  <c r="D5" i="4"/>
  <c r="E2" i="6" l="1"/>
  <c r="J15" i="4"/>
  <c r="J8" i="4"/>
  <c r="E14" i="6"/>
  <c r="E5" i="6"/>
  <c r="E13" i="6"/>
  <c r="E12" i="6" l="1"/>
  <c r="E11" i="6"/>
  <c r="E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tc={E7C4358E-E09B-FD45-8E77-AA9AD27D29A7}</author>
  </authors>
  <commentList>
    <comment ref="G2" authorId="0" shapeId="0" xr:uid="{E7C4358E-E09B-FD45-8E77-AA9AD27D29A7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incorporates oxidation fraction, so remove that here.</t>
      </text>
    </comment>
  </commentList>
</comments>
</file>

<file path=xl/sharedStrings.xml><?xml version="1.0" encoding="utf-8"?>
<sst xmlns="http://schemas.openxmlformats.org/spreadsheetml/2006/main" count="422" uniqueCount="202">
  <si>
    <t>cdiac_fuel</t>
  </si>
  <si>
    <t>units</t>
  </si>
  <si>
    <t>EF</t>
  </si>
  <si>
    <t>solid_fuels</t>
  </si>
  <si>
    <t>liquid_fuels</t>
  </si>
  <si>
    <t>gas_fuels</t>
  </si>
  <si>
    <t>bunker_fuels</t>
  </si>
  <si>
    <t>http://cdiac.ornl.gov/epubs/ndp/ndp030/tables/table4.htm</t>
  </si>
  <si>
    <t>gas_flaring</t>
  </si>
  <si>
    <t>src</t>
  </si>
  <si>
    <t>coal_coke</t>
  </si>
  <si>
    <t>https://www.eia.gov/environment/emissions/co2_vol_mass.cfm</t>
  </si>
  <si>
    <t>t C/tce</t>
  </si>
  <si>
    <t>original EF</t>
  </si>
  <si>
    <t>original units</t>
  </si>
  <si>
    <t>kJ/ktce</t>
  </si>
  <si>
    <t>t C/t</t>
  </si>
  <si>
    <t>10^6 t C/10^15 J</t>
  </si>
  <si>
    <t>10^6 t C/10^12 J</t>
  </si>
  <si>
    <t>Carbon Dioxide Emissions Coefficients by Fuel</t>
  </si>
  <si>
    <t xml:space="preserve">Pounds CO2 </t>
  </si>
  <si>
    <t>Kilograms CO2</t>
  </si>
  <si>
    <t>Pounds CO2</t>
  </si>
  <si>
    <t xml:space="preserve">Carbon Dioxide (CO2) Factors: </t>
  </si>
  <si>
    <t>Per Unit of Volume or Mass</t>
  </si>
  <si>
    <t>Per Million Btu</t>
  </si>
  <si>
    <t>For homes and businesses</t>
  </si>
  <si>
    <t>Propane</t>
  </si>
  <si>
    <t>gallon</t>
  </si>
  <si>
    <t>Butane</t>
  </si>
  <si>
    <t>Butane/Propane Mix</t>
  </si>
  <si>
    <t>Home Heating and Diesel Fuel (Distillate)</t>
  </si>
  <si>
    <t>Kerosene</t>
  </si>
  <si>
    <t>Coal (All types)</t>
  </si>
  <si>
    <t>short ton</t>
  </si>
  <si>
    <t>Natural Gas</t>
  </si>
  <si>
    <t>thousand cubic feet</t>
  </si>
  <si>
    <t>Gasoline</t>
  </si>
  <si>
    <t>Residual Heating Fuel (Businesses only)</t>
  </si>
  <si>
    <t xml:space="preserve">Other transportation fuels </t>
  </si>
  <si>
    <t>Jet Fuel</t>
  </si>
  <si>
    <t>Aviation Gas</t>
  </si>
  <si>
    <t>Industrial fuels and others not listed above</t>
  </si>
  <si>
    <t>Flared natural gas</t>
  </si>
  <si>
    <t>Petroleum coke</t>
  </si>
  <si>
    <t>Other petroleum &amp; miscellaneous</t>
  </si>
  <si>
    <t>Nonfuel uses</t>
  </si>
  <si>
    <t>Asphalt and Road Oil</t>
  </si>
  <si>
    <t>Lubricants</t>
  </si>
  <si>
    <t>Petrochemical Feedstocks</t>
  </si>
  <si>
    <t>Special Naphthas (solvents)</t>
  </si>
  <si>
    <t xml:space="preserve">Waxes </t>
  </si>
  <si>
    <t>Coals by type</t>
  </si>
  <si>
    <t>Anthractie</t>
  </si>
  <si>
    <t>Bituminous</t>
  </si>
  <si>
    <t>Subbituminous</t>
  </si>
  <si>
    <t>Lignite</t>
  </si>
  <si>
    <t>Coke</t>
  </si>
  <si>
    <t>Other fuels</t>
  </si>
  <si>
    <t>Geothermal (average all generation)</t>
  </si>
  <si>
    <t>NA</t>
  </si>
  <si>
    <t>Municiple Solid Waste</t>
  </si>
  <si>
    <t>Tire-derived fuel</t>
  </si>
  <si>
    <t>Waste oil</t>
  </si>
  <si>
    <t>barrel</t>
  </si>
  <si>
    <t>Source: U.S. Energy Information Administration estimates.</t>
  </si>
  <si>
    <t>Note: To convert to carbon equivalents multiply by 12/44.</t>
  </si>
  <si>
    <t>Coefficients may vary slightly with estimation method and across time.</t>
  </si>
  <si>
    <t>kJ/Mbtu</t>
  </si>
  <si>
    <t>kg/kt</t>
  </si>
  <si>
    <t>kJ/TJ</t>
  </si>
  <si>
    <t>t/short ton</t>
  </si>
  <si>
    <t>CO2/C</t>
  </si>
  <si>
    <t>kt CO2/kJ</t>
  </si>
  <si>
    <t>kt CO2/kt</t>
  </si>
  <si>
    <t>kt CO2/TJ</t>
  </si>
  <si>
    <t>heavy_oil</t>
  </si>
  <si>
    <t>diesel_oil</t>
  </si>
  <si>
    <t>light_oil</t>
  </si>
  <si>
    <t>diesel</t>
  </si>
  <si>
    <t>diesel aviation</t>
  </si>
  <si>
    <t>coal coke</t>
  </si>
  <si>
    <t>heavy oil</t>
  </si>
  <si>
    <t>light oil</t>
  </si>
  <si>
    <t>Source: https://www.energyinst.org/_uploads/documents/DSI06.pdf</t>
  </si>
  <si>
    <t>kg/m3</t>
  </si>
  <si>
    <t>crude oil</t>
  </si>
  <si>
    <t>Petroleum product densities (kg/m3)</t>
  </si>
  <si>
    <t>diesel oil</t>
  </si>
  <si>
    <t>motor gasoline</t>
  </si>
  <si>
    <t>m3/gallon</t>
  </si>
  <si>
    <t>kg/gallon</t>
  </si>
  <si>
    <t>Fraction oxidized</t>
  </si>
  <si>
    <t>personal correspondence, also http://cdiac.ornl.gov/pns/convert.html</t>
  </si>
  <si>
    <t>Source: http://cdiac.ornl.gov/epubs/ndp/ndp030/tables/table4.htm</t>
  </si>
  <si>
    <t>iso</t>
  </si>
  <si>
    <t>sector</t>
  </si>
  <si>
    <t>fuel</t>
  </si>
  <si>
    <t>default</t>
  </si>
  <si>
    <t>Emission_Coefficient</t>
  </si>
  <si>
    <t>emission_coefficent</t>
  </si>
  <si>
    <t>1A3aii_Domestic-aviation</t>
  </si>
  <si>
    <t>1A3ai_International-aviation</t>
  </si>
  <si>
    <t>1A3di_International-shipping</t>
  </si>
  <si>
    <t>1A3dii_Domestic-navigation</t>
  </si>
  <si>
    <t>Fraction_Oxidized</t>
  </si>
  <si>
    <t>hard_coal</t>
  </si>
  <si>
    <t>brown_coal</t>
  </si>
  <si>
    <t>natural_gas</t>
  </si>
  <si>
    <t>chn</t>
  </si>
  <si>
    <t>gas_works_gas</t>
  </si>
  <si>
    <t>coke_oven_gas</t>
  </si>
  <si>
    <t>blast_furnace_gas</t>
  </si>
  <si>
    <t>oxygen_steel_furnace_gas</t>
  </si>
  <si>
    <t>1A1b_Mass_Balance_Adjust</t>
  </si>
  <si>
    <t>From: US GHG inventory 2019, Table A-23, 85.68% carbon content of residual oil</t>
  </si>
  <si>
    <t>Carbon</t>
  </si>
  <si>
    <t xml:space="preserve">2006 IPCC Guidelines for National Greenhouse Gas Inventories </t>
  </si>
  <si>
    <t>Source:</t>
  </si>
  <si>
    <r>
      <rPr>
        <sz val="8"/>
        <rFont val="Times New Roman"/>
        <family val="1"/>
      </rPr>
      <t>(a) Includes the biomass-derived CO</t>
    </r>
    <r>
      <rPr>
        <vertAlign val="subscript"/>
        <sz val="8"/>
        <rFont val="Times New Roman"/>
        <family val="1"/>
      </rPr>
      <t>2</t>
    </r>
    <r>
      <rPr>
        <sz val="8"/>
        <rFont val="Times New Roman"/>
        <family val="1"/>
      </rPr>
      <t xml:space="preserve"> emitted from the black liquor combustion unit and the biomass-derived CO</t>
    </r>
    <r>
      <rPr>
        <vertAlign val="subscript"/>
        <sz val="8"/>
        <rFont val="Times New Roman"/>
        <family val="1"/>
      </rPr>
      <t>2</t>
    </r>
    <r>
      <rPr>
        <sz val="8"/>
        <rFont val="Times New Roman"/>
        <family val="1"/>
      </rPr>
      <t xml:space="preserve"> emitted from the kraft mill lime kiln.
</t>
    </r>
    <r>
      <rPr>
        <b/>
        <sz val="8"/>
        <rFont val="Times New Roman"/>
        <family val="1"/>
      </rPr>
      <t xml:space="preserve">n       </t>
    </r>
    <r>
      <rPr>
        <sz val="8"/>
        <rFont val="Times New Roman"/>
        <family val="1"/>
      </rPr>
      <t xml:space="preserve">indicates a new emission factor which was not present in the 1996 Guidelines
</t>
    </r>
    <r>
      <rPr>
        <b/>
        <sz val="8"/>
        <rFont val="Times New Roman"/>
        <family val="1"/>
      </rPr>
      <t xml:space="preserve">r       </t>
    </r>
    <r>
      <rPr>
        <sz val="8"/>
        <rFont val="Times New Roman"/>
        <family val="1"/>
      </rPr>
      <t>indicates an emission factor that has been revised since the 1996 Guidelines</t>
    </r>
  </si>
  <si>
    <r>
      <rPr>
        <sz val="8"/>
        <rFont val="Times New Roman"/>
        <family val="1"/>
      </rPr>
      <t>Municipal Wastes (biomass fraction)</t>
    </r>
  </si>
  <si>
    <r>
      <rPr>
        <sz val="8"/>
        <rFont val="Times New Roman"/>
        <family val="1"/>
      </rPr>
      <t>Other non- fossil fuels</t>
    </r>
  </si>
  <si>
    <r>
      <rPr>
        <sz val="8"/>
        <rFont val="Times New Roman"/>
        <family val="1"/>
      </rPr>
      <t>Other Biogas</t>
    </r>
  </si>
  <si>
    <r>
      <rPr>
        <sz val="8"/>
        <rFont val="Times New Roman"/>
        <family val="1"/>
      </rPr>
      <t>Sludge Gas</t>
    </r>
  </si>
  <si>
    <r>
      <rPr>
        <sz val="8"/>
        <rFont val="Times New Roman"/>
        <family val="1"/>
      </rPr>
      <t>Landfill Gas</t>
    </r>
  </si>
  <si>
    <r>
      <rPr>
        <sz val="8"/>
        <rFont val="Times New Roman"/>
        <family val="1"/>
      </rPr>
      <t>Gas Biomass</t>
    </r>
  </si>
  <si>
    <r>
      <rPr>
        <sz val="8"/>
        <rFont val="Times New Roman"/>
        <family val="1"/>
      </rPr>
      <t>Other Liquid Biofuels</t>
    </r>
  </si>
  <si>
    <r>
      <rPr>
        <sz val="8"/>
        <rFont val="Times New Roman"/>
        <family val="1"/>
      </rPr>
      <t>Biodiesels</t>
    </r>
  </si>
  <si>
    <r>
      <rPr>
        <sz val="8"/>
        <rFont val="Times New Roman"/>
        <family val="1"/>
      </rPr>
      <t>Biogasoline</t>
    </r>
  </si>
  <si>
    <r>
      <rPr>
        <sz val="8"/>
        <rFont val="Times New Roman"/>
        <family val="1"/>
      </rPr>
      <t>Liquid Biofuels</t>
    </r>
  </si>
  <si>
    <r>
      <rPr>
        <sz val="8"/>
        <rFont val="Times New Roman"/>
        <family val="1"/>
      </rPr>
      <t>Charcoal</t>
    </r>
  </si>
  <si>
    <r>
      <rPr>
        <sz val="8"/>
        <rFont val="Times New Roman"/>
        <family val="1"/>
      </rPr>
      <t>Other Primary Solid Biomass</t>
    </r>
  </si>
  <si>
    <r>
      <rPr>
        <sz val="8"/>
        <rFont val="Times New Roman"/>
        <family val="1"/>
      </rPr>
      <t>Sulphite lyes (Black Liquor)</t>
    </r>
    <r>
      <rPr>
        <vertAlign val="superscript"/>
        <sz val="8"/>
        <rFont val="Times New Roman"/>
        <family val="1"/>
      </rPr>
      <t>a</t>
    </r>
  </si>
  <si>
    <r>
      <rPr>
        <sz val="8"/>
        <rFont val="Times New Roman"/>
        <family val="1"/>
      </rPr>
      <t>Wood / Wood Waste</t>
    </r>
  </si>
  <si>
    <r>
      <rPr>
        <sz val="8"/>
        <rFont val="Times New Roman"/>
        <family val="1"/>
      </rPr>
      <t>Solid Biofuels</t>
    </r>
  </si>
  <si>
    <r>
      <rPr>
        <sz val="8"/>
        <rFont val="Times New Roman"/>
        <family val="1"/>
      </rPr>
      <t>Peat</t>
    </r>
  </si>
  <si>
    <r>
      <rPr>
        <sz val="8"/>
        <rFont val="Times New Roman"/>
        <family val="1"/>
      </rPr>
      <t>Waste Oils</t>
    </r>
  </si>
  <si>
    <r>
      <rPr>
        <sz val="8"/>
        <rFont val="Times New Roman"/>
        <family val="1"/>
      </rPr>
      <t>Industrial Wastes</t>
    </r>
  </si>
  <si>
    <r>
      <rPr>
        <sz val="8"/>
        <rFont val="Times New Roman"/>
        <family val="1"/>
      </rPr>
      <t>Municipal Wastes (non-biomass fraction)</t>
    </r>
  </si>
  <si>
    <r>
      <rPr>
        <b/>
        <sz val="8"/>
        <rFont val="Times New Roman"/>
        <family val="1"/>
      </rPr>
      <t>Upper</t>
    </r>
  </si>
  <si>
    <r>
      <rPr>
        <b/>
        <sz val="8"/>
        <rFont val="Times New Roman"/>
        <family val="1"/>
      </rPr>
      <t>Lower</t>
    </r>
  </si>
  <si>
    <r>
      <rPr>
        <b/>
        <sz val="8"/>
        <rFont val="Times New Roman"/>
        <family val="1"/>
      </rPr>
      <t>Default Emission Factor</t>
    </r>
  </si>
  <si>
    <r>
      <rPr>
        <b/>
        <sz val="8"/>
        <rFont val="Times New Roman"/>
        <family val="1"/>
      </rPr>
      <t>N</t>
    </r>
    <r>
      <rPr>
        <b/>
        <vertAlign val="subscript"/>
        <sz val="8"/>
        <rFont val="Times New Roman"/>
        <family val="1"/>
      </rPr>
      <t>2</t>
    </r>
    <r>
      <rPr>
        <b/>
        <sz val="8"/>
        <rFont val="Times New Roman"/>
        <family val="1"/>
      </rPr>
      <t>O</t>
    </r>
  </si>
  <si>
    <r>
      <rPr>
        <b/>
        <sz val="8"/>
        <rFont val="Times New Roman"/>
        <family val="1"/>
      </rPr>
      <t>CH</t>
    </r>
    <r>
      <rPr>
        <b/>
        <vertAlign val="subscript"/>
        <sz val="8"/>
        <rFont val="Times New Roman"/>
        <family val="1"/>
      </rPr>
      <t>4</t>
    </r>
  </si>
  <si>
    <r>
      <rPr>
        <b/>
        <sz val="8"/>
        <rFont val="Times New Roman"/>
        <family val="1"/>
      </rPr>
      <t>CO</t>
    </r>
    <r>
      <rPr>
        <b/>
        <vertAlign val="subscript"/>
        <sz val="8"/>
        <rFont val="Times New Roman"/>
        <family val="1"/>
      </rPr>
      <t>2</t>
    </r>
  </si>
  <si>
    <r>
      <rPr>
        <b/>
        <sz val="8"/>
        <rFont val="Times New Roman"/>
        <family val="1"/>
      </rPr>
      <t>Fuel</t>
    </r>
  </si>
  <si>
    <r>
      <rPr>
        <b/>
        <sz val="9"/>
        <rFont val="Times New Roman"/>
        <family val="1"/>
      </rPr>
      <t xml:space="preserve">Table 2.2 (continued)
</t>
    </r>
    <r>
      <rPr>
        <b/>
        <sz val="9"/>
        <rFont val="Times New Roman"/>
        <family val="1"/>
      </rPr>
      <t xml:space="preserve">Default emission factors for stationary combustion in the </t>
    </r>
    <r>
      <rPr>
        <b/>
        <u/>
        <sz val="9"/>
        <rFont val="Times New Roman"/>
        <family val="1"/>
      </rPr>
      <t xml:space="preserve">energy industries
</t>
    </r>
    <r>
      <rPr>
        <b/>
        <sz val="9"/>
        <rFont val="Times New Roman"/>
        <family val="1"/>
      </rPr>
      <t>(kg of greenhouse gas per TJ on a Net Calorific Basis)</t>
    </r>
  </si>
  <si>
    <r>
      <rPr>
        <sz val="10"/>
        <rFont val="Times New Roman"/>
        <family val="1"/>
      </rPr>
      <t>Chapter 2: Stationary Combustion</t>
    </r>
  </si>
  <si>
    <r>
      <rPr>
        <sz val="8"/>
        <rFont val="Times New Roman"/>
        <family val="1"/>
      </rPr>
      <t>Natural Gas</t>
    </r>
  </si>
  <si>
    <r>
      <rPr>
        <sz val="8"/>
        <rFont val="Times New Roman"/>
        <family val="1"/>
      </rPr>
      <t>Oxygen Steel Furnace Gas</t>
    </r>
  </si>
  <si>
    <r>
      <rPr>
        <sz val="8"/>
        <rFont val="Times New Roman"/>
        <family val="1"/>
      </rPr>
      <t>Blast Furnace Gas</t>
    </r>
  </si>
  <si>
    <r>
      <rPr>
        <sz val="8"/>
        <rFont val="Times New Roman"/>
        <family val="1"/>
      </rPr>
      <t>Coke Oven Gas</t>
    </r>
  </si>
  <si>
    <r>
      <rPr>
        <sz val="8"/>
        <rFont val="Times New Roman"/>
        <family val="1"/>
      </rPr>
      <t>Gas Works Gas</t>
    </r>
  </si>
  <si>
    <r>
      <rPr>
        <sz val="8"/>
        <rFont val="Times New Roman"/>
        <family val="1"/>
      </rPr>
      <t>Derived Gases</t>
    </r>
  </si>
  <si>
    <r>
      <rPr>
        <sz val="8"/>
        <rFont val="Times New Roman"/>
        <family val="1"/>
      </rPr>
      <t>Coal Tar</t>
    </r>
  </si>
  <si>
    <r>
      <rPr>
        <sz val="8"/>
        <rFont val="Times New Roman"/>
        <family val="1"/>
      </rPr>
      <t>Gas Coke</t>
    </r>
  </si>
  <si>
    <r>
      <rPr>
        <sz val="8"/>
        <rFont val="Times New Roman"/>
        <family val="1"/>
      </rPr>
      <t>Coke Oven Coke and Lignite Coke</t>
    </r>
  </si>
  <si>
    <r>
      <rPr>
        <sz val="8"/>
        <rFont val="Times New Roman"/>
        <family val="1"/>
      </rPr>
      <t>Coke</t>
    </r>
  </si>
  <si>
    <r>
      <rPr>
        <sz val="8"/>
        <rFont val="Times New Roman"/>
        <family val="1"/>
      </rPr>
      <t>Patent Fuel</t>
    </r>
  </si>
  <si>
    <r>
      <rPr>
        <sz val="8"/>
        <rFont val="Times New Roman"/>
        <family val="1"/>
      </rPr>
      <t>Brown Coal Briquettes</t>
    </r>
  </si>
  <si>
    <r>
      <rPr>
        <sz val="8"/>
        <rFont val="Times New Roman"/>
        <family val="1"/>
      </rPr>
      <t>Oil Shale and Tar Sands</t>
    </r>
  </si>
  <si>
    <r>
      <rPr>
        <sz val="8"/>
        <rFont val="Times New Roman"/>
        <family val="1"/>
      </rPr>
      <t>Lignite</t>
    </r>
  </si>
  <si>
    <r>
      <rPr>
        <sz val="8"/>
        <rFont val="Times New Roman"/>
        <family val="1"/>
      </rPr>
      <t>Sub-Bituminous Coal</t>
    </r>
  </si>
  <si>
    <r>
      <rPr>
        <sz val="8"/>
        <rFont val="Times New Roman"/>
        <family val="1"/>
      </rPr>
      <t>Other Bituminous Coal</t>
    </r>
  </si>
  <si>
    <r>
      <rPr>
        <sz val="8"/>
        <rFont val="Times New Roman"/>
        <family val="1"/>
      </rPr>
      <t>Coking Coal</t>
    </r>
  </si>
  <si>
    <r>
      <rPr>
        <sz val="8"/>
        <rFont val="Times New Roman"/>
        <family val="1"/>
      </rPr>
      <t>Anthracite</t>
    </r>
  </si>
  <si>
    <r>
      <rPr>
        <sz val="8"/>
        <rFont val="Times New Roman"/>
        <family val="1"/>
      </rPr>
      <t>Other Petroleum Products</t>
    </r>
  </si>
  <si>
    <r>
      <rPr>
        <sz val="8"/>
        <rFont val="Times New Roman"/>
        <family val="1"/>
      </rPr>
      <t>White Spirit and SBP</t>
    </r>
  </si>
  <si>
    <r>
      <rPr>
        <sz val="8"/>
        <rFont val="Times New Roman"/>
        <family val="1"/>
      </rPr>
      <t>Paraffin Waxes</t>
    </r>
  </si>
  <si>
    <r>
      <rPr>
        <sz val="8"/>
        <rFont val="Times New Roman"/>
        <family val="1"/>
      </rPr>
      <t>Refinery Gas</t>
    </r>
  </si>
  <si>
    <r>
      <rPr>
        <sz val="8"/>
        <rFont val="Times New Roman"/>
        <family val="1"/>
      </rPr>
      <t>Other Oil</t>
    </r>
  </si>
  <si>
    <r>
      <rPr>
        <sz val="8"/>
        <rFont val="Times New Roman"/>
        <family val="1"/>
      </rPr>
      <t>Refinery Feedstocks</t>
    </r>
  </si>
  <si>
    <r>
      <rPr>
        <sz val="8"/>
        <rFont val="Times New Roman"/>
        <family val="1"/>
      </rPr>
      <t>Petroleum Coke</t>
    </r>
  </si>
  <si>
    <r>
      <rPr>
        <sz val="8"/>
        <rFont val="Times New Roman"/>
        <family val="1"/>
      </rPr>
      <t>Lubricants</t>
    </r>
  </si>
  <si>
    <r>
      <rPr>
        <sz val="8"/>
        <rFont val="Times New Roman"/>
        <family val="1"/>
      </rPr>
      <t>Bitumen</t>
    </r>
  </si>
  <si>
    <r>
      <rPr>
        <sz val="8"/>
        <rFont val="Times New Roman"/>
        <family val="1"/>
      </rPr>
      <t>Naphtha</t>
    </r>
  </si>
  <si>
    <r>
      <rPr>
        <sz val="8"/>
        <rFont val="Times New Roman"/>
        <family val="1"/>
      </rPr>
      <t>Ethane</t>
    </r>
  </si>
  <si>
    <r>
      <rPr>
        <sz val="8"/>
        <rFont val="Times New Roman"/>
        <family val="1"/>
      </rPr>
      <t>Liquefied Petroleum Gases</t>
    </r>
  </si>
  <si>
    <r>
      <rPr>
        <sz val="8"/>
        <rFont val="Times New Roman"/>
        <family val="1"/>
      </rPr>
      <t>Residual Fuel Oil</t>
    </r>
  </si>
  <si>
    <r>
      <rPr>
        <sz val="8"/>
        <rFont val="Times New Roman"/>
        <family val="1"/>
      </rPr>
      <t>Gas/Diesel Oil</t>
    </r>
  </si>
  <si>
    <r>
      <rPr>
        <sz val="8"/>
        <rFont val="Times New Roman"/>
        <family val="1"/>
      </rPr>
      <t>Shale Oil</t>
    </r>
  </si>
  <si>
    <r>
      <rPr>
        <sz val="8"/>
        <rFont val="Times New Roman"/>
        <family val="1"/>
      </rPr>
      <t>Other Kerosene</t>
    </r>
  </si>
  <si>
    <r>
      <rPr>
        <sz val="8"/>
        <rFont val="Times New Roman"/>
        <family val="1"/>
      </rPr>
      <t>Jet Kerosene</t>
    </r>
  </si>
  <si>
    <r>
      <rPr>
        <sz val="8"/>
        <rFont val="Times New Roman"/>
        <family val="1"/>
      </rPr>
      <t>Jet Gasoline</t>
    </r>
  </si>
  <si>
    <r>
      <rPr>
        <sz val="8"/>
        <rFont val="Times New Roman"/>
        <family val="1"/>
      </rPr>
      <t>Aviation Gasoline</t>
    </r>
  </si>
  <si>
    <r>
      <rPr>
        <sz val="8"/>
        <rFont val="Times New Roman"/>
        <family val="1"/>
      </rPr>
      <t>Motor Gasoline</t>
    </r>
  </si>
  <si>
    <r>
      <rPr>
        <sz val="8"/>
        <rFont val="Times New Roman"/>
        <family val="1"/>
      </rPr>
      <t>Gasoline</t>
    </r>
  </si>
  <si>
    <r>
      <rPr>
        <sz val="8"/>
        <rFont val="Times New Roman"/>
        <family val="1"/>
      </rPr>
      <t>Natural Gas Liquids</t>
    </r>
  </si>
  <si>
    <r>
      <rPr>
        <sz val="8"/>
        <rFont val="Times New Roman"/>
        <family val="1"/>
      </rPr>
      <t>Orimulsion</t>
    </r>
  </si>
  <si>
    <r>
      <rPr>
        <sz val="8"/>
        <rFont val="Times New Roman"/>
        <family val="1"/>
      </rPr>
      <t>Crude Oil</t>
    </r>
  </si>
  <si>
    <t>Converted to (kt/kJ)</t>
  </si>
  <si>
    <r>
      <rPr>
        <b/>
        <sz val="9"/>
        <rFont val="Times New Roman"/>
        <family val="1"/>
      </rPr>
      <t xml:space="preserve">Table 2.2
</t>
    </r>
    <r>
      <rPr>
        <b/>
        <sz val="9"/>
        <rFont val="Times New Roman"/>
        <family val="1"/>
      </rPr>
      <t xml:space="preserve">Default emission factors for stationary combustion in the </t>
    </r>
    <r>
      <rPr>
        <b/>
        <u/>
        <sz val="9"/>
        <rFont val="Times New Roman"/>
        <family val="1"/>
      </rPr>
      <t xml:space="preserve">energy industries
</t>
    </r>
    <r>
      <rPr>
        <b/>
        <sz val="9"/>
        <rFont val="Times New Roman"/>
        <family val="1"/>
      </rPr>
      <t>(kg of greenhouse gas per TJ on a Net Calorific Basis)</t>
    </r>
  </si>
  <si>
    <t>TJ-&gt;kj</t>
  </si>
  <si>
    <t>kg -&gt; kt</t>
  </si>
  <si>
    <r>
      <rPr>
        <sz val="10"/>
        <rFont val="Times New Roman"/>
        <family val="1"/>
      </rPr>
      <t>Volume 2: Energy</t>
    </r>
  </si>
  <si>
    <t>IPCC_Default</t>
  </si>
  <si>
    <t>CDIAC</t>
  </si>
  <si>
    <t>IPCC Default</t>
  </si>
  <si>
    <t>Source</t>
  </si>
  <si>
    <t>EIA</t>
  </si>
  <si>
    <t>Assumption</t>
  </si>
  <si>
    <t>See: https://github.com/JGCRI/CEDS/wiki/Data_and_Assumptions#co2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</si>
</sst>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000"/>
  </numFmts>
  <fonts count="2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TimesNewRomanPSMT"/>
    </font>
    <font>
      <sz val="8"/>
      <name val="Times New Roman"/>
      <family val="1"/>
    </font>
    <font>
      <vertAlign val="subscript"/>
      <sz val="8"/>
      <name val="Times New Roman"/>
      <family val="1"/>
    </font>
    <font>
      <b/>
      <sz val="8"/>
      <name val="Times New Roman"/>
      <family val="1"/>
    </font>
    <font>
      <sz val="8"/>
      <color rgb="FF000000"/>
      <name val="Times New Roman"/>
      <family val="2"/>
    </font>
    <font>
      <vertAlign val="superscript"/>
      <sz val="8"/>
      <name val="Times New Roman"/>
      <family val="1"/>
    </font>
    <font>
      <b/>
      <vertAlign val="subscript"/>
      <sz val="8"/>
      <name val="Times New Roman"/>
      <family val="1"/>
    </font>
    <font>
      <b/>
      <sz val="9"/>
      <name val="Times New Roman"/>
      <family val="1"/>
    </font>
    <font>
      <b/>
      <u/>
      <sz val="9"/>
      <name val="Times New Roman"/>
      <family val="1"/>
    </font>
    <font>
      <sz val="10"/>
      <name val="Times New Roman"/>
      <family val="1"/>
    </font>
    <font>
      <sz val="8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dashed">
        <color theme="0" tint="-0.24994659260841701"/>
      </top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3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/>
    <xf numFmtId="0" fontId="6" fillId="0" borderId="2" applyNumberFormat="0" applyFont="0" applyProtection="0">
      <alignment wrapText="1"/>
    </xf>
    <xf numFmtId="0" fontId="7" fillId="0" borderId="3" applyNumberFormat="0" applyProtection="0">
      <alignment wrapText="1"/>
    </xf>
    <xf numFmtId="0" fontId="7" fillId="0" borderId="1" applyNumberFormat="0" applyProtection="0">
      <alignment wrapText="1"/>
    </xf>
    <xf numFmtId="0" fontId="6" fillId="0" borderId="5" applyNumberFormat="0" applyProtection="0">
      <alignment vertical="top" wrapText="1"/>
    </xf>
    <xf numFmtId="0" fontId="8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6" fillId="0" borderId="0" applyNumberFormat="0" applyProtection="0">
      <alignment vertical="top" wrapText="1"/>
    </xf>
    <xf numFmtId="0" fontId="7" fillId="0" borderId="6" applyNumberFormat="0" applyProtection="0">
      <alignment horizontal="left" wrapText="1"/>
    </xf>
    <xf numFmtId="0" fontId="6" fillId="0" borderId="7" applyNumberFormat="0" applyFont="0" applyFill="0" applyProtection="0">
      <alignment wrapText="1"/>
    </xf>
    <xf numFmtId="0" fontId="7" fillId="0" borderId="8" applyNumberFormat="0" applyFill="0" applyProtection="0">
      <alignment wrapText="1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2" fillId="2" borderId="9" applyNumberFormat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5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7" fillId="0" borderId="0"/>
  </cellStyleXfs>
  <cellXfs count="94">
    <xf numFmtId="0" fontId="0" fillId="0" borderId="0" xfId="0"/>
    <xf numFmtId="11" fontId="0" fillId="0" borderId="0" xfId="0" applyNumberFormat="1"/>
    <xf numFmtId="0" fontId="1" fillId="0" borderId="0" xfId="0" applyFont="1"/>
    <xf numFmtId="0" fontId="5" fillId="0" borderId="0" xfId="24"/>
    <xf numFmtId="0" fontId="6" fillId="0" borderId="0" xfId="25" applyBorder="1">
      <alignment wrapText="1"/>
    </xf>
    <xf numFmtId="0" fontId="7" fillId="0" borderId="3" xfId="26" applyAlignment="1">
      <alignment horizontal="right" wrapText="1"/>
    </xf>
    <xf numFmtId="2" fontId="7" fillId="0" borderId="3" xfId="26" applyNumberFormat="1" applyAlignment="1">
      <alignment horizontal="right" wrapText="1"/>
    </xf>
    <xf numFmtId="0" fontId="7" fillId="0" borderId="1" xfId="27">
      <alignment wrapText="1"/>
    </xf>
    <xf numFmtId="0" fontId="7" fillId="0" borderId="1" xfId="27" applyAlignment="1">
      <alignment horizontal="right" wrapText="1"/>
    </xf>
    <xf numFmtId="2" fontId="7" fillId="0" borderId="1" xfId="27" applyNumberFormat="1" applyAlignment="1">
      <alignment horizontal="right" wrapText="1"/>
    </xf>
    <xf numFmtId="4" fontId="6" fillId="0" borderId="2" xfId="25" applyNumberFormat="1">
      <alignment wrapText="1"/>
    </xf>
    <xf numFmtId="4" fontId="6" fillId="0" borderId="0" xfId="25" applyNumberFormat="1" applyBorder="1">
      <alignment wrapText="1"/>
    </xf>
    <xf numFmtId="4" fontId="7" fillId="0" borderId="0" xfId="25" applyNumberFormat="1" applyFont="1" applyBorder="1">
      <alignment wrapText="1"/>
    </xf>
    <xf numFmtId="4" fontId="6" fillId="0" borderId="0" xfId="25" applyNumberFormat="1" applyBorder="1" applyAlignment="1">
      <alignment horizontal="right" wrapText="1"/>
    </xf>
    <xf numFmtId="164" fontId="6" fillId="0" borderId="0" xfId="25" applyNumberFormat="1" applyBorder="1">
      <alignment wrapText="1"/>
    </xf>
    <xf numFmtId="2" fontId="6" fillId="0" borderId="0" xfId="25" applyNumberFormat="1" applyBorder="1">
      <alignment wrapText="1"/>
    </xf>
    <xf numFmtId="0" fontId="8" fillId="0" borderId="0" xfId="29" applyAlignment="1" applyProtection="1"/>
    <xf numFmtId="2" fontId="5" fillId="0" borderId="0" xfId="24" applyNumberFormat="1"/>
    <xf numFmtId="0" fontId="9" fillId="0" borderId="0" xfId="24" applyFont="1"/>
    <xf numFmtId="4" fontId="10" fillId="0" borderId="2" xfId="25" applyNumberFormat="1" applyFont="1">
      <alignment wrapText="1"/>
    </xf>
    <xf numFmtId="4" fontId="10" fillId="0" borderId="0" xfId="25" applyNumberFormat="1" applyFont="1" applyBorder="1">
      <alignment wrapText="1"/>
    </xf>
    <xf numFmtId="0" fontId="9" fillId="0" borderId="0" xfId="0" applyFont="1"/>
    <xf numFmtId="4" fontId="11" fillId="0" borderId="2" xfId="25" applyNumberFormat="1" applyFont="1">
      <alignment wrapText="1"/>
    </xf>
    <xf numFmtId="0" fontId="13" fillId="0" borderId="0" xfId="0" applyFont="1"/>
    <xf numFmtId="0" fontId="14" fillId="0" borderId="0" xfId="24" applyFont="1"/>
    <xf numFmtId="0" fontId="12" fillId="2" borderId="9" xfId="54"/>
    <xf numFmtId="165" fontId="0" fillId="0" borderId="0" xfId="0" applyNumberFormat="1" applyAlignment="1">
      <alignment horizontal="center"/>
    </xf>
    <xf numFmtId="0" fontId="0" fillId="3" borderId="0" xfId="0" applyFill="1"/>
    <xf numFmtId="9" fontId="16" fillId="0" borderId="0" xfId="82" applyFont="1"/>
    <xf numFmtId="0" fontId="17" fillId="0" borderId="0" xfId="129" applyAlignment="1">
      <alignment horizontal="left" vertical="top"/>
    </xf>
    <xf numFmtId="0" fontId="18" fillId="0" borderId="0" xfId="129" applyFont="1" applyAlignment="1">
      <alignment horizontal="left" vertical="top"/>
    </xf>
    <xf numFmtId="166" fontId="17" fillId="0" borderId="0" xfId="129" applyNumberFormat="1" applyAlignment="1">
      <alignment horizontal="center" vertical="top"/>
    </xf>
    <xf numFmtId="11" fontId="17" fillId="0" borderId="0" xfId="129" applyNumberFormat="1" applyAlignment="1">
      <alignment horizontal="center" vertical="top"/>
    </xf>
    <xf numFmtId="1" fontId="22" fillId="0" borderId="13" xfId="129" applyNumberFormat="1" applyFont="1" applyBorder="1" applyAlignment="1">
      <alignment horizontal="center" vertical="center" shrinkToFit="1"/>
    </xf>
    <xf numFmtId="165" fontId="22" fillId="0" borderId="13" xfId="129" applyNumberFormat="1" applyFont="1" applyBorder="1" applyAlignment="1">
      <alignment horizontal="center" vertical="center" shrinkToFit="1"/>
    </xf>
    <xf numFmtId="1" fontId="22" fillId="0" borderId="13" xfId="129" applyNumberFormat="1" applyFont="1" applyBorder="1" applyAlignment="1">
      <alignment horizontal="left" vertical="center" shrinkToFit="1"/>
    </xf>
    <xf numFmtId="0" fontId="19" fillId="0" borderId="13" xfId="129" applyFont="1" applyBorder="1" applyAlignment="1">
      <alignment horizontal="center" vertical="center" wrapText="1"/>
    </xf>
    <xf numFmtId="0" fontId="17" fillId="0" borderId="13" xfId="129" applyBorder="1" applyAlignment="1">
      <alignment horizontal="right" vertical="center" wrapText="1" indent="1"/>
    </xf>
    <xf numFmtId="0" fontId="19" fillId="0" borderId="13" xfId="129" applyFont="1" applyBorder="1" applyAlignment="1">
      <alignment horizontal="left" vertical="top" wrapText="1"/>
    </xf>
    <xf numFmtId="0" fontId="19" fillId="0" borderId="13" xfId="129" applyFont="1" applyBorder="1" applyAlignment="1">
      <alignment horizontal="left" textRotation="90" wrapText="1"/>
    </xf>
    <xf numFmtId="0" fontId="17" fillId="0" borderId="0" xfId="129" applyAlignment="1">
      <alignment horizontal="left"/>
    </xf>
    <xf numFmtId="165" fontId="22" fillId="0" borderId="13" xfId="129" applyNumberFormat="1" applyFont="1" applyBorder="1" applyAlignment="1">
      <alignment horizontal="center" vertical="top" shrinkToFit="1"/>
    </xf>
    <xf numFmtId="2" fontId="22" fillId="0" borderId="13" xfId="129" applyNumberFormat="1" applyFont="1" applyBorder="1" applyAlignment="1">
      <alignment horizontal="center" vertical="top" shrinkToFit="1"/>
    </xf>
    <xf numFmtId="1" fontId="22" fillId="0" borderId="13" xfId="129" applyNumberFormat="1" applyFont="1" applyBorder="1" applyAlignment="1">
      <alignment horizontal="center" vertical="top" shrinkToFit="1"/>
    </xf>
    <xf numFmtId="0" fontId="17" fillId="0" borderId="13" xfId="129" applyBorder="1" applyAlignment="1">
      <alignment horizontal="right" vertical="top" wrapText="1" indent="1"/>
    </xf>
    <xf numFmtId="0" fontId="19" fillId="0" borderId="13" xfId="129" applyFont="1" applyBorder="1" applyAlignment="1">
      <alignment horizontal="center" vertical="top" wrapText="1"/>
    </xf>
    <xf numFmtId="0" fontId="17" fillId="0" borderId="0" xfId="129" applyAlignment="1">
      <alignment horizontal="left" vertical="center"/>
    </xf>
    <xf numFmtId="0" fontId="17" fillId="0" borderId="13" xfId="129" applyBorder="1" applyAlignment="1">
      <alignment horizontal="center" vertical="center" wrapText="1"/>
    </xf>
    <xf numFmtId="0" fontId="17" fillId="0" borderId="13" xfId="129" applyBorder="1" applyAlignment="1">
      <alignment horizontal="left" vertical="center" wrapText="1"/>
    </xf>
    <xf numFmtId="0" fontId="17" fillId="0" borderId="13" xfId="129" applyBorder="1" applyAlignment="1">
      <alignment horizontal="center" vertical="top" wrapText="1"/>
    </xf>
    <xf numFmtId="0" fontId="17" fillId="0" borderId="13" xfId="129" applyBorder="1" applyAlignment="1">
      <alignment horizontal="left" vertical="top" wrapText="1" indent="1"/>
    </xf>
    <xf numFmtId="0" fontId="19" fillId="0" borderId="13" xfId="129" applyFont="1" applyBorder="1" applyAlignment="1">
      <alignment horizontal="right" vertical="top" wrapText="1" indent="1"/>
    </xf>
    <xf numFmtId="0" fontId="17" fillId="0" borderId="17" xfId="129" applyBorder="1" applyAlignment="1">
      <alignment horizontal="left"/>
    </xf>
    <xf numFmtId="0" fontId="17" fillId="0" borderId="17" xfId="129" applyBorder="1" applyAlignment="1">
      <alignment horizontal="left" vertical="center"/>
    </xf>
    <xf numFmtId="0" fontId="21" fillId="0" borderId="13" xfId="129" applyFont="1" applyBorder="1" applyAlignment="1">
      <alignment horizontal="center" vertical="top" wrapText="1"/>
    </xf>
    <xf numFmtId="0" fontId="17" fillId="0" borderId="0" xfId="129" applyAlignment="1">
      <alignment horizontal="left" wrapText="1"/>
    </xf>
    <xf numFmtId="165" fontId="28" fillId="0" borderId="13" xfId="129" applyNumberFormat="1" applyFont="1" applyBorder="1" applyAlignment="1">
      <alignment horizontal="center" vertical="top" shrinkToFit="1"/>
    </xf>
    <xf numFmtId="2" fontId="28" fillId="0" borderId="13" xfId="129" applyNumberFormat="1" applyFont="1" applyBorder="1" applyAlignment="1">
      <alignment horizontal="center" vertical="top" shrinkToFit="1"/>
    </xf>
    <xf numFmtId="1" fontId="28" fillId="0" borderId="13" xfId="129" applyNumberFormat="1" applyFont="1" applyBorder="1" applyAlignment="1">
      <alignment horizontal="center" vertical="top" shrinkToFit="1"/>
    </xf>
    <xf numFmtId="0" fontId="19" fillId="0" borderId="13" xfId="129" applyFont="1" applyBorder="1" applyAlignment="1">
      <alignment horizontal="left" vertical="top" wrapText="1" indent="2"/>
    </xf>
    <xf numFmtId="0" fontId="28" fillId="0" borderId="13" xfId="129" applyFont="1" applyBorder="1" applyAlignment="1">
      <alignment horizontal="left" vertical="top" wrapText="1" indent="1"/>
    </xf>
    <xf numFmtId="0" fontId="19" fillId="0" borderId="13" xfId="129" applyFont="1" applyBorder="1" applyAlignment="1">
      <alignment horizontal="left" vertical="top" wrapText="1" indent="1"/>
    </xf>
    <xf numFmtId="0" fontId="28" fillId="0" borderId="13" xfId="129" applyFont="1" applyBorder="1" applyAlignment="1">
      <alignment horizontal="right" vertical="top" wrapText="1" indent="1"/>
    </xf>
    <xf numFmtId="0" fontId="28" fillId="0" borderId="13" xfId="129" applyFont="1" applyBorder="1" applyAlignment="1">
      <alignment horizontal="center" vertical="top" wrapText="1"/>
    </xf>
    <xf numFmtId="0" fontId="17" fillId="0" borderId="0" xfId="129" applyAlignment="1">
      <alignment horizontal="left" vertical="center" wrapText="1"/>
    </xf>
    <xf numFmtId="0" fontId="21" fillId="0" borderId="13" xfId="129" applyFont="1" applyBorder="1" applyAlignment="1">
      <alignment horizontal="left" vertical="top" wrapText="1" indent="2"/>
    </xf>
    <xf numFmtId="0" fontId="17" fillId="0" borderId="0" xfId="129" applyAlignment="1">
      <alignment horizontal="left" vertical="top" wrapText="1"/>
    </xf>
    <xf numFmtId="0" fontId="7" fillId="0" borderId="5" xfId="28" applyFont="1">
      <alignment vertical="top" wrapText="1"/>
    </xf>
    <xf numFmtId="0" fontId="7" fillId="0" borderId="0" xfId="25" applyFont="1" applyBorder="1">
      <alignment wrapText="1"/>
    </xf>
    <xf numFmtId="0" fontId="6" fillId="0" borderId="0" xfId="25" applyBorder="1" applyAlignment="1">
      <alignment vertical="top" wrapText="1"/>
    </xf>
    <xf numFmtId="0" fontId="4" fillId="0" borderId="0" xfId="23">
      <alignment horizontal="left"/>
    </xf>
    <xf numFmtId="0" fontId="7" fillId="0" borderId="3" xfId="26">
      <alignment wrapText="1"/>
    </xf>
    <xf numFmtId="4" fontId="7" fillId="0" borderId="3" xfId="26" applyNumberFormat="1">
      <alignment wrapText="1"/>
    </xf>
    <xf numFmtId="4" fontId="7" fillId="0" borderId="4" xfId="26" applyNumberFormat="1" applyBorder="1">
      <alignment wrapText="1"/>
    </xf>
    <xf numFmtId="0" fontId="17" fillId="0" borderId="12" xfId="129" applyBorder="1" applyAlignment="1">
      <alignment horizontal="left" vertical="top" wrapText="1"/>
    </xf>
    <xf numFmtId="0" fontId="17" fillId="0" borderId="11" xfId="129" applyBorder="1" applyAlignment="1">
      <alignment horizontal="left" vertical="top" wrapText="1"/>
    </xf>
    <xf numFmtId="0" fontId="17" fillId="0" borderId="10" xfId="129" applyBorder="1" applyAlignment="1">
      <alignment horizontal="left" vertical="top" wrapText="1"/>
    </xf>
    <xf numFmtId="0" fontId="19" fillId="0" borderId="16" xfId="129" applyFont="1" applyBorder="1" applyAlignment="1">
      <alignment horizontal="left" textRotation="90" wrapText="1"/>
    </xf>
    <xf numFmtId="0" fontId="19" fillId="0" borderId="15" xfId="129" applyFont="1" applyBorder="1" applyAlignment="1">
      <alignment horizontal="left" textRotation="90" wrapText="1"/>
    </xf>
    <xf numFmtId="0" fontId="19" fillId="0" borderId="14" xfId="129" applyFont="1" applyBorder="1" applyAlignment="1">
      <alignment horizontal="left" textRotation="90" wrapText="1"/>
    </xf>
    <xf numFmtId="0" fontId="19" fillId="0" borderId="12" xfId="129" applyFont="1" applyBorder="1" applyAlignment="1">
      <alignment horizontal="left" vertical="top" wrapText="1"/>
    </xf>
    <xf numFmtId="0" fontId="19" fillId="0" borderId="10" xfId="129" applyFont="1" applyBorder="1" applyAlignment="1">
      <alignment horizontal="left" vertical="top" wrapText="1"/>
    </xf>
    <xf numFmtId="0" fontId="17" fillId="0" borderId="12" xfId="129" applyBorder="1" applyAlignment="1">
      <alignment horizontal="center" vertical="top" wrapText="1"/>
    </xf>
    <xf numFmtId="0" fontId="17" fillId="0" borderId="11" xfId="129" applyBorder="1" applyAlignment="1">
      <alignment horizontal="center" vertical="top" wrapText="1"/>
    </xf>
    <xf numFmtId="0" fontId="17" fillId="0" borderId="10" xfId="129" applyBorder="1" applyAlignment="1">
      <alignment horizontal="center" vertical="top" wrapText="1"/>
    </xf>
    <xf numFmtId="0" fontId="21" fillId="0" borderId="21" xfId="129" applyFont="1" applyBorder="1" applyAlignment="1">
      <alignment horizontal="center" vertical="top" wrapText="1"/>
    </xf>
    <xf numFmtId="0" fontId="21" fillId="0" borderId="20" xfId="129" applyFont="1" applyBorder="1" applyAlignment="1">
      <alignment horizontal="center" vertical="top" wrapText="1"/>
    </xf>
    <xf numFmtId="0" fontId="21" fillId="0" borderId="19" xfId="129" applyFont="1" applyBorder="1" applyAlignment="1">
      <alignment horizontal="center" vertical="top" wrapText="1"/>
    </xf>
    <xf numFmtId="0" fontId="21" fillId="0" borderId="18" xfId="129" applyFont="1" applyBorder="1" applyAlignment="1">
      <alignment horizontal="center" vertical="top" wrapText="1"/>
    </xf>
    <xf numFmtId="0" fontId="21" fillId="0" borderId="12" xfId="129" applyFont="1" applyBorder="1" applyAlignment="1">
      <alignment horizontal="center" vertical="top" wrapText="1"/>
    </xf>
    <xf numFmtId="0" fontId="21" fillId="0" borderId="11" xfId="129" applyFont="1" applyBorder="1" applyAlignment="1">
      <alignment horizontal="center" vertical="top" wrapText="1"/>
    </xf>
    <xf numFmtId="0" fontId="21" fillId="0" borderId="10" xfId="129" applyFont="1" applyBorder="1" applyAlignment="1">
      <alignment horizontal="center" vertical="top" wrapText="1"/>
    </xf>
    <xf numFmtId="0" fontId="27" fillId="0" borderId="0" xfId="129" applyFont="1" applyAlignment="1">
      <alignment horizontal="left" vertical="top" wrapText="1" indent="46"/>
    </xf>
    <xf numFmtId="0" fontId="27" fillId="0" borderId="0" xfId="129" applyFont="1" applyAlignment="1">
      <alignment horizontal="left" vertical="top" wrapText="1"/>
    </xf>
  </cellXfs>
  <cellStyles count="130">
    <cellStyle name="Body: normal cell" xfId="25" xr:uid="{00000000-0005-0000-0000-000000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nt: Calibri, 9pt regular" xfId="30" xr:uid="{00000000-0005-0000-0000-000068000000}"/>
    <cellStyle name="Footnotes: all except top row" xfId="31" xr:uid="{00000000-0005-0000-0000-000069000000}"/>
    <cellStyle name="Footnotes: top row" xfId="28" xr:uid="{00000000-0005-0000-0000-00006A000000}"/>
    <cellStyle name="Header: bottom row" xfId="27" xr:uid="{00000000-0005-0000-0000-00006B000000}"/>
    <cellStyle name="Header: top rows" xfId="32" xr:uid="{00000000-0005-0000-0000-00006C000000}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9" builtinId="8"/>
    <cellStyle name="Normal" xfId="0" builtinId="0"/>
    <cellStyle name="Normal 2" xfId="24" xr:uid="{00000000-0005-0000-0000-00007A000000}"/>
    <cellStyle name="Normal 3" xfId="129" xr:uid="{31AA26F5-47FB-454C-B047-AD3944CE8C9B}"/>
    <cellStyle name="Output" xfId="54" builtinId="21"/>
    <cellStyle name="Parent row" xfId="26" xr:uid="{00000000-0005-0000-0000-00007C000000}"/>
    <cellStyle name="Percent" xfId="82" builtinId="5"/>
    <cellStyle name="Section Break" xfId="33" xr:uid="{00000000-0005-0000-0000-00007E000000}"/>
    <cellStyle name="Section Break: parent row" xfId="34" xr:uid="{00000000-0005-0000-0000-00007F000000}"/>
    <cellStyle name="Table title" xfId="23" xr:uid="{00000000-0005-0000-0000-000080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71628</xdr:colOff>
      <xdr:row>0</xdr:row>
      <xdr:rowOff>365759</xdr:rowOff>
    </xdr:from>
    <xdr:ext cx="5760085" cy="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3BE610A-A55E-8D42-813C-986B482D89A0}"/>
            </a:ext>
          </a:extLst>
        </xdr:cNvPr>
        <xdr:cNvSpPr/>
      </xdr:nvSpPr>
      <xdr:spPr>
        <a:xfrm>
          <a:off x="71628" y="200659"/>
          <a:ext cx="5760085" cy="0"/>
        </a:xfrm>
        <a:custGeom>
          <a:avLst/>
          <a:gdLst/>
          <a:ahLst/>
          <a:cxnLst/>
          <a:rect l="0" t="0" r="0" b="0"/>
          <a:pathLst>
            <a:path w="5760085">
              <a:moveTo>
                <a:pt x="0" y="0"/>
              </a:moveTo>
              <a:lnTo>
                <a:pt x="5759958" y="0"/>
              </a:lnTo>
            </a:path>
          </a:pathLst>
        </a:custGeom>
        <a:ln w="9525">
          <a:solidFill>
            <a:srgbClr val="020303"/>
          </a:solidFill>
        </a:ln>
      </xdr:spPr>
    </xdr:sp>
    <xdr:clientData/>
  </xdr:oneCellAnchor>
  <xdr:oneCellAnchor>
    <xdr:from>
      <xdr:col>1</xdr:col>
      <xdr:colOff>41402</xdr:colOff>
      <xdr:row>42</xdr:row>
      <xdr:rowOff>365760</xdr:rowOff>
    </xdr:from>
    <xdr:ext cx="5760085" cy="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C0638DE8-0CB2-FE4B-BE90-E27942A24F46}"/>
            </a:ext>
          </a:extLst>
        </xdr:cNvPr>
        <xdr:cNvSpPr/>
      </xdr:nvSpPr>
      <xdr:spPr>
        <a:xfrm>
          <a:off x="612902" y="8735060"/>
          <a:ext cx="5760085" cy="0"/>
        </a:xfrm>
        <a:custGeom>
          <a:avLst/>
          <a:gdLst/>
          <a:ahLst/>
          <a:cxnLst/>
          <a:rect l="0" t="0" r="0" b="0"/>
          <a:pathLst>
            <a:path w="5760085">
              <a:moveTo>
                <a:pt x="0" y="0"/>
              </a:moveTo>
              <a:lnTo>
                <a:pt x="5759958" y="0"/>
              </a:lnTo>
            </a:path>
          </a:pathLst>
        </a:custGeom>
        <a:ln w="9525">
          <a:solidFill>
            <a:srgbClr val="020303"/>
          </a:solidFill>
        </a:ln>
      </xdr:spPr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mith, Steven J (PNNL-JGCRI)" id="{840F8D81-F157-FC4D-BAA3-B544E8EE68B1}" userId="S::ssmith@pnnl.gov::bb1e00e9-e65d-4911-8fc9-cd876d8ab9b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5-01-09T02:50:00.10" personId="{840F8D81-F157-FC4D-BAA3-B544E8EE68B1}" id="{E7C4358E-E09B-FD45-8E77-AA9AD27D29A7}">
    <text>Already incorporates oxidation fraction, so remove that here.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cdiac.ornl.gov/epubs/ndp/ndp030/tables/table4.htm" TargetMode="External"/><Relationship Id="rId2" Type="http://schemas.openxmlformats.org/officeDocument/2006/relationships/hyperlink" Target="http://cdiac.ornl.gov/epubs/ndp/ndp030/tables/table4.htm" TargetMode="External"/><Relationship Id="rId1" Type="http://schemas.openxmlformats.org/officeDocument/2006/relationships/hyperlink" Target="http://cdiac.ornl.gov/epubs/ndp/ndp030/tables/table4.ht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ortal.pnl.gov/+CSCO+1075676763663A2F2F7A6E76797661672E636161792E746269++/owa/-CSCO-3h--redir.aspx?C=Mg-icqFT_fUUZTcnSvigsfmH0eiqvqGv2P7c-T_uZfwS78jUZ_fTCA..&amp;URL=https%3a%2f%2fwww.eia.gov%2fenvironment%2femissions%2fco2_vol_mass.cf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"/>
  <sheetViews>
    <sheetView tabSelected="1" workbookViewId="0">
      <selection activeCell="E4" sqref="E4"/>
    </sheetView>
    <sheetView workbookViewId="1"/>
  </sheetViews>
  <sheetFormatPr baseColWidth="10" defaultRowHeight="16"/>
  <cols>
    <col min="2" max="2" width="25.6640625" customWidth="1"/>
    <col min="7" max="7" width="11.5" customWidth="1"/>
    <col min="10" max="10" width="8.83203125" customWidth="1"/>
    <col min="11" max="11" width="7.6640625" customWidth="1"/>
    <col min="12" max="12" width="3.1640625" customWidth="1"/>
    <col min="15" max="15" width="3.1640625" customWidth="1"/>
    <col min="16" max="16" width="15.83203125" customWidth="1"/>
  </cols>
  <sheetData>
    <row r="1" spans="1:10">
      <c r="A1" t="s">
        <v>95</v>
      </c>
      <c r="B1" t="s">
        <v>96</v>
      </c>
      <c r="C1" t="s">
        <v>97</v>
      </c>
      <c r="D1" t="s">
        <v>1</v>
      </c>
      <c r="E1" t="s">
        <v>99</v>
      </c>
      <c r="G1" t="s">
        <v>198</v>
      </c>
      <c r="I1" t="s">
        <v>195</v>
      </c>
    </row>
    <row r="2" spans="1:10">
      <c r="A2" t="s">
        <v>98</v>
      </c>
      <c r="B2" t="s">
        <v>98</v>
      </c>
      <c r="C2" t="s">
        <v>106</v>
      </c>
      <c r="D2" t="str">
        <f>CDIAC!F2</f>
        <v>kt CO2/kJ</v>
      </c>
      <c r="E2" s="1">
        <f>CDIAC!G2</f>
        <v>9.3875179707318489E-11</v>
      </c>
      <c r="F2" t="s">
        <v>73</v>
      </c>
      <c r="G2" t="s">
        <v>196</v>
      </c>
      <c r="I2" s="1">
        <f>IPCC_Table2.2!M29</f>
        <v>9.4600000000000002E-11</v>
      </c>
      <c r="J2" t="str">
        <f>IPCC_Table2.2!A29</f>
        <v>Other Bituminous Coal</v>
      </c>
    </row>
    <row r="3" spans="1:10">
      <c r="A3" t="s">
        <v>98</v>
      </c>
      <c r="B3" t="s">
        <v>98</v>
      </c>
      <c r="C3" t="s">
        <v>107</v>
      </c>
      <c r="D3" t="str">
        <f>CDIAC!F2</f>
        <v>kt CO2/kJ</v>
      </c>
      <c r="E3" s="1">
        <f>I3</f>
        <v>1.01E-10</v>
      </c>
      <c r="F3" t="s">
        <v>73</v>
      </c>
      <c r="G3" t="s">
        <v>197</v>
      </c>
      <c r="I3" s="1">
        <f>IPCC_Table2.2!M31</f>
        <v>1.01E-10</v>
      </c>
      <c r="J3" t="str">
        <f>IPCC_Table2.2!A31</f>
        <v>Lignite</v>
      </c>
    </row>
    <row r="4" spans="1:10">
      <c r="A4" t="s">
        <v>98</v>
      </c>
      <c r="B4" t="s">
        <v>98</v>
      </c>
      <c r="C4" t="s">
        <v>108</v>
      </c>
      <c r="D4" s="1" t="str">
        <f>CDIAC!F4</f>
        <v>kt CO2/TJ</v>
      </c>
      <c r="E4">
        <f>I4</f>
        <v>5.6099999999999997E-2</v>
      </c>
      <c r="F4" t="s">
        <v>75</v>
      </c>
      <c r="G4" t="s">
        <v>197</v>
      </c>
      <c r="I4" s="1">
        <f>IPCC_Table2.2!Q42</f>
        <v>5.6099999999999997E-2</v>
      </c>
      <c r="J4" t="str">
        <f>IPCC_Table2.2!A42</f>
        <v>Natural Gas</v>
      </c>
    </row>
    <row r="5" spans="1:10">
      <c r="A5" t="s">
        <v>98</v>
      </c>
      <c r="B5" t="s">
        <v>98</v>
      </c>
      <c r="C5" t="s">
        <v>6</v>
      </c>
      <c r="D5" s="1" t="str">
        <f>CDIAC!F5</f>
        <v>kt CO2/kt</v>
      </c>
      <c r="E5">
        <f>CDIAC!G5</f>
        <v>3.1327199999999999</v>
      </c>
      <c r="F5" t="s">
        <v>74</v>
      </c>
      <c r="G5" t="s">
        <v>196</v>
      </c>
    </row>
    <row r="6" spans="1:10">
      <c r="A6" t="s">
        <v>98</v>
      </c>
      <c r="B6" t="s">
        <v>98</v>
      </c>
      <c r="C6" t="s">
        <v>8</v>
      </c>
      <c r="D6" s="1" t="str">
        <f>CDIAC!F6</f>
        <v>kt CO2/TJ</v>
      </c>
      <c r="E6">
        <f>CDIAC!G6</f>
        <v>4.9295456000000001E-2</v>
      </c>
      <c r="F6" t="s">
        <v>75</v>
      </c>
      <c r="G6" t="s">
        <v>196</v>
      </c>
    </row>
    <row r="7" spans="1:10">
      <c r="A7" t="s">
        <v>98</v>
      </c>
      <c r="B7" t="s">
        <v>98</v>
      </c>
      <c r="C7" t="s">
        <v>78</v>
      </c>
      <c r="D7" s="1" t="str">
        <f>EIA!K8</f>
        <v>kt CO2/kt</v>
      </c>
      <c r="E7">
        <f>EIA!J12</f>
        <v>3.1314691671227299</v>
      </c>
      <c r="F7" t="s">
        <v>74</v>
      </c>
      <c r="G7" t="s">
        <v>199</v>
      </c>
    </row>
    <row r="8" spans="1:10">
      <c r="A8" t="s">
        <v>98</v>
      </c>
      <c r="B8" t="s">
        <v>98</v>
      </c>
      <c r="C8" t="s">
        <v>77</v>
      </c>
      <c r="D8" t="s">
        <v>74</v>
      </c>
      <c r="E8">
        <f>EIA!J8</f>
        <v>3.2338752156172763</v>
      </c>
      <c r="F8" t="s">
        <v>74</v>
      </c>
      <c r="G8" t="s">
        <v>199</v>
      </c>
    </row>
    <row r="9" spans="1:10">
      <c r="A9" t="s">
        <v>98</v>
      </c>
      <c r="B9" t="s">
        <v>98</v>
      </c>
      <c r="C9" t="s">
        <v>76</v>
      </c>
      <c r="D9">
        <f>EIA!K19</f>
        <v>0</v>
      </c>
      <c r="E9" s="27">
        <f>85.68%*(15.9994*2+12.011)/12.011</f>
        <v>3.1394219165764721</v>
      </c>
      <c r="F9" t="s">
        <v>74</v>
      </c>
      <c r="G9" t="s">
        <v>115</v>
      </c>
      <c r="H9" s="26"/>
    </row>
    <row r="10" spans="1:10">
      <c r="A10" t="s">
        <v>98</v>
      </c>
      <c r="B10" t="s">
        <v>98</v>
      </c>
      <c r="C10" t="s">
        <v>10</v>
      </c>
      <c r="D10" t="str">
        <f>EIA!K32</f>
        <v>kt CO2/kt</v>
      </c>
      <c r="E10">
        <f>EIA!J32</f>
        <v>3.1198462551669484</v>
      </c>
      <c r="F10" t="s">
        <v>74</v>
      </c>
      <c r="G10" t="s">
        <v>199</v>
      </c>
      <c r="H10" s="26" t="str">
        <f t="shared" ref="H10:H14" si="0">IF(D10="kt CO2/kJ",E10*1000000*1000000,"")</f>
        <v/>
      </c>
    </row>
    <row r="11" spans="1:10">
      <c r="A11" t="s">
        <v>98</v>
      </c>
      <c r="B11" t="s">
        <v>101</v>
      </c>
      <c r="C11" t="s">
        <v>77</v>
      </c>
      <c r="D11" s="24" t="str">
        <f>EIA!K15</f>
        <v>kt CO2/kt</v>
      </c>
      <c r="E11" s="24">
        <f>EIA!J$8</f>
        <v>3.2338752156172763</v>
      </c>
      <c r="F11" t="s">
        <v>74</v>
      </c>
      <c r="G11" t="s">
        <v>199</v>
      </c>
      <c r="H11" s="26" t="str">
        <f t="shared" si="0"/>
        <v/>
      </c>
    </row>
    <row r="12" spans="1:10">
      <c r="A12" t="s">
        <v>98</v>
      </c>
      <c r="B12" t="s">
        <v>102</v>
      </c>
      <c r="C12" t="s">
        <v>77</v>
      </c>
      <c r="D12" s="24" t="s">
        <v>74</v>
      </c>
      <c r="E12" s="24">
        <f>EIA!J$8</f>
        <v>3.2338752156172763</v>
      </c>
      <c r="F12" t="s">
        <v>74</v>
      </c>
      <c r="G12" t="s">
        <v>199</v>
      </c>
      <c r="H12" s="26" t="str">
        <f t="shared" si="0"/>
        <v/>
      </c>
    </row>
    <row r="13" spans="1:10">
      <c r="A13" t="s">
        <v>98</v>
      </c>
      <c r="B13" t="s">
        <v>103</v>
      </c>
      <c r="C13" t="s">
        <v>77</v>
      </c>
      <c r="D13" s="24" t="s">
        <v>74</v>
      </c>
      <c r="E13" s="24">
        <f>CDIAC!G5</f>
        <v>3.1327199999999999</v>
      </c>
      <c r="F13" t="s">
        <v>74</v>
      </c>
      <c r="G13" t="s">
        <v>196</v>
      </c>
      <c r="H13" s="26" t="str">
        <f t="shared" si="0"/>
        <v/>
      </c>
    </row>
    <row r="14" spans="1:10">
      <c r="A14" t="s">
        <v>98</v>
      </c>
      <c r="B14" t="s">
        <v>104</v>
      </c>
      <c r="C14" t="s">
        <v>77</v>
      </c>
      <c r="D14" s="24" t="s">
        <v>74</v>
      </c>
      <c r="E14" s="24">
        <f>CDIAC!G5</f>
        <v>3.1327199999999999</v>
      </c>
      <c r="F14" t="s">
        <v>74</v>
      </c>
      <c r="G14" t="s">
        <v>196</v>
      </c>
      <c r="H14" s="26" t="str">
        <f t="shared" si="0"/>
        <v/>
      </c>
    </row>
    <row r="15" spans="1:10">
      <c r="A15" t="s">
        <v>98</v>
      </c>
      <c r="B15" t="s">
        <v>114</v>
      </c>
      <c r="C15" t="s">
        <v>110</v>
      </c>
      <c r="D15" s="1" t="s">
        <v>75</v>
      </c>
      <c r="E15">
        <f>IPCC_Table2.2!Q38</f>
        <v>4.4400000000000002E-2</v>
      </c>
      <c r="F15" t="s">
        <v>75</v>
      </c>
      <c r="G15" t="s">
        <v>197</v>
      </c>
    </row>
    <row r="16" spans="1:10">
      <c r="A16" t="s">
        <v>98</v>
      </c>
      <c r="B16" t="s">
        <v>114</v>
      </c>
      <c r="C16" t="s">
        <v>111</v>
      </c>
      <c r="D16" s="1" t="s">
        <v>75</v>
      </c>
      <c r="E16">
        <f>IPCC_Table2.2!Q39</f>
        <v>4.4400000000000002E-2</v>
      </c>
      <c r="F16" t="s">
        <v>75</v>
      </c>
      <c r="G16" t="s">
        <v>197</v>
      </c>
    </row>
    <row r="17" spans="1:7">
      <c r="A17" t="s">
        <v>98</v>
      </c>
      <c r="B17" t="s">
        <v>114</v>
      </c>
      <c r="C17" t="s">
        <v>112</v>
      </c>
      <c r="D17" s="1" t="s">
        <v>75</v>
      </c>
      <c r="E17">
        <f>IPCC_Table2.2!Q40</f>
        <v>0.26</v>
      </c>
      <c r="F17" t="s">
        <v>75</v>
      </c>
      <c r="G17" t="s">
        <v>197</v>
      </c>
    </row>
    <row r="18" spans="1:7">
      <c r="A18" t="s">
        <v>98</v>
      </c>
      <c r="B18" t="s">
        <v>114</v>
      </c>
      <c r="C18" t="s">
        <v>113</v>
      </c>
      <c r="D18" s="1" t="s">
        <v>75</v>
      </c>
      <c r="E18">
        <f>IPCC_Table2.2!Q41</f>
        <v>0.182</v>
      </c>
      <c r="F18" t="s">
        <v>75</v>
      </c>
      <c r="G18" t="s">
        <v>197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workbookViewId="0">
      <selection activeCell="D14" sqref="D14"/>
    </sheetView>
    <sheetView workbookViewId="1"/>
  </sheetViews>
  <sheetFormatPr baseColWidth="10" defaultRowHeight="16"/>
  <cols>
    <col min="4" max="4" width="16.5" customWidth="1"/>
  </cols>
  <sheetData>
    <row r="1" spans="1:5">
      <c r="A1" t="s">
        <v>95</v>
      </c>
      <c r="B1" t="s">
        <v>96</v>
      </c>
      <c r="C1" t="s">
        <v>97</v>
      </c>
      <c r="D1" t="s">
        <v>105</v>
      </c>
      <c r="E1" t="s">
        <v>198</v>
      </c>
    </row>
    <row r="2" spans="1:5">
      <c r="A2" t="s">
        <v>98</v>
      </c>
      <c r="B2" t="s">
        <v>98</v>
      </c>
      <c r="C2" s="23" t="s">
        <v>106</v>
      </c>
      <c r="D2" s="23">
        <v>0.98199999999999998</v>
      </c>
      <c r="E2" s="16" t="s">
        <v>7</v>
      </c>
    </row>
    <row r="3" spans="1:5">
      <c r="A3" t="s">
        <v>98</v>
      </c>
      <c r="B3" t="s">
        <v>98</v>
      </c>
      <c r="C3" s="23" t="s">
        <v>107</v>
      </c>
      <c r="D3" s="23">
        <v>0.98199999999999998</v>
      </c>
      <c r="E3" s="16" t="s">
        <v>7</v>
      </c>
    </row>
    <row r="4" spans="1:5">
      <c r="A4" t="s">
        <v>98</v>
      </c>
      <c r="B4" t="s">
        <v>98</v>
      </c>
      <c r="C4" s="23" t="s">
        <v>10</v>
      </c>
      <c r="D4" s="23">
        <v>0.98199999999999998</v>
      </c>
      <c r="E4" s="16" t="s">
        <v>7</v>
      </c>
    </row>
    <row r="5" spans="1:5">
      <c r="A5" t="s">
        <v>98</v>
      </c>
      <c r="B5" t="s">
        <v>98</v>
      </c>
      <c r="C5" s="23" t="s">
        <v>76</v>
      </c>
      <c r="D5" s="23">
        <v>1</v>
      </c>
      <c r="E5" t="s">
        <v>200</v>
      </c>
    </row>
    <row r="6" spans="1:5">
      <c r="A6" t="s">
        <v>98</v>
      </c>
      <c r="B6" t="s">
        <v>98</v>
      </c>
      <c r="C6" s="23" t="s">
        <v>78</v>
      </c>
      <c r="D6" s="23">
        <v>1</v>
      </c>
      <c r="E6" t="s">
        <v>200</v>
      </c>
    </row>
    <row r="7" spans="1:5">
      <c r="A7" t="s">
        <v>98</v>
      </c>
      <c r="B7" t="s">
        <v>98</v>
      </c>
      <c r="C7" s="23" t="s">
        <v>77</v>
      </c>
      <c r="D7" s="23">
        <v>1</v>
      </c>
      <c r="E7" t="s">
        <v>200</v>
      </c>
    </row>
    <row r="8" spans="1:5">
      <c r="A8" t="s">
        <v>98</v>
      </c>
      <c r="B8" t="s">
        <v>98</v>
      </c>
      <c r="C8" s="23" t="s">
        <v>108</v>
      </c>
      <c r="D8" s="23">
        <v>1</v>
      </c>
      <c r="E8" t="s">
        <v>200</v>
      </c>
    </row>
    <row r="9" spans="1:5">
      <c r="A9" t="s">
        <v>98</v>
      </c>
      <c r="B9" t="s">
        <v>98</v>
      </c>
      <c r="C9" s="23" t="s">
        <v>6</v>
      </c>
      <c r="D9" s="23">
        <v>1</v>
      </c>
      <c r="E9" t="s">
        <v>200</v>
      </c>
    </row>
    <row r="10" spans="1:5">
      <c r="A10" t="s">
        <v>98</v>
      </c>
      <c r="B10" t="s">
        <v>98</v>
      </c>
      <c r="C10" s="23" t="s">
        <v>8</v>
      </c>
      <c r="D10" s="23">
        <v>1</v>
      </c>
      <c r="E10" t="s">
        <v>200</v>
      </c>
    </row>
    <row r="11" spans="1:5">
      <c r="A11" t="s">
        <v>109</v>
      </c>
      <c r="B11" t="s">
        <v>98</v>
      </c>
      <c r="C11" s="23" t="s">
        <v>106</v>
      </c>
      <c r="D11" s="23">
        <v>0.96</v>
      </c>
      <c r="E11" t="s">
        <v>201</v>
      </c>
    </row>
    <row r="12" spans="1:5">
      <c r="A12" t="s">
        <v>109</v>
      </c>
      <c r="B12" t="s">
        <v>98</v>
      </c>
      <c r="C12" s="23" t="s">
        <v>107</v>
      </c>
      <c r="D12" s="23">
        <v>0.96</v>
      </c>
      <c r="E12" t="s">
        <v>201</v>
      </c>
    </row>
  </sheetData>
  <hyperlinks>
    <hyperlink ref="E2" r:id="rId1" xr:uid="{23180CA2-279C-2843-8E6B-7D9B941B5BDA}"/>
    <hyperlink ref="E3" r:id="rId2" xr:uid="{60A4769F-52DC-CA4D-89A5-FA6DFCAC77E6}"/>
    <hyperlink ref="E4" r:id="rId3" xr:uid="{2A2AC774-82A0-0F43-BFB5-AA871DE48102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  <sheetView workbookViewId="1"/>
  </sheetViews>
  <sheetFormatPr baseColWidth="10" defaultColWidth="11" defaultRowHeight="16"/>
  <cols>
    <col min="7" max="7" width="17" customWidth="1"/>
  </cols>
  <sheetData>
    <row r="1" spans="1:8" s="2" customFormat="1">
      <c r="A1" s="2" t="s">
        <v>0</v>
      </c>
      <c r="B1" s="2" t="s">
        <v>13</v>
      </c>
      <c r="C1" s="2" t="s">
        <v>14</v>
      </c>
      <c r="E1" s="2" t="s">
        <v>2</v>
      </c>
      <c r="F1" s="2" t="s">
        <v>1</v>
      </c>
      <c r="G1" s="2" t="s">
        <v>100</v>
      </c>
      <c r="H1" s="2" t="s">
        <v>9</v>
      </c>
    </row>
    <row r="2" spans="1:8">
      <c r="A2" t="s">
        <v>3</v>
      </c>
      <c r="B2">
        <v>0.72409999999999997</v>
      </c>
      <c r="C2" t="s">
        <v>12</v>
      </c>
      <c r="E2" s="1">
        <f>B2*conversion!B5/conversion!B6</f>
        <v>9.0526088796080198E-11</v>
      </c>
      <c r="F2" t="s">
        <v>73</v>
      </c>
      <c r="G2" s="1">
        <f>E2/conversion!B20/Fraction_Oxidized!D2</f>
        <v>9.3875179707318489E-11</v>
      </c>
      <c r="H2" s="1" t="s">
        <v>93</v>
      </c>
    </row>
    <row r="3" spans="1:8">
      <c r="A3" t="s">
        <v>4</v>
      </c>
      <c r="B3">
        <f>0.85*conversion!B21</f>
        <v>0.83724999999999994</v>
      </c>
      <c r="C3" t="s">
        <v>16</v>
      </c>
      <c r="E3">
        <f>B3*conversion!B5</f>
        <v>3.0676839999999999</v>
      </c>
      <c r="F3" t="s">
        <v>74</v>
      </c>
      <c r="G3">
        <f>E3/conversion!B21</f>
        <v>3.1143999999999998</v>
      </c>
      <c r="H3" t="s">
        <v>7</v>
      </c>
    </row>
    <row r="4" spans="1:8">
      <c r="A4" t="s">
        <v>5</v>
      </c>
      <c r="B4">
        <f>0.0137*conversion!B22</f>
        <v>1.3426E-2</v>
      </c>
      <c r="C4" t="s">
        <v>17</v>
      </c>
      <c r="E4">
        <f>B4*conversion!B5</f>
        <v>4.9192864000000003E-2</v>
      </c>
      <c r="F4" t="s">
        <v>75</v>
      </c>
      <c r="G4">
        <f>E4/conversion!B22</f>
        <v>5.0196800000000007E-2</v>
      </c>
      <c r="H4" t="s">
        <v>7</v>
      </c>
    </row>
    <row r="5" spans="1:8">
      <c r="A5" t="s">
        <v>6</v>
      </c>
      <c r="B5">
        <f>0.855*conversion!B23</f>
        <v>0.85499999999999998</v>
      </c>
      <c r="C5" t="s">
        <v>16</v>
      </c>
      <c r="E5">
        <f>B5*conversion!B5</f>
        <v>3.1327199999999999</v>
      </c>
      <c r="F5" t="s">
        <v>74</v>
      </c>
      <c r="G5">
        <f>E5</f>
        <v>3.1327199999999999</v>
      </c>
      <c r="H5" t="s">
        <v>7</v>
      </c>
    </row>
    <row r="6" spans="1:8">
      <c r="A6" t="s">
        <v>8</v>
      </c>
      <c r="B6">
        <f>13.454*conversion!B24</f>
        <v>13.454000000000001</v>
      </c>
      <c r="C6" t="s">
        <v>18</v>
      </c>
      <c r="E6">
        <f>B6*conversion!B5/1000</f>
        <v>4.9295456000000001E-2</v>
      </c>
      <c r="F6" t="s">
        <v>75</v>
      </c>
      <c r="G6">
        <f>E6</f>
        <v>4.9295456000000001E-2</v>
      </c>
      <c r="H6" t="s">
        <v>7</v>
      </c>
    </row>
    <row r="9" spans="1:8">
      <c r="D9" s="1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  <mx:PLV Mode="0" OnePage="0" WScale="0"/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topLeftCell="A2" zoomScale="120" zoomScaleNormal="120" workbookViewId="0">
      <selection activeCell="L10" sqref="L10"/>
    </sheetView>
    <sheetView workbookViewId="1">
      <selection sqref="A1:G1"/>
    </sheetView>
  </sheetViews>
  <sheetFormatPr baseColWidth="10" defaultColWidth="8.83203125" defaultRowHeight="15"/>
  <cols>
    <col min="1" max="1" width="19" style="3" customWidth="1"/>
    <col min="2" max="2" width="11.5" style="3" customWidth="1"/>
    <col min="3" max="3" width="11.33203125" style="3" customWidth="1"/>
    <col min="4" max="4" width="8.83203125" style="3" customWidth="1"/>
    <col min="5" max="5" width="9.33203125" style="3" customWidth="1"/>
    <col min="6" max="6" width="7.5" style="17" customWidth="1"/>
    <col min="7" max="7" width="11.6640625" style="17" customWidth="1"/>
    <col min="8" max="9" width="8.83203125" style="3"/>
    <col min="10" max="11" width="8.83203125" style="18"/>
    <col min="12" max="16384" width="8.83203125" style="3"/>
  </cols>
  <sheetData>
    <row r="1" spans="1:13" ht="18.75" customHeight="1">
      <c r="A1" s="70" t="s">
        <v>19</v>
      </c>
      <c r="B1" s="70"/>
      <c r="C1" s="70"/>
      <c r="D1" s="70"/>
      <c r="E1" s="70"/>
      <c r="F1" s="70"/>
      <c r="G1" s="70"/>
    </row>
    <row r="2" spans="1:13" ht="30" customHeight="1">
      <c r="A2" s="4"/>
      <c r="B2" s="5" t="s">
        <v>20</v>
      </c>
      <c r="C2" s="5"/>
      <c r="D2" s="5" t="s">
        <v>21</v>
      </c>
      <c r="E2" s="5"/>
      <c r="F2" s="6" t="s">
        <v>22</v>
      </c>
      <c r="G2" s="6" t="s">
        <v>21</v>
      </c>
    </row>
    <row r="3" spans="1:13" ht="27.75" customHeight="1" thickBot="1">
      <c r="A3" s="7" t="s">
        <v>23</v>
      </c>
      <c r="B3" s="8" t="s">
        <v>24</v>
      </c>
      <c r="C3" s="8"/>
      <c r="D3" s="8" t="s">
        <v>24</v>
      </c>
      <c r="E3" s="8"/>
      <c r="F3" s="9" t="s">
        <v>25</v>
      </c>
      <c r="G3" s="9" t="s">
        <v>25</v>
      </c>
      <c r="J3" s="25" t="s">
        <v>99</v>
      </c>
    </row>
    <row r="4" spans="1:13" ht="15.75" customHeight="1" thickTop="1">
      <c r="A4" s="71" t="s">
        <v>26</v>
      </c>
      <c r="B4" s="71"/>
      <c r="C4" s="71"/>
      <c r="D4" s="71"/>
      <c r="E4" s="71"/>
      <c r="F4" s="71"/>
      <c r="G4" s="71"/>
      <c r="J4" s="25"/>
    </row>
    <row r="5" spans="1:13" ht="16">
      <c r="A5" s="10" t="s">
        <v>27</v>
      </c>
      <c r="B5" s="10">
        <v>12.7</v>
      </c>
      <c r="C5" s="10" t="s">
        <v>28</v>
      </c>
      <c r="D5" s="10">
        <f t="shared" ref="D5:D13" si="0">B5/2.20462</f>
        <v>5.7606299498326248</v>
      </c>
      <c r="E5" s="10" t="s">
        <v>28</v>
      </c>
      <c r="F5" s="10">
        <v>139.04859867504859</v>
      </c>
      <c r="G5" s="10">
        <f>(F5/2.20462)</f>
        <v>63.071458425963932</v>
      </c>
      <c r="J5" s="25"/>
    </row>
    <row r="6" spans="1:13" ht="16">
      <c r="A6" s="10" t="s">
        <v>29</v>
      </c>
      <c r="B6" s="10">
        <v>14.8</v>
      </c>
      <c r="C6" s="10" t="s">
        <v>28</v>
      </c>
      <c r="D6" s="10">
        <f t="shared" si="0"/>
        <v>6.7131750596474689</v>
      </c>
      <c r="E6" s="10" t="s">
        <v>28</v>
      </c>
      <c r="F6" s="10">
        <v>143.19829002512873</v>
      </c>
      <c r="G6" s="10">
        <f t="shared" ref="G6:G13" si="1">(F6/2.20462)</f>
        <v>64.953728998706694</v>
      </c>
      <c r="J6" s="25"/>
    </row>
    <row r="7" spans="1:13" ht="15" customHeight="1">
      <c r="A7" s="10" t="s">
        <v>30</v>
      </c>
      <c r="B7" s="10">
        <v>13.7</v>
      </c>
      <c r="C7" s="10" t="s">
        <v>28</v>
      </c>
      <c r="D7" s="10">
        <f t="shared" si="0"/>
        <v>6.214222859268264</v>
      </c>
      <c r="E7" s="10" t="s">
        <v>28</v>
      </c>
      <c r="F7" s="10">
        <v>141.12344435008868</v>
      </c>
      <c r="G7" s="10">
        <f t="shared" si="1"/>
        <v>64.012593712335317</v>
      </c>
      <c r="J7" s="25"/>
    </row>
    <row r="8" spans="1:13" ht="26.25" customHeight="1">
      <c r="A8" s="19" t="s">
        <v>31</v>
      </c>
      <c r="B8" s="10">
        <v>22.4</v>
      </c>
      <c r="C8" s="10" t="s">
        <v>28</v>
      </c>
      <c r="D8" s="10">
        <f t="shared" si="0"/>
        <v>10.160481171358329</v>
      </c>
      <c r="E8" s="10" t="s">
        <v>28</v>
      </c>
      <c r="F8" s="10">
        <v>161.30000000000001</v>
      </c>
      <c r="G8" s="10">
        <f t="shared" si="1"/>
        <v>73.164536291968702</v>
      </c>
      <c r="H8" s="3" t="s">
        <v>79</v>
      </c>
      <c r="J8" s="25">
        <f>D8/conversion!C13</f>
        <v>3.2338752156172763</v>
      </c>
      <c r="K8" s="18" t="s">
        <v>74</v>
      </c>
    </row>
    <row r="9" spans="1:13" ht="16">
      <c r="A9" s="10" t="s">
        <v>32</v>
      </c>
      <c r="B9" s="10">
        <v>21.5</v>
      </c>
      <c r="C9" s="10" t="s">
        <v>28</v>
      </c>
      <c r="D9" s="10">
        <f t="shared" si="0"/>
        <v>9.7522475528662547</v>
      </c>
      <c r="E9" s="10" t="s">
        <v>28</v>
      </c>
      <c r="F9" s="10">
        <v>159.4</v>
      </c>
      <c r="G9" s="10">
        <f t="shared" si="1"/>
        <v>72.302709764040983</v>
      </c>
      <c r="J9" s="25"/>
    </row>
    <row r="10" spans="1:13" ht="16">
      <c r="A10" s="10" t="s">
        <v>33</v>
      </c>
      <c r="B10" s="10">
        <v>4631.5</v>
      </c>
      <c r="C10" s="10" t="s">
        <v>34</v>
      </c>
      <c r="D10" s="10">
        <f t="shared" si="0"/>
        <v>2100.8155600511654</v>
      </c>
      <c r="E10" s="10" t="s">
        <v>34</v>
      </c>
      <c r="F10" s="10">
        <v>210.2</v>
      </c>
      <c r="G10" s="10">
        <f t="shared" si="1"/>
        <v>95.345229563371475</v>
      </c>
      <c r="J10" s="25">
        <f>B10/2000</f>
        <v>2.31575</v>
      </c>
      <c r="K10" s="18" t="s">
        <v>74</v>
      </c>
      <c r="L10" s="28">
        <f>EIA!B10/2000/((15.9994*2+12.011)/12.011)</f>
        <v>0.63200635426654972</v>
      </c>
      <c r="M10" s="3" t="s">
        <v>116</v>
      </c>
    </row>
    <row r="11" spans="1:13" ht="27">
      <c r="A11" s="10" t="s">
        <v>35</v>
      </c>
      <c r="B11" s="10">
        <v>117.1</v>
      </c>
      <c r="C11" s="10" t="s">
        <v>36</v>
      </c>
      <c r="D11" s="10">
        <f t="shared" si="0"/>
        <v>53.115729694913412</v>
      </c>
      <c r="E11" s="10" t="s">
        <v>36</v>
      </c>
      <c r="F11" s="10">
        <v>117</v>
      </c>
      <c r="G11" s="10">
        <f t="shared" si="1"/>
        <v>53.070370403969847</v>
      </c>
      <c r="J11" s="25"/>
    </row>
    <row r="12" spans="1:13" ht="15" customHeight="1">
      <c r="A12" s="19" t="s">
        <v>37</v>
      </c>
      <c r="B12" s="10">
        <v>19.600000000000001</v>
      </c>
      <c r="C12" s="10" t="s">
        <v>28</v>
      </c>
      <c r="D12" s="10">
        <f t="shared" si="0"/>
        <v>8.89042102493854</v>
      </c>
      <c r="E12" s="10" t="s">
        <v>28</v>
      </c>
      <c r="F12" s="10">
        <v>157.19999999999999</v>
      </c>
      <c r="G12" s="10">
        <v>71.3</v>
      </c>
      <c r="H12" s="3" t="s">
        <v>83</v>
      </c>
      <c r="J12" s="25">
        <f>D12/conversion!C14</f>
        <v>3.1314691671227299</v>
      </c>
      <c r="K12" s="18" t="s">
        <v>74</v>
      </c>
    </row>
    <row r="13" spans="1:13" ht="27">
      <c r="A13" s="10" t="s">
        <v>38</v>
      </c>
      <c r="B13" s="10">
        <v>26</v>
      </c>
      <c r="C13" s="10" t="s">
        <v>28</v>
      </c>
      <c r="D13" s="10">
        <f t="shared" si="0"/>
        <v>11.793415645326633</v>
      </c>
      <c r="E13" s="10" t="s">
        <v>28</v>
      </c>
      <c r="F13" s="10">
        <v>173.7</v>
      </c>
      <c r="G13" s="10">
        <f t="shared" si="1"/>
        <v>78.789088368970624</v>
      </c>
      <c r="J13" s="25"/>
    </row>
    <row r="14" spans="1:13" ht="15.75" customHeight="1">
      <c r="A14" s="72" t="s">
        <v>39</v>
      </c>
      <c r="B14" s="72"/>
      <c r="C14" s="72"/>
      <c r="D14" s="72"/>
      <c r="E14" s="72"/>
      <c r="F14" s="72"/>
      <c r="G14" s="72"/>
      <c r="J14" s="25"/>
    </row>
    <row r="15" spans="1:13" ht="15" customHeight="1">
      <c r="A15" s="19" t="s">
        <v>40</v>
      </c>
      <c r="B15" s="10">
        <v>21.1</v>
      </c>
      <c r="C15" s="10" t="s">
        <v>28</v>
      </c>
      <c r="D15" s="10">
        <f>B15/2.20462</f>
        <v>9.5708103890919993</v>
      </c>
      <c r="E15" s="10" t="s">
        <v>28</v>
      </c>
      <c r="F15" s="10">
        <v>156.30000000000001</v>
      </c>
      <c r="G15" s="10">
        <f>(F15/2.20462)</f>
        <v>70.896571744790492</v>
      </c>
      <c r="H15" s="3" t="s">
        <v>80</v>
      </c>
      <c r="J15" s="25">
        <f>D15/conversion!C13</f>
        <v>3.0461949575680598</v>
      </c>
      <c r="K15" s="18" t="s">
        <v>74</v>
      </c>
    </row>
    <row r="16" spans="1:13" ht="16">
      <c r="A16" s="10" t="s">
        <v>41</v>
      </c>
      <c r="B16" s="10">
        <v>18.399999999999999</v>
      </c>
      <c r="C16" s="10" t="s">
        <v>28</v>
      </c>
      <c r="D16" s="10">
        <f>B16/2.20462</f>
        <v>8.3461095336157705</v>
      </c>
      <c r="E16" s="10" t="s">
        <v>28</v>
      </c>
      <c r="F16" s="10">
        <v>152.6</v>
      </c>
      <c r="G16" s="10">
        <v>69.2</v>
      </c>
      <c r="J16" s="25"/>
    </row>
    <row r="17" spans="1:11" ht="15.75" customHeight="1">
      <c r="A17" s="72" t="s">
        <v>42</v>
      </c>
      <c r="B17" s="72"/>
      <c r="C17" s="72"/>
      <c r="D17" s="72"/>
      <c r="E17" s="72"/>
      <c r="F17" s="72"/>
      <c r="G17" s="72"/>
      <c r="J17" s="25"/>
    </row>
    <row r="18" spans="1:11" ht="22.5" customHeight="1">
      <c r="A18" s="10" t="s">
        <v>43</v>
      </c>
      <c r="B18" s="10">
        <v>120.7</v>
      </c>
      <c r="C18" s="10" t="s">
        <v>36</v>
      </c>
      <c r="D18" s="10">
        <f>B18/2.20462</f>
        <v>54.748664168881717</v>
      </c>
      <c r="E18" s="10" t="s">
        <v>36</v>
      </c>
      <c r="F18" s="10">
        <v>120.6</v>
      </c>
      <c r="G18" s="10">
        <f>(F18/2.20462)</f>
        <v>54.703304877938152</v>
      </c>
      <c r="J18" s="25"/>
    </row>
    <row r="19" spans="1:11" ht="16">
      <c r="A19" s="19" t="s">
        <v>44</v>
      </c>
      <c r="B19" s="10">
        <v>32.4</v>
      </c>
      <c r="C19" s="10" t="s">
        <v>28</v>
      </c>
      <c r="D19" s="10">
        <f>B19/2.20462</f>
        <v>14.696410265714727</v>
      </c>
      <c r="E19" s="10" t="s">
        <v>28</v>
      </c>
      <c r="F19" s="10">
        <v>225.1</v>
      </c>
      <c r="G19" s="10">
        <f>(F19/2.20462)</f>
        <v>102.10376391396251</v>
      </c>
      <c r="H19" s="3" t="s">
        <v>82</v>
      </c>
      <c r="J19" s="25"/>
      <c r="K19" s="21"/>
    </row>
    <row r="20" spans="1:11" ht="27">
      <c r="A20" s="10" t="s">
        <v>45</v>
      </c>
      <c r="B20" s="10">
        <f>F20*5.796/42</f>
        <v>22.093800000000002</v>
      </c>
      <c r="C20" s="10" t="s">
        <v>28</v>
      </c>
      <c r="D20" s="10">
        <f>B20/2.20462</f>
        <v>10.021591022489138</v>
      </c>
      <c r="E20" s="10" t="s">
        <v>28</v>
      </c>
      <c r="F20" s="10">
        <v>160.1</v>
      </c>
      <c r="G20" s="10">
        <f>(F20/2.20462)</f>
        <v>72.620224800645914</v>
      </c>
      <c r="J20" s="25"/>
    </row>
    <row r="21" spans="1:11" ht="15.75" customHeight="1">
      <c r="A21" s="72" t="s">
        <v>46</v>
      </c>
      <c r="B21" s="72"/>
      <c r="C21" s="72"/>
      <c r="D21" s="72"/>
      <c r="E21" s="72"/>
      <c r="F21" s="72"/>
      <c r="G21" s="72"/>
      <c r="J21" s="25"/>
    </row>
    <row r="22" spans="1:11" ht="16">
      <c r="A22" s="10" t="s">
        <v>47</v>
      </c>
      <c r="B22" s="10">
        <f>F22*6.636/42</f>
        <v>26.3386</v>
      </c>
      <c r="C22" s="10" t="s">
        <v>28</v>
      </c>
      <c r="D22" s="10">
        <f>B22/2.20462</f>
        <v>11.94700220446154</v>
      </c>
      <c r="E22" s="10" t="s">
        <v>28</v>
      </c>
      <c r="F22" s="10">
        <v>166.7</v>
      </c>
      <c r="G22" s="10">
        <f>(F22/2.20462)</f>
        <v>75.613938002921145</v>
      </c>
      <c r="J22" s="25"/>
    </row>
    <row r="23" spans="1:11" ht="16">
      <c r="A23" s="22" t="s">
        <v>48</v>
      </c>
      <c r="B23" s="10">
        <f>F23*6.065/42</f>
        <v>23.624619047619049</v>
      </c>
      <c r="C23" s="10" t="s">
        <v>28</v>
      </c>
      <c r="D23" s="10">
        <f>B23/2.20462</f>
        <v>10.715959688118158</v>
      </c>
      <c r="E23" s="10" t="s">
        <v>28</v>
      </c>
      <c r="F23" s="10">
        <v>163.6</v>
      </c>
      <c r="G23" s="10">
        <f>(F23/2.20462)</f>
        <v>74.207799983670654</v>
      </c>
      <c r="J23" s="25"/>
      <c r="K23" s="21"/>
    </row>
    <row r="24" spans="1:11" ht="16">
      <c r="A24" s="10" t="s">
        <v>49</v>
      </c>
      <c r="B24" s="10">
        <f>F24*6.636/42</f>
        <v>24.742799999999999</v>
      </c>
      <c r="C24" s="10" t="s">
        <v>28</v>
      </c>
      <c r="D24" s="10">
        <f>B24/2.20462</f>
        <v>11.223158639584147</v>
      </c>
      <c r="E24" s="10" t="s">
        <v>28</v>
      </c>
      <c r="F24" s="10">
        <v>156.6</v>
      </c>
      <c r="G24" s="10">
        <f>(F24/2.20462)</f>
        <v>71.032649617621175</v>
      </c>
      <c r="J24" s="25"/>
    </row>
    <row r="25" spans="1:11" ht="16">
      <c r="A25" s="10" t="s">
        <v>50</v>
      </c>
      <c r="B25" s="10">
        <f>F25*5.248/42</f>
        <v>20.054857142857145</v>
      </c>
      <c r="C25" s="10" t="s">
        <v>28</v>
      </c>
      <c r="D25" s="10">
        <f>B25/2.20462</f>
        <v>9.0967409997446946</v>
      </c>
      <c r="E25" s="10" t="s">
        <v>28</v>
      </c>
      <c r="F25" s="10">
        <v>160.5</v>
      </c>
      <c r="G25" s="10">
        <f>(F25/2.20462)</f>
        <v>72.801661964420177</v>
      </c>
      <c r="J25" s="25"/>
    </row>
    <row r="26" spans="1:11" ht="16">
      <c r="A26" s="10" t="s">
        <v>51</v>
      </c>
      <c r="B26" s="10">
        <f>F26*5.537/42</f>
        <v>21.106516666666668</v>
      </c>
      <c r="C26" s="10" t="s">
        <v>28</v>
      </c>
      <c r="D26" s="10">
        <f>B26/2.20462</f>
        <v>9.5737663028851543</v>
      </c>
      <c r="E26" s="10" t="s">
        <v>28</v>
      </c>
      <c r="F26" s="10">
        <v>160.1</v>
      </c>
      <c r="G26" s="10">
        <f>(F26/2.20462)</f>
        <v>72.620224800645914</v>
      </c>
      <c r="J26" s="25"/>
    </row>
    <row r="27" spans="1:11" ht="15.75" customHeight="1">
      <c r="A27" s="73" t="s">
        <v>52</v>
      </c>
      <c r="B27" s="73"/>
      <c r="C27" s="73"/>
      <c r="D27" s="73"/>
      <c r="E27" s="73"/>
      <c r="F27" s="73"/>
      <c r="G27" s="73"/>
      <c r="J27" s="25"/>
    </row>
    <row r="28" spans="1:11" ht="16">
      <c r="A28" s="10" t="s">
        <v>53</v>
      </c>
      <c r="B28" s="10">
        <v>5685</v>
      </c>
      <c r="C28" s="10" t="s">
        <v>34</v>
      </c>
      <c r="D28" s="10">
        <f>B28/2.20462</f>
        <v>2578.675690141612</v>
      </c>
      <c r="E28" s="10" t="s">
        <v>34</v>
      </c>
      <c r="F28" s="10">
        <v>228.6</v>
      </c>
      <c r="G28" s="10">
        <v>103.7</v>
      </c>
      <c r="J28" s="25"/>
    </row>
    <row r="29" spans="1:11" ht="16">
      <c r="A29" s="10" t="s">
        <v>54</v>
      </c>
      <c r="B29" s="10">
        <v>4931.3</v>
      </c>
      <c r="C29" s="10" t="s">
        <v>34</v>
      </c>
      <c r="D29" s="10">
        <f>B29/2.20462</f>
        <v>2236.8027142999704</v>
      </c>
      <c r="E29" s="10" t="s">
        <v>34</v>
      </c>
      <c r="F29" s="10">
        <v>205.7</v>
      </c>
      <c r="G29" s="10">
        <v>93.3</v>
      </c>
      <c r="J29" s="25"/>
    </row>
    <row r="30" spans="1:11" ht="16">
      <c r="A30" s="10" t="s">
        <v>55</v>
      </c>
      <c r="B30" s="10">
        <v>3715.9</v>
      </c>
      <c r="C30" s="10" t="s">
        <v>34</v>
      </c>
      <c r="D30" s="10">
        <f>B30/2.20462</f>
        <v>1685.5058921718937</v>
      </c>
      <c r="E30" s="10" t="s">
        <v>34</v>
      </c>
      <c r="F30" s="10">
        <v>214.3</v>
      </c>
      <c r="G30" s="10">
        <v>97.2</v>
      </c>
      <c r="J30" s="25"/>
    </row>
    <row r="31" spans="1:11" ht="16">
      <c r="A31" s="10" t="s">
        <v>56</v>
      </c>
      <c r="B31" s="10">
        <v>2791.6</v>
      </c>
      <c r="C31" s="10" t="s">
        <v>34</v>
      </c>
      <c r="D31" s="10">
        <f>B31/2.20462</f>
        <v>1266.2499659805319</v>
      </c>
      <c r="E31" s="10" t="s">
        <v>34</v>
      </c>
      <c r="F31" s="10">
        <v>215.4</v>
      </c>
      <c r="G31" s="10">
        <f>(F31/2.20462)</f>
        <v>97.703912692436802</v>
      </c>
      <c r="J31" s="25"/>
    </row>
    <row r="32" spans="1:11" ht="16">
      <c r="A32" s="20" t="s">
        <v>57</v>
      </c>
      <c r="B32" s="11">
        <f>F32*24.8</f>
        <v>6239.68</v>
      </c>
      <c r="C32" s="11" t="s">
        <v>34</v>
      </c>
      <c r="D32" s="11">
        <f>B32/2.20462</f>
        <v>2830.2746051473728</v>
      </c>
      <c r="E32" s="11" t="s">
        <v>34</v>
      </c>
      <c r="F32" s="11">
        <v>251.6</v>
      </c>
      <c r="G32" s="11">
        <f>(F32/2.20462)</f>
        <v>114.12397601400696</v>
      </c>
      <c r="H32" s="3" t="s">
        <v>81</v>
      </c>
      <c r="J32" s="25">
        <f>D32/(1000*conversion!B4)</f>
        <v>3.1198462551669484</v>
      </c>
      <c r="K32" s="18" t="s">
        <v>74</v>
      </c>
    </row>
    <row r="33" spans="1:11" ht="16">
      <c r="A33" s="12" t="s">
        <v>58</v>
      </c>
      <c r="B33" s="11"/>
      <c r="C33" s="11"/>
      <c r="D33" s="11"/>
      <c r="E33" s="11"/>
      <c r="F33" s="11"/>
      <c r="G33" s="11"/>
      <c r="J33" s="25"/>
    </row>
    <row r="34" spans="1:11" ht="27">
      <c r="A34" s="11" t="s">
        <v>59</v>
      </c>
      <c r="B34" s="13" t="s">
        <v>60</v>
      </c>
      <c r="C34" s="13"/>
      <c r="D34" s="13" t="s">
        <v>60</v>
      </c>
      <c r="E34" s="11"/>
      <c r="F34" s="11">
        <v>16.989999999999998</v>
      </c>
      <c r="G34" s="11">
        <f>(F34/2.20462)</f>
        <v>7.7065435313115183</v>
      </c>
    </row>
    <row r="35" spans="1:11">
      <c r="A35" s="11" t="s">
        <v>61</v>
      </c>
      <c r="B35" s="11">
        <v>5771</v>
      </c>
      <c r="C35" s="11" t="s">
        <v>34</v>
      </c>
      <c r="D35" s="11">
        <f>B35/2.20462</f>
        <v>2617.6846803530771</v>
      </c>
      <c r="E35" s="11" t="s">
        <v>34</v>
      </c>
      <c r="F35" s="11">
        <v>91.9</v>
      </c>
      <c r="G35" s="11">
        <f>(F35/2.20462)</f>
        <v>41.685188377135297</v>
      </c>
    </row>
    <row r="36" spans="1:11">
      <c r="A36" s="11" t="s">
        <v>62</v>
      </c>
      <c r="B36" s="11">
        <v>6160</v>
      </c>
      <c r="C36" s="11" t="s">
        <v>34</v>
      </c>
      <c r="D36" s="11">
        <f>B36/2.20462</f>
        <v>2794.1323221235407</v>
      </c>
      <c r="E36" s="11" t="s">
        <v>34</v>
      </c>
      <c r="F36" s="11">
        <v>189.54</v>
      </c>
      <c r="G36" s="11">
        <f>(F36/2.20462)</f>
        <v>85.974000054431158</v>
      </c>
    </row>
    <row r="37" spans="1:11" ht="16" thickBot="1">
      <c r="A37" s="4" t="s">
        <v>63</v>
      </c>
      <c r="B37" s="14">
        <f>F37*4.4</f>
        <v>924.00000000000011</v>
      </c>
      <c r="C37" s="4" t="s">
        <v>64</v>
      </c>
      <c r="D37" s="11">
        <f>B37/2.20462</f>
        <v>419.11984831853118</v>
      </c>
      <c r="E37" s="4" t="s">
        <v>64</v>
      </c>
      <c r="F37" s="15">
        <v>210</v>
      </c>
      <c r="G37" s="11">
        <f>(F37/2.20462)</f>
        <v>95.254510981484344</v>
      </c>
    </row>
    <row r="38" spans="1:11" ht="13.5" customHeight="1">
      <c r="A38" s="67" t="s">
        <v>65</v>
      </c>
      <c r="B38" s="67"/>
      <c r="C38" s="67"/>
      <c r="D38" s="67"/>
      <c r="E38" s="67"/>
      <c r="F38" s="67"/>
      <c r="G38" s="67"/>
    </row>
    <row r="39" spans="1:11" ht="11.25" customHeight="1">
      <c r="A39" s="68" t="s">
        <v>66</v>
      </c>
      <c r="B39" s="68"/>
      <c r="C39" s="68"/>
      <c r="D39" s="68"/>
      <c r="E39" s="68"/>
      <c r="F39" s="68"/>
      <c r="G39" s="68"/>
      <c r="K39" s="21"/>
    </row>
    <row r="40" spans="1:11" ht="12.75" customHeight="1">
      <c r="A40" s="68" t="s">
        <v>67</v>
      </c>
      <c r="B40" s="68"/>
      <c r="C40" s="68"/>
      <c r="D40" s="68"/>
      <c r="E40" s="68"/>
      <c r="F40" s="68"/>
      <c r="G40" s="68"/>
    </row>
    <row r="41" spans="1:11" ht="24" customHeight="1">
      <c r="A41" s="4"/>
      <c r="B41" s="4"/>
      <c r="C41" s="4"/>
      <c r="D41" s="69"/>
      <c r="E41" s="69"/>
      <c r="F41" s="69"/>
      <c r="G41" s="69"/>
    </row>
    <row r="42" spans="1:11" ht="12" customHeight="1">
      <c r="A42" s="4"/>
      <c r="B42" s="4"/>
      <c r="C42" s="4"/>
      <c r="D42" s="4"/>
      <c r="E42" s="4"/>
      <c r="F42" s="4"/>
      <c r="G42" s="4"/>
    </row>
    <row r="43" spans="1:11">
      <c r="A43" s="16" t="s">
        <v>11</v>
      </c>
      <c r="D43" s="4"/>
      <c r="E43" s="4"/>
      <c r="F43" s="15"/>
      <c r="G43" s="15"/>
    </row>
  </sheetData>
  <mergeCells count="10">
    <mergeCell ref="A38:G38"/>
    <mergeCell ref="A39:G39"/>
    <mergeCell ref="A40:G40"/>
    <mergeCell ref="D41:G41"/>
    <mergeCell ref="A1:G1"/>
    <mergeCell ref="A4:G4"/>
    <mergeCell ref="A14:G14"/>
    <mergeCell ref="A17:G17"/>
    <mergeCell ref="A21:G21"/>
    <mergeCell ref="A27:G27"/>
  </mergeCells>
  <hyperlinks>
    <hyperlink ref="A43" r:id="rId1" xr:uid="{00000000-0004-0000-0100-000000000000}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"/>
  <sheetViews>
    <sheetView workbookViewId="0"/>
    <sheetView workbookViewId="1"/>
  </sheetViews>
  <sheetFormatPr baseColWidth="10" defaultColWidth="11" defaultRowHeight="16"/>
  <sheetData>
    <row r="1" spans="1:4">
      <c r="A1" t="s">
        <v>68</v>
      </c>
      <c r="B1">
        <v>1055870</v>
      </c>
    </row>
    <row r="2" spans="1:4">
      <c r="A2" t="s">
        <v>69</v>
      </c>
      <c r="B2">
        <f>10^6</f>
        <v>1000000</v>
      </c>
    </row>
    <row r="3" spans="1:4">
      <c r="A3" t="s">
        <v>70</v>
      </c>
      <c r="B3">
        <f>10^9</f>
        <v>1000000000</v>
      </c>
    </row>
    <row r="4" spans="1:4">
      <c r="A4" t="s">
        <v>71</v>
      </c>
      <c r="B4">
        <v>0.90718399999999999</v>
      </c>
    </row>
    <row r="5" spans="1:4">
      <c r="A5" t="s">
        <v>72</v>
      </c>
      <c r="B5">
        <v>3.6640000000000001</v>
      </c>
    </row>
    <row r="6" spans="1:4">
      <c r="A6" t="s">
        <v>15</v>
      </c>
      <c r="B6" s="1">
        <v>29307600000</v>
      </c>
    </row>
    <row r="7" spans="1:4">
      <c r="A7" t="s">
        <v>90</v>
      </c>
      <c r="B7">
        <v>3.7854099999999999E-3</v>
      </c>
    </row>
    <row r="10" spans="1:4">
      <c r="A10" s="2" t="s">
        <v>87</v>
      </c>
    </row>
    <row r="11" spans="1:4">
      <c r="A11" t="s">
        <v>84</v>
      </c>
    </row>
    <row r="12" spans="1:4">
      <c r="A12" t="s">
        <v>86</v>
      </c>
      <c r="B12">
        <f>(800+970)/2</f>
        <v>885</v>
      </c>
      <c r="C12">
        <f>B12*$B$7</f>
        <v>3.35008785</v>
      </c>
      <c r="D12" t="s">
        <v>76</v>
      </c>
    </row>
    <row r="13" spans="1:4">
      <c r="A13" t="s">
        <v>88</v>
      </c>
      <c r="B13">
        <f>(800+860)/2</f>
        <v>830</v>
      </c>
      <c r="C13">
        <f>B13*$B$7</f>
        <v>3.1418903</v>
      </c>
      <c r="D13" t="s">
        <v>77</v>
      </c>
    </row>
    <row r="14" spans="1:4">
      <c r="A14" t="s">
        <v>89</v>
      </c>
      <c r="B14">
        <f>(710+790)/2</f>
        <v>750</v>
      </c>
      <c r="C14">
        <f>B14*$B$7</f>
        <v>2.8390575</v>
      </c>
      <c r="D14" t="s">
        <v>78</v>
      </c>
    </row>
    <row r="15" spans="1:4">
      <c r="B15" t="s">
        <v>85</v>
      </c>
      <c r="C15" t="s">
        <v>91</v>
      </c>
    </row>
    <row r="18" spans="1:2">
      <c r="A18" s="2" t="s">
        <v>92</v>
      </c>
    </row>
    <row r="19" spans="1:2">
      <c r="A19" t="s">
        <v>94</v>
      </c>
    </row>
    <row r="20" spans="1:2">
      <c r="A20" t="s">
        <v>3</v>
      </c>
      <c r="B20">
        <f>0.982</f>
        <v>0.98199999999999998</v>
      </c>
    </row>
    <row r="21" spans="1:2">
      <c r="A21" t="s">
        <v>4</v>
      </c>
      <c r="B21">
        <v>0.98499999999999999</v>
      </c>
    </row>
    <row r="22" spans="1:2">
      <c r="A22" t="s">
        <v>5</v>
      </c>
      <c r="B22">
        <f>0.98</f>
        <v>0.98</v>
      </c>
    </row>
    <row r="23" spans="1:2">
      <c r="A23" t="s">
        <v>6</v>
      </c>
      <c r="B23">
        <v>1</v>
      </c>
    </row>
    <row r="24" spans="1:2">
      <c r="A24" t="s">
        <v>8</v>
      </c>
      <c r="B24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B3543-99A2-1840-BBC1-A860A05DF6B0}">
  <dimension ref="A1:U65"/>
  <sheetViews>
    <sheetView workbookViewId="0"/>
    <sheetView tabSelected="1" zoomScale="110" zoomScaleNormal="110" workbookViewId="1">
      <pane xSplit="2" ySplit="4" topLeftCell="C32" activePane="bottomRight" state="frozen"/>
      <selection pane="topRight" activeCell="C1" sqref="C1"/>
      <selection pane="bottomLeft" activeCell="A5" sqref="A5"/>
      <selection pane="bottomRight" activeCell="A42" sqref="A42:B42"/>
    </sheetView>
  </sheetViews>
  <sheetFormatPr baseColWidth="10" defaultColWidth="7.5" defaultRowHeight="13"/>
  <cols>
    <col min="1" max="1" width="4.83203125" style="29" customWidth="1"/>
    <col min="2" max="2" width="23.83203125" style="29" customWidth="1"/>
    <col min="3" max="3" width="10.5" style="29" customWidth="1"/>
    <col min="4" max="4" width="8.6640625" style="29" customWidth="1"/>
    <col min="5" max="5" width="9.6640625" style="29" customWidth="1"/>
    <col min="6" max="7" width="8.6640625" style="29" customWidth="1"/>
    <col min="8" max="8" width="6.6640625" style="29" customWidth="1"/>
    <col min="9" max="9" width="8.6640625" style="29" customWidth="1"/>
    <col min="10" max="11" width="6.6640625" style="29" customWidth="1"/>
    <col min="12" max="12" width="3.83203125" style="29" customWidth="1"/>
    <col min="13" max="15" width="9" style="29" customWidth="1"/>
    <col min="16" max="16" width="3.6640625" style="29" customWidth="1"/>
    <col min="17" max="17" width="7.5" style="29"/>
    <col min="18" max="18" width="10.83203125" style="29" customWidth="1"/>
    <col min="19" max="20" width="7.5" style="29"/>
    <col min="21" max="21" width="8.5" style="29" customWidth="1"/>
    <col min="22" max="16384" width="7.5" style="29"/>
  </cols>
  <sheetData>
    <row r="1" spans="1:21" ht="19" customHeight="1">
      <c r="A1" s="93" t="s">
        <v>194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Q1" t="s">
        <v>193</v>
      </c>
      <c r="R1" s="1">
        <v>1000000</v>
      </c>
      <c r="T1" t="s">
        <v>192</v>
      </c>
      <c r="U1" s="1">
        <v>1000000000</v>
      </c>
    </row>
    <row r="2" spans="1:21" ht="44" customHeight="1">
      <c r="A2" s="82" t="s">
        <v>191</v>
      </c>
      <c r="B2" s="83"/>
      <c r="C2" s="83"/>
      <c r="D2" s="83"/>
      <c r="E2" s="83"/>
      <c r="F2" s="83"/>
      <c r="G2" s="83"/>
      <c r="H2" s="83"/>
      <c r="I2" s="83"/>
      <c r="J2" s="83"/>
      <c r="K2" s="84"/>
      <c r="L2" s="66"/>
      <c r="M2" s="89" t="s">
        <v>190</v>
      </c>
      <c r="N2" s="90"/>
      <c r="O2" s="91"/>
      <c r="Q2" s="89" t="s">
        <v>190</v>
      </c>
      <c r="R2" s="90"/>
      <c r="S2" s="91"/>
    </row>
    <row r="3" spans="1:21" ht="16" customHeight="1">
      <c r="A3" s="85" t="s">
        <v>145</v>
      </c>
      <c r="B3" s="86"/>
      <c r="C3" s="89" t="s">
        <v>144</v>
      </c>
      <c r="D3" s="90"/>
      <c r="E3" s="91"/>
      <c r="F3" s="89" t="s">
        <v>143</v>
      </c>
      <c r="G3" s="90"/>
      <c r="H3" s="91"/>
      <c r="I3" s="89" t="s">
        <v>142</v>
      </c>
      <c r="J3" s="90"/>
      <c r="K3" s="91"/>
      <c r="L3" s="55"/>
      <c r="M3" s="89" t="s">
        <v>144</v>
      </c>
      <c r="N3" s="90"/>
      <c r="O3" s="91"/>
      <c r="Q3" s="89" t="s">
        <v>144</v>
      </c>
      <c r="R3" s="90"/>
      <c r="S3" s="91"/>
    </row>
    <row r="4" spans="1:21" ht="34" customHeight="1">
      <c r="A4" s="87"/>
      <c r="B4" s="88"/>
      <c r="C4" s="54" t="s">
        <v>141</v>
      </c>
      <c r="D4" s="65" t="s">
        <v>140</v>
      </c>
      <c r="E4" s="54" t="s">
        <v>139</v>
      </c>
      <c r="F4" s="54" t="s">
        <v>141</v>
      </c>
      <c r="G4" s="54" t="s">
        <v>140</v>
      </c>
      <c r="H4" s="54" t="s">
        <v>139</v>
      </c>
      <c r="I4" s="54" t="s">
        <v>141</v>
      </c>
      <c r="J4" s="54" t="s">
        <v>140</v>
      </c>
      <c r="K4" s="54" t="s">
        <v>139</v>
      </c>
      <c r="L4" s="66"/>
      <c r="M4" s="54" t="s">
        <v>141</v>
      </c>
      <c r="N4" s="65" t="s">
        <v>140</v>
      </c>
      <c r="O4" s="54" t="s">
        <v>139</v>
      </c>
      <c r="Q4" s="54" t="s">
        <v>141</v>
      </c>
      <c r="R4" s="65" t="s">
        <v>140</v>
      </c>
      <c r="S4" s="54" t="s">
        <v>139</v>
      </c>
    </row>
    <row r="5" spans="1:21" ht="16" customHeight="1">
      <c r="A5" s="80" t="s">
        <v>189</v>
      </c>
      <c r="B5" s="81"/>
      <c r="C5" s="51">
        <v>73300</v>
      </c>
      <c r="D5" s="59">
        <v>71100</v>
      </c>
      <c r="E5" s="45">
        <v>75500</v>
      </c>
      <c r="F5" s="60">
        <v>3</v>
      </c>
      <c r="G5" s="58">
        <v>1</v>
      </c>
      <c r="H5" s="58">
        <v>10</v>
      </c>
      <c r="I5" s="56">
        <v>0.6</v>
      </c>
      <c r="J5" s="56">
        <v>0.2</v>
      </c>
      <c r="K5" s="58">
        <v>2</v>
      </c>
      <c r="L5" s="55"/>
      <c r="M5" s="32">
        <f t="shared" ref="M5:M42" si="0">C5/($R$1*$U$1)</f>
        <v>7.3299999999999995E-11</v>
      </c>
      <c r="N5" s="32">
        <f t="shared" ref="N5:N42" si="1">D5/($R$1*$U$1)</f>
        <v>7.1100000000000005E-11</v>
      </c>
      <c r="O5" s="32">
        <f t="shared" ref="O5:O42" si="2">E5/($R$1*$U$1)</f>
        <v>7.5499999999999998E-11</v>
      </c>
      <c r="Q5" s="31">
        <f t="shared" ref="Q5:Q42" si="3">C5/($R$1)</f>
        <v>7.3300000000000004E-2</v>
      </c>
      <c r="R5" s="31">
        <f t="shared" ref="R5:R42" si="4">D5/($R$1)</f>
        <v>7.1099999999999997E-2</v>
      </c>
      <c r="S5" s="31">
        <f t="shared" ref="S5:S42" si="5">E5/($R$1)</f>
        <v>7.5499999999999998E-2</v>
      </c>
    </row>
    <row r="6" spans="1:21" ht="16" customHeight="1">
      <c r="A6" s="80" t="s">
        <v>188</v>
      </c>
      <c r="B6" s="81"/>
      <c r="C6" s="51">
        <v>77000</v>
      </c>
      <c r="D6" s="59">
        <v>69300</v>
      </c>
      <c r="E6" s="45">
        <v>85400</v>
      </c>
      <c r="F6" s="60">
        <v>3</v>
      </c>
      <c r="G6" s="58">
        <v>1</v>
      </c>
      <c r="H6" s="58">
        <v>10</v>
      </c>
      <c r="I6" s="56">
        <v>0.6</v>
      </c>
      <c r="J6" s="56">
        <v>0.2</v>
      </c>
      <c r="K6" s="58">
        <v>2</v>
      </c>
      <c r="L6" s="55"/>
      <c r="M6" s="32">
        <f t="shared" si="0"/>
        <v>7.7000000000000006E-11</v>
      </c>
      <c r="N6" s="32">
        <f t="shared" si="1"/>
        <v>6.9299999999999996E-11</v>
      </c>
      <c r="O6" s="32">
        <f t="shared" si="2"/>
        <v>8.5399999999999997E-11</v>
      </c>
      <c r="Q6" s="31">
        <f t="shared" si="3"/>
        <v>7.6999999999999999E-2</v>
      </c>
      <c r="R6" s="31">
        <f t="shared" si="4"/>
        <v>6.93E-2</v>
      </c>
      <c r="S6" s="31">
        <f t="shared" si="5"/>
        <v>8.5400000000000004E-2</v>
      </c>
    </row>
    <row r="7" spans="1:21" ht="16" customHeight="1">
      <c r="A7" s="80" t="s">
        <v>187</v>
      </c>
      <c r="B7" s="81"/>
      <c r="C7" s="62">
        <v>64200</v>
      </c>
      <c r="D7" s="59">
        <v>58300</v>
      </c>
      <c r="E7" s="45">
        <v>70400</v>
      </c>
      <c r="F7" s="60">
        <v>3</v>
      </c>
      <c r="G7" s="58">
        <v>1</v>
      </c>
      <c r="H7" s="58">
        <v>10</v>
      </c>
      <c r="I7" s="56">
        <v>0.6</v>
      </c>
      <c r="J7" s="56">
        <v>0.2</v>
      </c>
      <c r="K7" s="58">
        <v>2</v>
      </c>
      <c r="L7" s="55"/>
      <c r="M7" s="32">
        <f t="shared" si="0"/>
        <v>6.4199999999999995E-11</v>
      </c>
      <c r="N7" s="32">
        <f t="shared" si="1"/>
        <v>5.8299999999999995E-11</v>
      </c>
      <c r="O7" s="32">
        <f t="shared" si="2"/>
        <v>7.0399999999999997E-11</v>
      </c>
      <c r="Q7" s="31">
        <f t="shared" si="3"/>
        <v>6.4199999999999993E-2</v>
      </c>
      <c r="R7" s="31">
        <f t="shared" si="4"/>
        <v>5.8299999999999998E-2</v>
      </c>
      <c r="S7" s="31">
        <f t="shared" si="5"/>
        <v>7.0400000000000004E-2</v>
      </c>
    </row>
    <row r="8" spans="1:21" ht="16" customHeight="1">
      <c r="A8" s="77" t="s">
        <v>186</v>
      </c>
      <c r="B8" s="61" t="s">
        <v>185</v>
      </c>
      <c r="C8" s="62">
        <v>69300</v>
      </c>
      <c r="D8" s="59">
        <v>67500</v>
      </c>
      <c r="E8" s="45">
        <v>73000</v>
      </c>
      <c r="F8" s="60">
        <v>3</v>
      </c>
      <c r="G8" s="58">
        <v>1</v>
      </c>
      <c r="H8" s="58">
        <v>10</v>
      </c>
      <c r="I8" s="56">
        <v>0.6</v>
      </c>
      <c r="J8" s="56">
        <v>0.2</v>
      </c>
      <c r="K8" s="58">
        <v>2</v>
      </c>
      <c r="L8" s="55"/>
      <c r="M8" s="32">
        <f t="shared" si="0"/>
        <v>6.9299999999999996E-11</v>
      </c>
      <c r="N8" s="32">
        <f t="shared" si="1"/>
        <v>6.75E-11</v>
      </c>
      <c r="O8" s="32">
        <f t="shared" si="2"/>
        <v>7.3000000000000006E-11</v>
      </c>
      <c r="Q8" s="31">
        <f t="shared" si="3"/>
        <v>6.93E-2</v>
      </c>
      <c r="R8" s="31">
        <f t="shared" si="4"/>
        <v>6.7500000000000004E-2</v>
      </c>
      <c r="S8" s="31">
        <f t="shared" si="5"/>
        <v>7.2999999999999995E-2</v>
      </c>
    </row>
    <row r="9" spans="1:21" ht="16" customHeight="1">
      <c r="A9" s="78"/>
      <c r="B9" s="61" t="s">
        <v>184</v>
      </c>
      <c r="C9" s="62">
        <v>70000</v>
      </c>
      <c r="D9" s="59">
        <v>67500</v>
      </c>
      <c r="E9" s="45">
        <v>73000</v>
      </c>
      <c r="F9" s="60">
        <v>3</v>
      </c>
      <c r="G9" s="58">
        <v>1</v>
      </c>
      <c r="H9" s="58">
        <v>10</v>
      </c>
      <c r="I9" s="56">
        <v>0.6</v>
      </c>
      <c r="J9" s="56">
        <v>0.2</v>
      </c>
      <c r="K9" s="58">
        <v>2</v>
      </c>
      <c r="L9" s="55"/>
      <c r="M9" s="32">
        <f t="shared" si="0"/>
        <v>7.0000000000000004E-11</v>
      </c>
      <c r="N9" s="32">
        <f t="shared" si="1"/>
        <v>6.75E-11</v>
      </c>
      <c r="O9" s="32">
        <f t="shared" si="2"/>
        <v>7.3000000000000006E-11</v>
      </c>
      <c r="Q9" s="31">
        <f t="shared" si="3"/>
        <v>7.0000000000000007E-2</v>
      </c>
      <c r="R9" s="31">
        <f t="shared" si="4"/>
        <v>6.7500000000000004E-2</v>
      </c>
      <c r="S9" s="31">
        <f t="shared" si="5"/>
        <v>7.2999999999999995E-2</v>
      </c>
    </row>
    <row r="10" spans="1:21" ht="16" customHeight="1">
      <c r="A10" s="79"/>
      <c r="B10" s="61" t="s">
        <v>183</v>
      </c>
      <c r="C10" s="62">
        <v>70000</v>
      </c>
      <c r="D10" s="59">
        <v>67500</v>
      </c>
      <c r="E10" s="45">
        <v>73000</v>
      </c>
      <c r="F10" s="60">
        <v>3</v>
      </c>
      <c r="G10" s="58">
        <v>1</v>
      </c>
      <c r="H10" s="58">
        <v>10</v>
      </c>
      <c r="I10" s="56">
        <v>0.6</v>
      </c>
      <c r="J10" s="56">
        <v>0.2</v>
      </c>
      <c r="K10" s="58">
        <v>2</v>
      </c>
      <c r="L10" s="55"/>
      <c r="M10" s="32">
        <f t="shared" si="0"/>
        <v>7.0000000000000004E-11</v>
      </c>
      <c r="N10" s="32">
        <f t="shared" si="1"/>
        <v>6.75E-11</v>
      </c>
      <c r="O10" s="32">
        <f t="shared" si="2"/>
        <v>7.3000000000000006E-11</v>
      </c>
      <c r="Q10" s="31">
        <f t="shared" si="3"/>
        <v>7.0000000000000007E-2</v>
      </c>
      <c r="R10" s="31">
        <f t="shared" si="4"/>
        <v>6.7500000000000004E-2</v>
      </c>
      <c r="S10" s="31">
        <f t="shared" si="5"/>
        <v>7.2999999999999995E-2</v>
      </c>
    </row>
    <row r="11" spans="1:21" ht="16" customHeight="1">
      <c r="A11" s="80" t="s">
        <v>182</v>
      </c>
      <c r="B11" s="81"/>
      <c r="C11" s="62">
        <v>71500</v>
      </c>
      <c r="D11" s="59">
        <v>69700</v>
      </c>
      <c r="E11" s="45">
        <v>74400</v>
      </c>
      <c r="F11" s="60">
        <v>3</v>
      </c>
      <c r="G11" s="58">
        <v>1</v>
      </c>
      <c r="H11" s="58">
        <v>10</v>
      </c>
      <c r="I11" s="56">
        <v>0.6</v>
      </c>
      <c r="J11" s="56">
        <v>0.2</v>
      </c>
      <c r="K11" s="58">
        <v>2</v>
      </c>
      <c r="L11" s="55"/>
      <c r="M11" s="32">
        <f t="shared" si="0"/>
        <v>7.1499999999999999E-11</v>
      </c>
      <c r="N11" s="32">
        <f t="shared" si="1"/>
        <v>6.9700000000000002E-11</v>
      </c>
      <c r="O11" s="32">
        <f t="shared" si="2"/>
        <v>7.4399999999999996E-11</v>
      </c>
      <c r="Q11" s="31">
        <f t="shared" si="3"/>
        <v>7.1499999999999994E-2</v>
      </c>
      <c r="R11" s="31">
        <f t="shared" si="4"/>
        <v>6.9699999999999998E-2</v>
      </c>
      <c r="S11" s="31">
        <f t="shared" si="5"/>
        <v>7.4399999999999994E-2</v>
      </c>
    </row>
    <row r="12" spans="1:21" ht="16" customHeight="1">
      <c r="A12" s="80" t="s">
        <v>181</v>
      </c>
      <c r="B12" s="81"/>
      <c r="C12" s="51">
        <v>71900</v>
      </c>
      <c r="D12" s="59">
        <v>70800</v>
      </c>
      <c r="E12" s="45">
        <v>73700</v>
      </c>
      <c r="F12" s="60">
        <v>3</v>
      </c>
      <c r="G12" s="58">
        <v>1</v>
      </c>
      <c r="H12" s="58">
        <v>10</v>
      </c>
      <c r="I12" s="56">
        <v>0.6</v>
      </c>
      <c r="J12" s="56">
        <v>0.2</v>
      </c>
      <c r="K12" s="58">
        <v>2</v>
      </c>
      <c r="L12" s="55"/>
      <c r="M12" s="32">
        <f t="shared" si="0"/>
        <v>7.1900000000000005E-11</v>
      </c>
      <c r="N12" s="32">
        <f t="shared" si="1"/>
        <v>7.0800000000000004E-11</v>
      </c>
      <c r="O12" s="32">
        <f t="shared" si="2"/>
        <v>7.3700000000000001E-11</v>
      </c>
      <c r="Q12" s="31">
        <f t="shared" si="3"/>
        <v>7.1900000000000006E-2</v>
      </c>
      <c r="R12" s="31">
        <f t="shared" si="4"/>
        <v>7.0800000000000002E-2</v>
      </c>
      <c r="S12" s="31">
        <f t="shared" si="5"/>
        <v>7.3700000000000002E-2</v>
      </c>
    </row>
    <row r="13" spans="1:21" ht="16" customHeight="1">
      <c r="A13" s="80" t="s">
        <v>180</v>
      </c>
      <c r="B13" s="81"/>
      <c r="C13" s="51">
        <v>73300</v>
      </c>
      <c r="D13" s="59">
        <v>67800</v>
      </c>
      <c r="E13" s="45">
        <v>79200</v>
      </c>
      <c r="F13" s="60">
        <v>3</v>
      </c>
      <c r="G13" s="58">
        <v>1</v>
      </c>
      <c r="H13" s="58">
        <v>10</v>
      </c>
      <c r="I13" s="56">
        <v>0.6</v>
      </c>
      <c r="J13" s="56">
        <v>0.2</v>
      </c>
      <c r="K13" s="58">
        <v>2</v>
      </c>
      <c r="L13" s="55"/>
      <c r="M13" s="32">
        <f t="shared" si="0"/>
        <v>7.3299999999999995E-11</v>
      </c>
      <c r="N13" s="32">
        <f t="shared" si="1"/>
        <v>6.7800000000000001E-11</v>
      </c>
      <c r="O13" s="32">
        <f t="shared" si="2"/>
        <v>7.9199999999999995E-11</v>
      </c>
      <c r="Q13" s="31">
        <f t="shared" si="3"/>
        <v>7.3300000000000004E-2</v>
      </c>
      <c r="R13" s="31">
        <f t="shared" si="4"/>
        <v>6.7799999999999999E-2</v>
      </c>
      <c r="S13" s="31">
        <f t="shared" si="5"/>
        <v>7.9200000000000007E-2</v>
      </c>
    </row>
    <row r="14" spans="1:21" ht="16" customHeight="1">
      <c r="A14" s="80" t="s">
        <v>179</v>
      </c>
      <c r="B14" s="81"/>
      <c r="C14" s="51">
        <v>74100</v>
      </c>
      <c r="D14" s="59">
        <v>72600</v>
      </c>
      <c r="E14" s="45">
        <v>74800</v>
      </c>
      <c r="F14" s="60">
        <v>3</v>
      </c>
      <c r="G14" s="58">
        <v>1</v>
      </c>
      <c r="H14" s="58">
        <v>10</v>
      </c>
      <c r="I14" s="56">
        <v>0.6</v>
      </c>
      <c r="J14" s="56">
        <v>0.2</v>
      </c>
      <c r="K14" s="58">
        <v>2</v>
      </c>
      <c r="L14" s="55"/>
      <c r="M14" s="32">
        <f t="shared" si="0"/>
        <v>7.4099999999999995E-11</v>
      </c>
      <c r="N14" s="32">
        <f t="shared" si="1"/>
        <v>7.26E-11</v>
      </c>
      <c r="O14" s="32">
        <f t="shared" si="2"/>
        <v>7.4800000000000003E-11</v>
      </c>
      <c r="Q14" s="31">
        <f t="shared" si="3"/>
        <v>7.4099999999999999E-2</v>
      </c>
      <c r="R14" s="31">
        <f t="shared" si="4"/>
        <v>7.2599999999999998E-2</v>
      </c>
      <c r="S14" s="31">
        <f t="shared" si="5"/>
        <v>7.4800000000000005E-2</v>
      </c>
    </row>
    <row r="15" spans="1:21" ht="16" customHeight="1">
      <c r="A15" s="80" t="s">
        <v>178</v>
      </c>
      <c r="B15" s="81"/>
      <c r="C15" s="51">
        <v>77400</v>
      </c>
      <c r="D15" s="59">
        <v>75500</v>
      </c>
      <c r="E15" s="45">
        <v>78800</v>
      </c>
      <c r="F15" s="60">
        <v>3</v>
      </c>
      <c r="G15" s="58">
        <v>1</v>
      </c>
      <c r="H15" s="58">
        <v>10</v>
      </c>
      <c r="I15" s="56">
        <v>0.6</v>
      </c>
      <c r="J15" s="56">
        <v>0.2</v>
      </c>
      <c r="K15" s="58">
        <v>2</v>
      </c>
      <c r="L15" s="55"/>
      <c r="M15" s="32">
        <f t="shared" si="0"/>
        <v>7.7399999999999999E-11</v>
      </c>
      <c r="N15" s="32">
        <f t="shared" si="1"/>
        <v>7.5499999999999998E-11</v>
      </c>
      <c r="O15" s="32">
        <f t="shared" si="2"/>
        <v>7.8800000000000002E-11</v>
      </c>
      <c r="Q15" s="31">
        <f t="shared" si="3"/>
        <v>7.7399999999999997E-2</v>
      </c>
      <c r="R15" s="31">
        <f t="shared" si="4"/>
        <v>7.5499999999999998E-2</v>
      </c>
      <c r="S15" s="31">
        <f t="shared" si="5"/>
        <v>7.8799999999999995E-2</v>
      </c>
    </row>
    <row r="16" spans="1:21" ht="16" customHeight="1">
      <c r="A16" s="80" t="s">
        <v>177</v>
      </c>
      <c r="B16" s="81"/>
      <c r="C16" s="51">
        <v>63100</v>
      </c>
      <c r="D16" s="59">
        <v>61600</v>
      </c>
      <c r="E16" s="45">
        <v>65600</v>
      </c>
      <c r="F16" s="60">
        <v>1</v>
      </c>
      <c r="G16" s="56">
        <v>0.3</v>
      </c>
      <c r="H16" s="58">
        <v>3</v>
      </c>
      <c r="I16" s="56">
        <v>0.1</v>
      </c>
      <c r="J16" s="57">
        <v>0.03</v>
      </c>
      <c r="K16" s="56">
        <v>0.3</v>
      </c>
      <c r="L16" s="55"/>
      <c r="M16" s="32">
        <f t="shared" si="0"/>
        <v>6.3099999999999994E-11</v>
      </c>
      <c r="N16" s="32">
        <f t="shared" si="1"/>
        <v>6.1599999999999999E-11</v>
      </c>
      <c r="O16" s="32">
        <f t="shared" si="2"/>
        <v>6.5599999999999998E-11</v>
      </c>
      <c r="Q16" s="31">
        <f t="shared" si="3"/>
        <v>6.3100000000000003E-2</v>
      </c>
      <c r="R16" s="31">
        <f t="shared" si="4"/>
        <v>6.1600000000000002E-2</v>
      </c>
      <c r="S16" s="31">
        <f t="shared" si="5"/>
        <v>6.5600000000000006E-2</v>
      </c>
    </row>
    <row r="17" spans="1:19" ht="16" customHeight="1">
      <c r="A17" s="80" t="s">
        <v>176</v>
      </c>
      <c r="B17" s="81"/>
      <c r="C17" s="51">
        <v>61600</v>
      </c>
      <c r="D17" s="59">
        <v>56500</v>
      </c>
      <c r="E17" s="45">
        <v>68600</v>
      </c>
      <c r="F17" s="60">
        <v>1</v>
      </c>
      <c r="G17" s="56">
        <v>0.3</v>
      </c>
      <c r="H17" s="58">
        <v>3</v>
      </c>
      <c r="I17" s="56">
        <v>0.1</v>
      </c>
      <c r="J17" s="57">
        <v>0.03</v>
      </c>
      <c r="K17" s="56">
        <v>0.3</v>
      </c>
      <c r="L17" s="55"/>
      <c r="M17" s="32">
        <f t="shared" si="0"/>
        <v>6.1599999999999999E-11</v>
      </c>
      <c r="N17" s="32">
        <f t="shared" si="1"/>
        <v>5.6499999999999999E-11</v>
      </c>
      <c r="O17" s="32">
        <f t="shared" si="2"/>
        <v>6.8600000000000001E-11</v>
      </c>
      <c r="Q17" s="31">
        <f t="shared" si="3"/>
        <v>6.1600000000000002E-2</v>
      </c>
      <c r="R17" s="31">
        <f t="shared" si="4"/>
        <v>5.6500000000000002E-2</v>
      </c>
      <c r="S17" s="31">
        <f t="shared" si="5"/>
        <v>6.8599999999999994E-2</v>
      </c>
    </row>
    <row r="18" spans="1:19" ht="16" customHeight="1">
      <c r="A18" s="80" t="s">
        <v>175</v>
      </c>
      <c r="B18" s="81"/>
      <c r="C18" s="51">
        <v>73300</v>
      </c>
      <c r="D18" s="59">
        <v>69300</v>
      </c>
      <c r="E18" s="45">
        <v>76300</v>
      </c>
      <c r="F18" s="60">
        <v>3</v>
      </c>
      <c r="G18" s="58">
        <v>1</v>
      </c>
      <c r="H18" s="58">
        <v>10</v>
      </c>
      <c r="I18" s="56">
        <v>0.6</v>
      </c>
      <c r="J18" s="56">
        <v>0.2</v>
      </c>
      <c r="K18" s="58">
        <v>2</v>
      </c>
      <c r="L18" s="55"/>
      <c r="M18" s="32">
        <f t="shared" si="0"/>
        <v>7.3299999999999995E-11</v>
      </c>
      <c r="N18" s="32">
        <f t="shared" si="1"/>
        <v>6.9299999999999996E-11</v>
      </c>
      <c r="O18" s="32">
        <f t="shared" si="2"/>
        <v>7.6299999999999998E-11</v>
      </c>
      <c r="Q18" s="31">
        <f t="shared" si="3"/>
        <v>7.3300000000000004E-2</v>
      </c>
      <c r="R18" s="31">
        <f t="shared" si="4"/>
        <v>6.93E-2</v>
      </c>
      <c r="S18" s="31">
        <f t="shared" si="5"/>
        <v>7.6300000000000007E-2</v>
      </c>
    </row>
    <row r="19" spans="1:19" ht="16" customHeight="1">
      <c r="A19" s="80" t="s">
        <v>174</v>
      </c>
      <c r="B19" s="81"/>
      <c r="C19" s="51">
        <v>80700</v>
      </c>
      <c r="D19" s="59">
        <v>73000</v>
      </c>
      <c r="E19" s="45">
        <v>89900</v>
      </c>
      <c r="F19" s="60">
        <v>3</v>
      </c>
      <c r="G19" s="58">
        <v>1</v>
      </c>
      <c r="H19" s="58">
        <v>10</v>
      </c>
      <c r="I19" s="56">
        <v>0.6</v>
      </c>
      <c r="J19" s="56">
        <v>0.2</v>
      </c>
      <c r="K19" s="58">
        <v>2</v>
      </c>
      <c r="L19" s="55"/>
      <c r="M19" s="32">
        <f t="shared" si="0"/>
        <v>8.0700000000000003E-11</v>
      </c>
      <c r="N19" s="32">
        <f t="shared" si="1"/>
        <v>7.3000000000000006E-11</v>
      </c>
      <c r="O19" s="32">
        <f t="shared" si="2"/>
        <v>8.9899999999999995E-11</v>
      </c>
      <c r="Q19" s="31">
        <f t="shared" si="3"/>
        <v>8.0699999999999994E-2</v>
      </c>
      <c r="R19" s="31">
        <f t="shared" si="4"/>
        <v>7.2999999999999995E-2</v>
      </c>
      <c r="S19" s="31">
        <f t="shared" si="5"/>
        <v>8.9899999999999994E-2</v>
      </c>
    </row>
    <row r="20" spans="1:19" ht="16" customHeight="1">
      <c r="A20" s="80" t="s">
        <v>173</v>
      </c>
      <c r="B20" s="81"/>
      <c r="C20" s="51">
        <v>73300</v>
      </c>
      <c r="D20" s="59">
        <v>71900</v>
      </c>
      <c r="E20" s="45">
        <v>75200</v>
      </c>
      <c r="F20" s="60">
        <v>3</v>
      </c>
      <c r="G20" s="58">
        <v>1</v>
      </c>
      <c r="H20" s="58">
        <v>10</v>
      </c>
      <c r="I20" s="56">
        <v>0.6</v>
      </c>
      <c r="J20" s="56">
        <v>0.2</v>
      </c>
      <c r="K20" s="58">
        <v>2</v>
      </c>
      <c r="L20" s="55"/>
      <c r="M20" s="32">
        <f t="shared" si="0"/>
        <v>7.3299999999999995E-11</v>
      </c>
      <c r="N20" s="32">
        <f t="shared" si="1"/>
        <v>7.1900000000000005E-11</v>
      </c>
      <c r="O20" s="32">
        <f t="shared" si="2"/>
        <v>7.5199999999999996E-11</v>
      </c>
      <c r="Q20" s="31">
        <f t="shared" si="3"/>
        <v>7.3300000000000004E-2</v>
      </c>
      <c r="R20" s="31">
        <f t="shared" si="4"/>
        <v>7.1900000000000006E-2</v>
      </c>
      <c r="S20" s="31">
        <f t="shared" si="5"/>
        <v>7.5200000000000003E-2</v>
      </c>
    </row>
    <row r="21" spans="1:19" ht="16" customHeight="1">
      <c r="A21" s="80" t="s">
        <v>172</v>
      </c>
      <c r="B21" s="81"/>
      <c r="C21" s="62">
        <v>97500</v>
      </c>
      <c r="D21" s="59">
        <v>82900</v>
      </c>
      <c r="E21" s="45">
        <v>115000</v>
      </c>
      <c r="F21" s="60">
        <v>3</v>
      </c>
      <c r="G21" s="58">
        <v>1</v>
      </c>
      <c r="H21" s="58">
        <v>10</v>
      </c>
      <c r="I21" s="56">
        <v>0.6</v>
      </c>
      <c r="J21" s="56">
        <v>0.2</v>
      </c>
      <c r="K21" s="58">
        <v>2</v>
      </c>
      <c r="L21" s="55"/>
      <c r="M21" s="32">
        <f t="shared" si="0"/>
        <v>9.7499999999999999E-11</v>
      </c>
      <c r="N21" s="32">
        <f t="shared" si="1"/>
        <v>8.2900000000000006E-11</v>
      </c>
      <c r="O21" s="32">
        <f t="shared" si="2"/>
        <v>1.15E-10</v>
      </c>
      <c r="Q21" s="31">
        <f t="shared" si="3"/>
        <v>9.7500000000000003E-2</v>
      </c>
      <c r="R21" s="31">
        <f t="shared" si="4"/>
        <v>8.2900000000000001E-2</v>
      </c>
      <c r="S21" s="31">
        <f t="shared" si="5"/>
        <v>0.115</v>
      </c>
    </row>
    <row r="22" spans="1:19" ht="16" customHeight="1">
      <c r="A22" s="80" t="s">
        <v>171</v>
      </c>
      <c r="B22" s="81"/>
      <c r="C22" s="51">
        <v>73300</v>
      </c>
      <c r="D22" s="59">
        <v>68900</v>
      </c>
      <c r="E22" s="45">
        <v>76600</v>
      </c>
      <c r="F22" s="60">
        <v>3</v>
      </c>
      <c r="G22" s="58">
        <v>1</v>
      </c>
      <c r="H22" s="58">
        <v>10</v>
      </c>
      <c r="I22" s="56">
        <v>0.6</v>
      </c>
      <c r="J22" s="56">
        <v>0.2</v>
      </c>
      <c r="K22" s="58">
        <v>2</v>
      </c>
      <c r="L22" s="55"/>
      <c r="M22" s="32">
        <f t="shared" si="0"/>
        <v>7.3299999999999995E-11</v>
      </c>
      <c r="N22" s="32">
        <f t="shared" si="1"/>
        <v>6.8900000000000002E-11</v>
      </c>
      <c r="O22" s="32">
        <f t="shared" si="2"/>
        <v>7.6599999999999999E-11</v>
      </c>
      <c r="Q22" s="31">
        <f t="shared" si="3"/>
        <v>7.3300000000000004E-2</v>
      </c>
      <c r="R22" s="31">
        <f t="shared" si="4"/>
        <v>6.8900000000000003E-2</v>
      </c>
      <c r="S22" s="31">
        <f t="shared" si="5"/>
        <v>7.6600000000000001E-2</v>
      </c>
    </row>
    <row r="23" spans="1:19" ht="16" customHeight="1">
      <c r="A23" s="77" t="s">
        <v>170</v>
      </c>
      <c r="B23" s="38" t="s">
        <v>169</v>
      </c>
      <c r="C23" s="62">
        <v>57600</v>
      </c>
      <c r="D23" s="59">
        <v>48200</v>
      </c>
      <c r="E23" s="45">
        <v>69000</v>
      </c>
      <c r="F23" s="60">
        <v>1</v>
      </c>
      <c r="G23" s="56">
        <v>0.3</v>
      </c>
      <c r="H23" s="58">
        <v>3</v>
      </c>
      <c r="I23" s="56">
        <v>0.1</v>
      </c>
      <c r="J23" s="57">
        <v>0.03</v>
      </c>
      <c r="K23" s="56">
        <v>0.3</v>
      </c>
      <c r="L23" s="55"/>
      <c r="M23" s="32">
        <f t="shared" si="0"/>
        <v>5.76E-11</v>
      </c>
      <c r="N23" s="32">
        <f t="shared" si="1"/>
        <v>4.8199999999999999E-11</v>
      </c>
      <c r="O23" s="32">
        <f t="shared" si="2"/>
        <v>6.8999999999999994E-11</v>
      </c>
      <c r="Q23" s="31">
        <f t="shared" si="3"/>
        <v>5.7599999999999998E-2</v>
      </c>
      <c r="R23" s="31">
        <f t="shared" si="4"/>
        <v>4.82E-2</v>
      </c>
      <c r="S23" s="31">
        <f t="shared" si="5"/>
        <v>6.9000000000000006E-2</v>
      </c>
    </row>
    <row r="24" spans="1:19" ht="16" customHeight="1">
      <c r="A24" s="78"/>
      <c r="B24" s="38" t="s">
        <v>168</v>
      </c>
      <c r="C24" s="51">
        <v>73300</v>
      </c>
      <c r="D24" s="59">
        <v>72200</v>
      </c>
      <c r="E24" s="45">
        <v>74400</v>
      </c>
      <c r="F24" s="60">
        <v>3</v>
      </c>
      <c r="G24" s="58">
        <v>1</v>
      </c>
      <c r="H24" s="58">
        <v>10</v>
      </c>
      <c r="I24" s="56">
        <v>0.6</v>
      </c>
      <c r="J24" s="56">
        <v>0.2</v>
      </c>
      <c r="K24" s="58">
        <v>2</v>
      </c>
      <c r="L24" s="55"/>
      <c r="M24" s="32">
        <f t="shared" si="0"/>
        <v>7.3299999999999995E-11</v>
      </c>
      <c r="N24" s="32">
        <f t="shared" si="1"/>
        <v>7.2199999999999994E-11</v>
      </c>
      <c r="O24" s="32">
        <f t="shared" si="2"/>
        <v>7.4399999999999996E-11</v>
      </c>
      <c r="Q24" s="31">
        <f t="shared" si="3"/>
        <v>7.3300000000000004E-2</v>
      </c>
      <c r="R24" s="31">
        <f t="shared" si="4"/>
        <v>7.22E-2</v>
      </c>
      <c r="S24" s="31">
        <f t="shared" si="5"/>
        <v>7.4399999999999994E-2</v>
      </c>
    </row>
    <row r="25" spans="1:19" ht="16" customHeight="1">
      <c r="A25" s="78"/>
      <c r="B25" s="38" t="s">
        <v>167</v>
      </c>
      <c r="C25" s="51">
        <v>73300</v>
      </c>
      <c r="D25" s="59">
        <v>72200</v>
      </c>
      <c r="E25" s="45">
        <v>74400</v>
      </c>
      <c r="F25" s="60">
        <v>3</v>
      </c>
      <c r="G25" s="58">
        <v>1</v>
      </c>
      <c r="H25" s="58">
        <v>10</v>
      </c>
      <c r="I25" s="56">
        <v>0.6</v>
      </c>
      <c r="J25" s="56">
        <v>0.2</v>
      </c>
      <c r="K25" s="58">
        <v>2</v>
      </c>
      <c r="L25" s="55"/>
      <c r="M25" s="32">
        <f t="shared" si="0"/>
        <v>7.3299999999999995E-11</v>
      </c>
      <c r="N25" s="32">
        <f t="shared" si="1"/>
        <v>7.2199999999999994E-11</v>
      </c>
      <c r="O25" s="32">
        <f t="shared" si="2"/>
        <v>7.4399999999999996E-11</v>
      </c>
      <c r="Q25" s="31">
        <f t="shared" si="3"/>
        <v>7.3300000000000004E-2</v>
      </c>
      <c r="R25" s="31">
        <f t="shared" si="4"/>
        <v>7.22E-2</v>
      </c>
      <c r="S25" s="31">
        <f t="shared" si="5"/>
        <v>7.4399999999999994E-2</v>
      </c>
    </row>
    <row r="26" spans="1:19" ht="16" customHeight="1">
      <c r="A26" s="79"/>
      <c r="B26" s="38" t="s">
        <v>166</v>
      </c>
      <c r="C26" s="51">
        <v>73300</v>
      </c>
      <c r="D26" s="59">
        <v>72200</v>
      </c>
      <c r="E26" s="45">
        <v>74400</v>
      </c>
      <c r="F26" s="60">
        <v>3</v>
      </c>
      <c r="G26" s="58">
        <v>1</v>
      </c>
      <c r="H26" s="58">
        <v>10</v>
      </c>
      <c r="I26" s="56">
        <v>0.6</v>
      </c>
      <c r="J26" s="56">
        <v>0.2</v>
      </c>
      <c r="K26" s="58">
        <v>2</v>
      </c>
      <c r="L26" s="55"/>
      <c r="M26" s="32">
        <f t="shared" si="0"/>
        <v>7.3299999999999995E-11</v>
      </c>
      <c r="N26" s="32">
        <f t="shared" si="1"/>
        <v>7.2199999999999994E-11</v>
      </c>
      <c r="O26" s="32">
        <f t="shared" si="2"/>
        <v>7.4399999999999996E-11</v>
      </c>
      <c r="Q26" s="31">
        <f t="shared" si="3"/>
        <v>7.3300000000000004E-2</v>
      </c>
      <c r="R26" s="31">
        <f t="shared" si="4"/>
        <v>7.22E-2</v>
      </c>
      <c r="S26" s="31">
        <f t="shared" si="5"/>
        <v>7.4399999999999994E-2</v>
      </c>
    </row>
    <row r="27" spans="1:19" ht="16" customHeight="1">
      <c r="A27" s="80" t="s">
        <v>165</v>
      </c>
      <c r="B27" s="81"/>
      <c r="C27" s="51">
        <v>98300</v>
      </c>
      <c r="D27" s="59">
        <v>94600</v>
      </c>
      <c r="E27" s="45">
        <v>101000</v>
      </c>
      <c r="F27" s="58">
        <v>1</v>
      </c>
      <c r="G27" s="56">
        <v>0.3</v>
      </c>
      <c r="H27" s="58">
        <v>3</v>
      </c>
      <c r="I27" s="63">
        <v>1.5</v>
      </c>
      <c r="J27" s="56">
        <v>0.5</v>
      </c>
      <c r="K27" s="58">
        <v>5</v>
      </c>
      <c r="L27" s="55"/>
      <c r="M27" s="32">
        <f t="shared" si="0"/>
        <v>9.8299999999999999E-11</v>
      </c>
      <c r="N27" s="32">
        <f t="shared" si="1"/>
        <v>9.4600000000000002E-11</v>
      </c>
      <c r="O27" s="32">
        <f t="shared" si="2"/>
        <v>1.01E-10</v>
      </c>
      <c r="Q27" s="31">
        <f t="shared" si="3"/>
        <v>9.8299999999999998E-2</v>
      </c>
      <c r="R27" s="31">
        <f t="shared" si="4"/>
        <v>9.4600000000000004E-2</v>
      </c>
      <c r="S27" s="31">
        <f t="shared" si="5"/>
        <v>0.10100000000000001</v>
      </c>
    </row>
    <row r="28" spans="1:19" ht="16" customHeight="1">
      <c r="A28" s="80" t="s">
        <v>164</v>
      </c>
      <c r="B28" s="81"/>
      <c r="C28" s="51">
        <v>94600</v>
      </c>
      <c r="D28" s="59">
        <v>87300</v>
      </c>
      <c r="E28" s="45">
        <v>101000</v>
      </c>
      <c r="F28" s="58">
        <v>1</v>
      </c>
      <c r="G28" s="56">
        <v>0.3</v>
      </c>
      <c r="H28" s="58">
        <v>3</v>
      </c>
      <c r="I28" s="63">
        <v>1.5</v>
      </c>
      <c r="J28" s="56">
        <v>0.5</v>
      </c>
      <c r="K28" s="58">
        <v>5</v>
      </c>
      <c r="L28" s="55"/>
      <c r="M28" s="32">
        <f t="shared" si="0"/>
        <v>9.4600000000000002E-11</v>
      </c>
      <c r="N28" s="32">
        <f t="shared" si="1"/>
        <v>8.7299999999999998E-11</v>
      </c>
      <c r="O28" s="32">
        <f t="shared" si="2"/>
        <v>1.01E-10</v>
      </c>
      <c r="Q28" s="31">
        <f t="shared" si="3"/>
        <v>9.4600000000000004E-2</v>
      </c>
      <c r="R28" s="31">
        <f t="shared" si="4"/>
        <v>8.7300000000000003E-2</v>
      </c>
      <c r="S28" s="31">
        <f t="shared" si="5"/>
        <v>0.10100000000000001</v>
      </c>
    </row>
    <row r="29" spans="1:19" ht="16" customHeight="1">
      <c r="A29" s="80" t="s">
        <v>163</v>
      </c>
      <c r="B29" s="81"/>
      <c r="C29" s="51">
        <v>94600</v>
      </c>
      <c r="D29" s="59">
        <v>89500</v>
      </c>
      <c r="E29" s="45">
        <v>99700</v>
      </c>
      <c r="F29" s="58">
        <v>1</v>
      </c>
      <c r="G29" s="56">
        <v>0.3</v>
      </c>
      <c r="H29" s="58">
        <v>3</v>
      </c>
      <c r="I29" s="63">
        <v>1.5</v>
      </c>
      <c r="J29" s="56">
        <v>0.5</v>
      </c>
      <c r="K29" s="58">
        <v>5</v>
      </c>
      <c r="L29" s="55"/>
      <c r="M29" s="32">
        <f t="shared" si="0"/>
        <v>9.4600000000000002E-11</v>
      </c>
      <c r="N29" s="32">
        <f t="shared" si="1"/>
        <v>8.9500000000000001E-11</v>
      </c>
      <c r="O29" s="32">
        <f t="shared" si="2"/>
        <v>9.9700000000000002E-11</v>
      </c>
      <c r="Q29" s="31">
        <f t="shared" si="3"/>
        <v>9.4600000000000004E-2</v>
      </c>
      <c r="R29" s="31">
        <f t="shared" si="4"/>
        <v>8.9499999999999996E-2</v>
      </c>
      <c r="S29" s="31">
        <f t="shared" si="5"/>
        <v>9.9699999999999997E-2</v>
      </c>
    </row>
    <row r="30" spans="1:19" ht="16" customHeight="1">
      <c r="A30" s="80" t="s">
        <v>162</v>
      </c>
      <c r="B30" s="81"/>
      <c r="C30" s="51">
        <v>96100</v>
      </c>
      <c r="D30" s="59">
        <v>92800</v>
      </c>
      <c r="E30" s="45">
        <v>100000</v>
      </c>
      <c r="F30" s="58">
        <v>1</v>
      </c>
      <c r="G30" s="56">
        <v>0.3</v>
      </c>
      <c r="H30" s="58">
        <v>3</v>
      </c>
      <c r="I30" s="63">
        <v>1.5</v>
      </c>
      <c r="J30" s="56">
        <v>0.5</v>
      </c>
      <c r="K30" s="58">
        <v>5</v>
      </c>
      <c r="L30" s="55"/>
      <c r="M30" s="32">
        <f t="shared" si="0"/>
        <v>9.6099999999999996E-11</v>
      </c>
      <c r="N30" s="32">
        <f t="shared" si="1"/>
        <v>9.2800000000000005E-11</v>
      </c>
      <c r="O30" s="32">
        <f t="shared" si="2"/>
        <v>1E-10</v>
      </c>
      <c r="Q30" s="31">
        <f t="shared" si="3"/>
        <v>9.6100000000000005E-2</v>
      </c>
      <c r="R30" s="31">
        <f t="shared" si="4"/>
        <v>9.2799999999999994E-2</v>
      </c>
      <c r="S30" s="31">
        <f t="shared" si="5"/>
        <v>0.1</v>
      </c>
    </row>
    <row r="31" spans="1:19" ht="16" customHeight="1">
      <c r="A31" s="80" t="s">
        <v>161</v>
      </c>
      <c r="B31" s="81"/>
      <c r="C31" s="51">
        <v>101000</v>
      </c>
      <c r="D31" s="59">
        <v>90900</v>
      </c>
      <c r="E31" s="45">
        <v>115000</v>
      </c>
      <c r="F31" s="58">
        <v>1</v>
      </c>
      <c r="G31" s="56">
        <v>0.3</v>
      </c>
      <c r="H31" s="58">
        <v>3</v>
      </c>
      <c r="I31" s="63">
        <v>1.5</v>
      </c>
      <c r="J31" s="56">
        <v>0.5</v>
      </c>
      <c r="K31" s="58">
        <v>5</v>
      </c>
      <c r="L31" s="55"/>
      <c r="M31" s="32">
        <f t="shared" si="0"/>
        <v>1.01E-10</v>
      </c>
      <c r="N31" s="32">
        <f t="shared" si="1"/>
        <v>9.0900000000000004E-11</v>
      </c>
      <c r="O31" s="32">
        <f t="shared" si="2"/>
        <v>1.15E-10</v>
      </c>
      <c r="Q31" s="31">
        <f t="shared" si="3"/>
        <v>0.10100000000000001</v>
      </c>
      <c r="R31" s="31">
        <f t="shared" si="4"/>
        <v>9.0899999999999995E-2</v>
      </c>
      <c r="S31" s="31">
        <f t="shared" si="5"/>
        <v>0.115</v>
      </c>
    </row>
    <row r="32" spans="1:19" ht="16" customHeight="1">
      <c r="A32" s="80" t="s">
        <v>160</v>
      </c>
      <c r="B32" s="81"/>
      <c r="C32" s="51">
        <v>107000</v>
      </c>
      <c r="D32" s="59">
        <v>90200</v>
      </c>
      <c r="E32" s="45">
        <v>125000</v>
      </c>
      <c r="F32" s="58">
        <v>1</v>
      </c>
      <c r="G32" s="56">
        <v>0.3</v>
      </c>
      <c r="H32" s="58">
        <v>3</v>
      </c>
      <c r="I32" s="63">
        <v>1.5</v>
      </c>
      <c r="J32" s="56">
        <v>0.5</v>
      </c>
      <c r="K32" s="58">
        <v>5</v>
      </c>
      <c r="L32" s="55"/>
      <c r="M32" s="32">
        <f t="shared" si="0"/>
        <v>1.0700000000000001E-10</v>
      </c>
      <c r="N32" s="32">
        <f t="shared" si="1"/>
        <v>9.0199999999999996E-11</v>
      </c>
      <c r="O32" s="32">
        <f t="shared" si="2"/>
        <v>1.2500000000000001E-10</v>
      </c>
      <c r="Q32" s="31">
        <f t="shared" si="3"/>
        <v>0.107</v>
      </c>
      <c r="R32" s="31">
        <f t="shared" si="4"/>
        <v>9.0200000000000002E-2</v>
      </c>
      <c r="S32" s="31">
        <f t="shared" si="5"/>
        <v>0.125</v>
      </c>
    </row>
    <row r="33" spans="1:19" ht="16" customHeight="1">
      <c r="A33" s="80" t="s">
        <v>159</v>
      </c>
      <c r="B33" s="81"/>
      <c r="C33" s="51">
        <v>97500</v>
      </c>
      <c r="D33" s="59">
        <v>87300</v>
      </c>
      <c r="E33" s="45">
        <v>109000</v>
      </c>
      <c r="F33" s="60">
        <v>1</v>
      </c>
      <c r="G33" s="56">
        <v>0.3</v>
      </c>
      <c r="H33" s="58">
        <v>3</v>
      </c>
      <c r="I33" s="63">
        <v>1.5</v>
      </c>
      <c r="J33" s="56">
        <v>0.5</v>
      </c>
      <c r="K33" s="58">
        <v>5</v>
      </c>
      <c r="L33" s="55"/>
      <c r="M33" s="32">
        <f t="shared" si="0"/>
        <v>9.7499999999999999E-11</v>
      </c>
      <c r="N33" s="32">
        <f t="shared" si="1"/>
        <v>8.7299999999999998E-11</v>
      </c>
      <c r="O33" s="32">
        <f t="shared" si="2"/>
        <v>1.09E-10</v>
      </c>
      <c r="Q33" s="31">
        <f t="shared" si="3"/>
        <v>9.7500000000000003E-2</v>
      </c>
      <c r="R33" s="31">
        <f t="shared" si="4"/>
        <v>8.7300000000000003E-2</v>
      </c>
      <c r="S33" s="31">
        <f t="shared" si="5"/>
        <v>0.109</v>
      </c>
    </row>
    <row r="34" spans="1:19" ht="16" customHeight="1">
      <c r="A34" s="80" t="s">
        <v>158</v>
      </c>
      <c r="B34" s="81"/>
      <c r="C34" s="51">
        <v>97500</v>
      </c>
      <c r="D34" s="59">
        <v>87300</v>
      </c>
      <c r="E34" s="45">
        <v>109000</v>
      </c>
      <c r="F34" s="58">
        <v>1</v>
      </c>
      <c r="G34" s="56">
        <v>0.3</v>
      </c>
      <c r="H34" s="58">
        <v>3</v>
      </c>
      <c r="I34" s="63">
        <v>1.5</v>
      </c>
      <c r="J34" s="56">
        <v>0.5</v>
      </c>
      <c r="K34" s="58">
        <v>5</v>
      </c>
      <c r="L34" s="55"/>
      <c r="M34" s="32">
        <f t="shared" si="0"/>
        <v>9.7499999999999999E-11</v>
      </c>
      <c r="N34" s="32">
        <f t="shared" si="1"/>
        <v>8.7299999999999998E-11</v>
      </c>
      <c r="O34" s="32">
        <f t="shared" si="2"/>
        <v>1.09E-10</v>
      </c>
      <c r="Q34" s="31">
        <f t="shared" si="3"/>
        <v>9.7500000000000003E-2</v>
      </c>
      <c r="R34" s="31">
        <f t="shared" si="4"/>
        <v>8.7300000000000003E-2</v>
      </c>
      <c r="S34" s="31">
        <f t="shared" si="5"/>
        <v>0.109</v>
      </c>
    </row>
    <row r="35" spans="1:19" ht="16" customHeight="1">
      <c r="A35" s="77" t="s">
        <v>157</v>
      </c>
      <c r="B35" s="61" t="s">
        <v>156</v>
      </c>
      <c r="C35" s="62">
        <v>107000</v>
      </c>
      <c r="D35" s="59">
        <v>95700</v>
      </c>
      <c r="E35" s="45">
        <v>119000</v>
      </c>
      <c r="F35" s="58">
        <v>1</v>
      </c>
      <c r="G35" s="56">
        <v>0.3</v>
      </c>
      <c r="H35" s="58">
        <v>3</v>
      </c>
      <c r="I35" s="63">
        <v>1.5</v>
      </c>
      <c r="J35" s="56">
        <v>0.5</v>
      </c>
      <c r="K35" s="58">
        <v>5</v>
      </c>
      <c r="L35" s="64"/>
      <c r="M35" s="32">
        <f t="shared" si="0"/>
        <v>1.0700000000000001E-10</v>
      </c>
      <c r="N35" s="32">
        <f t="shared" si="1"/>
        <v>9.5700000000000003E-11</v>
      </c>
      <c r="O35" s="32">
        <f t="shared" si="2"/>
        <v>1.19E-10</v>
      </c>
      <c r="Q35" s="31">
        <f t="shared" si="3"/>
        <v>0.107</v>
      </c>
      <c r="R35" s="31">
        <f t="shared" si="4"/>
        <v>9.5699999999999993E-2</v>
      </c>
      <c r="S35" s="31">
        <f t="shared" si="5"/>
        <v>0.11899999999999999</v>
      </c>
    </row>
    <row r="36" spans="1:19" ht="16" customHeight="1">
      <c r="A36" s="79"/>
      <c r="B36" s="61" t="s">
        <v>155</v>
      </c>
      <c r="C36" s="62">
        <v>107000</v>
      </c>
      <c r="D36" s="59">
        <v>95700</v>
      </c>
      <c r="E36" s="45">
        <v>119000</v>
      </c>
      <c r="F36" s="60">
        <v>1</v>
      </c>
      <c r="G36" s="56">
        <v>0.3</v>
      </c>
      <c r="H36" s="58">
        <v>3</v>
      </c>
      <c r="I36" s="56">
        <v>0.1</v>
      </c>
      <c r="J36" s="57">
        <v>0.03</v>
      </c>
      <c r="K36" s="56">
        <v>0.3</v>
      </c>
      <c r="L36" s="55"/>
      <c r="M36" s="32">
        <f t="shared" si="0"/>
        <v>1.0700000000000001E-10</v>
      </c>
      <c r="N36" s="32">
        <f t="shared" si="1"/>
        <v>9.5700000000000003E-11</v>
      </c>
      <c r="O36" s="32">
        <f t="shared" si="2"/>
        <v>1.19E-10</v>
      </c>
      <c r="Q36" s="31">
        <f t="shared" si="3"/>
        <v>0.107</v>
      </c>
      <c r="R36" s="31">
        <f t="shared" si="4"/>
        <v>9.5699999999999993E-2</v>
      </c>
      <c r="S36" s="31">
        <f t="shared" si="5"/>
        <v>0.11899999999999999</v>
      </c>
    </row>
    <row r="37" spans="1:19" ht="16" customHeight="1">
      <c r="A37" s="80" t="s">
        <v>154</v>
      </c>
      <c r="B37" s="81"/>
      <c r="C37" s="62">
        <v>80700</v>
      </c>
      <c r="D37" s="59">
        <v>68200</v>
      </c>
      <c r="E37" s="45">
        <v>95300</v>
      </c>
      <c r="F37" s="60">
        <v>1</v>
      </c>
      <c r="G37" s="56">
        <v>0.3</v>
      </c>
      <c r="H37" s="58">
        <v>3</v>
      </c>
      <c r="I37" s="63">
        <v>1.5</v>
      </c>
      <c r="J37" s="56">
        <v>0.5</v>
      </c>
      <c r="K37" s="58">
        <v>5</v>
      </c>
      <c r="L37" s="55"/>
      <c r="M37" s="32">
        <f t="shared" si="0"/>
        <v>8.0700000000000003E-11</v>
      </c>
      <c r="N37" s="32">
        <f t="shared" si="1"/>
        <v>6.8199999999999995E-11</v>
      </c>
      <c r="O37" s="32">
        <f t="shared" si="2"/>
        <v>9.5299999999999997E-11</v>
      </c>
      <c r="Q37" s="31">
        <f t="shared" si="3"/>
        <v>8.0699999999999994E-2</v>
      </c>
      <c r="R37" s="31">
        <f t="shared" si="4"/>
        <v>6.8199999999999997E-2</v>
      </c>
      <c r="S37" s="31">
        <f t="shared" si="5"/>
        <v>9.5299999999999996E-2</v>
      </c>
    </row>
    <row r="38" spans="1:19" ht="16" customHeight="1">
      <c r="A38" s="77" t="s">
        <v>153</v>
      </c>
      <c r="B38" s="38" t="s">
        <v>152</v>
      </c>
      <c r="C38" s="62">
        <v>44400</v>
      </c>
      <c r="D38" s="59">
        <v>37300</v>
      </c>
      <c r="E38" s="45">
        <v>54100</v>
      </c>
      <c r="F38" s="60">
        <v>1</v>
      </c>
      <c r="G38" s="56">
        <v>0.3</v>
      </c>
      <c r="H38" s="58">
        <v>3</v>
      </c>
      <c r="I38" s="56">
        <v>0.1</v>
      </c>
      <c r="J38" s="57">
        <v>0.03</v>
      </c>
      <c r="K38" s="56">
        <v>0.3</v>
      </c>
      <c r="L38" s="55"/>
      <c r="M38" s="32">
        <f t="shared" si="0"/>
        <v>4.4400000000000003E-11</v>
      </c>
      <c r="N38" s="32">
        <f t="shared" si="1"/>
        <v>3.7300000000000003E-11</v>
      </c>
      <c r="O38" s="32">
        <f t="shared" si="2"/>
        <v>5.4099999999999999E-11</v>
      </c>
      <c r="Q38" s="31">
        <f t="shared" si="3"/>
        <v>4.4400000000000002E-2</v>
      </c>
      <c r="R38" s="31">
        <f t="shared" si="4"/>
        <v>3.73E-2</v>
      </c>
      <c r="S38" s="31">
        <f t="shared" si="5"/>
        <v>5.4100000000000002E-2</v>
      </c>
    </row>
    <row r="39" spans="1:19" ht="16" customHeight="1">
      <c r="A39" s="78"/>
      <c r="B39" s="38" t="s">
        <v>151</v>
      </c>
      <c r="C39" s="62">
        <v>44400</v>
      </c>
      <c r="D39" s="59">
        <v>37300</v>
      </c>
      <c r="E39" s="45">
        <v>54100</v>
      </c>
      <c r="F39" s="60">
        <v>1</v>
      </c>
      <c r="G39" s="56">
        <v>0.3</v>
      </c>
      <c r="H39" s="58">
        <v>3</v>
      </c>
      <c r="I39" s="56">
        <v>0.1</v>
      </c>
      <c r="J39" s="57">
        <v>0.03</v>
      </c>
      <c r="K39" s="56">
        <v>0.3</v>
      </c>
      <c r="L39" s="55"/>
      <c r="M39" s="32">
        <f t="shared" si="0"/>
        <v>4.4400000000000003E-11</v>
      </c>
      <c r="N39" s="32">
        <f t="shared" si="1"/>
        <v>3.7300000000000003E-11</v>
      </c>
      <c r="O39" s="32">
        <f t="shared" si="2"/>
        <v>5.4099999999999999E-11</v>
      </c>
      <c r="Q39" s="31">
        <f t="shared" si="3"/>
        <v>4.4400000000000002E-2</v>
      </c>
      <c r="R39" s="31">
        <f t="shared" si="4"/>
        <v>3.73E-2</v>
      </c>
      <c r="S39" s="31">
        <f t="shared" si="5"/>
        <v>5.4100000000000002E-2</v>
      </c>
    </row>
    <row r="40" spans="1:19" ht="16" customHeight="1">
      <c r="A40" s="78"/>
      <c r="B40" s="38" t="s">
        <v>150</v>
      </c>
      <c r="C40" s="62">
        <v>260000</v>
      </c>
      <c r="D40" s="61">
        <v>219000</v>
      </c>
      <c r="E40" s="45">
        <v>308000</v>
      </c>
      <c r="F40" s="60">
        <v>1</v>
      </c>
      <c r="G40" s="56">
        <v>0.3</v>
      </c>
      <c r="H40" s="58">
        <v>3</v>
      </c>
      <c r="I40" s="56">
        <v>0.1</v>
      </c>
      <c r="J40" s="57">
        <v>0.03</v>
      </c>
      <c r="K40" s="56">
        <v>0.3</v>
      </c>
      <c r="L40" s="55"/>
      <c r="M40" s="32">
        <f t="shared" si="0"/>
        <v>2.5999999999999998E-10</v>
      </c>
      <c r="N40" s="32">
        <f t="shared" si="1"/>
        <v>2.1899999999999999E-10</v>
      </c>
      <c r="O40" s="32">
        <f t="shared" si="2"/>
        <v>3.0800000000000002E-10</v>
      </c>
      <c r="Q40" s="31">
        <f t="shared" si="3"/>
        <v>0.26</v>
      </c>
      <c r="R40" s="31">
        <f t="shared" si="4"/>
        <v>0.219</v>
      </c>
      <c r="S40" s="31">
        <f t="shared" si="5"/>
        <v>0.308</v>
      </c>
    </row>
    <row r="41" spans="1:19" ht="16" customHeight="1">
      <c r="A41" s="79"/>
      <c r="B41" s="38" t="s">
        <v>149</v>
      </c>
      <c r="C41" s="62">
        <v>182000</v>
      </c>
      <c r="D41" s="61">
        <v>145000</v>
      </c>
      <c r="E41" s="45">
        <v>202000</v>
      </c>
      <c r="F41" s="60">
        <v>1</v>
      </c>
      <c r="G41" s="56">
        <v>0.3</v>
      </c>
      <c r="H41" s="58">
        <v>3</v>
      </c>
      <c r="I41" s="56">
        <v>0.1</v>
      </c>
      <c r="J41" s="57">
        <v>0.03</v>
      </c>
      <c r="K41" s="56">
        <v>0.3</v>
      </c>
      <c r="L41" s="55"/>
      <c r="M41" s="32">
        <f t="shared" si="0"/>
        <v>1.8199999999999999E-10</v>
      </c>
      <c r="N41" s="32">
        <f t="shared" si="1"/>
        <v>1.4499999999999999E-10</v>
      </c>
      <c r="O41" s="32">
        <f t="shared" si="2"/>
        <v>2.02E-10</v>
      </c>
      <c r="Q41" s="31">
        <f t="shared" si="3"/>
        <v>0.182</v>
      </c>
      <c r="R41" s="31">
        <f t="shared" si="4"/>
        <v>0.14499999999999999</v>
      </c>
      <c r="S41" s="31">
        <f t="shared" si="5"/>
        <v>0.20200000000000001</v>
      </c>
    </row>
    <row r="42" spans="1:19" ht="16" customHeight="1">
      <c r="A42" s="80" t="s">
        <v>148</v>
      </c>
      <c r="B42" s="81"/>
      <c r="C42" s="51">
        <v>56100</v>
      </c>
      <c r="D42" s="59">
        <v>54300</v>
      </c>
      <c r="E42" s="45">
        <v>58300</v>
      </c>
      <c r="F42" s="58">
        <v>1</v>
      </c>
      <c r="G42" s="56">
        <v>0.3</v>
      </c>
      <c r="H42" s="58">
        <v>3</v>
      </c>
      <c r="I42" s="56">
        <v>0.1</v>
      </c>
      <c r="J42" s="57">
        <v>0.03</v>
      </c>
      <c r="K42" s="56">
        <v>0.3</v>
      </c>
      <c r="L42" s="55"/>
      <c r="M42" s="32">
        <f t="shared" si="0"/>
        <v>5.6099999999999999E-11</v>
      </c>
      <c r="N42" s="32">
        <f t="shared" si="1"/>
        <v>5.4300000000000002E-11</v>
      </c>
      <c r="O42" s="32">
        <f t="shared" si="2"/>
        <v>5.8299999999999995E-11</v>
      </c>
      <c r="Q42" s="31">
        <f t="shared" si="3"/>
        <v>5.6099999999999997E-2</v>
      </c>
      <c r="R42" s="31">
        <f t="shared" si="4"/>
        <v>5.4300000000000001E-2</v>
      </c>
      <c r="S42" s="31">
        <f t="shared" si="5"/>
        <v>5.8299999999999998E-2</v>
      </c>
    </row>
    <row r="43" spans="1:19" ht="68.5" customHeight="1">
      <c r="A43" s="92" t="s">
        <v>147</v>
      </c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</row>
    <row r="44" spans="1:19" ht="43" customHeight="1">
      <c r="A44" s="82" t="s">
        <v>146</v>
      </c>
      <c r="B44" s="83"/>
      <c r="C44" s="83"/>
      <c r="D44" s="83"/>
      <c r="E44" s="83"/>
      <c r="F44" s="83"/>
      <c r="G44" s="83"/>
      <c r="H44" s="83"/>
      <c r="I44" s="83"/>
      <c r="J44" s="83"/>
      <c r="K44" s="84"/>
    </row>
    <row r="45" spans="1:19" ht="16" customHeight="1">
      <c r="A45" s="85" t="s">
        <v>145</v>
      </c>
      <c r="B45" s="86"/>
      <c r="C45" s="89" t="s">
        <v>144</v>
      </c>
      <c r="D45" s="90"/>
      <c r="E45" s="91"/>
      <c r="F45" s="89" t="s">
        <v>143</v>
      </c>
      <c r="G45" s="90"/>
      <c r="H45" s="91"/>
      <c r="I45" s="89" t="s">
        <v>142</v>
      </c>
      <c r="J45" s="90"/>
      <c r="K45" s="91"/>
      <c r="L45" s="40"/>
      <c r="M45" s="40"/>
    </row>
    <row r="46" spans="1:19" ht="34" customHeight="1">
      <c r="A46" s="87"/>
      <c r="B46" s="88"/>
      <c r="C46" s="54" t="s">
        <v>141</v>
      </c>
      <c r="D46" s="54" t="s">
        <v>140</v>
      </c>
      <c r="E46" s="54" t="s">
        <v>139</v>
      </c>
      <c r="F46" s="54" t="s">
        <v>141</v>
      </c>
      <c r="G46" s="54" t="s">
        <v>140</v>
      </c>
      <c r="H46" s="54" t="s">
        <v>139</v>
      </c>
      <c r="I46" s="54" t="s">
        <v>141</v>
      </c>
      <c r="J46" s="54" t="s">
        <v>140</v>
      </c>
      <c r="K46" s="54" t="s">
        <v>139</v>
      </c>
    </row>
    <row r="47" spans="1:19" ht="17" customHeight="1">
      <c r="A47" s="80" t="s">
        <v>138</v>
      </c>
      <c r="B47" s="81"/>
      <c r="C47" s="37">
        <v>91700</v>
      </c>
      <c r="D47" s="36">
        <v>73300</v>
      </c>
      <c r="E47" s="36">
        <v>121000</v>
      </c>
      <c r="F47" s="33">
        <v>30</v>
      </c>
      <c r="G47" s="33">
        <v>10</v>
      </c>
      <c r="H47" s="33">
        <v>100</v>
      </c>
      <c r="I47" s="33">
        <v>4</v>
      </c>
      <c r="J47" s="34">
        <v>1.5</v>
      </c>
      <c r="K47" s="33">
        <v>15</v>
      </c>
      <c r="L47" s="53"/>
      <c r="M47" s="32">
        <f t="shared" ref="M47:M61" si="6">C47/($R$1*$U$1)</f>
        <v>9.1700000000000004E-11</v>
      </c>
      <c r="N47" s="32">
        <f t="shared" ref="N47:N61" si="7">D47/($R$1*$U$1)</f>
        <v>7.3299999999999995E-11</v>
      </c>
      <c r="O47" s="32">
        <f t="shared" ref="O47:O61" si="8">E47/($R$1*$U$1)</f>
        <v>1.21E-10</v>
      </c>
      <c r="Q47" s="31">
        <f t="shared" ref="Q47:Q61" si="9">C47/($R$1)</f>
        <v>9.1700000000000004E-2</v>
      </c>
      <c r="R47" s="31">
        <f t="shared" ref="R47:R61" si="10">D47/($R$1)</f>
        <v>7.3300000000000004E-2</v>
      </c>
      <c r="S47" s="31">
        <f t="shared" ref="S47:S61" si="11">E47/($R$1)</f>
        <v>0.121</v>
      </c>
    </row>
    <row r="48" spans="1:19" ht="17" customHeight="1">
      <c r="A48" s="80" t="s">
        <v>137</v>
      </c>
      <c r="B48" s="81"/>
      <c r="C48" s="44">
        <v>143000</v>
      </c>
      <c r="D48" s="45">
        <v>110000</v>
      </c>
      <c r="E48" s="45">
        <v>183000</v>
      </c>
      <c r="F48" s="43">
        <v>30</v>
      </c>
      <c r="G48" s="43">
        <v>10</v>
      </c>
      <c r="H48" s="43">
        <v>100</v>
      </c>
      <c r="I48" s="43">
        <v>4</v>
      </c>
      <c r="J48" s="41">
        <v>1.5</v>
      </c>
      <c r="K48" s="43">
        <v>15</v>
      </c>
      <c r="L48" s="52"/>
      <c r="M48" s="32">
        <f t="shared" si="6"/>
        <v>1.43E-10</v>
      </c>
      <c r="N48" s="32">
        <f t="shared" si="7"/>
        <v>1.0999999999999999E-10</v>
      </c>
      <c r="O48" s="32">
        <f t="shared" si="8"/>
        <v>1.8299999999999999E-10</v>
      </c>
      <c r="Q48" s="31">
        <f t="shared" si="9"/>
        <v>0.14299999999999999</v>
      </c>
      <c r="R48" s="31">
        <f t="shared" si="10"/>
        <v>0.11</v>
      </c>
      <c r="S48" s="31">
        <f t="shared" si="11"/>
        <v>0.183</v>
      </c>
    </row>
    <row r="49" spans="1:19" ht="17" customHeight="1">
      <c r="A49" s="80" t="s">
        <v>136</v>
      </c>
      <c r="B49" s="81"/>
      <c r="C49" s="44">
        <v>73300</v>
      </c>
      <c r="D49" s="45">
        <v>72200</v>
      </c>
      <c r="E49" s="45">
        <v>74400</v>
      </c>
      <c r="F49" s="43">
        <v>30</v>
      </c>
      <c r="G49" s="43">
        <v>10</v>
      </c>
      <c r="H49" s="43">
        <v>100</v>
      </c>
      <c r="I49" s="43">
        <v>4</v>
      </c>
      <c r="J49" s="41">
        <v>1.5</v>
      </c>
      <c r="K49" s="43">
        <v>15</v>
      </c>
      <c r="L49" s="40"/>
      <c r="M49" s="32">
        <f t="shared" si="6"/>
        <v>7.3299999999999995E-11</v>
      </c>
      <c r="N49" s="32">
        <f t="shared" si="7"/>
        <v>7.2199999999999994E-11</v>
      </c>
      <c r="O49" s="32">
        <f t="shared" si="8"/>
        <v>7.4399999999999996E-11</v>
      </c>
      <c r="Q49" s="31">
        <f t="shared" si="9"/>
        <v>7.3300000000000004E-2</v>
      </c>
      <c r="R49" s="31">
        <f t="shared" si="10"/>
        <v>7.22E-2</v>
      </c>
      <c r="S49" s="31">
        <f t="shared" si="11"/>
        <v>7.4399999999999994E-2</v>
      </c>
    </row>
    <row r="50" spans="1:19" ht="17" customHeight="1">
      <c r="A50" s="80" t="s">
        <v>135</v>
      </c>
      <c r="B50" s="81"/>
      <c r="C50" s="51">
        <v>106000</v>
      </c>
      <c r="D50" s="45">
        <v>100000</v>
      </c>
      <c r="E50" s="45">
        <v>108000</v>
      </c>
      <c r="F50" s="50">
        <v>1</v>
      </c>
      <c r="G50" s="41">
        <v>0.3</v>
      </c>
      <c r="H50" s="43">
        <v>3</v>
      </c>
      <c r="I50" s="49">
        <v>1.5</v>
      </c>
      <c r="J50" s="41">
        <v>0.5</v>
      </c>
      <c r="K50" s="43">
        <v>5</v>
      </c>
      <c r="L50" s="40"/>
      <c r="M50" s="32">
        <f t="shared" si="6"/>
        <v>1.06E-10</v>
      </c>
      <c r="N50" s="32">
        <f t="shared" si="7"/>
        <v>1E-10</v>
      </c>
      <c r="O50" s="32">
        <f t="shared" si="8"/>
        <v>1.08E-10</v>
      </c>
      <c r="Q50" s="31">
        <f t="shared" si="9"/>
        <v>0.106</v>
      </c>
      <c r="R50" s="31">
        <f t="shared" si="10"/>
        <v>0.1</v>
      </c>
      <c r="S50" s="31">
        <f t="shared" si="11"/>
        <v>0.108</v>
      </c>
    </row>
    <row r="51" spans="1:19" ht="17" customHeight="1">
      <c r="A51" s="77" t="s">
        <v>134</v>
      </c>
      <c r="B51" s="38" t="s">
        <v>133</v>
      </c>
      <c r="C51" s="44">
        <v>112000</v>
      </c>
      <c r="D51" s="45">
        <v>95000</v>
      </c>
      <c r="E51" s="45">
        <v>132000</v>
      </c>
      <c r="F51" s="43">
        <v>30</v>
      </c>
      <c r="G51" s="43">
        <v>10</v>
      </c>
      <c r="H51" s="43">
        <v>100</v>
      </c>
      <c r="I51" s="43">
        <v>4</v>
      </c>
      <c r="J51" s="41">
        <v>1.5</v>
      </c>
      <c r="K51" s="43">
        <v>15</v>
      </c>
      <c r="L51" s="40"/>
      <c r="M51" s="32">
        <f t="shared" si="6"/>
        <v>1.12E-10</v>
      </c>
      <c r="N51" s="32">
        <f t="shared" si="7"/>
        <v>9.4999999999999995E-11</v>
      </c>
      <c r="O51" s="32">
        <f t="shared" si="8"/>
        <v>1.3200000000000001E-10</v>
      </c>
      <c r="Q51" s="31">
        <f t="shared" si="9"/>
        <v>0.112</v>
      </c>
      <c r="R51" s="31">
        <f t="shared" si="10"/>
        <v>9.5000000000000001E-2</v>
      </c>
      <c r="S51" s="31">
        <f t="shared" si="11"/>
        <v>0.13200000000000001</v>
      </c>
    </row>
    <row r="52" spans="1:19" ht="17" customHeight="1">
      <c r="A52" s="78"/>
      <c r="B52" s="38" t="s">
        <v>132</v>
      </c>
      <c r="C52" s="37">
        <v>95300</v>
      </c>
      <c r="D52" s="36">
        <v>80700</v>
      </c>
      <c r="E52" s="36">
        <v>110000</v>
      </c>
      <c r="F52" s="48">
        <v>3</v>
      </c>
      <c r="G52" s="33">
        <v>1</v>
      </c>
      <c r="H52" s="33">
        <v>18</v>
      </c>
      <c r="I52" s="47">
        <v>2</v>
      </c>
      <c r="J52" s="33">
        <v>1</v>
      </c>
      <c r="K52" s="33">
        <v>21</v>
      </c>
      <c r="L52" s="46"/>
      <c r="M52" s="32">
        <f t="shared" si="6"/>
        <v>9.5299999999999997E-11</v>
      </c>
      <c r="N52" s="32">
        <f t="shared" si="7"/>
        <v>8.0700000000000003E-11</v>
      </c>
      <c r="O52" s="32">
        <f t="shared" si="8"/>
        <v>1.0999999999999999E-10</v>
      </c>
      <c r="Q52" s="31">
        <f t="shared" si="9"/>
        <v>9.5299999999999996E-2</v>
      </c>
      <c r="R52" s="31">
        <f t="shared" si="10"/>
        <v>8.0699999999999994E-2</v>
      </c>
      <c r="S52" s="31">
        <f t="shared" si="11"/>
        <v>0.11</v>
      </c>
    </row>
    <row r="53" spans="1:19" ht="17" customHeight="1">
      <c r="A53" s="78"/>
      <c r="B53" s="38" t="s">
        <v>131</v>
      </c>
      <c r="C53" s="37">
        <v>100000</v>
      </c>
      <c r="D53" s="36">
        <v>84700</v>
      </c>
      <c r="E53" s="36">
        <v>117000</v>
      </c>
      <c r="F53" s="33">
        <v>30</v>
      </c>
      <c r="G53" s="33">
        <v>10</v>
      </c>
      <c r="H53" s="33">
        <v>100</v>
      </c>
      <c r="I53" s="33">
        <v>4</v>
      </c>
      <c r="J53" s="34">
        <v>1.5</v>
      </c>
      <c r="K53" s="33">
        <v>15</v>
      </c>
      <c r="L53" s="46"/>
      <c r="M53" s="32">
        <f t="shared" si="6"/>
        <v>1E-10</v>
      </c>
      <c r="N53" s="32">
        <f t="shared" si="7"/>
        <v>8.4700000000000002E-11</v>
      </c>
      <c r="O53" s="32">
        <f t="shared" si="8"/>
        <v>1.1700000000000001E-10</v>
      </c>
      <c r="Q53" s="31">
        <f t="shared" si="9"/>
        <v>0.1</v>
      </c>
      <c r="R53" s="31">
        <f t="shared" si="10"/>
        <v>8.4699999999999998E-2</v>
      </c>
      <c r="S53" s="31">
        <f t="shared" si="11"/>
        <v>0.11700000000000001</v>
      </c>
    </row>
    <row r="54" spans="1:19" ht="17" customHeight="1">
      <c r="A54" s="79"/>
      <c r="B54" s="38" t="s">
        <v>130</v>
      </c>
      <c r="C54" s="44">
        <v>112000</v>
      </c>
      <c r="D54" s="45">
        <v>95000</v>
      </c>
      <c r="E54" s="45">
        <v>132000</v>
      </c>
      <c r="F54" s="43">
        <v>200</v>
      </c>
      <c r="G54" s="43">
        <v>70</v>
      </c>
      <c r="H54" s="43">
        <v>600</v>
      </c>
      <c r="I54" s="43">
        <v>4</v>
      </c>
      <c r="J54" s="41">
        <v>1.5</v>
      </c>
      <c r="K54" s="43">
        <v>15</v>
      </c>
      <c r="L54" s="40"/>
      <c r="M54" s="32">
        <f t="shared" si="6"/>
        <v>1.12E-10</v>
      </c>
      <c r="N54" s="32">
        <f t="shared" si="7"/>
        <v>9.4999999999999995E-11</v>
      </c>
      <c r="O54" s="32">
        <f t="shared" si="8"/>
        <v>1.3200000000000001E-10</v>
      </c>
      <c r="Q54" s="31">
        <f t="shared" si="9"/>
        <v>0.112</v>
      </c>
      <c r="R54" s="31">
        <f t="shared" si="10"/>
        <v>9.5000000000000001E-2</v>
      </c>
      <c r="S54" s="31">
        <f t="shared" si="11"/>
        <v>0.13200000000000001</v>
      </c>
    </row>
    <row r="55" spans="1:19" ht="17" customHeight="1">
      <c r="A55" s="77" t="s">
        <v>129</v>
      </c>
      <c r="B55" s="38" t="s">
        <v>128</v>
      </c>
      <c r="C55" s="44">
        <v>70800</v>
      </c>
      <c r="D55" s="45">
        <v>59800</v>
      </c>
      <c r="E55" s="45">
        <v>84300</v>
      </c>
      <c r="F55" s="44">
        <v>3</v>
      </c>
      <c r="G55" s="43">
        <v>1</v>
      </c>
      <c r="H55" s="43">
        <v>10</v>
      </c>
      <c r="I55" s="41">
        <v>0.6</v>
      </c>
      <c r="J55" s="41">
        <v>0.2</v>
      </c>
      <c r="K55" s="43">
        <v>2</v>
      </c>
      <c r="L55" s="40"/>
      <c r="M55" s="32">
        <f t="shared" si="6"/>
        <v>7.0800000000000004E-11</v>
      </c>
      <c r="N55" s="32">
        <f t="shared" si="7"/>
        <v>5.9800000000000003E-11</v>
      </c>
      <c r="O55" s="32">
        <f t="shared" si="8"/>
        <v>8.4299999999999996E-11</v>
      </c>
      <c r="Q55" s="31">
        <f t="shared" si="9"/>
        <v>7.0800000000000002E-2</v>
      </c>
      <c r="R55" s="31">
        <f t="shared" si="10"/>
        <v>5.9799999999999999E-2</v>
      </c>
      <c r="S55" s="31">
        <f t="shared" si="11"/>
        <v>8.43E-2</v>
      </c>
    </row>
    <row r="56" spans="1:19" ht="17" customHeight="1">
      <c r="A56" s="78"/>
      <c r="B56" s="38" t="s">
        <v>127</v>
      </c>
      <c r="C56" s="44">
        <v>70800</v>
      </c>
      <c r="D56" s="45">
        <v>59800</v>
      </c>
      <c r="E56" s="45">
        <v>84300</v>
      </c>
      <c r="F56" s="44">
        <v>3</v>
      </c>
      <c r="G56" s="43">
        <v>1</v>
      </c>
      <c r="H56" s="43">
        <v>10</v>
      </c>
      <c r="I56" s="41">
        <v>0.6</v>
      </c>
      <c r="J56" s="41">
        <v>0.2</v>
      </c>
      <c r="K56" s="43">
        <v>2</v>
      </c>
      <c r="L56" s="40"/>
      <c r="M56" s="32">
        <f t="shared" si="6"/>
        <v>7.0800000000000004E-11</v>
      </c>
      <c r="N56" s="32">
        <f t="shared" si="7"/>
        <v>5.9800000000000003E-11</v>
      </c>
      <c r="O56" s="32">
        <f t="shared" si="8"/>
        <v>8.4299999999999996E-11</v>
      </c>
      <c r="Q56" s="31">
        <f t="shared" si="9"/>
        <v>7.0800000000000002E-2</v>
      </c>
      <c r="R56" s="31">
        <f t="shared" si="10"/>
        <v>5.9799999999999999E-2</v>
      </c>
      <c r="S56" s="31">
        <f t="shared" si="11"/>
        <v>8.43E-2</v>
      </c>
    </row>
    <row r="57" spans="1:19" ht="17" customHeight="1">
      <c r="A57" s="79"/>
      <c r="B57" s="38" t="s">
        <v>126</v>
      </c>
      <c r="C57" s="44">
        <v>79600</v>
      </c>
      <c r="D57" s="45">
        <v>67100</v>
      </c>
      <c r="E57" s="45">
        <v>95300</v>
      </c>
      <c r="F57" s="44">
        <v>3</v>
      </c>
      <c r="G57" s="43">
        <v>1</v>
      </c>
      <c r="H57" s="43">
        <v>10</v>
      </c>
      <c r="I57" s="41">
        <v>0.6</v>
      </c>
      <c r="J57" s="41">
        <v>0.2</v>
      </c>
      <c r="K57" s="43">
        <v>2</v>
      </c>
      <c r="L57" s="40"/>
      <c r="M57" s="32">
        <f t="shared" si="6"/>
        <v>7.9600000000000002E-11</v>
      </c>
      <c r="N57" s="32">
        <f t="shared" si="7"/>
        <v>6.7100000000000006E-11</v>
      </c>
      <c r="O57" s="32">
        <f t="shared" si="8"/>
        <v>9.5299999999999997E-11</v>
      </c>
      <c r="Q57" s="31">
        <f t="shared" si="9"/>
        <v>7.9600000000000004E-2</v>
      </c>
      <c r="R57" s="31">
        <f t="shared" si="10"/>
        <v>6.7100000000000007E-2</v>
      </c>
      <c r="S57" s="31">
        <f t="shared" si="11"/>
        <v>9.5299999999999996E-2</v>
      </c>
    </row>
    <row r="58" spans="1:19" ht="17" customHeight="1">
      <c r="A58" s="77" t="s">
        <v>125</v>
      </c>
      <c r="B58" s="38" t="s">
        <v>124</v>
      </c>
      <c r="C58" s="44">
        <v>54600</v>
      </c>
      <c r="D58" s="45">
        <v>46200</v>
      </c>
      <c r="E58" s="45">
        <v>66000</v>
      </c>
      <c r="F58" s="44">
        <v>1</v>
      </c>
      <c r="G58" s="41">
        <v>0.3</v>
      </c>
      <c r="H58" s="43">
        <v>3</v>
      </c>
      <c r="I58" s="41">
        <v>0.1</v>
      </c>
      <c r="J58" s="42">
        <v>0.03</v>
      </c>
      <c r="K58" s="41">
        <v>0.3</v>
      </c>
      <c r="L58" s="40"/>
      <c r="M58" s="32">
        <f t="shared" si="6"/>
        <v>5.4599999999999998E-11</v>
      </c>
      <c r="N58" s="32">
        <f t="shared" si="7"/>
        <v>4.6199999999999999E-11</v>
      </c>
      <c r="O58" s="32">
        <f t="shared" si="8"/>
        <v>6.6000000000000005E-11</v>
      </c>
      <c r="Q58" s="31">
        <f t="shared" si="9"/>
        <v>5.4600000000000003E-2</v>
      </c>
      <c r="R58" s="31">
        <f t="shared" si="10"/>
        <v>4.6199999999999998E-2</v>
      </c>
      <c r="S58" s="31">
        <f t="shared" si="11"/>
        <v>6.6000000000000003E-2</v>
      </c>
    </row>
    <row r="59" spans="1:19" ht="17" customHeight="1">
      <c r="A59" s="78"/>
      <c r="B59" s="38" t="s">
        <v>123</v>
      </c>
      <c r="C59" s="44">
        <v>54600</v>
      </c>
      <c r="D59" s="45">
        <v>46200</v>
      </c>
      <c r="E59" s="45">
        <v>66000</v>
      </c>
      <c r="F59" s="44">
        <v>1</v>
      </c>
      <c r="G59" s="41">
        <v>0.3</v>
      </c>
      <c r="H59" s="43">
        <v>3</v>
      </c>
      <c r="I59" s="41">
        <v>0.1</v>
      </c>
      <c r="J59" s="42">
        <v>0.03</v>
      </c>
      <c r="K59" s="41">
        <v>0.3</v>
      </c>
      <c r="L59" s="40"/>
      <c r="M59" s="32">
        <f t="shared" si="6"/>
        <v>5.4599999999999998E-11</v>
      </c>
      <c r="N59" s="32">
        <f t="shared" si="7"/>
        <v>4.6199999999999999E-11</v>
      </c>
      <c r="O59" s="32">
        <f t="shared" si="8"/>
        <v>6.6000000000000005E-11</v>
      </c>
      <c r="Q59" s="31">
        <f t="shared" si="9"/>
        <v>5.4600000000000003E-2</v>
      </c>
      <c r="R59" s="31">
        <f t="shared" si="10"/>
        <v>4.6199999999999998E-2</v>
      </c>
      <c r="S59" s="31">
        <f t="shared" si="11"/>
        <v>6.6000000000000003E-2</v>
      </c>
    </row>
    <row r="60" spans="1:19" ht="17" customHeight="1">
      <c r="A60" s="79"/>
      <c r="B60" s="38" t="s">
        <v>122</v>
      </c>
      <c r="C60" s="44">
        <v>54600</v>
      </c>
      <c r="D60" s="45">
        <v>46200</v>
      </c>
      <c r="E60" s="45">
        <v>66000</v>
      </c>
      <c r="F60" s="44">
        <v>1</v>
      </c>
      <c r="G60" s="41">
        <v>0.3</v>
      </c>
      <c r="H60" s="43">
        <v>3</v>
      </c>
      <c r="I60" s="41">
        <v>0.1</v>
      </c>
      <c r="J60" s="42">
        <v>0.03</v>
      </c>
      <c r="K60" s="41">
        <v>0.3</v>
      </c>
      <c r="L60" s="40"/>
      <c r="M60" s="32">
        <f t="shared" si="6"/>
        <v>5.4599999999999998E-11</v>
      </c>
      <c r="N60" s="32">
        <f t="shared" si="7"/>
        <v>4.6199999999999999E-11</v>
      </c>
      <c r="O60" s="32">
        <f t="shared" si="8"/>
        <v>6.6000000000000005E-11</v>
      </c>
      <c r="Q60" s="31">
        <f t="shared" si="9"/>
        <v>5.4600000000000003E-2</v>
      </c>
      <c r="R60" s="31">
        <f t="shared" si="10"/>
        <v>4.6199999999999998E-2</v>
      </c>
      <c r="S60" s="31">
        <f t="shared" si="11"/>
        <v>6.6000000000000003E-2</v>
      </c>
    </row>
    <row r="61" spans="1:19" ht="17" customHeight="1">
      <c r="A61" s="39" t="s">
        <v>121</v>
      </c>
      <c r="B61" s="38" t="s">
        <v>120</v>
      </c>
      <c r="C61" s="37">
        <v>100000</v>
      </c>
      <c r="D61" s="36">
        <v>84700</v>
      </c>
      <c r="E61" s="36">
        <v>117000</v>
      </c>
      <c r="F61" s="35">
        <v>30</v>
      </c>
      <c r="G61" s="33">
        <v>10</v>
      </c>
      <c r="H61" s="33">
        <v>100</v>
      </c>
      <c r="I61" s="33">
        <v>4</v>
      </c>
      <c r="J61" s="34">
        <v>1.5</v>
      </c>
      <c r="K61" s="33">
        <v>15</v>
      </c>
      <c r="M61" s="32">
        <f t="shared" si="6"/>
        <v>1E-10</v>
      </c>
      <c r="N61" s="32">
        <f t="shared" si="7"/>
        <v>8.4700000000000002E-11</v>
      </c>
      <c r="O61" s="32">
        <f t="shared" si="8"/>
        <v>1.1700000000000001E-10</v>
      </c>
      <c r="Q61" s="31">
        <f t="shared" si="9"/>
        <v>0.1</v>
      </c>
      <c r="R61" s="31">
        <f t="shared" si="10"/>
        <v>8.4699999999999998E-2</v>
      </c>
      <c r="S61" s="31">
        <f t="shared" si="11"/>
        <v>0.11700000000000001</v>
      </c>
    </row>
    <row r="62" spans="1:19" ht="34.5" customHeight="1">
      <c r="A62" s="74" t="s">
        <v>119</v>
      </c>
      <c r="B62" s="75"/>
      <c r="C62" s="75"/>
      <c r="D62" s="75"/>
      <c r="E62" s="75"/>
      <c r="F62" s="75"/>
      <c r="G62" s="75"/>
      <c r="H62" s="75"/>
      <c r="I62" s="75"/>
      <c r="J62" s="75"/>
      <c r="K62" s="76"/>
    </row>
    <row r="65" spans="1:2">
      <c r="A65" s="29" t="s">
        <v>118</v>
      </c>
      <c r="B65" s="30" t="s">
        <v>117</v>
      </c>
    </row>
  </sheetData>
  <mergeCells count="53">
    <mergeCell ref="M2:O2"/>
    <mergeCell ref="Q2:S2"/>
    <mergeCell ref="Q3:S3"/>
    <mergeCell ref="A1:L1"/>
    <mergeCell ref="A2:K2"/>
    <mergeCell ref="A3:B4"/>
    <mergeCell ref="C3:E3"/>
    <mergeCell ref="F3:H3"/>
    <mergeCell ref="I3:K3"/>
    <mergeCell ref="M3:O3"/>
    <mergeCell ref="A12:B12"/>
    <mergeCell ref="A13:B13"/>
    <mergeCell ref="A14:B14"/>
    <mergeCell ref="A15:B15"/>
    <mergeCell ref="A16:B16"/>
    <mergeCell ref="A22:B22"/>
    <mergeCell ref="A23:A26"/>
    <mergeCell ref="A27:B27"/>
    <mergeCell ref="A28:B28"/>
    <mergeCell ref="A29:B29"/>
    <mergeCell ref="A5:B5"/>
    <mergeCell ref="A6:B6"/>
    <mergeCell ref="A7:B7"/>
    <mergeCell ref="A8:A10"/>
    <mergeCell ref="A11:B11"/>
    <mergeCell ref="A35:A36"/>
    <mergeCell ref="A37:B37"/>
    <mergeCell ref="A38:A41"/>
    <mergeCell ref="A42:B42"/>
    <mergeCell ref="A43:M43"/>
    <mergeCell ref="A17:B17"/>
    <mergeCell ref="A18:B18"/>
    <mergeCell ref="A19:B19"/>
    <mergeCell ref="A20:B20"/>
    <mergeCell ref="A21:B21"/>
    <mergeCell ref="A44:K44"/>
    <mergeCell ref="A45:B46"/>
    <mergeCell ref="C45:E45"/>
    <mergeCell ref="F45:H45"/>
    <mergeCell ref="I45:K45"/>
    <mergeCell ref="A30:B30"/>
    <mergeCell ref="A31:B31"/>
    <mergeCell ref="A32:B32"/>
    <mergeCell ref="A33:B33"/>
    <mergeCell ref="A34:B34"/>
    <mergeCell ref="A62:K62"/>
    <mergeCell ref="A55:A57"/>
    <mergeCell ref="A58:A60"/>
    <mergeCell ref="A47:B47"/>
    <mergeCell ref="A48:B48"/>
    <mergeCell ref="A49:B49"/>
    <mergeCell ref="A50:B50"/>
    <mergeCell ref="A51:A5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Emission_Coefficient</vt:lpstr>
      <vt:lpstr>Fraction_Oxidized</vt:lpstr>
      <vt:lpstr>CDIAC</vt:lpstr>
      <vt:lpstr>EIA</vt:lpstr>
      <vt:lpstr>conversion</vt:lpstr>
      <vt:lpstr>IPCC_Table2.2</vt:lpstr>
      <vt:lpstr>CO2_to_C</vt:lpstr>
    </vt:vector>
  </TitlesOfParts>
  <Company>Dartmouth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Vu</dc:creator>
  <cp:lastModifiedBy>Smith, Steven J (PNNL-JGCRI)</cp:lastModifiedBy>
  <dcterms:created xsi:type="dcterms:W3CDTF">2016-10-19T18:07:28Z</dcterms:created>
  <dcterms:modified xsi:type="dcterms:W3CDTF">2025-01-09T04:54:14Z</dcterms:modified>
</cp:coreProperties>
</file>