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3k117/Documents/Information &amp; Documents/CEDS_Project/CEDS/input/default-emissions-data/"/>
    </mc:Choice>
  </mc:AlternateContent>
  <xr:revisionPtr revIDLastSave="0" documentId="13_ncr:1_{F326ACD6-4B3D-AB47-ADB4-EC225D2FB9F9}" xr6:coauthVersionLast="47" xr6:coauthVersionMax="47" xr10:uidLastSave="{00000000-0000-0000-0000-000000000000}"/>
  <bookViews>
    <workbookView xWindow="1360" yWindow="760" windowWidth="28120" windowHeight="14620" tabRatio="500" xr2:uid="{00000000-000D-0000-FFFF-FFFF00000000}"/>
  </bookViews>
  <sheets>
    <sheet name="Data" sheetId="1" r:id="rId1"/>
    <sheet name="Scrubber % Adjustmen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P28" i="1" s="1"/>
  <c r="P26" i="1"/>
  <c r="Y25" i="1"/>
  <c r="Y26" i="1" s="1"/>
  <c r="Y27" i="1" s="1"/>
  <c r="Y24" i="1"/>
  <c r="S25" i="1"/>
  <c r="S27" i="1" s="1"/>
  <c r="G27" i="1" s="1"/>
  <c r="Y28" i="1"/>
  <c r="Y23" i="1"/>
  <c r="I9" i="2"/>
  <c r="I7" i="2"/>
  <c r="I6" i="2"/>
  <c r="I5" i="2"/>
  <c r="I4" i="2"/>
  <c r="I3" i="2"/>
  <c r="C3" i="2"/>
  <c r="H7" i="2"/>
  <c r="E27" i="1" l="1"/>
  <c r="D27" i="1"/>
  <c r="B27" i="1" s="1"/>
  <c r="S28" i="1"/>
  <c r="G28" i="1" s="1"/>
  <c r="E28" i="1" s="1"/>
  <c r="S26" i="1"/>
  <c r="G26" i="1" s="1"/>
  <c r="D28" i="1"/>
  <c r="B28" i="1" s="1"/>
  <c r="G25" i="1"/>
  <c r="E25" i="1"/>
  <c r="Y40" i="1"/>
  <c r="Y41" i="1" s="1"/>
  <c r="X40" i="1"/>
  <c r="X41" i="1" s="1"/>
  <c r="W40" i="1"/>
  <c r="W41" i="1" s="1"/>
  <c r="V40" i="1"/>
  <c r="V41" i="1" s="1"/>
  <c r="U40" i="1"/>
  <c r="U41" i="1" s="1"/>
  <c r="T40" i="1"/>
  <c r="T41" i="1" s="1"/>
  <c r="D25" i="1"/>
  <c r="B25" i="1" s="1"/>
  <c r="B22" i="1"/>
  <c r="D26" i="1" l="1"/>
  <c r="E26" i="1"/>
  <c r="AB40" i="1"/>
  <c r="AB41" i="1" s="1"/>
  <c r="P38" i="1"/>
  <c r="O38" i="1"/>
  <c r="N38" i="1"/>
  <c r="M38" i="1"/>
  <c r="L38" i="1"/>
  <c r="K38" i="1"/>
  <c r="J38" i="1"/>
  <c r="I38" i="1"/>
  <c r="H38" i="1"/>
  <c r="G38" i="1"/>
  <c r="F38" i="1"/>
  <c r="P39" i="1"/>
  <c r="O39" i="1"/>
  <c r="N39" i="1"/>
  <c r="M39" i="1"/>
  <c r="L39" i="1"/>
  <c r="K39" i="1"/>
  <c r="J39" i="1"/>
  <c r="I39" i="1"/>
  <c r="H39" i="1"/>
  <c r="G39" i="1"/>
  <c r="F39" i="1"/>
  <c r="B2" i="1"/>
  <c r="F41" i="1" s="1"/>
  <c r="E41" i="1" s="1"/>
  <c r="B16" i="1"/>
  <c r="B15" i="1"/>
  <c r="S41" i="1"/>
  <c r="B14" i="1"/>
  <c r="R41" i="1"/>
  <c r="B13" i="1"/>
  <c r="Q41" i="1" s="1"/>
  <c r="B12" i="1"/>
  <c r="P41" i="1" s="1"/>
  <c r="B11" i="1"/>
  <c r="O41" i="1" s="1"/>
  <c r="B10" i="1"/>
  <c r="N40" i="1" s="1"/>
  <c r="B9" i="1"/>
  <c r="M40" i="1" s="1"/>
  <c r="M41" i="1"/>
  <c r="B8" i="1"/>
  <c r="L41" i="1" s="1"/>
  <c r="B7" i="1"/>
  <c r="K41" i="1" s="1"/>
  <c r="B6" i="1"/>
  <c r="J41" i="1"/>
  <c r="B5" i="1"/>
  <c r="I41" i="1"/>
  <c r="B4" i="1"/>
  <c r="H41" i="1" s="1"/>
  <c r="B3" i="1"/>
  <c r="G41" i="1" s="1"/>
  <c r="S40" i="1"/>
  <c r="R40" i="1"/>
  <c r="P40" i="1"/>
  <c r="O40" i="1"/>
  <c r="K40" i="1"/>
  <c r="J40" i="1"/>
  <c r="I40" i="1"/>
  <c r="B26" i="1" l="1"/>
  <c r="AC40" i="1" s="1"/>
  <c r="AC41" i="1" s="1"/>
  <c r="N41" i="1"/>
  <c r="Q40" i="1"/>
  <c r="G40" i="1"/>
  <c r="F40" i="1"/>
  <c r="E40" i="1" s="1"/>
  <c r="H40" i="1"/>
  <c r="L40" i="1"/>
  <c r="S24" i="1"/>
  <c r="G24" i="1" s="1"/>
  <c r="E24" i="1" s="1"/>
  <c r="S23" i="1"/>
  <c r="G23" i="1" s="1"/>
  <c r="D23" i="1" s="1"/>
  <c r="D24" i="1" l="1"/>
  <c r="B24" i="1" s="1"/>
  <c r="E23" i="1"/>
  <c r="B23" i="1" s="1"/>
  <c r="Z40" i="1" l="1"/>
  <c r="Z41" i="1" s="1"/>
  <c r="AA40" i="1"/>
  <c r="AA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tc={D58DFB88-230A-1643-A2E9-F1165F20800C}</author>
  </authors>
  <commentList>
    <comment ref="B21" authorId="0" shapeId="0" xr:uid="{D58DFB88-230A-1643-A2E9-F1165F20800C}">
      <text>
        <t>[Threaded comment]
Your version of Excel allows you to read this threaded comment; however, any edits to it will get removed if the file is opened in a newer version of Excel. Learn more: https://go.microsoft.com/fwlink/?linkid=870924
Comment:
    3-year average</t>
      </text>
    </comment>
  </commentList>
</comments>
</file>

<file path=xl/sharedStrings.xml><?xml version="1.0" encoding="utf-8"?>
<sst xmlns="http://schemas.openxmlformats.org/spreadsheetml/2006/main" count="126" uniqueCount="100">
  <si>
    <t>Resid S%</t>
  </si>
  <si>
    <t>Year</t>
  </si>
  <si>
    <t>Source</t>
  </si>
  <si>
    <t>IMO -  sulphur monitoring report (sample weighted, adjusted by difference between sample weighted and mass weighted values from 2009)</t>
  </si>
  <si>
    <t>IMO - Mass-weighted sulphur monitoring report</t>
  </si>
  <si>
    <t>iso</t>
  </si>
  <si>
    <t>sector</t>
  </si>
  <si>
    <t>fuel</t>
  </si>
  <si>
    <t>units</t>
  </si>
  <si>
    <t>X2000</t>
  </si>
  <si>
    <t>all</t>
  </si>
  <si>
    <t>fraction</t>
  </si>
  <si>
    <t>1A3di_International-shipping</t>
  </si>
  <si>
    <t>diesel_oil</t>
  </si>
  <si>
    <t>heavy_oil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</si>
  <si>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</si>
  <si>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</si>
  <si>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</si>
  <si>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</si>
  <si>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</si>
  <si>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</si>
  <si>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</si>
  <si>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</si>
  <si>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</si>
  <si>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</si>
  <si>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</si>
  <si>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</si>
  <si>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</si>
  <si>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</si>
  <si>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Metadata</t>
  </si>
  <si>
    <t>Data.Type</t>
  </si>
  <si>
    <t>Emission</t>
  </si>
  <si>
    <t>Region</t>
  </si>
  <si>
    <t>Sector</t>
  </si>
  <si>
    <t>Start.Year</t>
  </si>
  <si>
    <t>End.Year</t>
  </si>
  <si>
    <t>Source.Comment</t>
  </si>
  <si>
    <t>Shipping</t>
  </si>
  <si>
    <t>Sulfur content</t>
  </si>
  <si>
    <t>SO2</t>
  </si>
  <si>
    <t>X1990</t>
  </si>
  <si>
    <t>CEDS Input Format</t>
  </si>
  <si>
    <t>Data</t>
  </si>
  <si>
    <t>Note:</t>
  </si>
  <si>
    <t>Shipping emissions are currently estimated within CEDS on a global basis. Therefore, emissions factors are not regionally differenciated, nor scaled to regional inventories due to data inconsitences (e.g. )</t>
  </si>
  <si>
    <t>1A3dii_Domestic-navigation</t>
  </si>
  <si>
    <t>Ref: IMO - Sulphur monitoring for 2017 (IMO)</t>
  </si>
  <si>
    <t>Ref: MEPC-74-18-Report-Of-The-Marine-Environment-Protection-Committee On-Its-Seventy-Fourth-Session-Secretariat</t>
  </si>
  <si>
    <t>New Limit:</t>
  </si>
  <si>
    <t>* Assume complimant fraction is at limit. Assume non-compliant fraction is at recent global average.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</si>
  <si>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</si>
  <si>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</si>
  <si>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</si>
  <si>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</si>
  <si>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</si>
  <si>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</si>
  <si>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</si>
  <si>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</si>
  <si>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Fract with scrubbers</t>
  </si>
  <si>
    <t>Global scrubber washwater discharges under IMO’s 2020 fuel sulfur limit (Osipova etal 2021)</t>
  </si>
  <si>
    <t>S% in compliance ( Diamond et al. 2023. doi: 10.5194/acp-23-8259-2023)</t>
  </si>
  <si>
    <t>BNF (https://www.bloomberg.com/news/articles/2019-01-17/how-the-cargo-ship-industry-is-cleaning-up-its-filthy-act, 12/26/2023)</t>
  </si>
  <si>
    <t>Total compliance (Low S% + scrubbers)</t>
  </si>
  <si>
    <t>Third IMO GHG Study 2014 (MEPC-67-6-INF3-2014); IMO - Sulphur monitoring - various years; Fourth IMO GHG Study 2020 (MEPC 75-7-15); IMO Sulphur monitoring. Heavy oil S% adjusted before 2009 for mass/sample weighted bias. Distillate S% assumed to linearly approach 5000 ppm by 1990; ramping down to IMO estimated levels after 2911. 2020 forward estimates based on fraction of fuel oil reported to be in compliance (as reported by Diamond et al. 2023 doi: 10.5194/acp-23-8259-2023) + estimate of number of ships with scrubbers (Osipova etal 2021)</t>
  </si>
  <si>
    <t>Total CO2</t>
  </si>
  <si>
    <t>Bulk carrier</t>
  </si>
  <si>
    <t>Chemical tanker</t>
  </si>
  <si>
    <t>Container</t>
  </si>
  <si>
    <t>General cargo</t>
  </si>
  <si>
    <t>Liquefied gas tanker</t>
  </si>
  <si>
    <t>Oil tanker</t>
  </si>
  <si>
    <t>Other liquids tankers</t>
  </si>
  <si>
    <t>Ferry-pax only</t>
  </si>
  <si>
    <t>Cruise</t>
  </si>
  <si>
    <t>Ferry-RoPax</t>
  </si>
  <si>
    <t>Refrigerated bulk</t>
  </si>
  <si>
    <t>Ro-Ro</t>
  </si>
  <si>
    <t>Vehicle</t>
  </si>
  <si>
    <t>Yacht</t>
  </si>
  <si>
    <t>Service - tug</t>
  </si>
  <si>
    <t>Miscellaneous -
fishing</t>
  </si>
  <si>
    <t>Offshore</t>
  </si>
  <si>
    <t>Service - other</t>
  </si>
  <si>
    <t>Miscellaneous - other</t>
  </si>
  <si>
    <t>Total</t>
  </si>
  <si>
    <t>Source: 4th IMO GHG report table 35</t>
  </si>
  <si>
    <t>bulk carriers</t>
  </si>
  <si>
    <t>container vessels</t>
  </si>
  <si>
    <t>crude oil and product tankers</t>
  </si>
  <si>
    <t>cruise ships</t>
  </si>
  <si>
    <t>other</t>
  </si>
  <si>
    <t>% Scrubber</t>
  </si>
  <si>
    <t>CO2 Emissions (proxy for fuel consumption) by ship type (2018)</t>
  </si>
  <si>
    <t>* This is raw fraction relative to number of large vessels</t>
  </si>
  <si>
    <t>Index to fraction of fuel for 2022, last year of Hermansson etal 2024 data</t>
  </si>
  <si>
    <t>Aprox fract of fuel consumption by ships with scrubbers</t>
  </si>
  <si>
    <t>X2023</t>
  </si>
  <si>
    <t>Estimated % of fuel used on ship with scrubbers:</t>
  </si>
  <si>
    <t>Distribution of SO2 Scrubbers (Source: Hermansson etal 2024*)</t>
  </si>
  <si>
    <t>* Hermansson etal (2024), Strong economic incentives of ship scrubbers promoting pollution. https://doi.org/10.1038/s41893-024-01347-1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</si>
</sst>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1">
    <font>
      <sz val="12"/>
      <color theme="1"/>
      <name val="Times"/>
      <family val="2"/>
    </font>
    <font>
      <b/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i/>
      <sz val="12"/>
      <color rgb="FF0000FF"/>
      <name val="Times"/>
      <family val="1"/>
    </font>
    <font>
      <sz val="12"/>
      <color rgb="FF0000FF"/>
      <name val="Times"/>
      <family val="1"/>
    </font>
    <font>
      <i/>
      <sz val="12"/>
      <color theme="1"/>
      <name val="Times"/>
      <family val="1"/>
    </font>
    <font>
      <sz val="8"/>
      <name val="Times"/>
      <family val="2"/>
    </font>
    <font>
      <sz val="12"/>
      <color theme="1"/>
      <name val="Times"/>
      <family val="2"/>
    </font>
    <font>
      <b/>
      <sz val="12"/>
      <color theme="1"/>
      <name val="Times"/>
    </font>
    <font>
      <i/>
      <sz val="10"/>
      <color theme="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10" fontId="6" fillId="0" borderId="0" xfId="0" applyNumberFormat="1" applyFont="1" applyAlignment="1">
      <alignment horizontal="center"/>
    </xf>
    <xf numFmtId="10" fontId="0" fillId="0" borderId="0" xfId="0" applyNumberFormat="1"/>
    <xf numFmtId="0" fontId="9" fillId="0" borderId="0" xfId="0" applyFont="1"/>
    <xf numFmtId="164" fontId="0" fillId="0" borderId="0" xfId="73" applyNumberFormat="1" applyFont="1"/>
    <xf numFmtId="164" fontId="10" fillId="0" borderId="0" xfId="73" applyNumberFormat="1" applyFont="1"/>
    <xf numFmtId="165" fontId="0" fillId="0" borderId="0" xfId="0" applyNumberFormat="1"/>
    <xf numFmtId="0" fontId="0" fillId="0" borderId="0" xfId="0" applyAlignment="1">
      <alignment wrapText="1"/>
    </xf>
    <xf numFmtId="9" fontId="0" fillId="0" borderId="0" xfId="73" applyFont="1"/>
    <xf numFmtId="0" fontId="9" fillId="0" borderId="0" xfId="0" applyFont="1" applyAlignment="1">
      <alignment horizontal="right"/>
    </xf>
  </cellXfs>
  <cellStyles count="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Percent" xfId="7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nformation%20&amp;%20Documents/Climate%20Change/SO2%20Scenarios/Other%20Global%20Data/Marine%20Bunker%20and%20Sulfur/IMO%20-%20Sulphur%20monit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Emissions Proxy"/>
    </sheetNames>
    <sheetDataSet>
      <sheetData sheetId="0" refreshError="1">
        <row r="3">
          <cell r="B3">
            <v>2.7E-2</v>
          </cell>
        </row>
        <row r="4">
          <cell r="B4">
            <v>2.7E-2</v>
          </cell>
        </row>
        <row r="5">
          <cell r="B5">
            <v>2.5999999999999999E-2</v>
          </cell>
        </row>
        <row r="6">
          <cell r="B6">
            <v>2.7E-2</v>
          </cell>
        </row>
        <row r="7">
          <cell r="B7">
            <v>2.7E-2</v>
          </cell>
        </row>
        <row r="8">
          <cell r="B8">
            <v>2.7E-2</v>
          </cell>
        </row>
        <row r="9">
          <cell r="B9">
            <v>2.5899999999999999E-2</v>
          </cell>
        </row>
        <row r="10">
          <cell r="B10">
            <v>2.4199999999999999E-2</v>
          </cell>
        </row>
        <row r="11">
          <cell r="B11">
            <v>2.3699999999999999E-2</v>
          </cell>
        </row>
        <row r="12">
          <cell r="B12">
            <v>2.35E-2</v>
          </cell>
          <cell r="D12">
            <v>0.1063829787234042</v>
          </cell>
        </row>
        <row r="13">
          <cell r="C13">
            <v>2.6100000000000002E-2</v>
          </cell>
        </row>
        <row r="14">
          <cell r="C14">
            <v>2.6499999999999999E-2</v>
          </cell>
        </row>
        <row r="15">
          <cell r="C15">
            <v>2.5100000000000001E-2</v>
          </cell>
        </row>
        <row r="16">
          <cell r="C16">
            <v>2.4299999999999999E-2</v>
          </cell>
        </row>
        <row r="17">
          <cell r="C17">
            <v>2.46E-2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mith, Steven J (PNNL-JGCRI)" id="{4A648797-47A4-FC4A-B01E-21D5644D1305}" userId="S::ssmith@pnnl.gov::bb1e00e9-e65d-4911-8fc9-cd876d8ab9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0-04-27T03:27:15.71" personId="{4A648797-47A4-FC4A-B01E-21D5644D1305}" id="{D58DFB88-230A-1643-A2E9-F1165F20800C}">
    <text>3-year average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abSelected="1" workbookViewId="0">
      <pane xSplit="2" ySplit="1" topLeftCell="H23" activePane="bottomRight" state="frozen"/>
      <selection pane="topRight" activeCell="C1" sqref="C1"/>
      <selection pane="bottomLeft" activeCell="A2" sqref="A2"/>
      <selection pane="bottomRight" activeCell="AC40" sqref="Z40:AC40"/>
    </sheetView>
  </sheetViews>
  <sheetFormatPr baseColWidth="10" defaultRowHeight="16"/>
  <cols>
    <col min="2" max="2" width="16.5" customWidth="1"/>
    <col min="4" max="4" width="8.6640625" customWidth="1"/>
    <col min="5" max="20" width="7.83203125" customWidth="1"/>
  </cols>
  <sheetData>
    <row r="1" spans="1:3">
      <c r="A1" s="1" t="s">
        <v>1</v>
      </c>
      <c r="B1" s="1" t="s">
        <v>0</v>
      </c>
      <c r="C1" s="1" t="s">
        <v>2</v>
      </c>
    </row>
    <row r="2" spans="1:3">
      <c r="A2">
        <v>2000</v>
      </c>
      <c r="B2" s="2">
        <f>[1]Data!$B3*(1+[1]Data!$D$12)</f>
        <v>2.9872340425531916E-2</v>
      </c>
      <c r="C2" t="s">
        <v>3</v>
      </c>
    </row>
    <row r="3" spans="1:3">
      <c r="A3">
        <v>2001</v>
      </c>
      <c r="B3" s="2">
        <f>[1]Data!$B4*(1+[1]Data!$D$12)</f>
        <v>2.9872340425531916E-2</v>
      </c>
      <c r="C3" t="s">
        <v>3</v>
      </c>
    </row>
    <row r="4" spans="1:3">
      <c r="A4">
        <v>2002</v>
      </c>
      <c r="B4" s="2">
        <f>[1]Data!$B5*(1+[1]Data!$D$12)</f>
        <v>2.8765957446808512E-2</v>
      </c>
      <c r="C4" t="s">
        <v>3</v>
      </c>
    </row>
    <row r="5" spans="1:3">
      <c r="A5">
        <v>2003</v>
      </c>
      <c r="B5" s="2">
        <f>[1]Data!$B6*(1+[1]Data!$D$12)</f>
        <v>2.9872340425531916E-2</v>
      </c>
      <c r="C5" t="s">
        <v>3</v>
      </c>
    </row>
    <row r="6" spans="1:3">
      <c r="A6">
        <v>2004</v>
      </c>
      <c r="B6" s="2">
        <f>[1]Data!$B7*(1+[1]Data!$D$12)</f>
        <v>2.9872340425531916E-2</v>
      </c>
      <c r="C6" t="s">
        <v>3</v>
      </c>
    </row>
    <row r="7" spans="1:3">
      <c r="A7">
        <v>2005</v>
      </c>
      <c r="B7" s="2">
        <f>[1]Data!$B8*(1+[1]Data!$D$12)</f>
        <v>2.9872340425531916E-2</v>
      </c>
      <c r="C7" t="s">
        <v>3</v>
      </c>
    </row>
    <row r="8" spans="1:3">
      <c r="A8">
        <v>2006</v>
      </c>
      <c r="B8" s="2">
        <f>[1]Data!$B9*(1+[1]Data!$D$12)</f>
        <v>2.8655319148936171E-2</v>
      </c>
      <c r="C8" t="s">
        <v>3</v>
      </c>
    </row>
    <row r="9" spans="1:3">
      <c r="A9">
        <v>2007</v>
      </c>
      <c r="B9" s="2">
        <f>[1]Data!$B10*(1+[1]Data!$D$12)</f>
        <v>2.6774468085106383E-2</v>
      </c>
      <c r="C9" t="s">
        <v>3</v>
      </c>
    </row>
    <row r="10" spans="1:3">
      <c r="A10">
        <v>2008</v>
      </c>
      <c r="B10" s="2">
        <f>[1]Data!$B11*(1+[1]Data!$D$12)</f>
        <v>2.6221276595744681E-2</v>
      </c>
      <c r="C10" t="s">
        <v>3</v>
      </c>
    </row>
    <row r="11" spans="1:3">
      <c r="A11">
        <v>2009</v>
      </c>
      <c r="B11" s="2">
        <f>[1]Data!$B12*(1+[1]Data!$D$12)</f>
        <v>2.6000000000000002E-2</v>
      </c>
      <c r="C11" t="s">
        <v>4</v>
      </c>
    </row>
    <row r="12" spans="1:3">
      <c r="A12">
        <v>2010</v>
      </c>
      <c r="B12" s="2">
        <f>[1]Data!$C13</f>
        <v>2.6100000000000002E-2</v>
      </c>
      <c r="C12" t="s">
        <v>4</v>
      </c>
    </row>
    <row r="13" spans="1:3">
      <c r="A13">
        <v>2011</v>
      </c>
      <c r="B13" s="2">
        <f>[1]Data!$C14</f>
        <v>2.6499999999999999E-2</v>
      </c>
      <c r="C13" t="s">
        <v>4</v>
      </c>
    </row>
    <row r="14" spans="1:3">
      <c r="A14">
        <v>2012</v>
      </c>
      <c r="B14" s="2">
        <f>[1]Data!$C15</f>
        <v>2.5100000000000001E-2</v>
      </c>
      <c r="C14" t="s">
        <v>4</v>
      </c>
    </row>
    <row r="15" spans="1:3">
      <c r="A15">
        <v>2013</v>
      </c>
      <c r="B15" s="2">
        <f>[1]Data!$C16</f>
        <v>2.4299999999999999E-2</v>
      </c>
      <c r="C15" t="s">
        <v>4</v>
      </c>
    </row>
    <row r="16" spans="1:3">
      <c r="A16">
        <v>2014</v>
      </c>
      <c r="B16" s="2">
        <f>[1]Data!$C17</f>
        <v>2.46E-2</v>
      </c>
      <c r="C16" t="s">
        <v>4</v>
      </c>
    </row>
    <row r="17" spans="1:26">
      <c r="A17">
        <v>2014</v>
      </c>
      <c r="B17" s="2">
        <v>2.46E-2</v>
      </c>
    </row>
    <row r="18" spans="1:26">
      <c r="A18">
        <v>2015</v>
      </c>
      <c r="B18" s="2">
        <v>2.4500000000000001E-2</v>
      </c>
      <c r="C18" t="s">
        <v>46</v>
      </c>
    </row>
    <row r="19" spans="1:26">
      <c r="A19">
        <v>2016</v>
      </c>
      <c r="B19" s="2">
        <v>2.58E-2</v>
      </c>
      <c r="C19" t="s">
        <v>46</v>
      </c>
    </row>
    <row r="20" spans="1:26">
      <c r="A20">
        <v>2017</v>
      </c>
      <c r="B20" s="2">
        <v>2.5999999999999999E-2</v>
      </c>
      <c r="C20" t="s">
        <v>46</v>
      </c>
    </row>
    <row r="21" spans="1:26">
      <c r="A21">
        <v>2018</v>
      </c>
      <c r="B21" s="2">
        <v>2.5899999999999999E-2</v>
      </c>
      <c r="C21" t="s">
        <v>47</v>
      </c>
      <c r="S21" s="11" t="s">
        <v>95</v>
      </c>
      <c r="Y21" s="11" t="s">
        <v>58</v>
      </c>
    </row>
    <row r="22" spans="1:26">
      <c r="A22">
        <v>2019</v>
      </c>
      <c r="B22" s="9">
        <f>B21</f>
        <v>2.5899999999999999E-2</v>
      </c>
      <c r="G22" t="s">
        <v>62</v>
      </c>
      <c r="P22" t="s">
        <v>60</v>
      </c>
    </row>
    <row r="23" spans="1:26">
      <c r="A23">
        <v>2020</v>
      </c>
      <c r="B23" s="2">
        <f>D23+E23</f>
        <v>4.973301266935984E-3</v>
      </c>
      <c r="D23" s="10">
        <f>$K$23*G23</f>
        <v>5.0063568412057179E-3</v>
      </c>
      <c r="E23" s="10">
        <f>(1-G23)*$B$20</f>
        <v>-3.3055574269733601E-5</v>
      </c>
      <c r="G23" s="8">
        <f>P23+S23</f>
        <v>1.0012713682411436</v>
      </c>
      <c r="J23" s="7" t="s">
        <v>48</v>
      </c>
      <c r="K23" s="2">
        <v>5.0000000000000001E-3</v>
      </c>
      <c r="P23" s="8">
        <v>0.82</v>
      </c>
      <c r="S23" s="13">
        <f>$S$25*Y23/$Y$25</f>
        <v>0.18127136824114365</v>
      </c>
      <c r="Y23" s="12">
        <f>3628/81297</f>
        <v>4.4626492982520881E-2</v>
      </c>
      <c r="Z23" t="s">
        <v>59</v>
      </c>
    </row>
    <row r="24" spans="1:26">
      <c r="A24">
        <v>2021</v>
      </c>
      <c r="B24" s="2">
        <f t="shared" ref="B24:B28" si="0">D24+E24</f>
        <v>5.7773557920103493E-3</v>
      </c>
      <c r="D24" s="10">
        <f>$K$23*G24</f>
        <v>4.8149152876165837E-3</v>
      </c>
      <c r="E24" s="10">
        <f t="shared" ref="E24:E25" si="1">(1-G24)*$B$20</f>
        <v>9.6244050439376575E-4</v>
      </c>
      <c r="G24" s="8">
        <f t="shared" ref="G24" si="2">P24+S24</f>
        <v>0.9629830575233167</v>
      </c>
      <c r="P24" s="8">
        <v>0.77</v>
      </c>
      <c r="S24" s="13">
        <f>$S$25*Y24/$Y$25</f>
        <v>0.19298305752331674</v>
      </c>
      <c r="Y24" s="13">
        <f>Y23+($Y$28-$Y$23)/5</f>
        <v>4.7509748207190915E-2</v>
      </c>
    </row>
    <row r="25" spans="1:26">
      <c r="A25">
        <v>2022</v>
      </c>
      <c r="B25" s="2">
        <f t="shared" si="0"/>
        <v>6.1614103170847135E-3</v>
      </c>
      <c r="D25" s="10">
        <f>$K$23*G25</f>
        <v>4.7234737340274488E-3</v>
      </c>
      <c r="E25" s="10">
        <f t="shared" si="1"/>
        <v>1.4379365830572647E-3</v>
      </c>
      <c r="G25" s="8">
        <f>P25+S25</f>
        <v>0.94469474680548982</v>
      </c>
      <c r="P25" s="8">
        <v>0.74</v>
      </c>
      <c r="S25" s="13">
        <f>'Scrubber % Adjustment'!$I$9</f>
        <v>0.20469474680548982</v>
      </c>
      <c r="Y25" s="13">
        <f t="shared" ref="Y25:Y27" si="3">Y24+($Y$28-$Y$23)/5</f>
        <v>5.0393003431860948E-2</v>
      </c>
    </row>
    <row r="26" spans="1:26">
      <c r="A26">
        <v>2023</v>
      </c>
      <c r="B26" s="2">
        <f t="shared" si="0"/>
        <v>5.9154648421590773E-3</v>
      </c>
      <c r="D26" s="10">
        <f t="shared" ref="D26:D28" si="4">$K$23*G26</f>
        <v>4.7820321804383148E-3</v>
      </c>
      <c r="E26" s="10">
        <f t="shared" ref="E26:E28" si="5">(1-G26)*$B$20</f>
        <v>1.133432661720763E-3</v>
      </c>
      <c r="G26" s="8">
        <f t="shared" ref="G26:G28" si="6">P26+S26</f>
        <v>0.95640643608766296</v>
      </c>
      <c r="P26" s="8">
        <f>P25</f>
        <v>0.74</v>
      </c>
      <c r="S26" s="13">
        <f t="shared" ref="S26:S28" si="7">$S$25*Y26/$Y$25</f>
        <v>0.21640643608766291</v>
      </c>
      <c r="Y26" s="13">
        <f t="shared" si="3"/>
        <v>5.3276258656530982E-2</v>
      </c>
    </row>
    <row r="27" spans="1:26">
      <c r="A27">
        <v>2024</v>
      </c>
      <c r="B27" s="2">
        <f t="shared" si="0"/>
        <v>5.669519367233442E-3</v>
      </c>
      <c r="D27" s="10">
        <f t="shared" si="4"/>
        <v>4.8405906268491807E-3</v>
      </c>
      <c r="E27" s="10">
        <f t="shared" si="5"/>
        <v>8.2892874038426132E-4</v>
      </c>
      <c r="G27" s="8">
        <f t="shared" si="6"/>
        <v>0.9681181253698361</v>
      </c>
      <c r="P27" s="8">
        <f t="shared" ref="P27:P28" si="8">P26</f>
        <v>0.74</v>
      </c>
      <c r="S27" s="13">
        <f t="shared" si="7"/>
        <v>0.22811812536983606</v>
      </c>
      <c r="Y27" s="13">
        <f t="shared" si="3"/>
        <v>5.6159513881201016E-2</v>
      </c>
    </row>
    <row r="28" spans="1:26">
      <c r="A28">
        <v>2025</v>
      </c>
      <c r="B28" s="2">
        <f t="shared" si="0"/>
        <v>5.4235738923078067E-3</v>
      </c>
      <c r="D28" s="10">
        <f t="shared" si="4"/>
        <v>4.8991490732600467E-3</v>
      </c>
      <c r="E28" s="10">
        <f t="shared" si="5"/>
        <v>5.2442481904775963E-4</v>
      </c>
      <c r="G28" s="8">
        <f t="shared" si="6"/>
        <v>0.97982981465200925</v>
      </c>
      <c r="P28" s="8">
        <f t="shared" si="8"/>
        <v>0.74</v>
      </c>
      <c r="S28" s="13">
        <f t="shared" si="7"/>
        <v>0.2398298146520092</v>
      </c>
      <c r="Y28" s="12">
        <f>4800/81297</f>
        <v>5.9042769105871064E-2</v>
      </c>
      <c r="Z28" t="s">
        <v>61</v>
      </c>
    </row>
    <row r="29" spans="1:26">
      <c r="Y29" t="s">
        <v>93</v>
      </c>
    </row>
    <row r="30" spans="1:26">
      <c r="S30" s="12" t="s">
        <v>94</v>
      </c>
    </row>
    <row r="31" spans="1:26">
      <c r="D31" t="s">
        <v>49</v>
      </c>
    </row>
    <row r="35" spans="1:29">
      <c r="A35" s="4" t="s">
        <v>41</v>
      </c>
    </row>
    <row r="36" spans="1:29">
      <c r="A36" s="5" t="s">
        <v>42</v>
      </c>
    </row>
    <row r="37" spans="1:29">
      <c r="A37" s="3" t="s">
        <v>5</v>
      </c>
      <c r="B37" s="3" t="s">
        <v>6</v>
      </c>
      <c r="C37" s="3" t="s">
        <v>7</v>
      </c>
      <c r="D37" s="3" t="s">
        <v>8</v>
      </c>
      <c r="E37" s="3" t="s">
        <v>40</v>
      </c>
      <c r="F37" s="3" t="s">
        <v>9</v>
      </c>
      <c r="G37" s="3" t="s">
        <v>15</v>
      </c>
      <c r="H37" s="3" t="s">
        <v>16</v>
      </c>
      <c r="I37" s="3" t="s">
        <v>17</v>
      </c>
      <c r="J37" s="3" t="s">
        <v>18</v>
      </c>
      <c r="K37" s="3" t="s">
        <v>19</v>
      </c>
      <c r="L37" s="3" t="s">
        <v>20</v>
      </c>
      <c r="M37" s="3" t="s">
        <v>21</v>
      </c>
      <c r="N37" s="3" t="s">
        <v>22</v>
      </c>
      <c r="O37" s="3" t="s">
        <v>23</v>
      </c>
      <c r="P37" s="3" t="s">
        <v>24</v>
      </c>
      <c r="Q37" s="3" t="s">
        <v>25</v>
      </c>
      <c r="R37" s="3" t="s">
        <v>26</v>
      </c>
      <c r="S37" s="3" t="s">
        <v>27</v>
      </c>
      <c r="T37" s="3" t="s">
        <v>28</v>
      </c>
      <c r="U37" s="3" t="s">
        <v>50</v>
      </c>
      <c r="V37" s="3" t="s">
        <v>51</v>
      </c>
      <c r="W37" s="3" t="s">
        <v>52</v>
      </c>
      <c r="X37" s="3" t="s">
        <v>53</v>
      </c>
      <c r="Y37" s="3" t="s">
        <v>54</v>
      </c>
      <c r="Z37" s="3" t="s">
        <v>55</v>
      </c>
      <c r="AA37" s="3" t="s">
        <v>56</v>
      </c>
      <c r="AB37" s="3" t="s">
        <v>57</v>
      </c>
      <c r="AC37" s="3" t="s">
        <v>96</v>
      </c>
    </row>
    <row r="38" spans="1:29">
      <c r="A38" t="s">
        <v>10</v>
      </c>
      <c r="B38" t="s">
        <v>45</v>
      </c>
      <c r="C38" t="s">
        <v>13</v>
      </c>
      <c r="D38" t="s">
        <v>11</v>
      </c>
      <c r="E38">
        <v>5.0000000000000001E-3</v>
      </c>
      <c r="F38">
        <f>0.15%</f>
        <v>1.5E-3</v>
      </c>
      <c r="G38">
        <f t="shared" ref="G38:P39" si="9">0.15%</f>
        <v>1.5E-3</v>
      </c>
      <c r="H38">
        <f t="shared" si="9"/>
        <v>1.5E-3</v>
      </c>
      <c r="I38">
        <f t="shared" si="9"/>
        <v>1.5E-3</v>
      </c>
      <c r="J38">
        <f t="shared" si="9"/>
        <v>1.5E-3</v>
      </c>
      <c r="K38">
        <f t="shared" si="9"/>
        <v>1.5E-3</v>
      </c>
      <c r="L38">
        <f t="shared" si="9"/>
        <v>1.5E-3</v>
      </c>
      <c r="M38">
        <f t="shared" si="9"/>
        <v>1.5E-3</v>
      </c>
      <c r="N38">
        <f t="shared" si="9"/>
        <v>1.5E-3</v>
      </c>
      <c r="O38">
        <f t="shared" si="9"/>
        <v>1.5E-3</v>
      </c>
      <c r="P38">
        <f t="shared" si="9"/>
        <v>1.5E-3</v>
      </c>
      <c r="Q38">
        <v>1.5E-3</v>
      </c>
      <c r="R38">
        <v>1.4E-3</v>
      </c>
      <c r="S38">
        <v>1.2999999999999999E-3</v>
      </c>
      <c r="T38">
        <v>1.1999999999999999E-3</v>
      </c>
      <c r="U38">
        <v>8.0000000000000004E-4</v>
      </c>
      <c r="V38">
        <v>8.0000000000000004E-4</v>
      </c>
      <c r="W38">
        <v>8.0000000000000004E-4</v>
      </c>
      <c r="X38">
        <v>6.9999999999999999E-4</v>
      </c>
      <c r="Y38">
        <v>6.9999999999999999E-4</v>
      </c>
      <c r="Z38">
        <v>6.9999999999999999E-4</v>
      </c>
      <c r="AA38">
        <v>6.9999999999999999E-4</v>
      </c>
      <c r="AB38">
        <v>6.9999999999999999E-4</v>
      </c>
      <c r="AC38">
        <v>6.9999999999999999E-4</v>
      </c>
    </row>
    <row r="39" spans="1:29">
      <c r="A39" t="s">
        <v>10</v>
      </c>
      <c r="B39" t="s">
        <v>12</v>
      </c>
      <c r="C39" t="s">
        <v>13</v>
      </c>
      <c r="D39" t="s">
        <v>11</v>
      </c>
      <c r="E39">
        <v>5.0000000000000001E-3</v>
      </c>
      <c r="F39">
        <f>0.15%</f>
        <v>1.5E-3</v>
      </c>
      <c r="G39">
        <f t="shared" si="9"/>
        <v>1.5E-3</v>
      </c>
      <c r="H39">
        <f t="shared" si="9"/>
        <v>1.5E-3</v>
      </c>
      <c r="I39">
        <f t="shared" si="9"/>
        <v>1.5E-3</v>
      </c>
      <c r="J39">
        <f t="shared" si="9"/>
        <v>1.5E-3</v>
      </c>
      <c r="K39">
        <f t="shared" si="9"/>
        <v>1.5E-3</v>
      </c>
      <c r="L39">
        <f t="shared" si="9"/>
        <v>1.5E-3</v>
      </c>
      <c r="M39">
        <f t="shared" si="9"/>
        <v>1.5E-3</v>
      </c>
      <c r="N39">
        <f t="shared" si="9"/>
        <v>1.5E-3</v>
      </c>
      <c r="O39">
        <f t="shared" si="9"/>
        <v>1.5E-3</v>
      </c>
      <c r="P39">
        <f t="shared" si="9"/>
        <v>1.5E-3</v>
      </c>
      <c r="Q39">
        <v>1.5E-3</v>
      </c>
      <c r="R39">
        <v>1.4E-3</v>
      </c>
      <c r="S39">
        <v>1.2999999999999999E-3</v>
      </c>
      <c r="T39">
        <v>1.1999999999999999E-3</v>
      </c>
      <c r="U39">
        <v>8.0000000000000004E-4</v>
      </c>
      <c r="V39">
        <v>8.0000000000000004E-4</v>
      </c>
      <c r="W39">
        <v>8.0000000000000004E-4</v>
      </c>
      <c r="X39">
        <v>6.9999999999999999E-4</v>
      </c>
      <c r="Y39">
        <v>6.9999999999999999E-4</v>
      </c>
      <c r="Z39">
        <v>6.9999999999999999E-4</v>
      </c>
      <c r="AA39">
        <v>6.9999999999999999E-4</v>
      </c>
      <c r="AB39">
        <v>6.9999999999999999E-4</v>
      </c>
      <c r="AC39">
        <v>6.9999999999999999E-4</v>
      </c>
    </row>
    <row r="40" spans="1:29">
      <c r="A40" t="s">
        <v>10</v>
      </c>
      <c r="B40" t="s">
        <v>45</v>
      </c>
      <c r="C40" t="s">
        <v>14</v>
      </c>
      <c r="D40" t="s">
        <v>11</v>
      </c>
      <c r="E40">
        <f>F40</f>
        <v>2.9872340425531916E-2</v>
      </c>
      <c r="F40">
        <f>LOOKUP(RIGHT(F$37,4)*1, $A$2:$A$16,$B$2:$B$16)</f>
        <v>2.9872340425531916E-2</v>
      </c>
      <c r="G40">
        <f t="shared" ref="G40:S40" si="10">LOOKUP(RIGHT(G37,4)*1, $A$2:$A$16,$B$2:$B$16)</f>
        <v>2.9872340425531916E-2</v>
      </c>
      <c r="H40">
        <f t="shared" si="10"/>
        <v>2.8765957446808512E-2</v>
      </c>
      <c r="I40">
        <f t="shared" si="10"/>
        <v>2.9872340425531916E-2</v>
      </c>
      <c r="J40">
        <f t="shared" si="10"/>
        <v>2.9872340425531916E-2</v>
      </c>
      <c r="K40">
        <f t="shared" si="10"/>
        <v>2.9872340425531916E-2</v>
      </c>
      <c r="L40">
        <f t="shared" si="10"/>
        <v>2.8655319148936171E-2</v>
      </c>
      <c r="M40">
        <f t="shared" si="10"/>
        <v>2.6774468085106383E-2</v>
      </c>
      <c r="N40">
        <f t="shared" si="10"/>
        <v>2.6221276595744681E-2</v>
      </c>
      <c r="O40">
        <f t="shared" si="10"/>
        <v>2.6000000000000002E-2</v>
      </c>
      <c r="P40">
        <f t="shared" si="10"/>
        <v>2.6100000000000002E-2</v>
      </c>
      <c r="Q40">
        <f t="shared" si="10"/>
        <v>2.6499999999999999E-2</v>
      </c>
      <c r="R40">
        <f t="shared" si="10"/>
        <v>2.5100000000000001E-2</v>
      </c>
      <c r="S40">
        <f t="shared" si="10"/>
        <v>2.4299999999999999E-2</v>
      </c>
      <c r="T40">
        <f>LOOKUP(RIGHT(T37,4)*1, $A$2:$A$25,$B$2:$B$25)</f>
        <v>2.46E-2</v>
      </c>
      <c r="U40">
        <f t="shared" ref="U40:Y40" si="11">LOOKUP(RIGHT(U37,4)*1, $A$2:$A$25,$B$2:$B$25)</f>
        <v>2.4500000000000001E-2</v>
      </c>
      <c r="V40">
        <f t="shared" si="11"/>
        <v>2.58E-2</v>
      </c>
      <c r="W40">
        <f t="shared" si="11"/>
        <v>2.5999999999999999E-2</v>
      </c>
      <c r="X40">
        <f t="shared" si="11"/>
        <v>2.5899999999999999E-2</v>
      </c>
      <c r="Y40">
        <f t="shared" si="11"/>
        <v>2.5899999999999999E-2</v>
      </c>
      <c r="Z40" s="14">
        <f t="shared" ref="Z40:AB40" si="12">LOOKUP(RIGHT(Z37,4)*1, $A$2:$A$28,$B$2:$B$28)</f>
        <v>4.973301266935984E-3</v>
      </c>
      <c r="AA40" s="14">
        <f t="shared" si="12"/>
        <v>5.7773557920103493E-3</v>
      </c>
      <c r="AB40" s="14">
        <f t="shared" si="12"/>
        <v>6.1614103170847135E-3</v>
      </c>
      <c r="AC40" s="14">
        <f>LOOKUP(RIGHT(AC37,4)*1, $A$2:$A$28,$B$2:$B$28)</f>
        <v>5.9154648421590773E-3</v>
      </c>
    </row>
    <row r="41" spans="1:29">
      <c r="A41" t="s">
        <v>10</v>
      </c>
      <c r="B41" t="s">
        <v>12</v>
      </c>
      <c r="C41" t="s">
        <v>14</v>
      </c>
      <c r="D41" t="s">
        <v>11</v>
      </c>
      <c r="E41">
        <f>F41</f>
        <v>2.9872340425531916E-2</v>
      </c>
      <c r="F41">
        <f>LOOKUP(RIGHT(F$37,4)*1, $A$2:$A$16,$B$2:$B$16)</f>
        <v>2.9872340425531916E-2</v>
      </c>
      <c r="G41">
        <f t="shared" ref="G41:S41" si="13">LOOKUP(RIGHT(G$37,4)*1, $A$2:$A$16,$B$2:$B$16)</f>
        <v>2.9872340425531916E-2</v>
      </c>
      <c r="H41">
        <f t="shared" si="13"/>
        <v>2.8765957446808512E-2</v>
      </c>
      <c r="I41">
        <f t="shared" si="13"/>
        <v>2.9872340425531916E-2</v>
      </c>
      <c r="J41">
        <f t="shared" si="13"/>
        <v>2.9872340425531916E-2</v>
      </c>
      <c r="K41">
        <f t="shared" si="13"/>
        <v>2.9872340425531916E-2</v>
      </c>
      <c r="L41">
        <f t="shared" si="13"/>
        <v>2.8655319148936171E-2</v>
      </c>
      <c r="M41">
        <f t="shared" si="13"/>
        <v>2.6774468085106383E-2</v>
      </c>
      <c r="N41">
        <f t="shared" si="13"/>
        <v>2.6221276595744681E-2</v>
      </c>
      <c r="O41">
        <f t="shared" si="13"/>
        <v>2.6000000000000002E-2</v>
      </c>
      <c r="P41">
        <f t="shared" si="13"/>
        <v>2.6100000000000002E-2</v>
      </c>
      <c r="Q41">
        <f t="shared" si="13"/>
        <v>2.6499999999999999E-2</v>
      </c>
      <c r="R41">
        <f t="shared" si="13"/>
        <v>2.5100000000000001E-2</v>
      </c>
      <c r="S41">
        <f t="shared" si="13"/>
        <v>2.4299999999999999E-2</v>
      </c>
      <c r="T41">
        <f>T40</f>
        <v>2.46E-2</v>
      </c>
      <c r="U41">
        <f t="shared" ref="U41:AB41" si="14">U40</f>
        <v>2.4500000000000001E-2</v>
      </c>
      <c r="V41">
        <f t="shared" si="14"/>
        <v>2.58E-2</v>
      </c>
      <c r="W41">
        <f t="shared" si="14"/>
        <v>2.5999999999999999E-2</v>
      </c>
      <c r="X41">
        <f t="shared" si="14"/>
        <v>2.5899999999999999E-2</v>
      </c>
      <c r="Y41">
        <f t="shared" si="14"/>
        <v>2.5899999999999999E-2</v>
      </c>
      <c r="Z41" s="14">
        <f t="shared" si="14"/>
        <v>4.973301266935984E-3</v>
      </c>
      <c r="AA41" s="14">
        <f t="shared" si="14"/>
        <v>5.7773557920103493E-3</v>
      </c>
      <c r="AB41" s="14">
        <f t="shared" si="14"/>
        <v>6.1614103170847135E-3</v>
      </c>
      <c r="AC41" s="14">
        <f t="shared" ref="AC41" si="15">AC40</f>
        <v>5.9154648421590773E-3</v>
      </c>
    </row>
    <row r="43" spans="1:29">
      <c r="A43" s="6" t="s">
        <v>43</v>
      </c>
    </row>
    <row r="44" spans="1:29">
      <c r="B44" t="s">
        <v>44</v>
      </c>
    </row>
    <row r="46" spans="1:29">
      <c r="A46" s="5" t="s">
        <v>29</v>
      </c>
    </row>
    <row r="47" spans="1:29">
      <c r="A47" t="s">
        <v>30</v>
      </c>
      <c r="B47" t="s">
        <v>31</v>
      </c>
      <c r="C47" t="s">
        <v>32</v>
      </c>
      <c r="D47" t="s">
        <v>33</v>
      </c>
      <c r="E47" t="s">
        <v>34</v>
      </c>
      <c r="F47" t="s">
        <v>35</v>
      </c>
      <c r="G47" t="s">
        <v>36</v>
      </c>
    </row>
    <row r="48" spans="1:29">
      <c r="A48" t="s">
        <v>38</v>
      </c>
      <c r="B48" t="s">
        <v>39</v>
      </c>
      <c r="C48" t="s">
        <v>10</v>
      </c>
      <c r="D48" t="s">
        <v>37</v>
      </c>
      <c r="E48">
        <v>2000</v>
      </c>
      <c r="F48">
        <v>2014</v>
      </c>
      <c r="G48" t="s">
        <v>63</v>
      </c>
    </row>
  </sheetData>
  <phoneticPr fontId="7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BCAD-E809-2842-A5FF-875B7FF1422B}">
  <dimension ref="A1:I24"/>
  <sheetViews>
    <sheetView workbookViewId="0">
      <selection activeCell="H13" sqref="H13"/>
    </sheetView>
  </sheetViews>
  <sheetFormatPr baseColWidth="10" defaultRowHeight="16"/>
  <cols>
    <col min="1" max="1" width="19.83203125" customWidth="1"/>
    <col min="4" max="4" width="17.5" customWidth="1"/>
  </cols>
  <sheetData>
    <row r="1" spans="1:9">
      <c r="A1" s="11" t="s">
        <v>92</v>
      </c>
    </row>
    <row r="2" spans="1:9">
      <c r="A2" t="s">
        <v>64</v>
      </c>
      <c r="C2" t="s">
        <v>91</v>
      </c>
      <c r="H2" t="s">
        <v>98</v>
      </c>
    </row>
    <row r="3" spans="1:9">
      <c r="A3" t="s">
        <v>65</v>
      </c>
      <c r="B3">
        <v>193.4</v>
      </c>
      <c r="C3" s="8">
        <f>H3</f>
        <v>0.36</v>
      </c>
      <c r="G3" s="7" t="s">
        <v>86</v>
      </c>
      <c r="H3" s="8">
        <v>0.36</v>
      </c>
      <c r="I3">
        <f>B3</f>
        <v>193.4</v>
      </c>
    </row>
    <row r="4" spans="1:9">
      <c r="A4" t="s">
        <v>66</v>
      </c>
      <c r="B4">
        <v>81.7</v>
      </c>
      <c r="G4" s="7" t="s">
        <v>87</v>
      </c>
      <c r="H4" s="8">
        <v>0.22</v>
      </c>
      <c r="I4">
        <f>B5</f>
        <v>232.1</v>
      </c>
    </row>
    <row r="5" spans="1:9">
      <c r="A5" t="s">
        <v>67</v>
      </c>
      <c r="B5">
        <v>232.1</v>
      </c>
      <c r="G5" s="7" t="s">
        <v>88</v>
      </c>
      <c r="H5" s="8">
        <v>0.26</v>
      </c>
      <c r="I5">
        <f>B8</f>
        <v>158.9</v>
      </c>
    </row>
    <row r="6" spans="1:9">
      <c r="A6" t="s">
        <v>68</v>
      </c>
      <c r="B6">
        <v>58.1</v>
      </c>
      <c r="G6" s="7" t="s">
        <v>89</v>
      </c>
      <c r="H6" s="8">
        <v>0.04</v>
      </c>
      <c r="I6">
        <f>B11</f>
        <v>29.9</v>
      </c>
    </row>
    <row r="7" spans="1:9">
      <c r="A7" t="s">
        <v>69</v>
      </c>
      <c r="B7">
        <v>71.099999999999994</v>
      </c>
      <c r="G7" s="7" t="s">
        <v>90</v>
      </c>
      <c r="H7" s="8">
        <f>1-SUM(H3:H6)</f>
        <v>0.12</v>
      </c>
      <c r="I7">
        <f>B22-SUM(I3:I6)</f>
        <v>442.20000000000005</v>
      </c>
    </row>
    <row r="8" spans="1:9">
      <c r="A8" t="s">
        <v>70</v>
      </c>
      <c r="B8">
        <v>158.9</v>
      </c>
    </row>
    <row r="9" spans="1:9">
      <c r="A9" t="s">
        <v>71</v>
      </c>
      <c r="B9">
        <v>2.2000000000000002</v>
      </c>
      <c r="H9" s="17" t="s">
        <v>97</v>
      </c>
      <c r="I9" s="16">
        <f>SUMPRODUCT($H$3:$H$7,$I$3:$I$7)/$B$22</f>
        <v>0.20469474680548982</v>
      </c>
    </row>
    <row r="10" spans="1:9">
      <c r="A10" t="s">
        <v>72</v>
      </c>
      <c r="B10">
        <v>11.4</v>
      </c>
    </row>
    <row r="11" spans="1:9">
      <c r="A11" t="s">
        <v>73</v>
      </c>
      <c r="B11">
        <v>29.9</v>
      </c>
    </row>
    <row r="12" spans="1:9">
      <c r="A12" t="s">
        <v>74</v>
      </c>
      <c r="B12">
        <v>36.700000000000003</v>
      </c>
    </row>
    <row r="13" spans="1:9">
      <c r="A13" t="s">
        <v>75</v>
      </c>
      <c r="B13">
        <v>13.9</v>
      </c>
      <c r="H13" t="s">
        <v>99</v>
      </c>
    </row>
    <row r="14" spans="1:9">
      <c r="A14" t="s">
        <v>76</v>
      </c>
      <c r="B14">
        <v>20.5</v>
      </c>
    </row>
    <row r="15" spans="1:9">
      <c r="A15" t="s">
        <v>77</v>
      </c>
      <c r="B15">
        <v>25.5</v>
      </c>
    </row>
    <row r="16" spans="1:9">
      <c r="A16" t="s">
        <v>78</v>
      </c>
      <c r="B16">
        <v>4.9000000000000004</v>
      </c>
    </row>
    <row r="17" spans="1:2">
      <c r="A17" t="s">
        <v>79</v>
      </c>
      <c r="B17">
        <v>40.299999999999997</v>
      </c>
    </row>
    <row r="18" spans="1:2" ht="34">
      <c r="A18" s="15" t="s">
        <v>80</v>
      </c>
      <c r="B18">
        <v>40</v>
      </c>
    </row>
    <row r="19" spans="1:2">
      <c r="A19" t="s">
        <v>81</v>
      </c>
      <c r="B19">
        <v>20.5</v>
      </c>
    </row>
    <row r="20" spans="1:2">
      <c r="A20" t="s">
        <v>82</v>
      </c>
      <c r="B20">
        <v>14.1</v>
      </c>
    </row>
    <row r="21" spans="1:2">
      <c r="A21" s="3" t="s">
        <v>83</v>
      </c>
      <c r="B21" s="3">
        <v>1.3</v>
      </c>
    </row>
    <row r="22" spans="1:2">
      <c r="A22" t="s">
        <v>84</v>
      </c>
      <c r="B22">
        <v>1056.5</v>
      </c>
    </row>
    <row r="24" spans="1:2">
      <c r="A2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Scrubber % Adjustment</vt:lpstr>
    </vt:vector>
  </TitlesOfParts>
  <Company>JGCRI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Smith, Steve J</cp:lastModifiedBy>
  <dcterms:created xsi:type="dcterms:W3CDTF">2016-03-17T16:06:24Z</dcterms:created>
  <dcterms:modified xsi:type="dcterms:W3CDTF">2025-02-07T04:38:16Z</dcterms:modified>
</cp:coreProperties>
</file>