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8920" yWindow="-60" windowWidth="29040" windowHeight="15780" tabRatio="759" firstSheet="3" activeTab="11"/>
  </bookViews>
  <sheets>
    <sheet name="master_table" sheetId="1" r:id="rId1"/>
    <sheet name="demand" sheetId="5" r:id="rId2"/>
    <sheet name="elec_consump_prov_bas_units" sheetId="7" r:id="rId3"/>
    <sheet name="supply_limit" sheetId="4" r:id="rId4"/>
    <sheet name="Notes" sheetId="2" r:id="rId5"/>
    <sheet name="consumption" sheetId="6" r:id="rId6"/>
    <sheet name="agg crop by 10 subreg" sheetId="9" r:id="rId7"/>
    <sheet name="basin value by ag product" sheetId="10" r:id="rId8"/>
    <sheet name="old_crop_productivity" sheetId="8" r:id="rId9"/>
    <sheet name="Policy" sheetId="11" r:id="rId10"/>
    <sheet name="GCAMdata-ThermalCooling" sheetId="12" r:id="rId11"/>
    <sheet name="GCAMdata-waterperland" sheetId="13" r:id="rId12"/>
  </sheets>
  <definedNames>
    <definedName name="_xlnm._FilterDatabase" localSheetId="1" hidden="1">demand!$A$1:$K$157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9" i="1" l="1"/>
  <c r="B254" i="1"/>
  <c r="J63" i="8" l="1"/>
  <c r="J62" i="8"/>
  <c r="J61" i="8"/>
  <c r="J59" i="8"/>
  <c r="D56" i="8" l="1"/>
  <c r="D2" i="9" l="1"/>
  <c r="G6" i="7" l="1"/>
  <c r="G8" i="7"/>
  <c r="I8" i="7"/>
  <c r="G154" i="5" l="1"/>
  <c r="G155" i="5"/>
  <c r="G156" i="5"/>
  <c r="G157" i="5"/>
  <c r="G153" i="5"/>
  <c r="H45" i="5"/>
  <c r="H46" i="5"/>
  <c r="H44" i="5"/>
  <c r="H42" i="5"/>
  <c r="H43" i="5"/>
  <c r="H41" i="5"/>
  <c r="H38" i="5"/>
  <c r="H39" i="5"/>
  <c r="H40" i="5"/>
  <c r="H37" i="5"/>
  <c r="H34" i="5"/>
  <c r="H35" i="5"/>
  <c r="H36" i="5"/>
  <c r="H33" i="5"/>
  <c r="H28" i="5"/>
  <c r="H29" i="5"/>
  <c r="H27" i="5"/>
  <c r="H32" i="5"/>
  <c r="H31" i="5"/>
  <c r="H30" i="5"/>
  <c r="H24" i="5"/>
  <c r="H25" i="5"/>
  <c r="H26" i="5"/>
  <c r="H23" i="5"/>
  <c r="H20" i="5"/>
  <c r="H21" i="5"/>
  <c r="H22" i="5"/>
  <c r="H19" i="5"/>
  <c r="H16" i="5"/>
  <c r="H17" i="5"/>
  <c r="H18" i="5"/>
  <c r="H15" i="5"/>
  <c r="H10" i="5"/>
  <c r="H14" i="5"/>
  <c r="H12" i="5"/>
  <c r="H13" i="5"/>
  <c r="H11" i="5"/>
  <c r="H8" i="5"/>
  <c r="H9" i="5"/>
  <c r="H7" i="5"/>
  <c r="G2" i="10"/>
  <c r="G5" i="10"/>
  <c r="G6" i="10"/>
  <c r="G3" i="10" s="1"/>
  <c r="G4" i="10"/>
  <c r="D4" i="9"/>
  <c r="D9" i="9"/>
  <c r="D12" i="9"/>
  <c r="D15" i="9"/>
  <c r="D16" i="9"/>
  <c r="D21" i="9"/>
  <c r="D25" i="9"/>
  <c r="D26" i="9"/>
  <c r="D3" i="10"/>
  <c r="D5" i="10"/>
  <c r="D7" i="10"/>
  <c r="D2" i="10"/>
  <c r="D27" i="9" s="1"/>
  <c r="C8" i="10"/>
  <c r="C20" i="9"/>
  <c r="D20" i="9" s="1"/>
  <c r="C18" i="9"/>
  <c r="D18" i="9" s="1"/>
  <c r="C14" i="9"/>
  <c r="D14" i="9" s="1"/>
  <c r="B8" i="10"/>
  <c r="D8" i="10" s="1"/>
  <c r="B6" i="10"/>
  <c r="D6" i="10" s="1"/>
  <c r="D7" i="9" s="1"/>
  <c r="B4" i="10"/>
  <c r="D4" i="10" s="1"/>
  <c r="C25" i="9"/>
  <c r="C21" i="9"/>
  <c r="C17" i="9"/>
  <c r="D17" i="9" s="1"/>
  <c r="C12" i="9"/>
  <c r="C11" i="9"/>
  <c r="D11" i="9" s="1"/>
  <c r="C10" i="9"/>
  <c r="C7" i="9"/>
  <c r="C5" i="9"/>
  <c r="C28" i="9" s="1"/>
  <c r="C6" i="9"/>
  <c r="D6" i="9" s="1"/>
  <c r="E61" i="8"/>
  <c r="D61" i="8" s="1"/>
  <c r="D64" i="8" s="1"/>
  <c r="D10" i="8"/>
  <c r="D25" i="8"/>
  <c r="D43" i="8"/>
  <c r="D19" i="9" l="1"/>
  <c r="D22" i="9"/>
  <c r="D13" i="9"/>
  <c r="D23" i="9"/>
  <c r="D8" i="9"/>
  <c r="D5" i="9"/>
  <c r="H2" i="10"/>
  <c r="G8" i="10"/>
  <c r="H3" i="10" s="1"/>
  <c r="D3" i="9"/>
  <c r="D24" i="9"/>
  <c r="D10" i="9"/>
  <c r="E64" i="8"/>
  <c r="H5" i="10" l="1"/>
  <c r="H6" i="10"/>
  <c r="H4" i="10"/>
  <c r="H8" i="10" s="1"/>
  <c r="D28" i="9"/>
  <c r="L10" i="7" l="1"/>
  <c r="P10" i="7" s="1"/>
  <c r="H123" i="5" s="1"/>
  <c r="K10" i="7"/>
  <c r="O10" i="7" s="1"/>
  <c r="H112" i="5" s="1"/>
  <c r="J10" i="7"/>
  <c r="N10" i="7" s="1"/>
  <c r="H101" i="5" s="1"/>
  <c r="I10" i="7"/>
  <c r="M10" i="7" s="1"/>
  <c r="H90" i="5" s="1"/>
  <c r="O9" i="7"/>
  <c r="H111" i="5" s="1"/>
  <c r="L9" i="7"/>
  <c r="P9" i="7" s="1"/>
  <c r="H122" i="5" s="1"/>
  <c r="K9" i="7"/>
  <c r="H110" i="5" s="1"/>
  <c r="J9" i="7"/>
  <c r="N9" i="7" s="1"/>
  <c r="H100" i="5" s="1"/>
  <c r="I9" i="7"/>
  <c r="M9" i="7" s="1"/>
  <c r="H89" i="5" s="1"/>
  <c r="P8" i="7"/>
  <c r="O8" i="7"/>
  <c r="N8" i="7"/>
  <c r="M8" i="7"/>
  <c r="L8" i="7"/>
  <c r="H120" i="5" s="1"/>
  <c r="K8" i="7"/>
  <c r="H109" i="5" s="1"/>
  <c r="J8" i="7"/>
  <c r="H98" i="5" s="1"/>
  <c r="L7" i="7"/>
  <c r="P7" i="7" s="1"/>
  <c r="H119" i="5" s="1"/>
  <c r="K7" i="7"/>
  <c r="O7" i="7" s="1"/>
  <c r="H108" i="5" s="1"/>
  <c r="J7" i="7"/>
  <c r="N7" i="7" s="1"/>
  <c r="H97" i="5" s="1"/>
  <c r="I7" i="7"/>
  <c r="M7" i="7" s="1"/>
  <c r="H86" i="5" s="1"/>
  <c r="L6" i="7"/>
  <c r="P6" i="7" s="1"/>
  <c r="H118" i="5" s="1"/>
  <c r="K6" i="7"/>
  <c r="O6" i="7" s="1"/>
  <c r="H107" i="5" s="1"/>
  <c r="J6" i="7"/>
  <c r="N6" i="7" s="1"/>
  <c r="H96" i="5" s="1"/>
  <c r="I6" i="7"/>
  <c r="M6" i="7" s="1"/>
  <c r="H85" i="5" s="1"/>
  <c r="O5" i="7"/>
  <c r="L5" i="7"/>
  <c r="P5" i="7" s="1"/>
  <c r="K5" i="7"/>
  <c r="H106" i="5" s="1"/>
  <c r="J5" i="7"/>
  <c r="N5" i="7" s="1"/>
  <c r="I5" i="7"/>
  <c r="M5" i="7" s="1"/>
  <c r="L4" i="7"/>
  <c r="P4" i="7" s="1"/>
  <c r="H115" i="5" s="1"/>
  <c r="K4" i="7"/>
  <c r="O4" i="7" s="1"/>
  <c r="H104" i="5" s="1"/>
  <c r="J4" i="7"/>
  <c r="N4" i="7" s="1"/>
  <c r="H93" i="5" s="1"/>
  <c r="I4" i="7"/>
  <c r="L3" i="7"/>
  <c r="P3" i="7" s="1"/>
  <c r="H114" i="5" s="1"/>
  <c r="K3" i="7"/>
  <c r="O3" i="7" s="1"/>
  <c r="H103" i="5" s="1"/>
  <c r="J3" i="7"/>
  <c r="H91" i="5" s="1"/>
  <c r="I3" i="7"/>
  <c r="H80" i="5" s="1"/>
  <c r="G11" i="7"/>
  <c r="Q8" i="7" l="1"/>
  <c r="M3" i="7"/>
  <c r="H81" i="5" s="1"/>
  <c r="N3" i="7"/>
  <c r="H92" i="5" s="1"/>
  <c r="H105" i="5"/>
  <c r="H117" i="5"/>
  <c r="H88" i="5"/>
  <c r="H83" i="5"/>
  <c r="H116" i="5"/>
  <c r="H87" i="5"/>
  <c r="G126" i="5" s="1"/>
  <c r="H126" i="5" s="1"/>
  <c r="H102" i="5"/>
  <c r="H84" i="5"/>
  <c r="H113" i="5"/>
  <c r="Q3" i="7"/>
  <c r="H99" i="5"/>
  <c r="H121" i="5"/>
  <c r="H95" i="5"/>
  <c r="H94" i="5"/>
  <c r="Q10" i="7"/>
  <c r="Q9" i="7"/>
  <c r="Q6" i="7"/>
  <c r="Q7" i="7"/>
  <c r="Q5" i="7"/>
  <c r="M4" i="7"/>
  <c r="G124" i="5" l="1"/>
  <c r="H124" i="5" s="1"/>
  <c r="Q4" i="7"/>
  <c r="H82" i="5"/>
  <c r="G125" i="5" l="1"/>
  <c r="H125" i="5" s="1"/>
  <c r="H92" i="1"/>
  <c r="H93" i="1"/>
  <c r="H94" i="1"/>
  <c r="H95" i="1"/>
  <c r="H91" i="1"/>
  <c r="H28" i="1"/>
  <c r="H37" i="1"/>
  <c r="H63" i="1"/>
  <c r="H151" i="1"/>
  <c r="H157" i="1"/>
  <c r="H159" i="1"/>
  <c r="B256" i="1"/>
  <c r="B255" i="1"/>
  <c r="H154" i="1" s="1"/>
  <c r="H166" i="1"/>
  <c r="H167" i="1"/>
  <c r="H168" i="1"/>
  <c r="H169" i="1"/>
  <c r="H170" i="1"/>
  <c r="H171" i="1"/>
  <c r="H172" i="1"/>
  <c r="H173" i="1"/>
  <c r="H174" i="1"/>
  <c r="H175" i="1"/>
  <c r="H165" i="1"/>
  <c r="H161" i="1"/>
  <c r="H162" i="1"/>
  <c r="H163" i="1"/>
  <c r="H164" i="1"/>
  <c r="H160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96" i="1"/>
  <c r="H87" i="1"/>
  <c r="H88" i="1"/>
  <c r="H89" i="1"/>
  <c r="H90" i="1"/>
  <c r="H86" i="1"/>
  <c r="H155" i="1" l="1"/>
  <c r="H30" i="1"/>
  <c r="K92" i="1"/>
  <c r="K94" i="1" s="1"/>
  <c r="H156" i="1"/>
  <c r="H58" i="1"/>
  <c r="H35" i="1"/>
  <c r="H26" i="1"/>
  <c r="H52" i="1"/>
  <c r="H158" i="1"/>
  <c r="H54" i="1"/>
  <c r="H33" i="1"/>
  <c r="H65" i="1"/>
  <c r="H56" i="1"/>
  <c r="H150" i="1"/>
  <c r="H153" i="1"/>
  <c r="H152" i="1"/>
  <c r="E11" i="4"/>
  <c r="E10" i="4"/>
  <c r="E9" i="4"/>
  <c r="E8" i="4"/>
  <c r="E7" i="4"/>
  <c r="E6" i="4"/>
  <c r="E5" i="4"/>
  <c r="E4" i="4"/>
  <c r="E3" i="4"/>
  <c r="E2" i="4"/>
  <c r="G182" i="1"/>
  <c r="G184" i="1"/>
  <c r="G185" i="1"/>
  <c r="G186" i="1"/>
  <c r="G187" i="1"/>
  <c r="G189" i="1"/>
  <c r="G190" i="1"/>
  <c r="G191" i="1"/>
  <c r="G192" i="1"/>
  <c r="G193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K93" i="1" l="1"/>
  <c r="G11" i="1"/>
  <c r="H11" i="1" s="1"/>
  <c r="C234" i="1"/>
  <c r="C233" i="1"/>
  <c r="C232" i="1"/>
  <c r="G76" i="1" l="1"/>
  <c r="H76" i="1" s="1"/>
  <c r="G81" i="1" l="1"/>
  <c r="H81" i="1" s="1"/>
  <c r="G77" i="1"/>
  <c r="H77" i="1" s="1"/>
  <c r="G82" i="1"/>
  <c r="H82" i="1" s="1"/>
  <c r="G78" i="1"/>
  <c r="H78" i="1" s="1"/>
  <c r="G79" i="1"/>
  <c r="H79" i="1" s="1"/>
  <c r="G84" i="1"/>
  <c r="H84" i="1" s="1"/>
  <c r="G83" i="1"/>
  <c r="H83" i="1" s="1"/>
  <c r="G80" i="1"/>
  <c r="H80" i="1" s="1"/>
  <c r="G85" i="1"/>
  <c r="H85" i="1" s="1"/>
  <c r="C227" i="1" l="1"/>
  <c r="G2" i="1"/>
  <c r="B253" i="1"/>
  <c r="F209" i="1"/>
  <c r="E209" i="1"/>
  <c r="C209" i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3" i="1"/>
  <c r="G4" i="1"/>
  <c r="G61" i="1" l="1"/>
  <c r="H61" i="1" s="1"/>
  <c r="G59" i="1"/>
  <c r="G60" i="1" s="1"/>
  <c r="H60" i="1" s="1"/>
  <c r="G57" i="1"/>
  <c r="H57" i="1" s="1"/>
  <c r="B232" i="1"/>
  <c r="H2" i="1"/>
  <c r="B234" i="1"/>
  <c r="H4" i="1"/>
  <c r="B233" i="1"/>
  <c r="G245" i="1" s="1"/>
  <c r="H3" i="1"/>
  <c r="E234" i="1"/>
  <c r="G14" i="1" s="1"/>
  <c r="H14" i="1" s="1"/>
  <c r="G62" i="1"/>
  <c r="G53" i="1"/>
  <c r="E232" i="1"/>
  <c r="G12" i="1" s="1"/>
  <c r="H12" i="1" s="1"/>
  <c r="G64" i="1"/>
  <c r="G40" i="1"/>
  <c r="H40" i="1" s="1"/>
  <c r="G32" i="1"/>
  <c r="H32" i="1" s="1"/>
  <c r="G38" i="1"/>
  <c r="H38" i="1" s="1"/>
  <c r="G46" i="1"/>
  <c r="H46" i="1" s="1"/>
  <c r="G23" i="1"/>
  <c r="H23" i="1" s="1"/>
  <c r="G36" i="1"/>
  <c r="H36" i="1" s="1"/>
  <c r="G25" i="1"/>
  <c r="H25" i="1" s="1"/>
  <c r="G42" i="1"/>
  <c r="H42" i="1" s="1"/>
  <c r="G29" i="1"/>
  <c r="H29" i="1" s="1"/>
  <c r="G44" i="1"/>
  <c r="H44" i="1" s="1"/>
  <c r="G39" i="1"/>
  <c r="H39" i="1" s="1"/>
  <c r="G43" i="1"/>
  <c r="H43" i="1" s="1"/>
  <c r="G47" i="1"/>
  <c r="H47" i="1" s="1"/>
  <c r="G24" i="1"/>
  <c r="H24" i="1" s="1"/>
  <c r="G31" i="1"/>
  <c r="H31" i="1" s="1"/>
  <c r="G41" i="1"/>
  <c r="H41" i="1" s="1"/>
  <c r="G45" i="1"/>
  <c r="H45" i="1" s="1"/>
  <c r="G22" i="1"/>
  <c r="H22" i="1" s="1"/>
  <c r="G27" i="1"/>
  <c r="H27" i="1" s="1"/>
  <c r="G34" i="1"/>
  <c r="H34" i="1" s="1"/>
  <c r="G49" i="1"/>
  <c r="G50" i="1"/>
  <c r="G48" i="1"/>
  <c r="G51" i="1"/>
  <c r="G55" i="1"/>
  <c r="G67" i="1" l="1"/>
  <c r="H67" i="1" s="1"/>
  <c r="H49" i="1"/>
  <c r="G70" i="1"/>
  <c r="H70" i="1" s="1"/>
  <c r="H53" i="1"/>
  <c r="G74" i="1"/>
  <c r="H74" i="1" s="1"/>
  <c r="H62" i="1"/>
  <c r="G71" i="1"/>
  <c r="H71" i="1" s="1"/>
  <c r="H55" i="1"/>
  <c r="G69" i="1"/>
  <c r="H69" i="1" s="1"/>
  <c r="H51" i="1"/>
  <c r="G72" i="1"/>
  <c r="H72" i="1" s="1"/>
  <c r="G66" i="1"/>
  <c r="H66" i="1" s="1"/>
  <c r="H48" i="1"/>
  <c r="G73" i="1"/>
  <c r="H73" i="1" s="1"/>
  <c r="H59" i="1"/>
  <c r="G75" i="1"/>
  <c r="H75" i="1" s="1"/>
  <c r="H64" i="1"/>
  <c r="G68" i="1"/>
  <c r="H68" i="1" s="1"/>
  <c r="H50" i="1"/>
  <c r="E233" i="1"/>
  <c r="G13" i="1" s="1"/>
  <c r="H13" i="1" s="1"/>
  <c r="F234" i="1"/>
  <c r="G234" i="1" s="1"/>
  <c r="F236" i="1"/>
  <c r="C245" i="1"/>
  <c r="C246" i="1" s="1"/>
  <c r="F239" i="1" l="1"/>
  <c r="F237" i="1"/>
  <c r="F235" i="1"/>
  <c r="F241" i="1"/>
  <c r="F232" i="1"/>
  <c r="G232" i="1" s="1"/>
  <c r="F238" i="1"/>
  <c r="G244" i="1"/>
  <c r="G246" i="1" s="1"/>
  <c r="F233" i="1"/>
  <c r="G233" i="1" s="1"/>
  <c r="F240" i="1"/>
  <c r="F242" i="1" l="1"/>
  <c r="F243" i="1" s="1"/>
  <c r="C236" i="1"/>
  <c r="G236" i="1" s="1"/>
  <c r="C235" i="1"/>
  <c r="G235" i="1" s="1"/>
  <c r="E235" i="1" l="1"/>
  <c r="G15" i="1" s="1"/>
  <c r="H15" i="1" s="1"/>
  <c r="E236" i="1"/>
  <c r="G16" i="1" s="1"/>
  <c r="H16" i="1" s="1"/>
  <c r="C238" i="1" l="1"/>
  <c r="G238" i="1" s="1"/>
  <c r="C237" i="1"/>
  <c r="G237" i="1" s="1"/>
  <c r="E237" i="1" l="1"/>
  <c r="G17" i="1" s="1"/>
  <c r="H17" i="1" s="1"/>
  <c r="E238" i="1"/>
  <c r="G18" i="1" s="1"/>
  <c r="H18" i="1" s="1"/>
  <c r="C240" i="1" l="1"/>
  <c r="G240" i="1" s="1"/>
  <c r="C239" i="1"/>
  <c r="G239" i="1" s="1"/>
  <c r="E239" i="1" l="1"/>
  <c r="G19" i="1" s="1"/>
  <c r="H19" i="1" s="1"/>
  <c r="E240" i="1"/>
  <c r="G20" i="1" s="1"/>
  <c r="H20" i="1" s="1"/>
  <c r="C241" i="1" l="1"/>
  <c r="G241" i="1" s="1"/>
  <c r="G247" i="1" s="1"/>
  <c r="G248" i="1" s="1"/>
  <c r="E241" i="1" l="1"/>
  <c r="G21" i="1" s="1"/>
  <c r="H21" i="1" s="1"/>
</calcChain>
</file>

<file path=xl/sharedStrings.xml><?xml version="1.0" encoding="utf-8"?>
<sst xmlns="http://schemas.openxmlformats.org/spreadsheetml/2006/main" count="2908" uniqueCount="268">
  <si>
    <t>param</t>
  </si>
  <si>
    <t>units</t>
  </si>
  <si>
    <t>class1</t>
  </si>
  <si>
    <t>class2</t>
  </si>
  <si>
    <t>electricity</t>
  </si>
  <si>
    <t>elecCapBySubsector</t>
  </si>
  <si>
    <t>watConsumBySec</t>
  </si>
  <si>
    <t>Water Consumption (km^3)</t>
  </si>
  <si>
    <t>agriculture</t>
  </si>
  <si>
    <t>municipal</t>
  </si>
  <si>
    <t>Water Withdrawals (km^3)</t>
  </si>
  <si>
    <t>watWithdrawBySec</t>
  </si>
  <si>
    <t>Key assumptions</t>
  </si>
  <si>
    <t>--Region is arid so to grow crops requires irrigation. Very little water is supplied by rainfall. In fact, most of the rainfall is in the mountains.</t>
  </si>
  <si>
    <t xml:space="preserve">--total irrigation withdrawals: 2662 hm3. </t>
  </si>
  <si>
    <t>--there are 27 irrigation systems, each with different efficiency and total withdrawal/consumption</t>
  </si>
  <si>
    <t>Mendoza_alta_barrancas</t>
  </si>
  <si>
    <t>Mendoza_alta_riogrande</t>
  </si>
  <si>
    <t>Neuquen_alta_barrancas</t>
  </si>
  <si>
    <t>Mendoza_media</t>
  </si>
  <si>
    <t>Neuquen_media</t>
  </si>
  <si>
    <t>RioNegro_media</t>
  </si>
  <si>
    <t>LaPampa_media</t>
  </si>
  <si>
    <t>LaPampa_baja</t>
  </si>
  <si>
    <t>RioNegro_baja</t>
  </si>
  <si>
    <t>Corfo</t>
  </si>
  <si>
    <t>--all values below are per year</t>
  </si>
  <si>
    <t>--all water is produced in the alta region; rainfall can occur in the other regions, but it just goes into the soil or evaporates before it becomes runoff</t>
  </si>
  <si>
    <t>--capacities below assume stationarity</t>
  </si>
  <si>
    <t>localNatCap</t>
  </si>
  <si>
    <t>return</t>
  </si>
  <si>
    <t>efficiency</t>
  </si>
  <si>
    <t>Station ID</t>
  </si>
  <si>
    <t>sub-region</t>
  </si>
  <si>
    <t>total withdrawal</t>
  </si>
  <si>
    <t>net withdrawal</t>
  </si>
  <si>
    <t>--</t>
  </si>
  <si>
    <t>Notes</t>
  </si>
  <si>
    <t>Proposed (not build)</t>
  </si>
  <si>
    <t>TOTAL</t>
  </si>
  <si>
    <t>AGRICULTURAL WATER DEMANDS</t>
  </si>
  <si>
    <t>MUNICIPAL WATER DEMANDS</t>
  </si>
  <si>
    <t>Sending water out of the basin???</t>
  </si>
  <si>
    <t>No intake location shown</t>
  </si>
  <si>
    <t>hm3 to km3</t>
  </si>
  <si>
    <t>SUM</t>
  </si>
  <si>
    <t>Local natural supply limit (km^3)</t>
  </si>
  <si>
    <t>Installed Capacity (MW)</t>
  </si>
  <si>
    <t>Electricity generation (GWh)</t>
  </si>
  <si>
    <t>residential</t>
  </si>
  <si>
    <t>commercial</t>
  </si>
  <si>
    <t>industrial</t>
  </si>
  <si>
    <t>other</t>
  </si>
  <si>
    <t>Electricity consumption (GWh)</t>
  </si>
  <si>
    <t>gal/mwh to km3/gwh</t>
  </si>
  <si>
    <t>--assumed all of their thermal power plants are once through cooling</t>
  </si>
  <si>
    <t>--currently assume no reservoir evaporation occurs</t>
  </si>
  <si>
    <t>GCAM capacity factor</t>
  </si>
  <si>
    <t>GCAM cooling technology water consumption</t>
  </si>
  <si>
    <t>GCAM cooling technology water withdrawal</t>
  </si>
  <si>
    <t>AgProdByCrop</t>
  </si>
  <si>
    <t>Agricultural production (tons/yr)</t>
  </si>
  <si>
    <t>Trigo</t>
  </si>
  <si>
    <t>Maiz</t>
  </si>
  <si>
    <t>Avena</t>
  </si>
  <si>
    <t>Centeno</t>
  </si>
  <si>
    <t>Cebada</t>
  </si>
  <si>
    <t>Sorgo</t>
  </si>
  <si>
    <t>Girasol (grano para aceite)</t>
  </si>
  <si>
    <t>Girasol (semilla)</t>
  </si>
  <si>
    <t>Soja</t>
  </si>
  <si>
    <t>otros</t>
  </si>
  <si>
    <t>alfalfa</t>
  </si>
  <si>
    <t>otras</t>
  </si>
  <si>
    <t>PC</t>
  </si>
  <si>
    <t>cebolla</t>
  </si>
  <si>
    <t>ajo</t>
  </si>
  <si>
    <t>papa</t>
  </si>
  <si>
    <t>tomate</t>
  </si>
  <si>
    <t>Z. Anquito</t>
  </si>
  <si>
    <t>Z. Tsukabuto</t>
  </si>
  <si>
    <t>Zanahoria</t>
  </si>
  <si>
    <t>Morron</t>
  </si>
  <si>
    <t>Semillas</t>
  </si>
  <si>
    <t>COIRCO_2013_report</t>
  </si>
  <si>
    <t>vacas</t>
  </si>
  <si>
    <t>vaquillonas</t>
  </si>
  <si>
    <t>novillos</t>
  </si>
  <si>
    <t>terneros</t>
  </si>
  <si>
    <t>toros</t>
  </si>
  <si>
    <t>SurfaceWater</t>
  </si>
  <si>
    <t>Runoff</t>
  </si>
  <si>
    <t>GroundWater</t>
  </si>
  <si>
    <t>Reservoir</t>
  </si>
  <si>
    <t>Randomly generated</t>
  </si>
  <si>
    <t>subregion</t>
  </si>
  <si>
    <t>Consumption</t>
  </si>
  <si>
    <t>Upstream Flow</t>
  </si>
  <si>
    <t>Leftover</t>
  </si>
  <si>
    <t>Assumptions</t>
  </si>
  <si>
    <t>half of water available to each</t>
  </si>
  <si>
    <t>check</t>
  </si>
  <si>
    <t>total withd</t>
  </si>
  <si>
    <t>withd % of total avail</t>
  </si>
  <si>
    <t>Total avail</t>
  </si>
  <si>
    <t>Upstream</t>
  </si>
  <si>
    <t>data source</t>
  </si>
  <si>
    <t>supply</t>
  </si>
  <si>
    <t>--just assuming all values are for 2010</t>
  </si>
  <si>
    <t>year</t>
  </si>
  <si>
    <t>W_GW_Reservoir</t>
  </si>
  <si>
    <t>W_SW_Reservoir</t>
  </si>
  <si>
    <t>W_SW_Upstream</t>
  </si>
  <si>
    <t>W_SW_Runoff</t>
  </si>
  <si>
    <t>E_Elec_Gas</t>
  </si>
  <si>
    <t>E_Elec_Hydro</t>
  </si>
  <si>
    <t>E_Elec_RefLiq_Diesel</t>
  </si>
  <si>
    <t>subRegion</t>
  </si>
  <si>
    <t>supplySector</t>
  </si>
  <si>
    <t>animal</t>
  </si>
  <si>
    <t>elecDemand</t>
  </si>
  <si>
    <t>LocalData</t>
  </si>
  <si>
    <t>LocalDataSubdivided</t>
  </si>
  <si>
    <t>localData</t>
  </si>
  <si>
    <t>localDataSubdivided</t>
  </si>
  <si>
    <t>dataSource</t>
  </si>
  <si>
    <t>irrigation</t>
  </si>
  <si>
    <t>demandClass</t>
  </si>
  <si>
    <t>Electricity_RefLiq_Diesel</t>
  </si>
  <si>
    <t>Electricity_Gas</t>
  </si>
  <si>
    <t>Electricity_Hydro</t>
  </si>
  <si>
    <t>Electricity</t>
  </si>
  <si>
    <t>RefLiq_Diesel</t>
  </si>
  <si>
    <t>Gas</t>
  </si>
  <si>
    <t>Hydro</t>
  </si>
  <si>
    <t>data</t>
  </si>
  <si>
    <t>Electricity_Import</t>
  </si>
  <si>
    <t>Total</t>
  </si>
  <si>
    <t>Comercial</t>
  </si>
  <si>
    <t>Industrial</t>
  </si>
  <si>
    <t>Supply cap</t>
  </si>
  <si>
    <t>Locally sourced</t>
  </si>
  <si>
    <t>Imported</t>
  </si>
  <si>
    <t>Residential</t>
  </si>
  <si>
    <t>export</t>
  </si>
  <si>
    <t>crop</t>
  </si>
  <si>
    <t>production/profit</t>
  </si>
  <si>
    <t>water demand</t>
  </si>
  <si>
    <t>Valle del Prado</t>
  </si>
  <si>
    <t>Salto Andersen</t>
  </si>
  <si>
    <t>Iturroz</t>
  </si>
  <si>
    <t>Pichi Mahuida</t>
  </si>
  <si>
    <t>El Alamo</t>
  </si>
  <si>
    <t>Santa Nicolasa</t>
  </si>
  <si>
    <t>Fincas de Duval</t>
  </si>
  <si>
    <t>Agro Bolivar</t>
  </si>
  <si>
    <t>Ungue</t>
  </si>
  <si>
    <t>El Milagro</t>
  </si>
  <si>
    <t>Casa de Piedra</t>
  </si>
  <si>
    <t>Catriel</t>
  </si>
  <si>
    <t>25 de Mayo</t>
  </si>
  <si>
    <t>El Sauzal</t>
  </si>
  <si>
    <t>Peñas Blancas</t>
  </si>
  <si>
    <t>Valle Verde</t>
  </si>
  <si>
    <t>Extensión Valle Verde</t>
  </si>
  <si>
    <t>Octavio Pico</t>
  </si>
  <si>
    <t>Rincón Colorado</t>
  </si>
  <si>
    <t>Rincón de los Sauces</t>
  </si>
  <si>
    <t>Buta Ranquil</t>
  </si>
  <si>
    <t>Butacó</t>
  </si>
  <si>
    <t>Barrancas</t>
  </si>
  <si>
    <t>El Batro</t>
  </si>
  <si>
    <t>CORFO</t>
  </si>
  <si>
    <t>ID</t>
  </si>
  <si>
    <t>proposed or under construction (not operational)</t>
  </si>
  <si>
    <t>Area</t>
  </si>
  <si>
    <t>pasture</t>
  </si>
  <si>
    <t>forest</t>
  </si>
  <si>
    <t>crop area (km2)</t>
  </si>
  <si>
    <t>water taken from</t>
  </si>
  <si>
    <t>stream</t>
  </si>
  <si>
    <t>infrastructure?</t>
  </si>
  <si>
    <t>N</t>
  </si>
  <si>
    <t>Y</t>
  </si>
  <si>
    <t>export?</t>
  </si>
  <si>
    <t>vegetables</t>
  </si>
  <si>
    <t>?</t>
  </si>
  <si>
    <t>total subregion irrigated area (km2)</t>
  </si>
  <si>
    <t>cereals</t>
  </si>
  <si>
    <t>key fact: they also give us information about WHICH OF THESE AREAS COULD ACTUALLY BE EXPANDED, like what percentage of the irrigated areas is actually being used.</t>
  </si>
  <si>
    <t>pasture is mostly alfalfa, which is used for animal feed</t>
  </si>
  <si>
    <t>we actually could account for animal production</t>
  </si>
  <si>
    <t>olive tree</t>
  </si>
  <si>
    <t>fodder</t>
  </si>
  <si>
    <t>wine</t>
  </si>
  <si>
    <t>horticulture</t>
  </si>
  <si>
    <t>THIS IS A mega project that would put 100 km2 into operation. This could part of our evaluation.</t>
  </si>
  <si>
    <t>reservoir (CDP)</t>
  </si>
  <si>
    <t>There is a mega project under construction that will pull water from casa de piedra. Not yet completed, so we could consider that as a policy</t>
  </si>
  <si>
    <t>onion</t>
  </si>
  <si>
    <t>grain</t>
  </si>
  <si>
    <t>Not currently in operation for reasons unclear during time of interview</t>
  </si>
  <si>
    <t>proposed projects</t>
  </si>
  <si>
    <t>sum</t>
  </si>
  <si>
    <t>product</t>
  </si>
  <si>
    <t>value (2011)</t>
  </si>
  <si>
    <t>land dedicated (km2)</t>
  </si>
  <si>
    <t>in million pesos</t>
  </si>
  <si>
    <t>Source</t>
  </si>
  <si>
    <t>page 108-209</t>
  </si>
  <si>
    <t>cereals (wheat and corn) and oilseeds</t>
  </si>
  <si>
    <t>onion and squash</t>
  </si>
  <si>
    <t>olives, walnuts, wine</t>
  </si>
  <si>
    <t>specialty</t>
  </si>
  <si>
    <t>alfalfa and fescue, and fodder</t>
  </si>
  <si>
    <t>apparently no value</t>
  </si>
  <si>
    <t>mil pesos/km2 land</t>
  </si>
  <si>
    <t>gross value (mil pesos)</t>
  </si>
  <si>
    <t>no data, just assumed export</t>
  </si>
  <si>
    <t>agDemand</t>
  </si>
  <si>
    <t>Ag production value (mil pesos)</t>
  </si>
  <si>
    <t>Ag_cereals</t>
  </si>
  <si>
    <t>Ag_vegetables</t>
  </si>
  <si>
    <t>Ag_pasture</t>
  </si>
  <si>
    <t>Ag_specialty</t>
  </si>
  <si>
    <t>fruittrees</t>
  </si>
  <si>
    <t>Ag_fruittrees</t>
  </si>
  <si>
    <t>Ag_forest</t>
  </si>
  <si>
    <t>assumed 10% GW (throughout)</t>
  </si>
  <si>
    <t>GCAM prod (Mt)</t>
  </si>
  <si>
    <t>GCAM biophysical water demand</t>
  </si>
  <si>
    <t>GCAM biophysical water demands are for the colorado; and production is for the colorado</t>
  </si>
  <si>
    <t>water/$</t>
  </si>
  <si>
    <t>why doesn’t pasture have a place in biophysical water consumption?</t>
  </si>
  <si>
    <t>Fraction</t>
  </si>
  <si>
    <t>assumed evenly divided water demand across crops</t>
  </si>
  <si>
    <t>meatDemand</t>
  </si>
  <si>
    <t>Animal_vacas</t>
  </si>
  <si>
    <t>Animal_vaquillonas</t>
  </si>
  <si>
    <t>Animal_novillos</t>
  </si>
  <si>
    <t>Animal_terneros</t>
  </si>
  <si>
    <t>Animal_toros</t>
  </si>
  <si>
    <t>Animal production (head)</t>
  </si>
  <si>
    <t>COIRCO land sheet</t>
  </si>
  <si>
    <t>supplySubSector</t>
  </si>
  <si>
    <t>Water</t>
  </si>
  <si>
    <t>Agriculture</t>
  </si>
  <si>
    <t>Livestock</t>
  </si>
  <si>
    <t>times  increase</t>
  </si>
  <si>
    <t>Technology</t>
  </si>
  <si>
    <r>
      <t>Water withdrawal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/MWh)</t>
    </r>
  </si>
  <si>
    <r>
      <t>Water consumption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/MWh)</t>
    </r>
  </si>
  <si>
    <t>Gas CC once-through</t>
  </si>
  <si>
    <t>Refined Liquid Diesel once-through</t>
  </si>
  <si>
    <t>Corn</t>
  </si>
  <si>
    <t>FiberCrop</t>
  </si>
  <si>
    <t>FodderHerb</t>
  </si>
  <si>
    <t>MiscCrop</t>
  </si>
  <si>
    <t>OilCrop</t>
  </si>
  <si>
    <t>OtherGrain</t>
  </si>
  <si>
    <t>Rice</t>
  </si>
  <si>
    <t>Root_Tuber</t>
  </si>
  <si>
    <t>Wheat</t>
  </si>
  <si>
    <t>GCAM Crop Category</t>
  </si>
  <si>
    <t>Year</t>
  </si>
  <si>
    <r>
      <t>Land allocation (10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km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</t>
    </r>
  </si>
  <si>
    <r>
      <t>Biophysical water consumption (km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</si>
  <si>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r>
      <t>Biophysical water per unit land (km3/km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</si>
</sst>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00000"/>
    <numFmt numFmtId="166" formatCode="0.000000000000000"/>
    <numFmt numFmtId="167" formatCode="0.00000000000000"/>
    <numFmt numFmtId="168" formatCode="0.0000"/>
    <numFmt numFmtId="169" formatCode="0.000"/>
    <numFmt numFmtId="170" formatCode="0.00000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-0.249977111117893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right"/>
    </xf>
    <xf numFmtId="164" fontId="0" fillId="0" borderId="0" xfId="0" applyNumberFormat="1"/>
    <xf numFmtId="0" fontId="14" fillId="0" borderId="0" xfId="0" applyFont="1"/>
    <xf numFmtId="0" fontId="0" fillId="0" borderId="10" xfId="0" applyBorder="1"/>
    <xf numFmtId="164" fontId="0" fillId="0" borderId="10" xfId="0" applyNumberFormat="1" applyBorder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16" fillId="0" borderId="10" xfId="0" applyFont="1" applyBorder="1"/>
    <xf numFmtId="0" fontId="0" fillId="0" borderId="0" xfId="0" applyBorder="1"/>
    <xf numFmtId="2" fontId="0" fillId="0" borderId="0" xfId="0" applyNumberFormat="1" applyFont="1" applyBorder="1" applyAlignment="1">
      <alignment horizontal="right"/>
    </xf>
    <xf numFmtId="0" fontId="0" fillId="0" borderId="11" xfId="0" applyBorder="1"/>
    <xf numFmtId="0" fontId="0" fillId="0" borderId="11" xfId="0" applyFont="1" applyBorder="1" applyAlignment="1">
      <alignment horizontal="right"/>
    </xf>
    <xf numFmtId="0" fontId="14" fillId="0" borderId="11" xfId="0" applyFont="1" applyBorder="1"/>
    <xf numFmtId="0" fontId="0" fillId="0" borderId="11" xfId="0" applyFill="1" applyBorder="1"/>
    <xf numFmtId="164" fontId="0" fillId="0" borderId="11" xfId="0" applyNumberFormat="1" applyBorder="1"/>
    <xf numFmtId="0" fontId="18" fillId="0" borderId="0" xfId="0" applyFont="1"/>
    <xf numFmtId="0" fontId="18" fillId="0" borderId="11" xfId="0" applyFont="1" applyBorder="1"/>
    <xf numFmtId="2" fontId="14" fillId="0" borderId="0" xfId="0" applyNumberFormat="1" applyFont="1" applyBorder="1" applyAlignment="1">
      <alignment horizontal="right"/>
    </xf>
    <xf numFmtId="164" fontId="0" fillId="0" borderId="0" xfId="0" applyNumberFormat="1" applyBorder="1"/>
    <xf numFmtId="165" fontId="14" fillId="0" borderId="0" xfId="0" applyNumberFormat="1" applyFont="1" applyBorder="1"/>
    <xf numFmtId="165" fontId="14" fillId="0" borderId="11" xfId="0" applyNumberFormat="1" applyFont="1" applyBorder="1"/>
    <xf numFmtId="0" fontId="18" fillId="0" borderId="0" xfId="0" applyFont="1" applyFill="1" applyBorder="1"/>
    <xf numFmtId="2" fontId="19" fillId="0" borderId="0" xfId="0" applyNumberFormat="1" applyFont="1" applyBorder="1" applyAlignment="1">
      <alignment horizontal="right"/>
    </xf>
    <xf numFmtId="0" fontId="18" fillId="0" borderId="11" xfId="0" applyFont="1" applyFill="1" applyBorder="1"/>
    <xf numFmtId="2" fontId="19" fillId="0" borderId="11" xfId="0" applyNumberFormat="1" applyFont="1" applyBorder="1" applyAlignment="1">
      <alignment horizontal="right"/>
    </xf>
    <xf numFmtId="0" fontId="14" fillId="0" borderId="0" xfId="0" applyFont="1" applyBorder="1"/>
    <xf numFmtId="0" fontId="0" fillId="0" borderId="12" xfId="0" applyBorder="1"/>
    <xf numFmtId="164" fontId="0" fillId="0" borderId="12" xfId="0" applyNumberFormat="1" applyBorder="1"/>
    <xf numFmtId="0" fontId="16" fillId="0" borderId="10" xfId="0" applyFont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10" xfId="0" applyNumberFormat="1" applyBorder="1"/>
    <xf numFmtId="9" fontId="0" fillId="0" borderId="0" xfId="42" applyFont="1"/>
    <xf numFmtId="0" fontId="18" fillId="0" borderId="10" xfId="0" applyFont="1" applyFill="1" applyBorder="1"/>
    <xf numFmtId="0" fontId="0" fillId="0" borderId="10" xfId="0" applyFill="1" applyBorder="1"/>
    <xf numFmtId="170" fontId="0" fillId="0" borderId="0" xfId="0" applyNumberFormat="1" applyFill="1" applyBorder="1"/>
    <xf numFmtId="170" fontId="0" fillId="0" borderId="11" xfId="0" applyNumberFormat="1" applyFill="1" applyBorder="1"/>
    <xf numFmtId="2" fontId="0" fillId="0" borderId="11" xfId="0" applyNumberFormat="1" applyFont="1" applyBorder="1" applyAlignment="1">
      <alignment horizontal="right"/>
    </xf>
    <xf numFmtId="2" fontId="14" fillId="0" borderId="11" xfId="0" applyNumberFormat="1" applyFont="1" applyBorder="1" applyAlignment="1">
      <alignment horizontal="right"/>
    </xf>
    <xf numFmtId="2" fontId="0" fillId="0" borderId="0" xfId="0" applyNumberFormat="1"/>
    <xf numFmtId="0" fontId="20" fillId="33" borderId="13" xfId="0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0" fontId="21" fillId="0" borderId="0" xfId="0" applyFont="1"/>
    <xf numFmtId="0" fontId="20" fillId="33" borderId="15" xfId="0" applyFont="1" applyFill="1" applyBorder="1" applyAlignment="1">
      <alignment horizontal="center"/>
    </xf>
    <xf numFmtId="0" fontId="0" fillId="0" borderId="14" xfId="0" applyBorder="1"/>
    <xf numFmtId="169" fontId="0" fillId="0" borderId="0" xfId="0" applyNumberFormat="1" applyFill="1" applyBorder="1" applyAlignment="1">
      <alignment horizontal="center"/>
    </xf>
    <xf numFmtId="2" fontId="0" fillId="0" borderId="14" xfId="0" applyNumberFormat="1" applyBorder="1"/>
    <xf numFmtId="0" fontId="20" fillId="33" borderId="14" xfId="0" applyFont="1" applyFill="1" applyBorder="1" applyAlignment="1">
      <alignment horizontal="center"/>
    </xf>
    <xf numFmtId="0" fontId="14" fillId="0" borderId="14" xfId="0" applyFont="1" applyBorder="1"/>
    <xf numFmtId="2" fontId="0" fillId="0" borderId="0" xfId="0" applyNumberFormat="1" applyBorder="1"/>
    <xf numFmtId="2" fontId="0" fillId="0" borderId="11" xfId="0" applyNumberFormat="1" applyBorder="1"/>
    <xf numFmtId="0" fontId="22" fillId="0" borderId="0" xfId="0" applyFont="1"/>
    <xf numFmtId="0" fontId="0" fillId="0" borderId="0" xfId="0" applyAlignment="1">
      <alignment wrapText="1"/>
    </xf>
    <xf numFmtId="0" fontId="22" fillId="0" borderId="0" xfId="0" quotePrefix="1" applyFont="1"/>
    <xf numFmtId="0" fontId="14" fillId="0" borderId="0" xfId="0" quotePrefix="1" applyFont="1"/>
    <xf numFmtId="0" fontId="22" fillId="0" borderId="0" xfId="0" applyFont="1" applyAlignment="1">
      <alignment horizontal="right"/>
    </xf>
    <xf numFmtId="0" fontId="23" fillId="0" borderId="0" xfId="0" applyFont="1"/>
    <xf numFmtId="0" fontId="16" fillId="0" borderId="0" xfId="0" applyFont="1"/>
    <xf numFmtId="165" fontId="0" fillId="0" borderId="0" xfId="0" applyNumberFormat="1"/>
    <xf numFmtId="0" fontId="16" fillId="0" borderId="0" xfId="0" applyFont="1" applyAlignment="1">
      <alignment wrapText="1"/>
    </xf>
    <xf numFmtId="168" fontId="0" fillId="0" borderId="0" xfId="0" quotePrefix="1" applyNumberFormat="1"/>
    <xf numFmtId="165" fontId="0" fillId="0" borderId="0" xfId="0" quotePrefix="1" applyNumberFormat="1"/>
    <xf numFmtId="165" fontId="14" fillId="0" borderId="0" xfId="0" applyNumberFormat="1" applyFont="1"/>
    <xf numFmtId="168" fontId="14" fillId="0" borderId="0" xfId="0" applyNumberFormat="1" applyFont="1"/>
    <xf numFmtId="165" fontId="16" fillId="0" borderId="0" xfId="0" applyNumberFormat="1" applyFont="1"/>
    <xf numFmtId="1" fontId="19" fillId="0" borderId="0" xfId="0" applyNumberFormat="1" applyFont="1" applyBorder="1" applyAlignment="1">
      <alignment horizontal="right"/>
    </xf>
    <xf numFmtId="1" fontId="19" fillId="0" borderId="11" xfId="0" applyNumberFormat="1" applyFont="1" applyBorder="1" applyAlignment="1">
      <alignment horizontal="right"/>
    </xf>
    <xf numFmtId="2" fontId="0" fillId="0" borderId="0" xfId="0" applyNumberFormat="1" applyFill="1" applyBorder="1" applyAlignment="1">
      <alignment horizontal="center"/>
    </xf>
    <xf numFmtId="0" fontId="20" fillId="33" borderId="16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35" borderId="0" xfId="0" applyFill="1"/>
    <xf numFmtId="0" fontId="20" fillId="34" borderId="0" xfId="0" applyFont="1" applyFill="1" applyBorder="1" applyAlignment="1">
      <alignment horizontal="center"/>
    </xf>
    <xf numFmtId="0" fontId="0" fillId="0" borderId="0" xfId="0" applyAlignment="1"/>
    <xf numFmtId="0" fontId="20" fillId="34" borderId="11" xfId="0" applyFont="1" applyFill="1" applyBorder="1" applyAlignment="1">
      <alignment horizontal="center"/>
    </xf>
    <xf numFmtId="0" fontId="0" fillId="0" borderId="11" xfId="0" applyBorder="1" applyAlignment="1"/>
    <xf numFmtId="0" fontId="16" fillId="0" borderId="17" xfId="0" applyFont="1" applyBorder="1"/>
    <xf numFmtId="0" fontId="16" fillId="0" borderId="17" xfId="0" applyFont="1" applyBorder="1" applyAlignment="1">
      <alignment horizontal="center"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18" fillId="36" borderId="17" xfId="0" applyFont="1" applyFill="1" applyBorder="1" applyAlignment="1">
      <alignment vertical="center"/>
    </xf>
    <xf numFmtId="0" fontId="18" fillId="36" borderId="17" xfId="0" applyFont="1" applyFill="1" applyBorder="1" applyAlignment="1">
      <alignment horizontal="center" wrapText="1"/>
    </xf>
    <xf numFmtId="2" fontId="18" fillId="36" borderId="17" xfId="0" applyNumberFormat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topLeftCell="A223" zoomScale="85" zoomScaleNormal="85" workbookViewId="0">
      <selection activeCell="B254" sqref="B254"/>
    </sheetView>
  </sheetViews>
  <sheetFormatPr defaultRowHeight="15" x14ac:dyDescent="0.25"/>
  <cols>
    <col min="1" max="1" width="31.28515625" bestFit="1" customWidth="1"/>
    <col min="2" max="2" width="23.42578125" bestFit="1" customWidth="1"/>
    <col min="3" max="3" width="31.85546875" bestFit="1" customWidth="1"/>
    <col min="4" max="4" width="31.85546875" customWidth="1"/>
    <col min="5" max="5" width="26.5703125" bestFit="1" customWidth="1"/>
    <col min="6" max="6" width="15.28515625" bestFit="1" customWidth="1"/>
    <col min="7" max="7" width="18.140625" bestFit="1" customWidth="1"/>
    <col min="8" max="8" width="21.42578125" bestFit="1" customWidth="1"/>
    <col min="9" max="9" width="23.42578125" customWidth="1"/>
    <col min="10" max="11" width="43.5703125" bestFit="1" customWidth="1"/>
  </cols>
  <sheetData>
    <row r="1" spans="1:10" s="5" customFormat="1" x14ac:dyDescent="0.25">
      <c r="A1" s="10" t="s">
        <v>95</v>
      </c>
      <c r="B1" s="10" t="s">
        <v>0</v>
      </c>
      <c r="C1" s="10" t="s">
        <v>1</v>
      </c>
      <c r="D1" s="10" t="s">
        <v>109</v>
      </c>
      <c r="E1" s="10" t="s">
        <v>2</v>
      </c>
      <c r="F1" s="10" t="s">
        <v>3</v>
      </c>
      <c r="G1" s="10" t="s">
        <v>121</v>
      </c>
      <c r="H1" s="10" t="s">
        <v>122</v>
      </c>
      <c r="I1" s="10" t="s">
        <v>107</v>
      </c>
      <c r="J1" s="10" t="s">
        <v>106</v>
      </c>
    </row>
    <row r="2" spans="1:10" x14ac:dyDescent="0.25">
      <c r="A2" t="s">
        <v>16</v>
      </c>
      <c r="B2" t="s">
        <v>29</v>
      </c>
      <c r="C2" t="s">
        <v>46</v>
      </c>
      <c r="D2">
        <v>2010</v>
      </c>
      <c r="E2" t="s">
        <v>90</v>
      </c>
      <c r="F2" t="s">
        <v>91</v>
      </c>
      <c r="G2" s="3">
        <f>0.25*1.1045</f>
        <v>0.27612500000000001</v>
      </c>
      <c r="H2" s="3">
        <f>G2</f>
        <v>0.27612500000000001</v>
      </c>
      <c r="J2" t="s">
        <v>84</v>
      </c>
    </row>
    <row r="3" spans="1:10" x14ac:dyDescent="0.25">
      <c r="A3" t="s">
        <v>17</v>
      </c>
      <c r="B3" t="s">
        <v>29</v>
      </c>
      <c r="C3" t="s">
        <v>46</v>
      </c>
      <c r="D3">
        <v>2010</v>
      </c>
      <c r="E3" t="s">
        <v>90</v>
      </c>
      <c r="F3" t="s">
        <v>91</v>
      </c>
      <c r="G3" s="3">
        <f>3.5029</f>
        <v>3.5028999999999999</v>
      </c>
      <c r="H3" s="3">
        <f t="shared" ref="H3:H21" si="0">G3</f>
        <v>3.5028999999999999</v>
      </c>
      <c r="J3" t="s">
        <v>84</v>
      </c>
    </row>
    <row r="4" spans="1:10" x14ac:dyDescent="0.25">
      <c r="A4" t="s">
        <v>18</v>
      </c>
      <c r="B4" t="s">
        <v>29</v>
      </c>
      <c r="C4" t="s">
        <v>46</v>
      </c>
      <c r="D4">
        <v>2010</v>
      </c>
      <c r="E4" t="s">
        <v>90</v>
      </c>
      <c r="F4" t="s">
        <v>91</v>
      </c>
      <c r="G4" s="3">
        <f>0.75*1.1045</f>
        <v>0.82837500000000008</v>
      </c>
      <c r="H4" s="3">
        <f t="shared" si="0"/>
        <v>0.82837500000000008</v>
      </c>
      <c r="J4" t="s">
        <v>84</v>
      </c>
    </row>
    <row r="5" spans="1:10" x14ac:dyDescent="0.25">
      <c r="A5" t="s">
        <v>19</v>
      </c>
      <c r="B5" t="s">
        <v>29</v>
      </c>
      <c r="C5" t="s">
        <v>46</v>
      </c>
      <c r="D5">
        <v>2010</v>
      </c>
      <c r="E5" t="s">
        <v>90</v>
      </c>
      <c r="F5" t="s">
        <v>91</v>
      </c>
      <c r="G5" s="3">
        <f>0</f>
        <v>0</v>
      </c>
      <c r="H5" s="3">
        <f t="shared" si="0"/>
        <v>0</v>
      </c>
      <c r="J5" t="s">
        <v>84</v>
      </c>
    </row>
    <row r="6" spans="1:10" x14ac:dyDescent="0.25">
      <c r="A6" t="s">
        <v>20</v>
      </c>
      <c r="B6" t="s">
        <v>29</v>
      </c>
      <c r="C6" t="s">
        <v>46</v>
      </c>
      <c r="D6">
        <v>2010</v>
      </c>
      <c r="E6" t="s">
        <v>90</v>
      </c>
      <c r="F6" t="s">
        <v>91</v>
      </c>
      <c r="G6" s="3">
        <f>0</f>
        <v>0</v>
      </c>
      <c r="H6" s="3">
        <f t="shared" si="0"/>
        <v>0</v>
      </c>
      <c r="J6" t="s">
        <v>84</v>
      </c>
    </row>
    <row r="7" spans="1:10" x14ac:dyDescent="0.25">
      <c r="A7" t="s">
        <v>21</v>
      </c>
      <c r="B7" t="s">
        <v>29</v>
      </c>
      <c r="C7" t="s">
        <v>46</v>
      </c>
      <c r="D7">
        <v>2010</v>
      </c>
      <c r="E7" t="s">
        <v>90</v>
      </c>
      <c r="F7" t="s">
        <v>91</v>
      </c>
      <c r="G7" s="3">
        <f>0</f>
        <v>0</v>
      </c>
      <c r="H7" s="3">
        <f t="shared" si="0"/>
        <v>0</v>
      </c>
      <c r="J7" t="s">
        <v>84</v>
      </c>
    </row>
    <row r="8" spans="1:10" x14ac:dyDescent="0.25">
      <c r="A8" t="s">
        <v>22</v>
      </c>
      <c r="B8" t="s">
        <v>29</v>
      </c>
      <c r="C8" t="s">
        <v>46</v>
      </c>
      <c r="D8">
        <v>2010</v>
      </c>
      <c r="E8" t="s">
        <v>90</v>
      </c>
      <c r="F8" t="s">
        <v>91</v>
      </c>
      <c r="G8" s="3">
        <f>0</f>
        <v>0</v>
      </c>
      <c r="H8" s="3">
        <f t="shared" si="0"/>
        <v>0</v>
      </c>
      <c r="J8" t="s">
        <v>84</v>
      </c>
    </row>
    <row r="9" spans="1:10" x14ac:dyDescent="0.25">
      <c r="A9" t="s">
        <v>23</v>
      </c>
      <c r="B9" t="s">
        <v>29</v>
      </c>
      <c r="C9" t="s">
        <v>46</v>
      </c>
      <c r="D9">
        <v>2010</v>
      </c>
      <c r="E9" t="s">
        <v>90</v>
      </c>
      <c r="F9" t="s">
        <v>91</v>
      </c>
      <c r="G9" s="3">
        <f>0</f>
        <v>0</v>
      </c>
      <c r="H9" s="3">
        <f t="shared" si="0"/>
        <v>0</v>
      </c>
      <c r="J9" t="s">
        <v>84</v>
      </c>
    </row>
    <row r="10" spans="1:10" s="11" customFormat="1" x14ac:dyDescent="0.25">
      <c r="A10" s="11" t="s">
        <v>24</v>
      </c>
      <c r="B10" s="11" t="s">
        <v>29</v>
      </c>
      <c r="C10" s="11" t="s">
        <v>46</v>
      </c>
      <c r="D10">
        <v>2010</v>
      </c>
      <c r="E10" s="11" t="s">
        <v>90</v>
      </c>
      <c r="F10" s="11" t="s">
        <v>91</v>
      </c>
      <c r="G10" s="21">
        <f>0</f>
        <v>0</v>
      </c>
      <c r="H10" s="3">
        <f t="shared" si="0"/>
        <v>0</v>
      </c>
      <c r="J10" s="11" t="s">
        <v>84</v>
      </c>
    </row>
    <row r="11" spans="1:10" s="13" customFormat="1" x14ac:dyDescent="0.25">
      <c r="A11" s="13" t="s">
        <v>25</v>
      </c>
      <c r="B11" s="13" t="s">
        <v>29</v>
      </c>
      <c r="C11" s="13" t="s">
        <v>46</v>
      </c>
      <c r="D11">
        <v>2010</v>
      </c>
      <c r="E11" s="13" t="s">
        <v>90</v>
      </c>
      <c r="F11" s="13" t="s">
        <v>91</v>
      </c>
      <c r="G11" s="17">
        <f>0</f>
        <v>0</v>
      </c>
      <c r="H11" s="17">
        <f t="shared" si="0"/>
        <v>0</v>
      </c>
      <c r="J11" s="13" t="s">
        <v>84</v>
      </c>
    </row>
    <row r="12" spans="1:10" x14ac:dyDescent="0.25">
      <c r="A12" t="s">
        <v>16</v>
      </c>
      <c r="B12" t="s">
        <v>29</v>
      </c>
      <c r="C12" t="s">
        <v>46</v>
      </c>
      <c r="D12">
        <v>2010</v>
      </c>
      <c r="E12" t="s">
        <v>90</v>
      </c>
      <c r="F12" t="s">
        <v>105</v>
      </c>
      <c r="G12" s="3">
        <f t="shared" ref="G12:G21" si="1">E232</f>
        <v>0.27612500000000001</v>
      </c>
      <c r="H12" s="3">
        <f t="shared" si="0"/>
        <v>0.27612500000000001</v>
      </c>
      <c r="I12" s="3"/>
      <c r="J12" t="s">
        <v>84</v>
      </c>
    </row>
    <row r="13" spans="1:10" x14ac:dyDescent="0.25">
      <c r="A13" t="s">
        <v>17</v>
      </c>
      <c r="B13" t="s">
        <v>29</v>
      </c>
      <c r="C13" t="s">
        <v>46</v>
      </c>
      <c r="D13">
        <v>2010</v>
      </c>
      <c r="E13" t="s">
        <v>90</v>
      </c>
      <c r="F13" t="s">
        <v>105</v>
      </c>
      <c r="G13" s="3">
        <f t="shared" si="1"/>
        <v>3.5028999999999999</v>
      </c>
      <c r="H13" s="3">
        <f t="shared" si="0"/>
        <v>3.5028999999999999</v>
      </c>
      <c r="I13" s="3"/>
      <c r="J13" t="s">
        <v>84</v>
      </c>
    </row>
    <row r="14" spans="1:10" x14ac:dyDescent="0.25">
      <c r="A14" t="s">
        <v>18</v>
      </c>
      <c r="B14" t="s">
        <v>29</v>
      </c>
      <c r="C14" t="s">
        <v>46</v>
      </c>
      <c r="D14">
        <v>2010</v>
      </c>
      <c r="E14" t="s">
        <v>90</v>
      </c>
      <c r="F14" t="s">
        <v>105</v>
      </c>
      <c r="G14" s="3">
        <f t="shared" si="1"/>
        <v>0.82837500000000008</v>
      </c>
      <c r="H14" s="3">
        <f t="shared" si="0"/>
        <v>0.82837500000000008</v>
      </c>
      <c r="I14" s="3"/>
      <c r="J14" t="s">
        <v>84</v>
      </c>
    </row>
    <row r="15" spans="1:10" x14ac:dyDescent="0.25">
      <c r="A15" t="s">
        <v>19</v>
      </c>
      <c r="B15" t="s">
        <v>29</v>
      </c>
      <c r="C15" t="s">
        <v>46</v>
      </c>
      <c r="D15">
        <v>2010</v>
      </c>
      <c r="E15" t="s">
        <v>90</v>
      </c>
      <c r="F15" t="s">
        <v>105</v>
      </c>
      <c r="G15" s="3">
        <f t="shared" si="1"/>
        <v>2.3010356990177856</v>
      </c>
      <c r="H15" s="3">
        <f t="shared" si="0"/>
        <v>2.3010356990177856</v>
      </c>
      <c r="I15" s="3"/>
      <c r="J15" t="s">
        <v>84</v>
      </c>
    </row>
    <row r="16" spans="1:10" x14ac:dyDescent="0.25">
      <c r="A16" t="s">
        <v>20</v>
      </c>
      <c r="B16" t="s">
        <v>29</v>
      </c>
      <c r="C16" t="s">
        <v>46</v>
      </c>
      <c r="D16">
        <v>2010</v>
      </c>
      <c r="E16" t="s">
        <v>90</v>
      </c>
      <c r="F16" t="s">
        <v>105</v>
      </c>
      <c r="G16" s="3">
        <f t="shared" si="1"/>
        <v>2.3010356990177856</v>
      </c>
      <c r="H16" s="3">
        <f t="shared" si="0"/>
        <v>2.3010356990177856</v>
      </c>
      <c r="I16" s="3"/>
      <c r="J16" t="s">
        <v>84</v>
      </c>
    </row>
    <row r="17" spans="1:10" x14ac:dyDescent="0.25">
      <c r="A17" t="s">
        <v>21</v>
      </c>
      <c r="B17" t="s">
        <v>29</v>
      </c>
      <c r="C17" t="s">
        <v>46</v>
      </c>
      <c r="D17">
        <v>2010</v>
      </c>
      <c r="E17" t="s">
        <v>90</v>
      </c>
      <c r="F17" t="s">
        <v>105</v>
      </c>
      <c r="G17" s="3">
        <f t="shared" si="1"/>
        <v>2.2731055750330333</v>
      </c>
      <c r="H17" s="3">
        <f t="shared" si="0"/>
        <v>2.2731055750330333</v>
      </c>
      <c r="I17" s="3"/>
      <c r="J17" t="s">
        <v>84</v>
      </c>
    </row>
    <row r="18" spans="1:10" x14ac:dyDescent="0.25">
      <c r="A18" t="s">
        <v>22</v>
      </c>
      <c r="B18" t="s">
        <v>29</v>
      </c>
      <c r="C18" t="s">
        <v>46</v>
      </c>
      <c r="D18">
        <v>2010</v>
      </c>
      <c r="E18" t="s">
        <v>90</v>
      </c>
      <c r="F18" t="s">
        <v>105</v>
      </c>
      <c r="G18" s="3">
        <f t="shared" si="1"/>
        <v>2.2731055750330333</v>
      </c>
      <c r="H18" s="3">
        <f t="shared" si="0"/>
        <v>2.2731055750330333</v>
      </c>
      <c r="I18" s="3"/>
      <c r="J18" t="s">
        <v>84</v>
      </c>
    </row>
    <row r="19" spans="1:10" x14ac:dyDescent="0.25">
      <c r="A19" t="s">
        <v>23</v>
      </c>
      <c r="B19" t="s">
        <v>29</v>
      </c>
      <c r="C19" t="s">
        <v>46</v>
      </c>
      <c r="D19">
        <v>2010</v>
      </c>
      <c r="E19" t="s">
        <v>90</v>
      </c>
      <c r="F19" t="s">
        <v>105</v>
      </c>
      <c r="G19" s="3">
        <f t="shared" si="1"/>
        <v>2.0881119250330333</v>
      </c>
      <c r="H19" s="3">
        <f t="shared" si="0"/>
        <v>2.0881119250330333</v>
      </c>
      <c r="I19" s="3"/>
      <c r="J19" t="s">
        <v>84</v>
      </c>
    </row>
    <row r="20" spans="1:10" x14ac:dyDescent="0.25">
      <c r="A20" t="s">
        <v>24</v>
      </c>
      <c r="B20" t="s">
        <v>29</v>
      </c>
      <c r="C20" t="s">
        <v>46</v>
      </c>
      <c r="D20">
        <v>2010</v>
      </c>
      <c r="E20" t="s">
        <v>90</v>
      </c>
      <c r="F20" t="s">
        <v>105</v>
      </c>
      <c r="G20" s="3">
        <f t="shared" si="1"/>
        <v>2.0881119250330333</v>
      </c>
      <c r="H20" s="3">
        <f t="shared" si="0"/>
        <v>2.0881119250330333</v>
      </c>
      <c r="I20" s="3"/>
      <c r="J20" t="s">
        <v>84</v>
      </c>
    </row>
    <row r="21" spans="1:10" x14ac:dyDescent="0.25">
      <c r="A21" t="s">
        <v>25</v>
      </c>
      <c r="B21" t="s">
        <v>29</v>
      </c>
      <c r="C21" t="s">
        <v>46</v>
      </c>
      <c r="D21">
        <v>2010</v>
      </c>
      <c r="E21" t="s">
        <v>90</v>
      </c>
      <c r="F21" t="s">
        <v>105</v>
      </c>
      <c r="G21" s="3">
        <f t="shared" si="1"/>
        <v>3.9532115491369444</v>
      </c>
      <c r="H21" s="17">
        <f t="shared" si="0"/>
        <v>3.9532115491369444</v>
      </c>
      <c r="I21" s="17"/>
      <c r="J21" s="13" t="s">
        <v>84</v>
      </c>
    </row>
    <row r="22" spans="1:10" s="5" customFormat="1" x14ac:dyDescent="0.25">
      <c r="A22" s="5" t="s">
        <v>16</v>
      </c>
      <c r="B22" s="5" t="s">
        <v>11</v>
      </c>
      <c r="C22" s="5" t="s">
        <v>10</v>
      </c>
      <c r="D22">
        <v>2010</v>
      </c>
      <c r="E22" s="5" t="s">
        <v>126</v>
      </c>
      <c r="G22" s="6">
        <f>C208*B253</f>
        <v>1E-3</v>
      </c>
      <c r="H22" s="21">
        <f>G22</f>
        <v>1E-3</v>
      </c>
      <c r="I22" t="s">
        <v>113</v>
      </c>
      <c r="J22" t="s">
        <v>84</v>
      </c>
    </row>
    <row r="23" spans="1:10" x14ac:dyDescent="0.25">
      <c r="A23" t="s">
        <v>17</v>
      </c>
      <c r="B23" t="s">
        <v>11</v>
      </c>
      <c r="C23" t="s">
        <v>10</v>
      </c>
      <c r="D23">
        <v>2010</v>
      </c>
      <c r="E23" t="s">
        <v>126</v>
      </c>
      <c r="G23" s="3">
        <f>0*B253</f>
        <v>0</v>
      </c>
      <c r="H23" s="21">
        <f t="shared" ref="H23:H24" si="2">G23</f>
        <v>0</v>
      </c>
      <c r="I23" t="s">
        <v>113</v>
      </c>
      <c r="J23" t="s">
        <v>84</v>
      </c>
    </row>
    <row r="24" spans="1:10" x14ac:dyDescent="0.25">
      <c r="A24" t="s">
        <v>18</v>
      </c>
      <c r="B24" t="s">
        <v>11</v>
      </c>
      <c r="C24" t="s">
        <v>10</v>
      </c>
      <c r="D24">
        <v>2010</v>
      </c>
      <c r="E24" t="s">
        <v>126</v>
      </c>
      <c r="G24" s="3">
        <f>C207*B253</f>
        <v>8.6999999999999994E-3</v>
      </c>
      <c r="H24" s="21">
        <f t="shared" si="2"/>
        <v>8.6999999999999994E-3</v>
      </c>
      <c r="I24" t="s">
        <v>113</v>
      </c>
      <c r="J24" t="s">
        <v>84</v>
      </c>
    </row>
    <row r="25" spans="1:10" x14ac:dyDescent="0.25">
      <c r="A25" t="s">
        <v>19</v>
      </c>
      <c r="B25" t="s">
        <v>11</v>
      </c>
      <c r="C25" t="s">
        <v>10</v>
      </c>
      <c r="D25">
        <v>2010</v>
      </c>
      <c r="E25" t="s">
        <v>126</v>
      </c>
      <c r="G25" s="3">
        <f>0*B253</f>
        <v>0</v>
      </c>
      <c r="H25" s="40">
        <f t="shared" ref="H25:H30" si="3">VLOOKUP(I25,$A$255:$B$256,2,FALSE)*G25</f>
        <v>0</v>
      </c>
      <c r="I25" t="s">
        <v>112</v>
      </c>
      <c r="J25" t="s">
        <v>84</v>
      </c>
    </row>
    <row r="26" spans="1:10" x14ac:dyDescent="0.25">
      <c r="A26" t="s">
        <v>19</v>
      </c>
      <c r="B26" t="s">
        <v>11</v>
      </c>
      <c r="C26" t="s">
        <v>10</v>
      </c>
      <c r="D26">
        <v>2010</v>
      </c>
      <c r="E26" t="s">
        <v>126</v>
      </c>
      <c r="G26" s="3">
        <v>0</v>
      </c>
      <c r="H26" s="40">
        <f t="shared" si="3"/>
        <v>0</v>
      </c>
      <c r="I26" t="s">
        <v>110</v>
      </c>
      <c r="J26" t="s">
        <v>84</v>
      </c>
    </row>
    <row r="27" spans="1:10" x14ac:dyDescent="0.25">
      <c r="A27" t="s">
        <v>20</v>
      </c>
      <c r="B27" t="s">
        <v>11</v>
      </c>
      <c r="C27" t="s">
        <v>10</v>
      </c>
      <c r="D27">
        <v>2010</v>
      </c>
      <c r="E27" t="s">
        <v>126</v>
      </c>
      <c r="G27" s="3">
        <f>(C206+C205+C204+C203+C202)*B253</f>
        <v>6.5599999999999992E-2</v>
      </c>
      <c r="H27" s="40">
        <f t="shared" si="3"/>
        <v>5.9039999999999995E-2</v>
      </c>
      <c r="I27" t="s">
        <v>112</v>
      </c>
      <c r="J27" t="s">
        <v>84</v>
      </c>
    </row>
    <row r="28" spans="1:10" x14ac:dyDescent="0.25">
      <c r="A28" t="s">
        <v>20</v>
      </c>
      <c r="B28" t="s">
        <v>11</v>
      </c>
      <c r="C28" t="s">
        <v>10</v>
      </c>
      <c r="D28">
        <v>2010</v>
      </c>
      <c r="E28" t="s">
        <v>126</v>
      </c>
      <c r="G28" s="3">
        <v>6.5599999999999992E-2</v>
      </c>
      <c r="H28" s="40">
        <f t="shared" si="3"/>
        <v>6.5599999999999999E-3</v>
      </c>
      <c r="I28" t="s">
        <v>110</v>
      </c>
      <c r="J28" t="s">
        <v>84</v>
      </c>
    </row>
    <row r="29" spans="1:10" x14ac:dyDescent="0.25">
      <c r="A29" t="s">
        <v>21</v>
      </c>
      <c r="B29" t="s">
        <v>11</v>
      </c>
      <c r="C29" t="s">
        <v>10</v>
      </c>
      <c r="D29">
        <v>2010</v>
      </c>
      <c r="E29" t="s">
        <v>126</v>
      </c>
      <c r="G29" s="3">
        <f>(C196+C199+C200+C201)*B253</f>
        <v>0.17849999999999999</v>
      </c>
      <c r="H29" s="40">
        <f t="shared" si="3"/>
        <v>0.16064999999999999</v>
      </c>
      <c r="I29" t="s">
        <v>112</v>
      </c>
      <c r="J29" t="s">
        <v>84</v>
      </c>
    </row>
    <row r="30" spans="1:10" x14ac:dyDescent="0.25">
      <c r="A30" t="s">
        <v>21</v>
      </c>
      <c r="B30" t="s">
        <v>11</v>
      </c>
      <c r="C30" t="s">
        <v>10</v>
      </c>
      <c r="D30">
        <v>2010</v>
      </c>
      <c r="E30" t="s">
        <v>126</v>
      </c>
      <c r="G30" s="3">
        <v>0.17849999999999999</v>
      </c>
      <c r="H30" s="40">
        <f t="shared" si="3"/>
        <v>1.7850000000000001E-2</v>
      </c>
      <c r="I30" t="s">
        <v>110</v>
      </c>
      <c r="J30" t="s">
        <v>84</v>
      </c>
    </row>
    <row r="31" spans="1:10" x14ac:dyDescent="0.25">
      <c r="A31" t="s">
        <v>22</v>
      </c>
      <c r="B31" t="s">
        <v>11</v>
      </c>
      <c r="C31" t="s">
        <v>10</v>
      </c>
      <c r="D31">
        <v>2010</v>
      </c>
      <c r="E31" t="s">
        <v>126</v>
      </c>
      <c r="G31" s="3">
        <f>(C198+C197)*B253</f>
        <v>0.23300000000000001</v>
      </c>
      <c r="H31" s="40">
        <f>G31</f>
        <v>0.23300000000000001</v>
      </c>
      <c r="I31" s="11" t="s">
        <v>111</v>
      </c>
      <c r="J31" t="s">
        <v>84</v>
      </c>
    </row>
    <row r="32" spans="1:10" x14ac:dyDescent="0.25">
      <c r="A32" t="s">
        <v>23</v>
      </c>
      <c r="B32" t="s">
        <v>11</v>
      </c>
      <c r="C32" t="s">
        <v>10</v>
      </c>
      <c r="D32">
        <v>2010</v>
      </c>
      <c r="E32" t="s">
        <v>126</v>
      </c>
      <c r="G32" s="3">
        <f>(C183+C184+C190+C192+C193+C195+C188+C194)*B253</f>
        <v>5.0400000000000002E-3</v>
      </c>
      <c r="H32" s="40">
        <f t="shared" ref="H32:H37" si="4">VLOOKUP(I32,$A$255:$B$256,2,FALSE)*G32</f>
        <v>4.5360000000000001E-3</v>
      </c>
      <c r="I32" t="s">
        <v>112</v>
      </c>
      <c r="J32" t="s">
        <v>84</v>
      </c>
    </row>
    <row r="33" spans="1:10" x14ac:dyDescent="0.25">
      <c r="A33" t="s">
        <v>23</v>
      </c>
      <c r="B33" t="s">
        <v>11</v>
      </c>
      <c r="C33" t="s">
        <v>10</v>
      </c>
      <c r="D33">
        <v>2010</v>
      </c>
      <c r="E33" t="s">
        <v>126</v>
      </c>
      <c r="G33" s="3">
        <v>5.0400000000000002E-3</v>
      </c>
      <c r="H33" s="40">
        <f t="shared" si="4"/>
        <v>5.04E-4</v>
      </c>
      <c r="I33" t="s">
        <v>110</v>
      </c>
      <c r="J33" t="s">
        <v>84</v>
      </c>
    </row>
    <row r="34" spans="1:10" x14ac:dyDescent="0.25">
      <c r="A34" t="s">
        <v>24</v>
      </c>
      <c r="B34" t="s">
        <v>11</v>
      </c>
      <c r="C34" t="s">
        <v>10</v>
      </c>
      <c r="D34">
        <v>2010</v>
      </c>
      <c r="E34" t="s">
        <v>126</v>
      </c>
      <c r="G34" s="3">
        <f>(C185+C186+C187+C189+C191)*B253</f>
        <v>0.26974999999999999</v>
      </c>
      <c r="H34" s="40">
        <f t="shared" si="4"/>
        <v>0.24277499999999999</v>
      </c>
      <c r="I34" t="s">
        <v>112</v>
      </c>
      <c r="J34" t="s">
        <v>84</v>
      </c>
    </row>
    <row r="35" spans="1:10" x14ac:dyDescent="0.25">
      <c r="A35" t="s">
        <v>24</v>
      </c>
      <c r="B35" t="s">
        <v>11</v>
      </c>
      <c r="C35" t="s">
        <v>10</v>
      </c>
      <c r="D35">
        <v>2010</v>
      </c>
      <c r="E35" t="s">
        <v>126</v>
      </c>
      <c r="G35" s="3">
        <v>0.26974999999999999</v>
      </c>
      <c r="H35" s="40">
        <f t="shared" si="4"/>
        <v>2.6974999999999999E-2</v>
      </c>
      <c r="I35" t="s">
        <v>110</v>
      </c>
      <c r="J35" t="s">
        <v>84</v>
      </c>
    </row>
    <row r="36" spans="1:10" s="11" customFormat="1" x14ac:dyDescent="0.25">
      <c r="A36" s="11" t="s">
        <v>25</v>
      </c>
      <c r="B36" s="11" t="s">
        <v>11</v>
      </c>
      <c r="C36" s="11" t="s">
        <v>10</v>
      </c>
      <c r="D36">
        <v>2010</v>
      </c>
      <c r="E36" t="s">
        <v>126</v>
      </c>
      <c r="G36" s="21">
        <f>C182*B253</f>
        <v>1.9000000000000001</v>
      </c>
      <c r="H36" s="40">
        <f t="shared" si="4"/>
        <v>1.7100000000000002</v>
      </c>
      <c r="I36" s="11" t="s">
        <v>112</v>
      </c>
      <c r="J36" t="s">
        <v>84</v>
      </c>
    </row>
    <row r="37" spans="1:10" s="13" customFormat="1" x14ac:dyDescent="0.25">
      <c r="A37" s="13" t="s">
        <v>25</v>
      </c>
      <c r="B37" s="13" t="s">
        <v>11</v>
      </c>
      <c r="C37" s="13" t="s">
        <v>10</v>
      </c>
      <c r="D37" s="13">
        <v>2010</v>
      </c>
      <c r="E37" s="13" t="s">
        <v>126</v>
      </c>
      <c r="G37" s="17">
        <v>1.9000000000000001</v>
      </c>
      <c r="H37" s="41">
        <f t="shared" si="4"/>
        <v>0.19000000000000003</v>
      </c>
      <c r="I37" s="13" t="s">
        <v>110</v>
      </c>
      <c r="J37" s="13" t="s">
        <v>84</v>
      </c>
    </row>
    <row r="38" spans="1:10" x14ac:dyDescent="0.25">
      <c r="A38" s="11" t="s">
        <v>16</v>
      </c>
      <c r="B38" t="s">
        <v>6</v>
      </c>
      <c r="C38" t="s">
        <v>7</v>
      </c>
      <c r="D38">
        <v>2010</v>
      </c>
      <c r="E38" t="s">
        <v>126</v>
      </c>
      <c r="G38" s="3">
        <f>F208*B253</f>
        <v>1E-3</v>
      </c>
      <c r="H38" s="3">
        <f>G38</f>
        <v>1E-3</v>
      </c>
      <c r="I38" s="3"/>
      <c r="J38" t="s">
        <v>84</v>
      </c>
    </row>
    <row r="39" spans="1:10" x14ac:dyDescent="0.25">
      <c r="A39" t="s">
        <v>17</v>
      </c>
      <c r="B39" t="s">
        <v>6</v>
      </c>
      <c r="C39" t="s">
        <v>7</v>
      </c>
      <c r="D39">
        <v>2010</v>
      </c>
      <c r="E39" t="s">
        <v>126</v>
      </c>
      <c r="G39" s="3">
        <f>0*B253</f>
        <v>0</v>
      </c>
      <c r="H39" s="3">
        <f t="shared" ref="H39:H47" si="5">G39</f>
        <v>0</v>
      </c>
      <c r="I39" s="3"/>
      <c r="J39" t="s">
        <v>84</v>
      </c>
    </row>
    <row r="40" spans="1:10" x14ac:dyDescent="0.25">
      <c r="A40" t="s">
        <v>18</v>
      </c>
      <c r="B40" t="s">
        <v>6</v>
      </c>
      <c r="C40" t="s">
        <v>7</v>
      </c>
      <c r="D40">
        <v>2010</v>
      </c>
      <c r="E40" t="s">
        <v>126</v>
      </c>
      <c r="G40" s="3">
        <f>F207*B253</f>
        <v>4.3E-3</v>
      </c>
      <c r="H40" s="3">
        <f t="shared" si="5"/>
        <v>4.3E-3</v>
      </c>
      <c r="I40" s="3"/>
      <c r="J40" t="s">
        <v>84</v>
      </c>
    </row>
    <row r="41" spans="1:10" x14ac:dyDescent="0.25">
      <c r="A41" t="s">
        <v>19</v>
      </c>
      <c r="B41" t="s">
        <v>6</v>
      </c>
      <c r="C41" t="s">
        <v>7</v>
      </c>
      <c r="D41">
        <v>2010</v>
      </c>
      <c r="E41" t="s">
        <v>126</v>
      </c>
      <c r="G41" s="3">
        <f>0*B253</f>
        <v>0</v>
      </c>
      <c r="H41" s="3">
        <f t="shared" si="5"/>
        <v>0</v>
      </c>
      <c r="I41" s="3"/>
      <c r="J41" t="s">
        <v>84</v>
      </c>
    </row>
    <row r="42" spans="1:10" x14ac:dyDescent="0.25">
      <c r="A42" t="s">
        <v>20</v>
      </c>
      <c r="B42" t="s">
        <v>6</v>
      </c>
      <c r="C42" t="s">
        <v>7</v>
      </c>
      <c r="D42">
        <v>2010</v>
      </c>
      <c r="E42" t="s">
        <v>126</v>
      </c>
      <c r="G42" s="3">
        <f>(F206+F205+F204+F203+F202)*B253</f>
        <v>5.5399999999999998E-2</v>
      </c>
      <c r="H42" s="3">
        <f t="shared" si="5"/>
        <v>5.5399999999999998E-2</v>
      </c>
      <c r="I42" s="3"/>
      <c r="J42" t="s">
        <v>84</v>
      </c>
    </row>
    <row r="43" spans="1:10" x14ac:dyDescent="0.25">
      <c r="A43" t="s">
        <v>21</v>
      </c>
      <c r="B43" t="s">
        <v>6</v>
      </c>
      <c r="C43" t="s">
        <v>7</v>
      </c>
      <c r="D43">
        <v>2010</v>
      </c>
      <c r="E43" t="s">
        <v>126</v>
      </c>
      <c r="G43" s="3">
        <f>(F196+F199+F200+F201)*B253</f>
        <v>0.13650000000000001</v>
      </c>
      <c r="H43" s="3">
        <f t="shared" si="5"/>
        <v>0.13650000000000001</v>
      </c>
      <c r="I43" s="3"/>
      <c r="J43" t="s">
        <v>84</v>
      </c>
    </row>
    <row r="44" spans="1:10" x14ac:dyDescent="0.25">
      <c r="A44" t="s">
        <v>22</v>
      </c>
      <c r="B44" t="s">
        <v>6</v>
      </c>
      <c r="C44" t="s">
        <v>7</v>
      </c>
      <c r="D44">
        <v>2010</v>
      </c>
      <c r="E44" t="s">
        <v>126</v>
      </c>
      <c r="G44" s="3">
        <f>(F198+F197)*B253</f>
        <v>0.23300000000000001</v>
      </c>
      <c r="H44" s="3">
        <f t="shared" si="5"/>
        <v>0.23300000000000001</v>
      </c>
      <c r="I44" s="3"/>
      <c r="J44" t="s">
        <v>84</v>
      </c>
    </row>
    <row r="45" spans="1:10" x14ac:dyDescent="0.25">
      <c r="A45" t="s">
        <v>23</v>
      </c>
      <c r="B45" t="s">
        <v>6</v>
      </c>
      <c r="C45" t="s">
        <v>7</v>
      </c>
      <c r="D45">
        <v>2010</v>
      </c>
      <c r="E45" t="s">
        <v>126</v>
      </c>
      <c r="G45" s="3">
        <f>(F183+F184+F190+F192+F193+F195+F188+F194)*B253</f>
        <v>5.0400000000000002E-3</v>
      </c>
      <c r="H45" s="3">
        <f t="shared" si="5"/>
        <v>5.0400000000000002E-3</v>
      </c>
      <c r="I45" s="3"/>
      <c r="J45" t="s">
        <v>84</v>
      </c>
    </row>
    <row r="46" spans="1:10" x14ac:dyDescent="0.25">
      <c r="A46" t="s">
        <v>24</v>
      </c>
      <c r="B46" t="s">
        <v>6</v>
      </c>
      <c r="C46" t="s">
        <v>7</v>
      </c>
      <c r="D46">
        <v>2010</v>
      </c>
      <c r="E46" t="s">
        <v>126</v>
      </c>
      <c r="G46" s="3">
        <f>(F185+F186+F187+F189+F191)*B253</f>
        <v>0.21765000000000001</v>
      </c>
      <c r="H46" s="3">
        <f t="shared" si="5"/>
        <v>0.21765000000000001</v>
      </c>
      <c r="I46" s="3"/>
      <c r="J46" t="s">
        <v>84</v>
      </c>
    </row>
    <row r="47" spans="1:10" s="13" customFormat="1" x14ac:dyDescent="0.25">
      <c r="A47" s="13" t="s">
        <v>25</v>
      </c>
      <c r="B47" s="13" t="s">
        <v>6</v>
      </c>
      <c r="C47" s="13" t="s">
        <v>7</v>
      </c>
      <c r="D47" s="13">
        <v>2010</v>
      </c>
      <c r="E47" s="13" t="s">
        <v>126</v>
      </c>
      <c r="G47" s="17">
        <f>F182*B253</f>
        <v>1.2350000000000001</v>
      </c>
      <c r="H47" s="17">
        <f t="shared" si="5"/>
        <v>1.2350000000000001</v>
      </c>
      <c r="I47" s="17"/>
      <c r="J47" s="13" t="s">
        <v>84</v>
      </c>
    </row>
    <row r="48" spans="1:10" s="5" customFormat="1" x14ac:dyDescent="0.25">
      <c r="A48" s="5" t="s">
        <v>16</v>
      </c>
      <c r="B48" s="5" t="s">
        <v>11</v>
      </c>
      <c r="C48" s="5" t="s">
        <v>10</v>
      </c>
      <c r="D48">
        <v>2010</v>
      </c>
      <c r="E48" s="5" t="s">
        <v>9</v>
      </c>
      <c r="G48" s="6">
        <f>0*B253</f>
        <v>0</v>
      </c>
      <c r="H48" s="21">
        <f>G48</f>
        <v>0</v>
      </c>
      <c r="I48" t="s">
        <v>113</v>
      </c>
      <c r="J48" t="s">
        <v>84</v>
      </c>
    </row>
    <row r="49" spans="1:10" x14ac:dyDescent="0.25">
      <c r="A49" t="s">
        <v>17</v>
      </c>
      <c r="B49" t="s">
        <v>11</v>
      </c>
      <c r="C49" t="s">
        <v>10</v>
      </c>
      <c r="D49">
        <v>2010</v>
      </c>
      <c r="E49" t="s">
        <v>9</v>
      </c>
      <c r="G49" s="3">
        <f>0*B253</f>
        <v>0</v>
      </c>
      <c r="H49" s="21">
        <f t="shared" ref="H49:H50" si="6">G49</f>
        <v>0</v>
      </c>
      <c r="I49" t="s">
        <v>113</v>
      </c>
      <c r="J49" t="s">
        <v>84</v>
      </c>
    </row>
    <row r="50" spans="1:10" x14ac:dyDescent="0.25">
      <c r="A50" t="s">
        <v>18</v>
      </c>
      <c r="B50" t="s">
        <v>11</v>
      </c>
      <c r="C50" t="s">
        <v>10</v>
      </c>
      <c r="D50">
        <v>2010</v>
      </c>
      <c r="E50" t="s">
        <v>9</v>
      </c>
      <c r="G50" s="3">
        <f>C226*B253</f>
        <v>2.6000000000000003E-4</v>
      </c>
      <c r="H50" s="21">
        <f t="shared" si="6"/>
        <v>2.6000000000000003E-4</v>
      </c>
      <c r="I50" t="s">
        <v>113</v>
      </c>
      <c r="J50" t="s">
        <v>84</v>
      </c>
    </row>
    <row r="51" spans="1:10" x14ac:dyDescent="0.25">
      <c r="A51" t="s">
        <v>19</v>
      </c>
      <c r="B51" t="s">
        <v>11</v>
      </c>
      <c r="C51" t="s">
        <v>10</v>
      </c>
      <c r="D51">
        <v>2010</v>
      </c>
      <c r="E51" t="s">
        <v>9</v>
      </c>
      <c r="G51" s="3">
        <f>C224*B253</f>
        <v>1.1999999999999999E-3</v>
      </c>
      <c r="H51" s="40">
        <f t="shared" ref="H51:H60" si="7">VLOOKUP(I51,$A$255:$B$256,2,FALSE)*G51</f>
        <v>1.08E-3</v>
      </c>
      <c r="I51" t="s">
        <v>112</v>
      </c>
      <c r="J51" t="s">
        <v>84</v>
      </c>
    </row>
    <row r="52" spans="1:10" x14ac:dyDescent="0.25">
      <c r="A52" t="s">
        <v>19</v>
      </c>
      <c r="B52" t="s">
        <v>11</v>
      </c>
      <c r="C52" t="s">
        <v>10</v>
      </c>
      <c r="D52">
        <v>2010</v>
      </c>
      <c r="E52" t="s">
        <v>9</v>
      </c>
      <c r="G52" s="3">
        <v>1.1999999999999999E-3</v>
      </c>
      <c r="H52" s="40">
        <f t="shared" si="7"/>
        <v>1.1999999999999999E-4</v>
      </c>
      <c r="I52" t="s">
        <v>110</v>
      </c>
      <c r="J52" t="s">
        <v>84</v>
      </c>
    </row>
    <row r="53" spans="1:10" x14ac:dyDescent="0.25">
      <c r="A53" t="s">
        <v>20</v>
      </c>
      <c r="B53" t="s">
        <v>11</v>
      </c>
      <c r="C53" t="s">
        <v>10</v>
      </c>
      <c r="D53">
        <v>2010</v>
      </c>
      <c r="E53" t="s">
        <v>9</v>
      </c>
      <c r="G53" s="3">
        <f>(C222+C223+C225)*B253</f>
        <v>2.98E-3</v>
      </c>
      <c r="H53" s="40">
        <f t="shared" si="7"/>
        <v>2.6819999999999999E-3</v>
      </c>
      <c r="I53" t="s">
        <v>112</v>
      </c>
      <c r="J53" t="s">
        <v>84</v>
      </c>
    </row>
    <row r="54" spans="1:10" x14ac:dyDescent="0.25">
      <c r="A54" t="s">
        <v>20</v>
      </c>
      <c r="B54" t="s">
        <v>11</v>
      </c>
      <c r="C54" t="s">
        <v>10</v>
      </c>
      <c r="D54">
        <v>2010</v>
      </c>
      <c r="E54" t="s">
        <v>9</v>
      </c>
      <c r="G54" s="3">
        <v>2.98E-3</v>
      </c>
      <c r="H54" s="40">
        <f t="shared" si="7"/>
        <v>2.9800000000000003E-4</v>
      </c>
      <c r="I54" t="s">
        <v>110</v>
      </c>
      <c r="J54" t="s">
        <v>84</v>
      </c>
    </row>
    <row r="55" spans="1:10" x14ac:dyDescent="0.25">
      <c r="A55" t="s">
        <v>21</v>
      </c>
      <c r="B55" t="s">
        <v>11</v>
      </c>
      <c r="C55" t="s">
        <v>10</v>
      </c>
      <c r="D55">
        <v>2010</v>
      </c>
      <c r="E55" t="s">
        <v>9</v>
      </c>
      <c r="G55" s="3">
        <f>(C220)*B253</f>
        <v>2.7699999999999999E-3</v>
      </c>
      <c r="H55" s="40">
        <f t="shared" si="7"/>
        <v>2.493E-3</v>
      </c>
      <c r="I55" t="s">
        <v>112</v>
      </c>
      <c r="J55" t="s">
        <v>84</v>
      </c>
    </row>
    <row r="56" spans="1:10" x14ac:dyDescent="0.25">
      <c r="A56" t="s">
        <v>21</v>
      </c>
      <c r="B56" t="s">
        <v>11</v>
      </c>
      <c r="C56" t="s">
        <v>10</v>
      </c>
      <c r="D56">
        <v>2010</v>
      </c>
      <c r="E56" t="s">
        <v>9</v>
      </c>
      <c r="G56" s="3">
        <v>2.7699999999999999E-3</v>
      </c>
      <c r="H56" s="40">
        <f t="shared" si="7"/>
        <v>2.7700000000000001E-4</v>
      </c>
      <c r="I56" t="s">
        <v>110</v>
      </c>
      <c r="J56" t="s">
        <v>84</v>
      </c>
    </row>
    <row r="57" spans="1:10" x14ac:dyDescent="0.25">
      <c r="A57" t="s">
        <v>22</v>
      </c>
      <c r="B57" t="s">
        <v>11</v>
      </c>
      <c r="C57" t="s">
        <v>10</v>
      </c>
      <c r="D57">
        <v>2010</v>
      </c>
      <c r="E57" t="s">
        <v>9</v>
      </c>
      <c r="G57" s="3">
        <f>(C221)*B253</f>
        <v>1.66E-3</v>
      </c>
      <c r="H57" s="40">
        <f t="shared" si="7"/>
        <v>1.4940000000000001E-3</v>
      </c>
      <c r="I57" t="s">
        <v>112</v>
      </c>
      <c r="J57" t="s">
        <v>84</v>
      </c>
    </row>
    <row r="58" spans="1:10" x14ac:dyDescent="0.25">
      <c r="A58" t="s">
        <v>22</v>
      </c>
      <c r="B58" t="s">
        <v>11</v>
      </c>
      <c r="C58" t="s">
        <v>10</v>
      </c>
      <c r="D58">
        <v>2010</v>
      </c>
      <c r="E58" t="s">
        <v>9</v>
      </c>
      <c r="G58" s="3">
        <v>1.66E-3</v>
      </c>
      <c r="H58" s="40">
        <f t="shared" si="7"/>
        <v>1.6600000000000002E-4</v>
      </c>
      <c r="I58" t="s">
        <v>110</v>
      </c>
      <c r="J58" t="s">
        <v>84</v>
      </c>
    </row>
    <row r="59" spans="1:10" x14ac:dyDescent="0.25">
      <c r="A59" t="s">
        <v>23</v>
      </c>
      <c r="B59" t="s">
        <v>11</v>
      </c>
      <c r="C59" t="s">
        <v>10</v>
      </c>
      <c r="D59">
        <v>2010</v>
      </c>
      <c r="E59" t="s">
        <v>9</v>
      </c>
      <c r="G59" s="3">
        <f>(C215+C218+C219)*B253</f>
        <v>8.3000000000000001E-4</v>
      </c>
      <c r="H59" s="40">
        <f t="shared" si="7"/>
        <v>7.4700000000000005E-4</v>
      </c>
      <c r="I59" t="s">
        <v>112</v>
      </c>
      <c r="J59" t="s">
        <v>84</v>
      </c>
    </row>
    <row r="60" spans="1:10" x14ac:dyDescent="0.25">
      <c r="A60" t="s">
        <v>23</v>
      </c>
      <c r="B60" t="s">
        <v>11</v>
      </c>
      <c r="C60" t="s">
        <v>10</v>
      </c>
      <c r="D60">
        <v>2010</v>
      </c>
      <c r="E60" t="s">
        <v>9</v>
      </c>
      <c r="G60" s="3">
        <f>G59</f>
        <v>8.3000000000000001E-4</v>
      </c>
      <c r="H60" s="40">
        <f t="shared" si="7"/>
        <v>8.3000000000000012E-5</v>
      </c>
      <c r="I60" t="s">
        <v>110</v>
      </c>
      <c r="J60" t="s">
        <v>84</v>
      </c>
    </row>
    <row r="61" spans="1:10" x14ac:dyDescent="0.25">
      <c r="A61" t="s">
        <v>23</v>
      </c>
      <c r="B61" t="s">
        <v>11</v>
      </c>
      <c r="C61" t="s">
        <v>10</v>
      </c>
      <c r="D61">
        <v>2010</v>
      </c>
      <c r="E61" t="s">
        <v>9</v>
      </c>
      <c r="G61" s="3">
        <f>(C216)*B253</f>
        <v>2.1000000000000003E-3</v>
      </c>
      <c r="H61" s="40">
        <f>G61</f>
        <v>2.1000000000000003E-3</v>
      </c>
      <c r="I61" t="s">
        <v>144</v>
      </c>
      <c r="J61" t="s">
        <v>84</v>
      </c>
    </row>
    <row r="62" spans="1:10" x14ac:dyDescent="0.25">
      <c r="A62" t="s">
        <v>24</v>
      </c>
      <c r="B62" t="s">
        <v>11</v>
      </c>
      <c r="C62" t="s">
        <v>10</v>
      </c>
      <c r="D62">
        <v>2010</v>
      </c>
      <c r="E62" t="s">
        <v>9</v>
      </c>
      <c r="G62" s="3">
        <f>C216*B253</f>
        <v>2.1000000000000003E-3</v>
      </c>
      <c r="H62" s="40">
        <f>VLOOKUP(I62,$A$255:$B$256,2,FALSE)*G62</f>
        <v>1.8900000000000004E-3</v>
      </c>
      <c r="I62" t="s">
        <v>112</v>
      </c>
      <c r="J62" t="s">
        <v>84</v>
      </c>
    </row>
    <row r="63" spans="1:10" x14ac:dyDescent="0.25">
      <c r="A63" t="s">
        <v>24</v>
      </c>
      <c r="B63" t="s">
        <v>11</v>
      </c>
      <c r="C63" t="s">
        <v>10</v>
      </c>
      <c r="D63">
        <v>2010</v>
      </c>
      <c r="E63" t="s">
        <v>9</v>
      </c>
      <c r="G63" s="3">
        <v>2.1000000000000003E-3</v>
      </c>
      <c r="H63" s="40">
        <f>VLOOKUP(I63,$A$255:$B$256,2,FALSE)*G63</f>
        <v>2.1000000000000004E-4</v>
      </c>
      <c r="I63" t="s">
        <v>110</v>
      </c>
      <c r="J63" t="s">
        <v>84</v>
      </c>
    </row>
    <row r="64" spans="1:10" s="11" customFormat="1" x14ac:dyDescent="0.25">
      <c r="A64" s="11" t="s">
        <v>25</v>
      </c>
      <c r="B64" s="11" t="s">
        <v>11</v>
      </c>
      <c r="C64" s="11" t="s">
        <v>10</v>
      </c>
      <c r="D64">
        <v>2010</v>
      </c>
      <c r="E64" s="11" t="s">
        <v>9</v>
      </c>
      <c r="G64" s="21">
        <f>(C212+C213+C214)*B253</f>
        <v>2.5200000000000001E-3</v>
      </c>
      <c r="H64" s="40">
        <f>VLOOKUP(I64,$A$255:$B$256,2,FALSE)*G64</f>
        <v>2.2680000000000001E-3</v>
      </c>
      <c r="I64" t="s">
        <v>112</v>
      </c>
      <c r="J64" t="s">
        <v>84</v>
      </c>
    </row>
    <row r="65" spans="1:10" s="13" customFormat="1" x14ac:dyDescent="0.25">
      <c r="A65" s="13" t="s">
        <v>25</v>
      </c>
      <c r="B65" s="13" t="s">
        <v>11</v>
      </c>
      <c r="C65" s="13" t="s">
        <v>10</v>
      </c>
      <c r="D65">
        <v>2010</v>
      </c>
      <c r="E65" s="13" t="s">
        <v>9</v>
      </c>
      <c r="G65" s="17">
        <v>2.5200000000000001E-3</v>
      </c>
      <c r="H65" s="41">
        <f>VLOOKUP(I65,$A$255:$B$256,2,FALSE)*G65</f>
        <v>2.52E-4</v>
      </c>
      <c r="I65" s="13" t="s">
        <v>110</v>
      </c>
      <c r="J65" s="13" t="s">
        <v>84</v>
      </c>
    </row>
    <row r="66" spans="1:10" s="11" customFormat="1" x14ac:dyDescent="0.25">
      <c r="A66" s="11" t="s">
        <v>16</v>
      </c>
      <c r="B66" t="s">
        <v>6</v>
      </c>
      <c r="C66" t="s">
        <v>7</v>
      </c>
      <c r="D66">
        <v>2010</v>
      </c>
      <c r="E66" s="11" t="s">
        <v>9</v>
      </c>
      <c r="G66" s="21">
        <f>0.11*G48</f>
        <v>0</v>
      </c>
      <c r="H66" s="21">
        <f>G66</f>
        <v>0</v>
      </c>
      <c r="I66" s="21"/>
      <c r="J66" t="s">
        <v>84</v>
      </c>
    </row>
    <row r="67" spans="1:10" s="11" customFormat="1" x14ac:dyDescent="0.25">
      <c r="A67" t="s">
        <v>17</v>
      </c>
      <c r="B67" t="s">
        <v>6</v>
      </c>
      <c r="C67" t="s">
        <v>7</v>
      </c>
      <c r="D67">
        <v>2010</v>
      </c>
      <c r="E67" t="s">
        <v>9</v>
      </c>
      <c r="F67"/>
      <c r="G67" s="21">
        <f>0.11*G49</f>
        <v>0</v>
      </c>
      <c r="H67" s="21">
        <f t="shared" ref="H67:H75" si="8">G67</f>
        <v>0</v>
      </c>
      <c r="I67" s="21"/>
      <c r="J67" t="s">
        <v>84</v>
      </c>
    </row>
    <row r="68" spans="1:10" s="11" customFormat="1" x14ac:dyDescent="0.25">
      <c r="A68" t="s">
        <v>18</v>
      </c>
      <c r="B68" t="s">
        <v>6</v>
      </c>
      <c r="C68" t="s">
        <v>7</v>
      </c>
      <c r="D68">
        <v>2010</v>
      </c>
      <c r="E68" t="s">
        <v>9</v>
      </c>
      <c r="F68"/>
      <c r="G68" s="21">
        <f>0.11*G50</f>
        <v>2.8600000000000004E-5</v>
      </c>
      <c r="H68" s="21">
        <f t="shared" si="8"/>
        <v>2.8600000000000004E-5</v>
      </c>
      <c r="I68" s="21"/>
      <c r="J68" t="s">
        <v>84</v>
      </c>
    </row>
    <row r="69" spans="1:10" s="11" customFormat="1" x14ac:dyDescent="0.25">
      <c r="A69" t="s">
        <v>19</v>
      </c>
      <c r="B69" t="s">
        <v>6</v>
      </c>
      <c r="C69" t="s">
        <v>7</v>
      </c>
      <c r="D69">
        <v>2010</v>
      </c>
      <c r="E69" t="s">
        <v>9</v>
      </c>
      <c r="F69"/>
      <c r="G69" s="21">
        <f>0.11*G51</f>
        <v>1.3199999999999998E-4</v>
      </c>
      <c r="H69" s="21">
        <f t="shared" si="8"/>
        <v>1.3199999999999998E-4</v>
      </c>
      <c r="I69" s="21"/>
      <c r="J69" t="s">
        <v>84</v>
      </c>
    </row>
    <row r="70" spans="1:10" s="11" customFormat="1" x14ac:dyDescent="0.25">
      <c r="A70" t="s">
        <v>20</v>
      </c>
      <c r="B70" t="s">
        <v>6</v>
      </c>
      <c r="C70" t="s">
        <v>7</v>
      </c>
      <c r="D70">
        <v>2010</v>
      </c>
      <c r="E70" t="s">
        <v>9</v>
      </c>
      <c r="F70"/>
      <c r="G70" s="21">
        <f>0.11*G53</f>
        <v>3.278E-4</v>
      </c>
      <c r="H70" s="21">
        <f t="shared" si="8"/>
        <v>3.278E-4</v>
      </c>
      <c r="I70" s="21"/>
      <c r="J70" t="s">
        <v>84</v>
      </c>
    </row>
    <row r="71" spans="1:10" s="11" customFormat="1" x14ac:dyDescent="0.25">
      <c r="A71" t="s">
        <v>21</v>
      </c>
      <c r="B71" t="s">
        <v>6</v>
      </c>
      <c r="C71" t="s">
        <v>7</v>
      </c>
      <c r="D71">
        <v>2010</v>
      </c>
      <c r="E71" t="s">
        <v>9</v>
      </c>
      <c r="F71"/>
      <c r="G71" s="21">
        <f>0.11*G55</f>
        <v>3.0469999999999998E-4</v>
      </c>
      <c r="H71" s="21">
        <f t="shared" si="8"/>
        <v>3.0469999999999998E-4</v>
      </c>
      <c r="I71" s="21"/>
      <c r="J71" t="s">
        <v>84</v>
      </c>
    </row>
    <row r="72" spans="1:10" s="11" customFormat="1" x14ac:dyDescent="0.25">
      <c r="A72" t="s">
        <v>22</v>
      </c>
      <c r="B72" t="s">
        <v>6</v>
      </c>
      <c r="C72" t="s">
        <v>7</v>
      </c>
      <c r="D72">
        <v>2010</v>
      </c>
      <c r="E72" t="s">
        <v>9</v>
      </c>
      <c r="F72"/>
      <c r="G72" s="21">
        <f>0.11*G57</f>
        <v>1.8259999999999999E-4</v>
      </c>
      <c r="H72" s="21">
        <f t="shared" si="8"/>
        <v>1.8259999999999999E-4</v>
      </c>
      <c r="I72" s="21"/>
      <c r="J72" t="s">
        <v>84</v>
      </c>
    </row>
    <row r="73" spans="1:10" s="11" customFormat="1" x14ac:dyDescent="0.25">
      <c r="A73" t="s">
        <v>23</v>
      </c>
      <c r="B73" t="s">
        <v>6</v>
      </c>
      <c r="C73" t="s">
        <v>7</v>
      </c>
      <c r="D73">
        <v>2010</v>
      </c>
      <c r="E73" t="s">
        <v>9</v>
      </c>
      <c r="F73"/>
      <c r="G73" s="21">
        <f>0.11*G59</f>
        <v>9.1299999999999997E-5</v>
      </c>
      <c r="H73" s="21">
        <f t="shared" si="8"/>
        <v>9.1299999999999997E-5</v>
      </c>
      <c r="I73" s="21"/>
      <c r="J73" t="s">
        <v>84</v>
      </c>
    </row>
    <row r="74" spans="1:10" s="11" customFormat="1" x14ac:dyDescent="0.25">
      <c r="A74" t="s">
        <v>24</v>
      </c>
      <c r="B74" t="s">
        <v>6</v>
      </c>
      <c r="C74" t="s">
        <v>7</v>
      </c>
      <c r="D74">
        <v>2010</v>
      </c>
      <c r="E74" t="s">
        <v>9</v>
      </c>
      <c r="F74"/>
      <c r="G74" s="21">
        <f>0.11*G62</f>
        <v>2.3100000000000003E-4</v>
      </c>
      <c r="H74" s="21">
        <f t="shared" si="8"/>
        <v>2.3100000000000003E-4</v>
      </c>
      <c r="I74" s="21"/>
      <c r="J74" t="s">
        <v>84</v>
      </c>
    </row>
    <row r="75" spans="1:10" s="11" customFormat="1" x14ac:dyDescent="0.25">
      <c r="A75" s="13" t="s">
        <v>25</v>
      </c>
      <c r="B75" t="s">
        <v>6</v>
      </c>
      <c r="C75" t="s">
        <v>7</v>
      </c>
      <c r="D75">
        <v>2010</v>
      </c>
      <c r="E75" s="13" t="s">
        <v>9</v>
      </c>
      <c r="F75" s="13"/>
      <c r="G75" s="17">
        <f t="shared" ref="G75" si="9">0.11*G64</f>
        <v>2.7720000000000002E-4</v>
      </c>
      <c r="H75" s="17">
        <f t="shared" si="8"/>
        <v>2.7720000000000002E-4</v>
      </c>
      <c r="I75" s="17"/>
      <c r="J75" s="13" t="s">
        <v>84</v>
      </c>
    </row>
    <row r="76" spans="1:10" s="11" customFormat="1" x14ac:dyDescent="0.25">
      <c r="A76" s="11" t="s">
        <v>17</v>
      </c>
      <c r="B76" s="5" t="s">
        <v>11</v>
      </c>
      <c r="C76" s="5" t="s">
        <v>10</v>
      </c>
      <c r="D76">
        <v>2010</v>
      </c>
      <c r="E76" s="9" t="s">
        <v>4</v>
      </c>
      <c r="F76" t="s">
        <v>132</v>
      </c>
      <c r="G76" s="22">
        <f>G91*$B$254*40</f>
        <v>3.1430867767969357E-7</v>
      </c>
      <c r="H76" s="22">
        <f>G76</f>
        <v>3.1430867767969357E-7</v>
      </c>
      <c r="I76" t="s">
        <v>113</v>
      </c>
      <c r="J76" t="s">
        <v>59</v>
      </c>
    </row>
    <row r="77" spans="1:10" s="11" customFormat="1" x14ac:dyDescent="0.25">
      <c r="A77" t="s">
        <v>20</v>
      </c>
      <c r="B77" t="s">
        <v>11</v>
      </c>
      <c r="C77" t="s">
        <v>10</v>
      </c>
      <c r="D77">
        <v>2010</v>
      </c>
      <c r="E77" s="9" t="s">
        <v>4</v>
      </c>
      <c r="F77" t="s">
        <v>133</v>
      </c>
      <c r="G77" s="22">
        <f>G92*$B$254*40</f>
        <v>7.1675120754659832E-5</v>
      </c>
      <c r="H77" s="22">
        <f t="shared" ref="H77:H80" si="10">G77</f>
        <v>7.1675120754659832E-5</v>
      </c>
      <c r="I77" t="s">
        <v>112</v>
      </c>
      <c r="J77" t="s">
        <v>59</v>
      </c>
    </row>
    <row r="78" spans="1:10" s="11" customFormat="1" x14ac:dyDescent="0.25">
      <c r="A78" t="s">
        <v>20</v>
      </c>
      <c r="B78" t="s">
        <v>11</v>
      </c>
      <c r="C78" t="s">
        <v>10</v>
      </c>
      <c r="D78">
        <v>2010</v>
      </c>
      <c r="E78" s="9" t="s">
        <v>4</v>
      </c>
      <c r="F78" t="s">
        <v>132</v>
      </c>
      <c r="G78" s="22">
        <f>G93*$B$254*40</f>
        <v>3.4393439425828631E-5</v>
      </c>
      <c r="H78" s="22">
        <f t="shared" si="10"/>
        <v>3.4393439425828631E-5</v>
      </c>
      <c r="I78" t="s">
        <v>112</v>
      </c>
      <c r="J78" t="s">
        <v>59</v>
      </c>
    </row>
    <row r="79" spans="1:10" s="11" customFormat="1" x14ac:dyDescent="0.25">
      <c r="A79" t="s">
        <v>23</v>
      </c>
      <c r="B79" t="s">
        <v>11</v>
      </c>
      <c r="C79" t="s">
        <v>10</v>
      </c>
      <c r="D79">
        <v>2010</v>
      </c>
      <c r="E79" s="9" t="s">
        <v>4</v>
      </c>
      <c r="F79" t="s">
        <v>132</v>
      </c>
      <c r="G79" s="22">
        <f>G94*$B$254*40</f>
        <v>1.4865950971336861E-7</v>
      </c>
      <c r="H79" s="22">
        <f t="shared" si="10"/>
        <v>1.4865950971336861E-7</v>
      </c>
      <c r="I79" t="s">
        <v>112</v>
      </c>
      <c r="J79" t="s">
        <v>59</v>
      </c>
    </row>
    <row r="80" spans="1:10" s="13" customFormat="1" x14ac:dyDescent="0.25">
      <c r="A80" s="13" t="s">
        <v>22</v>
      </c>
      <c r="B80" s="13" t="s">
        <v>11</v>
      </c>
      <c r="C80" s="13" t="s">
        <v>10</v>
      </c>
      <c r="D80">
        <v>2010</v>
      </c>
      <c r="E80" s="16" t="s">
        <v>4</v>
      </c>
      <c r="F80" t="s">
        <v>134</v>
      </c>
      <c r="G80" s="23">
        <f>G95*$B$254*0</f>
        <v>0</v>
      </c>
      <c r="H80" s="23">
        <f t="shared" si="10"/>
        <v>0</v>
      </c>
      <c r="I80" t="s">
        <v>112</v>
      </c>
      <c r="J80" s="13" t="s">
        <v>59</v>
      </c>
    </row>
    <row r="81" spans="1:11" s="11" customFormat="1" x14ac:dyDescent="0.25">
      <c r="A81" s="11" t="s">
        <v>17</v>
      </c>
      <c r="B81" t="s">
        <v>6</v>
      </c>
      <c r="C81" t="s">
        <v>7</v>
      </c>
      <c r="D81">
        <v>2010</v>
      </c>
      <c r="E81" s="11" t="s">
        <v>131</v>
      </c>
      <c r="F81" t="s">
        <v>132</v>
      </c>
      <c r="G81" s="22">
        <f>G91*$B$254*0.25</f>
        <v>1.9644292354980848E-9</v>
      </c>
      <c r="H81" s="22">
        <f>G81</f>
        <v>1.9644292354980848E-9</v>
      </c>
      <c r="I81" s="22"/>
      <c r="J81" t="s">
        <v>58</v>
      </c>
    </row>
    <row r="82" spans="1:11" s="11" customFormat="1" x14ac:dyDescent="0.25">
      <c r="A82" t="s">
        <v>20</v>
      </c>
      <c r="B82" t="s">
        <v>6</v>
      </c>
      <c r="C82" t="s">
        <v>7</v>
      </c>
      <c r="D82">
        <v>2010</v>
      </c>
      <c r="E82" s="11" t="s">
        <v>131</v>
      </c>
      <c r="F82" t="s">
        <v>133</v>
      </c>
      <c r="G82" s="22">
        <f>G92*$B$254*0.25</f>
        <v>4.4796950471662397E-7</v>
      </c>
      <c r="H82" s="22">
        <f t="shared" ref="H82:H85" si="11">G82</f>
        <v>4.4796950471662397E-7</v>
      </c>
      <c r="I82" s="22"/>
      <c r="J82" t="s">
        <v>58</v>
      </c>
    </row>
    <row r="83" spans="1:11" s="11" customFormat="1" x14ac:dyDescent="0.25">
      <c r="A83" t="s">
        <v>20</v>
      </c>
      <c r="B83" t="s">
        <v>6</v>
      </c>
      <c r="C83" t="s">
        <v>7</v>
      </c>
      <c r="D83">
        <v>2010</v>
      </c>
      <c r="E83" s="11" t="s">
        <v>131</v>
      </c>
      <c r="F83" t="s">
        <v>132</v>
      </c>
      <c r="G83" s="22">
        <f>G93*$B$254*40.25</f>
        <v>3.4608398422240063E-5</v>
      </c>
      <c r="H83" s="22">
        <f t="shared" si="11"/>
        <v>3.4608398422240063E-5</v>
      </c>
      <c r="I83" s="22"/>
      <c r="J83" t="s">
        <v>58</v>
      </c>
    </row>
    <row r="84" spans="1:11" s="11" customFormat="1" x14ac:dyDescent="0.25">
      <c r="A84" t="s">
        <v>23</v>
      </c>
      <c r="B84" t="s">
        <v>6</v>
      </c>
      <c r="C84" t="s">
        <v>7</v>
      </c>
      <c r="D84">
        <v>2010</v>
      </c>
      <c r="E84" s="11" t="s">
        <v>131</v>
      </c>
      <c r="F84" t="s">
        <v>132</v>
      </c>
      <c r="G84" s="22">
        <f>G94*$B$254*0.25</f>
        <v>9.2912193570855374E-10</v>
      </c>
      <c r="H84" s="22">
        <f t="shared" si="11"/>
        <v>9.2912193570855374E-10</v>
      </c>
      <c r="I84" s="22"/>
      <c r="J84" t="s">
        <v>58</v>
      </c>
    </row>
    <row r="85" spans="1:11" s="13" customFormat="1" x14ac:dyDescent="0.25">
      <c r="A85" s="13" t="s">
        <v>22</v>
      </c>
      <c r="B85" s="13" t="s">
        <v>6</v>
      </c>
      <c r="C85" s="13" t="s">
        <v>7</v>
      </c>
      <c r="D85">
        <v>2010</v>
      </c>
      <c r="E85" s="13" t="s">
        <v>131</v>
      </c>
      <c r="F85" t="s">
        <v>134</v>
      </c>
      <c r="G85" s="23">
        <f>G100*$B$254*0</f>
        <v>0</v>
      </c>
      <c r="H85" s="23">
        <f t="shared" si="11"/>
        <v>0</v>
      </c>
      <c r="I85" s="23"/>
      <c r="J85" s="13" t="s">
        <v>58</v>
      </c>
    </row>
    <row r="86" spans="1:11" s="11" customFormat="1" x14ac:dyDescent="0.25">
      <c r="A86" s="11" t="s">
        <v>17</v>
      </c>
      <c r="B86" s="11" t="s">
        <v>5</v>
      </c>
      <c r="C86" s="11" t="s">
        <v>47</v>
      </c>
      <c r="D86">
        <v>2010</v>
      </c>
      <c r="E86" s="11" t="s">
        <v>131</v>
      </c>
      <c r="F86" t="s">
        <v>132</v>
      </c>
      <c r="G86" s="12">
        <v>0.29599999999999999</v>
      </c>
      <c r="H86" s="12">
        <f>G86</f>
        <v>0.29599999999999999</v>
      </c>
      <c r="I86" s="12"/>
    </row>
    <row r="87" spans="1:11" x14ac:dyDescent="0.25">
      <c r="A87" t="s">
        <v>20</v>
      </c>
      <c r="B87" t="s">
        <v>5</v>
      </c>
      <c r="C87" t="s">
        <v>47</v>
      </c>
      <c r="D87">
        <v>2010</v>
      </c>
      <c r="E87" s="11" t="s">
        <v>131</v>
      </c>
      <c r="F87" t="s">
        <v>133</v>
      </c>
      <c r="G87" s="8">
        <v>67.5</v>
      </c>
      <c r="H87" s="12">
        <f t="shared" ref="H87:H90" si="12">G87</f>
        <v>67.5</v>
      </c>
      <c r="I87" s="8"/>
    </row>
    <row r="88" spans="1:11" x14ac:dyDescent="0.25">
      <c r="A88" t="s">
        <v>20</v>
      </c>
      <c r="B88" t="s">
        <v>5</v>
      </c>
      <c r="C88" t="s">
        <v>47</v>
      </c>
      <c r="D88">
        <v>2010</v>
      </c>
      <c r="E88" s="11" t="s">
        <v>131</v>
      </c>
      <c r="F88" t="s">
        <v>132</v>
      </c>
      <c r="G88" s="7">
        <v>32.39</v>
      </c>
      <c r="H88" s="12">
        <f t="shared" si="12"/>
        <v>32.39</v>
      </c>
      <c r="I88" s="7"/>
    </row>
    <row r="89" spans="1:11" x14ac:dyDescent="0.25">
      <c r="A89" t="s">
        <v>23</v>
      </c>
      <c r="B89" t="s">
        <v>5</v>
      </c>
      <c r="C89" t="s">
        <v>47</v>
      </c>
      <c r="D89">
        <v>2010</v>
      </c>
      <c r="E89" s="11" t="s">
        <v>131</v>
      </c>
      <c r="F89" t="s">
        <v>132</v>
      </c>
      <c r="G89" s="8">
        <v>0.14000000000000001</v>
      </c>
      <c r="H89" s="12">
        <f t="shared" si="12"/>
        <v>0.14000000000000001</v>
      </c>
      <c r="I89" s="8"/>
    </row>
    <row r="90" spans="1:11" s="13" customFormat="1" x14ac:dyDescent="0.25">
      <c r="A90" s="13" t="s">
        <v>22</v>
      </c>
      <c r="B90" s="13" t="s">
        <v>5</v>
      </c>
      <c r="C90" s="13" t="s">
        <v>47</v>
      </c>
      <c r="D90">
        <v>2010</v>
      </c>
      <c r="E90" s="13" t="s">
        <v>131</v>
      </c>
      <c r="F90" t="s">
        <v>134</v>
      </c>
      <c r="G90" s="14">
        <v>60</v>
      </c>
      <c r="H90" s="42">
        <f t="shared" si="12"/>
        <v>60</v>
      </c>
      <c r="I90" s="14"/>
    </row>
    <row r="91" spans="1:11" x14ac:dyDescent="0.25">
      <c r="A91" s="11" t="s">
        <v>17</v>
      </c>
      <c r="B91" s="11" t="s">
        <v>116</v>
      </c>
      <c r="C91" s="11" t="s">
        <v>48</v>
      </c>
      <c r="D91">
        <v>2010</v>
      </c>
      <c r="E91" s="11" t="s">
        <v>131</v>
      </c>
      <c r="F91" t="s">
        <v>132</v>
      </c>
      <c r="G91" s="20">
        <v>2.0757888000000002</v>
      </c>
      <c r="H91" s="20">
        <f>G91</f>
        <v>2.0757888000000002</v>
      </c>
      <c r="I91" s="11" t="s">
        <v>116</v>
      </c>
      <c r="J91" t="s">
        <v>57</v>
      </c>
    </row>
    <row r="92" spans="1:11" x14ac:dyDescent="0.25">
      <c r="A92" t="s">
        <v>20</v>
      </c>
      <c r="B92" s="11" t="s">
        <v>114</v>
      </c>
      <c r="C92" t="s">
        <v>48</v>
      </c>
      <c r="D92">
        <v>2010</v>
      </c>
      <c r="E92" s="11" t="s">
        <v>131</v>
      </c>
      <c r="F92" t="s">
        <v>133</v>
      </c>
      <c r="G92" s="4">
        <v>473.36399999999998</v>
      </c>
      <c r="H92" s="20">
        <f t="shared" ref="H92:H95" si="13">G92</f>
        <v>473.36399999999998</v>
      </c>
      <c r="I92" s="11" t="s">
        <v>114</v>
      </c>
      <c r="J92" t="s">
        <v>57</v>
      </c>
      <c r="K92" s="44">
        <f>H92+H93</f>
        <v>700.50859200000002</v>
      </c>
    </row>
    <row r="93" spans="1:11" x14ac:dyDescent="0.25">
      <c r="A93" t="s">
        <v>20</v>
      </c>
      <c r="B93" s="11" t="s">
        <v>116</v>
      </c>
      <c r="C93" t="s">
        <v>48</v>
      </c>
      <c r="D93">
        <v>2010</v>
      </c>
      <c r="E93" s="11" t="s">
        <v>131</v>
      </c>
      <c r="F93" t="s">
        <v>132</v>
      </c>
      <c r="G93" s="4">
        <v>227.14459200000005</v>
      </c>
      <c r="H93" s="20">
        <f t="shared" si="13"/>
        <v>227.14459200000005</v>
      </c>
      <c r="I93" s="11" t="s">
        <v>116</v>
      </c>
      <c r="J93" t="s">
        <v>57</v>
      </c>
      <c r="K93" s="44">
        <f>H92/K92</f>
        <v>0.67574331764941431</v>
      </c>
    </row>
    <row r="94" spans="1:11" x14ac:dyDescent="0.25">
      <c r="A94" t="s">
        <v>23</v>
      </c>
      <c r="B94" s="11" t="s">
        <v>116</v>
      </c>
      <c r="C94" t="s">
        <v>48</v>
      </c>
      <c r="D94">
        <v>2010</v>
      </c>
      <c r="E94" s="11" t="s">
        <v>131</v>
      </c>
      <c r="F94" t="s">
        <v>132</v>
      </c>
      <c r="G94" s="4">
        <v>0.98179200000000022</v>
      </c>
      <c r="H94" s="20">
        <f t="shared" si="13"/>
        <v>0.98179200000000022</v>
      </c>
      <c r="I94" s="11" t="s">
        <v>116</v>
      </c>
      <c r="J94" t="s">
        <v>57</v>
      </c>
      <c r="K94">
        <f>H93/K92</f>
        <v>0.32425668235058569</v>
      </c>
    </row>
    <row r="95" spans="1:11" s="13" customFormat="1" x14ac:dyDescent="0.25">
      <c r="A95" s="13" t="s">
        <v>22</v>
      </c>
      <c r="B95" s="13" t="s">
        <v>115</v>
      </c>
      <c r="C95" s="13" t="s">
        <v>48</v>
      </c>
      <c r="D95">
        <v>2010</v>
      </c>
      <c r="E95" s="13" t="s">
        <v>131</v>
      </c>
      <c r="F95" t="s">
        <v>134</v>
      </c>
      <c r="G95" s="15">
        <v>315.57600000000002</v>
      </c>
      <c r="H95" s="43">
        <f t="shared" si="13"/>
        <v>315.57600000000002</v>
      </c>
      <c r="I95" s="13" t="s">
        <v>115</v>
      </c>
      <c r="J95" s="13" t="s">
        <v>57</v>
      </c>
    </row>
    <row r="96" spans="1:11" s="11" customFormat="1" x14ac:dyDescent="0.25">
      <c r="A96" s="18" t="s">
        <v>17</v>
      </c>
      <c r="B96" s="9" t="s">
        <v>120</v>
      </c>
      <c r="C96" s="9" t="s">
        <v>53</v>
      </c>
      <c r="D96">
        <v>2010</v>
      </c>
      <c r="E96" s="9" t="s">
        <v>49</v>
      </c>
      <c r="F96" s="9"/>
      <c r="G96" s="11">
        <v>23.828638999999999</v>
      </c>
      <c r="H96" s="11">
        <f>G96</f>
        <v>23.828638999999999</v>
      </c>
    </row>
    <row r="97" spans="1:10" x14ac:dyDescent="0.25">
      <c r="A97" s="18" t="s">
        <v>18</v>
      </c>
      <c r="B97" s="9" t="s">
        <v>120</v>
      </c>
      <c r="C97" s="9" t="s">
        <v>53</v>
      </c>
      <c r="D97">
        <v>2010</v>
      </c>
      <c r="E97" s="9" t="s">
        <v>49</v>
      </c>
      <c r="G97">
        <v>7.4602500000000003</v>
      </c>
      <c r="H97" s="11">
        <f t="shared" ref="H97:H149" si="14">G97</f>
        <v>7.4602500000000003</v>
      </c>
      <c r="J97" s="11"/>
    </row>
    <row r="98" spans="1:10" x14ac:dyDescent="0.25">
      <c r="A98" s="18" t="s">
        <v>20</v>
      </c>
      <c r="B98" s="9" t="s">
        <v>120</v>
      </c>
      <c r="C98" s="9" t="s">
        <v>53</v>
      </c>
      <c r="D98">
        <v>2010</v>
      </c>
      <c r="E98" s="9" t="s">
        <v>49</v>
      </c>
      <c r="G98">
        <v>57.470152999999996</v>
      </c>
      <c r="H98" s="11">
        <f t="shared" si="14"/>
        <v>57.470152999999996</v>
      </c>
      <c r="J98" s="11"/>
    </row>
    <row r="99" spans="1:10" x14ac:dyDescent="0.25">
      <c r="A99" s="18" t="s">
        <v>21</v>
      </c>
      <c r="B99" s="9" t="s">
        <v>120</v>
      </c>
      <c r="C99" s="9" t="s">
        <v>53</v>
      </c>
      <c r="D99">
        <v>2010</v>
      </c>
      <c r="E99" s="9" t="s">
        <v>49</v>
      </c>
      <c r="G99">
        <v>270.82852629828903</v>
      </c>
      <c r="H99" s="11">
        <f t="shared" si="14"/>
        <v>270.82852629828903</v>
      </c>
      <c r="J99" s="11"/>
    </row>
    <row r="100" spans="1:10" x14ac:dyDescent="0.25">
      <c r="A100" s="18" t="s">
        <v>24</v>
      </c>
      <c r="B100" s="9" t="s">
        <v>120</v>
      </c>
      <c r="C100" s="9" t="s">
        <v>53</v>
      </c>
      <c r="D100">
        <v>2010</v>
      </c>
      <c r="E100" s="9" t="s">
        <v>49</v>
      </c>
      <c r="G100">
        <v>36.956574000000003</v>
      </c>
      <c r="H100" s="11">
        <f t="shared" si="14"/>
        <v>36.956574000000003</v>
      </c>
      <c r="J100" s="11"/>
    </row>
    <row r="101" spans="1:10" x14ac:dyDescent="0.25">
      <c r="A101" s="18" t="s">
        <v>22</v>
      </c>
      <c r="B101" s="9" t="s">
        <v>120</v>
      </c>
      <c r="C101" s="9" t="s">
        <v>53</v>
      </c>
      <c r="D101">
        <v>2010</v>
      </c>
      <c r="E101" s="9" t="s">
        <v>49</v>
      </c>
      <c r="G101">
        <v>9.2364259999999998</v>
      </c>
      <c r="H101" s="11">
        <f t="shared" si="14"/>
        <v>9.2364259999999998</v>
      </c>
      <c r="J101" s="11"/>
    </row>
    <row r="102" spans="1:10" x14ac:dyDescent="0.25">
      <c r="A102" s="18" t="s">
        <v>23</v>
      </c>
      <c r="B102" s="9" t="s">
        <v>120</v>
      </c>
      <c r="C102" s="9" t="s">
        <v>53</v>
      </c>
      <c r="D102">
        <v>2010</v>
      </c>
      <c r="E102" s="9" t="s">
        <v>49</v>
      </c>
      <c r="G102">
        <v>4.0649129999999998</v>
      </c>
      <c r="H102" s="11">
        <f t="shared" si="14"/>
        <v>4.0649129999999998</v>
      </c>
      <c r="J102" s="11"/>
    </row>
    <row r="103" spans="1:10" s="13" customFormat="1" x14ac:dyDescent="0.25">
      <c r="A103" s="19" t="s">
        <v>25</v>
      </c>
      <c r="B103" s="16" t="s">
        <v>120</v>
      </c>
      <c r="C103" s="16" t="s">
        <v>53</v>
      </c>
      <c r="D103">
        <v>2010</v>
      </c>
      <c r="E103" s="16" t="s">
        <v>49</v>
      </c>
      <c r="G103" s="13">
        <v>41.523714999999996</v>
      </c>
      <c r="H103" s="13">
        <f t="shared" si="14"/>
        <v>41.523714999999996</v>
      </c>
    </row>
    <row r="104" spans="1:10" x14ac:dyDescent="0.25">
      <c r="A104" s="18" t="s">
        <v>17</v>
      </c>
      <c r="B104" s="9" t="s">
        <v>120</v>
      </c>
      <c r="C104" s="9" t="s">
        <v>53</v>
      </c>
      <c r="D104">
        <v>2010</v>
      </c>
      <c r="E104" s="9" t="s">
        <v>50</v>
      </c>
      <c r="F104" s="9"/>
      <c r="G104" s="11">
        <v>6.808592</v>
      </c>
      <c r="H104" s="11">
        <f t="shared" si="14"/>
        <v>6.808592</v>
      </c>
      <c r="I104" s="11"/>
      <c r="J104" s="11"/>
    </row>
    <row r="105" spans="1:10" x14ac:dyDescent="0.25">
      <c r="A105" s="18" t="s">
        <v>18</v>
      </c>
      <c r="B105" s="9" t="s">
        <v>120</v>
      </c>
      <c r="C105" s="9" t="s">
        <v>53</v>
      </c>
      <c r="D105">
        <v>2010</v>
      </c>
      <c r="E105" s="9" t="s">
        <v>50</v>
      </c>
      <c r="G105">
        <v>0</v>
      </c>
      <c r="H105" s="11">
        <f t="shared" si="14"/>
        <v>0</v>
      </c>
      <c r="J105" s="11"/>
    </row>
    <row r="106" spans="1:10" x14ac:dyDescent="0.25">
      <c r="A106" s="18" t="s">
        <v>20</v>
      </c>
      <c r="B106" s="9" t="s">
        <v>120</v>
      </c>
      <c r="C106" s="9" t="s">
        <v>53</v>
      </c>
      <c r="D106">
        <v>2010</v>
      </c>
      <c r="E106" s="9" t="s">
        <v>50</v>
      </c>
      <c r="G106">
        <v>0</v>
      </c>
      <c r="H106" s="11">
        <f t="shared" si="14"/>
        <v>0</v>
      </c>
      <c r="J106" s="11"/>
    </row>
    <row r="107" spans="1:10" x14ac:dyDescent="0.25">
      <c r="A107" s="18" t="s">
        <v>21</v>
      </c>
      <c r="B107" s="9" t="s">
        <v>120</v>
      </c>
      <c r="C107" s="9" t="s">
        <v>53</v>
      </c>
      <c r="D107">
        <v>2010</v>
      </c>
      <c r="E107" s="9" t="s">
        <v>50</v>
      </c>
      <c r="G107">
        <v>137.85332973204817</v>
      </c>
      <c r="H107" s="11">
        <f t="shared" si="14"/>
        <v>137.85332973204817</v>
      </c>
      <c r="J107" s="11"/>
    </row>
    <row r="108" spans="1:10" x14ac:dyDescent="0.25">
      <c r="A108" s="18" t="s">
        <v>24</v>
      </c>
      <c r="B108" s="9" t="s">
        <v>120</v>
      </c>
      <c r="C108" s="9" t="s">
        <v>53</v>
      </c>
      <c r="D108">
        <v>2010</v>
      </c>
      <c r="E108" s="9" t="s">
        <v>50</v>
      </c>
      <c r="G108">
        <v>20.835905999999998</v>
      </c>
      <c r="H108" s="11">
        <f t="shared" si="14"/>
        <v>20.835905999999998</v>
      </c>
      <c r="J108" s="11"/>
    </row>
    <row r="109" spans="1:10" x14ac:dyDescent="0.25">
      <c r="A109" s="18" t="s">
        <v>22</v>
      </c>
      <c r="B109" s="9" t="s">
        <v>120</v>
      </c>
      <c r="C109" s="9" t="s">
        <v>53</v>
      </c>
      <c r="D109">
        <v>2010</v>
      </c>
      <c r="E109" s="9" t="s">
        <v>50</v>
      </c>
      <c r="G109">
        <v>3.19665</v>
      </c>
      <c r="H109" s="11">
        <f t="shared" si="14"/>
        <v>3.19665</v>
      </c>
      <c r="J109" s="11"/>
    </row>
    <row r="110" spans="1:10" x14ac:dyDescent="0.25">
      <c r="A110" s="18" t="s">
        <v>23</v>
      </c>
      <c r="B110" s="9" t="s">
        <v>120</v>
      </c>
      <c r="C110" s="9" t="s">
        <v>53</v>
      </c>
      <c r="D110">
        <v>2010</v>
      </c>
      <c r="E110" s="9" t="s">
        <v>50</v>
      </c>
      <c r="G110">
        <v>1.5874009999999998</v>
      </c>
      <c r="H110" s="11">
        <f t="shared" si="14"/>
        <v>1.5874009999999998</v>
      </c>
      <c r="J110" s="11"/>
    </row>
    <row r="111" spans="1:10" x14ac:dyDescent="0.25">
      <c r="A111" s="19" t="s">
        <v>25</v>
      </c>
      <c r="B111" s="16" t="s">
        <v>120</v>
      </c>
      <c r="C111" s="16" t="s">
        <v>53</v>
      </c>
      <c r="D111">
        <v>2010</v>
      </c>
      <c r="E111" s="16" t="s">
        <v>50</v>
      </c>
      <c r="F111" s="13"/>
      <c r="G111" s="13">
        <v>20.123545</v>
      </c>
      <c r="H111" s="13">
        <f t="shared" si="14"/>
        <v>20.123545</v>
      </c>
      <c r="I111" s="11"/>
      <c r="J111" s="11"/>
    </row>
    <row r="112" spans="1:10" x14ac:dyDescent="0.25">
      <c r="A112" s="18" t="s">
        <v>17</v>
      </c>
      <c r="B112" s="9" t="s">
        <v>120</v>
      </c>
      <c r="C112" s="9" t="s">
        <v>53</v>
      </c>
      <c r="D112">
        <v>2010</v>
      </c>
      <c r="E112" s="9" t="s">
        <v>51</v>
      </c>
      <c r="F112" s="9"/>
      <c r="G112" s="11">
        <v>23.004598000000001</v>
      </c>
      <c r="H112" s="11">
        <f t="shared" si="14"/>
        <v>23.004598000000001</v>
      </c>
      <c r="I112" s="11"/>
      <c r="J112" s="11"/>
    </row>
    <row r="113" spans="1:10" x14ac:dyDescent="0.25">
      <c r="A113" s="18" t="s">
        <v>18</v>
      </c>
      <c r="B113" s="9" t="s">
        <v>120</v>
      </c>
      <c r="C113" s="9" t="s">
        <v>53</v>
      </c>
      <c r="D113">
        <v>2010</v>
      </c>
      <c r="E113" s="9" t="s">
        <v>51</v>
      </c>
      <c r="G113">
        <v>0</v>
      </c>
      <c r="H113" s="11">
        <f t="shared" si="14"/>
        <v>0</v>
      </c>
      <c r="J113" s="11"/>
    </row>
    <row r="114" spans="1:10" x14ac:dyDescent="0.25">
      <c r="A114" s="18" t="s">
        <v>20</v>
      </c>
      <c r="B114" s="9" t="s">
        <v>120</v>
      </c>
      <c r="C114" s="9" t="s">
        <v>53</v>
      </c>
      <c r="D114">
        <v>2010</v>
      </c>
      <c r="E114" s="9" t="s">
        <v>51</v>
      </c>
      <c r="G114">
        <v>533.74019999999996</v>
      </c>
      <c r="H114" s="11">
        <f t="shared" si="14"/>
        <v>533.74019999999996</v>
      </c>
      <c r="J114" s="11"/>
    </row>
    <row r="115" spans="1:10" x14ac:dyDescent="0.25">
      <c r="A115" s="18" t="s">
        <v>21</v>
      </c>
      <c r="B115" s="9" t="s">
        <v>120</v>
      </c>
      <c r="C115" s="9" t="s">
        <v>53</v>
      </c>
      <c r="D115">
        <v>2010</v>
      </c>
      <c r="E115" s="9" t="s">
        <v>51</v>
      </c>
      <c r="G115">
        <v>500.39769525533006</v>
      </c>
      <c r="H115" s="11">
        <f t="shared" si="14"/>
        <v>500.39769525533006</v>
      </c>
      <c r="J115" s="11"/>
    </row>
    <row r="116" spans="1:10" x14ac:dyDescent="0.25">
      <c r="A116" s="18" t="s">
        <v>24</v>
      </c>
      <c r="B116" s="9" t="s">
        <v>120</v>
      </c>
      <c r="C116" s="9" t="s">
        <v>53</v>
      </c>
      <c r="D116">
        <v>2010</v>
      </c>
      <c r="E116" s="9" t="s">
        <v>51</v>
      </c>
      <c r="G116">
        <v>24.013419000000003</v>
      </c>
      <c r="H116" s="11">
        <f t="shared" si="14"/>
        <v>24.013419000000003</v>
      </c>
      <c r="J116" s="11"/>
    </row>
    <row r="117" spans="1:10" x14ac:dyDescent="0.25">
      <c r="A117" s="18" t="s">
        <v>22</v>
      </c>
      <c r="B117" s="9" t="s">
        <v>120</v>
      </c>
      <c r="C117" s="9" t="s">
        <v>53</v>
      </c>
      <c r="D117">
        <v>2010</v>
      </c>
      <c r="E117" s="9" t="s">
        <v>51</v>
      </c>
      <c r="G117">
        <v>6.5671850000000003</v>
      </c>
      <c r="H117" s="11">
        <f t="shared" si="14"/>
        <v>6.5671850000000003</v>
      </c>
      <c r="J117" s="11"/>
    </row>
    <row r="118" spans="1:10" x14ac:dyDescent="0.25">
      <c r="A118" s="18" t="s">
        <v>23</v>
      </c>
      <c r="B118" s="9" t="s">
        <v>120</v>
      </c>
      <c r="C118" s="9" t="s">
        <v>53</v>
      </c>
      <c r="D118">
        <v>2010</v>
      </c>
      <c r="E118" s="9" t="s">
        <v>51</v>
      </c>
      <c r="G118">
        <v>0.11881200000000001</v>
      </c>
      <c r="H118" s="11">
        <f t="shared" si="14"/>
        <v>0.11881200000000001</v>
      </c>
      <c r="J118" s="11"/>
    </row>
    <row r="119" spans="1:10" s="13" customFormat="1" x14ac:dyDescent="0.25">
      <c r="A119" s="19" t="s">
        <v>25</v>
      </c>
      <c r="B119" s="16" t="s">
        <v>120</v>
      </c>
      <c r="C119" s="16" t="s">
        <v>53</v>
      </c>
      <c r="D119">
        <v>2010</v>
      </c>
      <c r="E119" s="16" t="s">
        <v>51</v>
      </c>
      <c r="G119" s="13">
        <v>8.8862249999999996</v>
      </c>
      <c r="H119" s="13">
        <f t="shared" si="14"/>
        <v>8.8862249999999996</v>
      </c>
      <c r="I119" s="11"/>
      <c r="J119" s="11"/>
    </row>
    <row r="120" spans="1:10" x14ac:dyDescent="0.25">
      <c r="A120" s="18" t="s">
        <v>17</v>
      </c>
      <c r="B120" s="9" t="s">
        <v>120</v>
      </c>
      <c r="C120" s="9" t="s">
        <v>53</v>
      </c>
      <c r="D120">
        <v>2010</v>
      </c>
      <c r="E120" s="9" t="s">
        <v>52</v>
      </c>
      <c r="F120" s="9"/>
      <c r="G120" s="11">
        <v>11.736355999999999</v>
      </c>
      <c r="H120" s="11">
        <f t="shared" si="14"/>
        <v>11.736355999999999</v>
      </c>
      <c r="I120" s="11"/>
      <c r="J120" s="11"/>
    </row>
    <row r="121" spans="1:10" x14ac:dyDescent="0.25">
      <c r="A121" s="18" t="s">
        <v>18</v>
      </c>
      <c r="B121" s="9" t="s">
        <v>120</v>
      </c>
      <c r="C121" s="9" t="s">
        <v>53</v>
      </c>
      <c r="D121">
        <v>2010</v>
      </c>
      <c r="E121" s="9" t="s">
        <v>52</v>
      </c>
      <c r="G121">
        <v>5.4779669999999996</v>
      </c>
      <c r="H121" s="11">
        <f t="shared" si="14"/>
        <v>5.4779669999999996</v>
      </c>
      <c r="J121" s="11"/>
    </row>
    <row r="122" spans="1:10" x14ac:dyDescent="0.25">
      <c r="A122" s="18" t="s">
        <v>20</v>
      </c>
      <c r="B122" s="9" t="s">
        <v>120</v>
      </c>
      <c r="C122" s="9" t="s">
        <v>53</v>
      </c>
      <c r="D122">
        <v>2010</v>
      </c>
      <c r="E122" s="9" t="s">
        <v>52</v>
      </c>
      <c r="G122">
        <v>105.08211200000001</v>
      </c>
      <c r="H122" s="11">
        <f t="shared" si="14"/>
        <v>105.08211200000001</v>
      </c>
      <c r="J122" s="11"/>
    </row>
    <row r="123" spans="1:10" x14ac:dyDescent="0.25">
      <c r="A123" s="18" t="s">
        <v>21</v>
      </c>
      <c r="B123" s="9" t="s">
        <v>120</v>
      </c>
      <c r="C123" s="9" t="s">
        <v>53</v>
      </c>
      <c r="D123">
        <v>2010</v>
      </c>
      <c r="E123" s="9" t="s">
        <v>52</v>
      </c>
      <c r="G123">
        <v>133.63556586809966</v>
      </c>
      <c r="H123" s="11">
        <f t="shared" si="14"/>
        <v>133.63556586809966</v>
      </c>
      <c r="J123" s="11"/>
    </row>
    <row r="124" spans="1:10" x14ac:dyDescent="0.25">
      <c r="A124" s="18" t="s">
        <v>24</v>
      </c>
      <c r="B124" s="9" t="s">
        <v>120</v>
      </c>
      <c r="C124" s="9" t="s">
        <v>53</v>
      </c>
      <c r="D124">
        <v>2010</v>
      </c>
      <c r="E124" s="9" t="s">
        <v>52</v>
      </c>
      <c r="G124">
        <v>24.521529999999998</v>
      </c>
      <c r="H124" s="11">
        <f t="shared" si="14"/>
        <v>24.521529999999998</v>
      </c>
      <c r="J124" s="11"/>
    </row>
    <row r="125" spans="1:10" x14ac:dyDescent="0.25">
      <c r="A125" s="18" t="s">
        <v>22</v>
      </c>
      <c r="B125" s="9" t="s">
        <v>120</v>
      </c>
      <c r="C125" s="9" t="s">
        <v>53</v>
      </c>
      <c r="D125">
        <v>2010</v>
      </c>
      <c r="E125" s="9" t="s">
        <v>52</v>
      </c>
      <c r="G125">
        <v>4.5687889999999998</v>
      </c>
      <c r="H125" s="11">
        <f t="shared" si="14"/>
        <v>4.5687889999999998</v>
      </c>
      <c r="J125" s="11"/>
    </row>
    <row r="126" spans="1:10" x14ac:dyDescent="0.25">
      <c r="A126" s="18" t="s">
        <v>23</v>
      </c>
      <c r="B126" s="9" t="s">
        <v>120</v>
      </c>
      <c r="C126" s="9" t="s">
        <v>53</v>
      </c>
      <c r="D126">
        <v>2010</v>
      </c>
      <c r="E126" s="9" t="s">
        <v>52</v>
      </c>
      <c r="G126">
        <v>4.7542629999999999</v>
      </c>
      <c r="H126" s="11">
        <f t="shared" si="14"/>
        <v>4.7542629999999999</v>
      </c>
      <c r="J126" s="11"/>
    </row>
    <row r="127" spans="1:10" s="13" customFormat="1" x14ac:dyDescent="0.25">
      <c r="A127" s="19" t="s">
        <v>25</v>
      </c>
      <c r="B127" s="16" t="s">
        <v>120</v>
      </c>
      <c r="C127" s="16" t="s">
        <v>53</v>
      </c>
      <c r="D127">
        <v>2010</v>
      </c>
      <c r="E127" s="16" t="s">
        <v>52</v>
      </c>
      <c r="G127" s="13">
        <v>25.390125000000001</v>
      </c>
      <c r="H127" s="13">
        <f t="shared" si="14"/>
        <v>25.390125000000001</v>
      </c>
      <c r="I127" s="11"/>
      <c r="J127" s="11"/>
    </row>
    <row r="128" spans="1:10" x14ac:dyDescent="0.25">
      <c r="A128" s="24" t="s">
        <v>25</v>
      </c>
      <c r="B128" t="s">
        <v>60</v>
      </c>
      <c r="C128" s="9" t="s">
        <v>61</v>
      </c>
      <c r="D128">
        <v>2010</v>
      </c>
      <c r="E128" s="9" t="s">
        <v>62</v>
      </c>
      <c r="G128" s="25">
        <v>27050</v>
      </c>
      <c r="H128" s="11">
        <f>G128</f>
        <v>27050</v>
      </c>
      <c r="I128" s="25"/>
    </row>
    <row r="129" spans="1:9" x14ac:dyDescent="0.25">
      <c r="A129" s="24" t="s">
        <v>25</v>
      </c>
      <c r="B129" t="s">
        <v>60</v>
      </c>
      <c r="C129" s="9" t="s">
        <v>61</v>
      </c>
      <c r="D129">
        <v>2010</v>
      </c>
      <c r="E129" s="9" t="s">
        <v>63</v>
      </c>
      <c r="G129" s="25">
        <v>61564</v>
      </c>
      <c r="H129" s="11">
        <f t="shared" si="14"/>
        <v>61564</v>
      </c>
      <c r="I129" s="25"/>
    </row>
    <row r="130" spans="1:9" x14ac:dyDescent="0.25">
      <c r="A130" s="24" t="s">
        <v>25</v>
      </c>
      <c r="B130" t="s">
        <v>60</v>
      </c>
      <c r="C130" s="9" t="s">
        <v>61</v>
      </c>
      <c r="D130">
        <v>2010</v>
      </c>
      <c r="E130" s="9" t="s">
        <v>64</v>
      </c>
      <c r="G130" s="25">
        <v>4395</v>
      </c>
      <c r="H130" s="11">
        <f t="shared" si="14"/>
        <v>4395</v>
      </c>
      <c r="I130" s="25"/>
    </row>
    <row r="131" spans="1:9" x14ac:dyDescent="0.25">
      <c r="A131" s="24" t="s">
        <v>25</v>
      </c>
      <c r="B131" t="s">
        <v>60</v>
      </c>
      <c r="C131" s="9" t="s">
        <v>61</v>
      </c>
      <c r="D131">
        <v>2010</v>
      </c>
      <c r="E131" s="9" t="s">
        <v>65</v>
      </c>
      <c r="G131" s="25">
        <v>33</v>
      </c>
      <c r="H131" s="11">
        <f t="shared" si="14"/>
        <v>33</v>
      </c>
      <c r="I131" s="25"/>
    </row>
    <row r="132" spans="1:9" x14ac:dyDescent="0.25">
      <c r="A132" s="24" t="s">
        <v>25</v>
      </c>
      <c r="B132" t="s">
        <v>60</v>
      </c>
      <c r="C132" s="9" t="s">
        <v>61</v>
      </c>
      <c r="D132">
        <v>2010</v>
      </c>
      <c r="E132" s="9" t="s">
        <v>66</v>
      </c>
      <c r="G132" s="25">
        <v>10925</v>
      </c>
      <c r="H132" s="11">
        <f t="shared" si="14"/>
        <v>10925</v>
      </c>
      <c r="I132" s="25"/>
    </row>
    <row r="133" spans="1:9" x14ac:dyDescent="0.25">
      <c r="A133" s="24" t="s">
        <v>25</v>
      </c>
      <c r="B133" t="s">
        <v>60</v>
      </c>
      <c r="C133" s="9" t="s">
        <v>61</v>
      </c>
      <c r="D133">
        <v>2010</v>
      </c>
      <c r="E133" s="9" t="s">
        <v>67</v>
      </c>
      <c r="G133" s="25">
        <v>1066</v>
      </c>
      <c r="H133" s="11">
        <f t="shared" si="14"/>
        <v>1066</v>
      </c>
      <c r="I133" s="25"/>
    </row>
    <row r="134" spans="1:9" x14ac:dyDescent="0.25">
      <c r="A134" s="24" t="s">
        <v>25</v>
      </c>
      <c r="B134" t="s">
        <v>60</v>
      </c>
      <c r="C134" s="9" t="s">
        <v>61</v>
      </c>
      <c r="D134">
        <v>2010</v>
      </c>
      <c r="E134" s="9" t="s">
        <v>68</v>
      </c>
      <c r="G134" s="25">
        <v>5244</v>
      </c>
      <c r="H134" s="11">
        <f t="shared" si="14"/>
        <v>5244</v>
      </c>
      <c r="I134" s="25"/>
    </row>
    <row r="135" spans="1:9" x14ac:dyDescent="0.25">
      <c r="A135" s="24" t="s">
        <v>25</v>
      </c>
      <c r="B135" t="s">
        <v>60</v>
      </c>
      <c r="C135" s="9" t="s">
        <v>61</v>
      </c>
      <c r="D135">
        <v>2010</v>
      </c>
      <c r="E135" s="9" t="s">
        <v>69</v>
      </c>
      <c r="G135" s="25">
        <v>2703</v>
      </c>
      <c r="H135" s="11">
        <f t="shared" si="14"/>
        <v>2703</v>
      </c>
      <c r="I135" s="25"/>
    </row>
    <row r="136" spans="1:9" x14ac:dyDescent="0.25">
      <c r="A136" s="24" t="s">
        <v>25</v>
      </c>
      <c r="B136" t="s">
        <v>60</v>
      </c>
      <c r="C136" s="9" t="s">
        <v>61</v>
      </c>
      <c r="D136">
        <v>2010</v>
      </c>
      <c r="E136" s="9" t="s">
        <v>70</v>
      </c>
      <c r="G136" s="25">
        <v>0</v>
      </c>
      <c r="H136" s="11">
        <f t="shared" si="14"/>
        <v>0</v>
      </c>
      <c r="I136" s="25"/>
    </row>
    <row r="137" spans="1:9" x14ac:dyDescent="0.25">
      <c r="A137" s="24" t="s">
        <v>25</v>
      </c>
      <c r="B137" t="s">
        <v>60</v>
      </c>
      <c r="C137" s="9" t="s">
        <v>61</v>
      </c>
      <c r="D137">
        <v>2010</v>
      </c>
      <c r="E137" s="9" t="s">
        <v>71</v>
      </c>
      <c r="G137" s="25">
        <v>263</v>
      </c>
      <c r="H137" s="11">
        <f t="shared" si="14"/>
        <v>263</v>
      </c>
      <c r="I137" s="25"/>
    </row>
    <row r="138" spans="1:9" x14ac:dyDescent="0.25">
      <c r="A138" s="24" t="s">
        <v>25</v>
      </c>
      <c r="B138" t="s">
        <v>60</v>
      </c>
      <c r="C138" s="9" t="s">
        <v>61</v>
      </c>
      <c r="D138">
        <v>2010</v>
      </c>
      <c r="E138" s="9" t="s">
        <v>72</v>
      </c>
      <c r="G138" s="25">
        <v>1566.7190000000001</v>
      </c>
      <c r="H138" s="11">
        <f t="shared" si="14"/>
        <v>1566.7190000000001</v>
      </c>
      <c r="I138" s="25"/>
    </row>
    <row r="139" spans="1:9" x14ac:dyDescent="0.25">
      <c r="A139" s="24" t="s">
        <v>25</v>
      </c>
      <c r="B139" t="s">
        <v>60</v>
      </c>
      <c r="C139" s="9" t="s">
        <v>61</v>
      </c>
      <c r="D139">
        <v>2010</v>
      </c>
      <c r="E139" s="9" t="s">
        <v>73</v>
      </c>
      <c r="G139" s="25">
        <v>869.8</v>
      </c>
      <c r="H139" s="11">
        <f t="shared" si="14"/>
        <v>869.8</v>
      </c>
      <c r="I139" s="25"/>
    </row>
    <row r="140" spans="1:9" x14ac:dyDescent="0.25">
      <c r="A140" s="24" t="s">
        <v>25</v>
      </c>
      <c r="B140" t="s">
        <v>60</v>
      </c>
      <c r="C140" s="9" t="s">
        <v>61</v>
      </c>
      <c r="D140">
        <v>2010</v>
      </c>
      <c r="E140" s="9" t="s">
        <v>74</v>
      </c>
      <c r="G140" s="25">
        <v>77.16</v>
      </c>
      <c r="H140" s="11">
        <f t="shared" si="14"/>
        <v>77.16</v>
      </c>
      <c r="I140" s="25"/>
    </row>
    <row r="141" spans="1:9" x14ac:dyDescent="0.25">
      <c r="A141" s="24" t="s">
        <v>25</v>
      </c>
      <c r="B141" t="s">
        <v>60</v>
      </c>
      <c r="C141" s="9" t="s">
        <v>61</v>
      </c>
      <c r="D141">
        <v>2010</v>
      </c>
      <c r="E141" s="9" t="s">
        <v>75</v>
      </c>
      <c r="G141" s="25">
        <v>265862</v>
      </c>
      <c r="H141" s="11">
        <f t="shared" si="14"/>
        <v>265862</v>
      </c>
      <c r="I141" s="25"/>
    </row>
    <row r="142" spans="1:9" x14ac:dyDescent="0.25">
      <c r="A142" s="24" t="s">
        <v>25</v>
      </c>
      <c r="B142" t="s">
        <v>60</v>
      </c>
      <c r="C142" s="9" t="s">
        <v>61</v>
      </c>
      <c r="D142">
        <v>2010</v>
      </c>
      <c r="E142" s="9" t="s">
        <v>76</v>
      </c>
      <c r="G142" s="25">
        <v>0</v>
      </c>
      <c r="H142" s="11">
        <f t="shared" si="14"/>
        <v>0</v>
      </c>
      <c r="I142" s="25"/>
    </row>
    <row r="143" spans="1:9" x14ac:dyDescent="0.25">
      <c r="A143" s="24" t="s">
        <v>25</v>
      </c>
      <c r="B143" t="s">
        <v>60</v>
      </c>
      <c r="C143" s="9" t="s">
        <v>61</v>
      </c>
      <c r="D143">
        <v>2010</v>
      </c>
      <c r="E143" s="9" t="s">
        <v>77</v>
      </c>
      <c r="G143" s="25">
        <v>833</v>
      </c>
      <c r="H143" s="11">
        <f t="shared" si="14"/>
        <v>833</v>
      </c>
      <c r="I143" s="25"/>
    </row>
    <row r="144" spans="1:9" x14ac:dyDescent="0.25">
      <c r="A144" s="24" t="s">
        <v>25</v>
      </c>
      <c r="B144" t="s">
        <v>60</v>
      </c>
      <c r="C144" s="9" t="s">
        <v>61</v>
      </c>
      <c r="D144">
        <v>2010</v>
      </c>
      <c r="E144" s="9" t="s">
        <v>78</v>
      </c>
      <c r="G144" s="25">
        <v>135</v>
      </c>
      <c r="H144" s="11">
        <f t="shared" si="14"/>
        <v>135</v>
      </c>
      <c r="I144" s="25"/>
    </row>
    <row r="145" spans="1:9" x14ac:dyDescent="0.25">
      <c r="A145" s="24" t="s">
        <v>25</v>
      </c>
      <c r="B145" t="s">
        <v>60</v>
      </c>
      <c r="C145" s="9" t="s">
        <v>61</v>
      </c>
      <c r="D145">
        <v>2010</v>
      </c>
      <c r="E145" s="9" t="s">
        <v>79</v>
      </c>
      <c r="G145" s="25">
        <v>3373</v>
      </c>
      <c r="H145" s="11">
        <f t="shared" si="14"/>
        <v>3373</v>
      </c>
      <c r="I145" s="25"/>
    </row>
    <row r="146" spans="1:9" x14ac:dyDescent="0.25">
      <c r="A146" s="24" t="s">
        <v>25</v>
      </c>
      <c r="B146" t="s">
        <v>60</v>
      </c>
      <c r="C146" s="9" t="s">
        <v>61</v>
      </c>
      <c r="D146">
        <v>2010</v>
      </c>
      <c r="E146" s="9" t="s">
        <v>80</v>
      </c>
      <c r="G146" s="25">
        <v>3507</v>
      </c>
      <c r="H146" s="11">
        <f t="shared" si="14"/>
        <v>3507</v>
      </c>
      <c r="I146" s="25"/>
    </row>
    <row r="147" spans="1:9" x14ac:dyDescent="0.25">
      <c r="A147" s="24" t="s">
        <v>25</v>
      </c>
      <c r="B147" t="s">
        <v>60</v>
      </c>
      <c r="C147" s="9" t="s">
        <v>61</v>
      </c>
      <c r="D147">
        <v>2010</v>
      </c>
      <c r="E147" s="9" t="s">
        <v>81</v>
      </c>
      <c r="G147" s="25">
        <v>1590</v>
      </c>
      <c r="H147" s="11">
        <f t="shared" si="14"/>
        <v>1590</v>
      </c>
      <c r="I147" s="25"/>
    </row>
    <row r="148" spans="1:9" x14ac:dyDescent="0.25">
      <c r="A148" s="24" t="s">
        <v>25</v>
      </c>
      <c r="B148" t="s">
        <v>60</v>
      </c>
      <c r="C148" s="9" t="s">
        <v>61</v>
      </c>
      <c r="D148">
        <v>2010</v>
      </c>
      <c r="E148" s="9" t="s">
        <v>82</v>
      </c>
      <c r="G148" s="25">
        <v>156</v>
      </c>
      <c r="H148" s="11">
        <f t="shared" si="14"/>
        <v>156</v>
      </c>
      <c r="I148" s="25"/>
    </row>
    <row r="149" spans="1:9" s="13" customFormat="1" x14ac:dyDescent="0.25">
      <c r="A149" s="26" t="s">
        <v>25</v>
      </c>
      <c r="B149" s="13" t="s">
        <v>60</v>
      </c>
      <c r="C149" s="16" t="s">
        <v>61</v>
      </c>
      <c r="D149">
        <v>2010</v>
      </c>
      <c r="E149" s="16" t="s">
        <v>83</v>
      </c>
      <c r="G149" s="27">
        <v>0</v>
      </c>
      <c r="H149" s="13">
        <f t="shared" si="14"/>
        <v>0</v>
      </c>
      <c r="I149" s="27"/>
    </row>
    <row r="150" spans="1:9" x14ac:dyDescent="0.25">
      <c r="A150" s="24" t="s">
        <v>25</v>
      </c>
      <c r="B150" t="s">
        <v>11</v>
      </c>
      <c r="C150" t="s">
        <v>10</v>
      </c>
      <c r="D150">
        <v>2010</v>
      </c>
      <c r="E150" s="9" t="s">
        <v>119</v>
      </c>
      <c r="F150" s="9" t="s">
        <v>85</v>
      </c>
      <c r="G150">
        <v>2.9676543999999998E-3</v>
      </c>
      <c r="H150" s="40">
        <f t="shared" ref="H150:H159" si="15">VLOOKUP(I150,$A$255:$B$256,2,FALSE)*G150</f>
        <v>2.6708889599999998E-3</v>
      </c>
      <c r="I150" t="s">
        <v>112</v>
      </c>
    </row>
    <row r="151" spans="1:9" x14ac:dyDescent="0.25">
      <c r="A151" s="24" t="s">
        <v>25</v>
      </c>
      <c r="B151" t="s">
        <v>11</v>
      </c>
      <c r="C151" t="s">
        <v>10</v>
      </c>
      <c r="D151">
        <v>2010</v>
      </c>
      <c r="E151" s="9" t="s">
        <v>119</v>
      </c>
      <c r="F151" s="9" t="s">
        <v>85</v>
      </c>
      <c r="G151">
        <v>2.9676543999999998E-3</v>
      </c>
      <c r="H151" s="40">
        <f t="shared" si="15"/>
        <v>2.9676544000000003E-4</v>
      </c>
      <c r="I151" t="s">
        <v>110</v>
      </c>
    </row>
    <row r="152" spans="1:9" x14ac:dyDescent="0.25">
      <c r="A152" s="24" t="s">
        <v>25</v>
      </c>
      <c r="B152" t="s">
        <v>11</v>
      </c>
      <c r="C152" t="s">
        <v>10</v>
      </c>
      <c r="D152">
        <v>2010</v>
      </c>
      <c r="E152" s="9" t="s">
        <v>119</v>
      </c>
      <c r="F152" s="9" t="s">
        <v>86</v>
      </c>
      <c r="G152">
        <v>8.6749696E-4</v>
      </c>
      <c r="H152" s="40">
        <f t="shared" si="15"/>
        <v>7.8074726400000007E-4</v>
      </c>
      <c r="I152" t="s">
        <v>112</v>
      </c>
    </row>
    <row r="153" spans="1:9" x14ac:dyDescent="0.25">
      <c r="A153" s="24" t="s">
        <v>25</v>
      </c>
      <c r="B153" t="s">
        <v>11</v>
      </c>
      <c r="C153" t="s">
        <v>10</v>
      </c>
      <c r="D153">
        <v>2010</v>
      </c>
      <c r="E153" s="9" t="s">
        <v>119</v>
      </c>
      <c r="F153" s="9" t="s">
        <v>86</v>
      </c>
      <c r="G153">
        <v>8.6749696E-4</v>
      </c>
      <c r="H153" s="40">
        <f t="shared" si="15"/>
        <v>8.6749696000000003E-5</v>
      </c>
      <c r="I153" t="s">
        <v>110</v>
      </c>
    </row>
    <row r="154" spans="1:9" x14ac:dyDescent="0.25">
      <c r="A154" s="24" t="s">
        <v>25</v>
      </c>
      <c r="B154" t="s">
        <v>11</v>
      </c>
      <c r="C154" t="s">
        <v>10</v>
      </c>
      <c r="D154">
        <v>2010</v>
      </c>
      <c r="E154" s="9" t="s">
        <v>119</v>
      </c>
      <c r="F154" s="9" t="s">
        <v>87</v>
      </c>
      <c r="G154">
        <v>5.9084780149999997E-4</v>
      </c>
      <c r="H154" s="40">
        <f t="shared" si="15"/>
        <v>5.3176302134999999E-4</v>
      </c>
      <c r="I154" t="s">
        <v>112</v>
      </c>
    </row>
    <row r="155" spans="1:9" x14ac:dyDescent="0.25">
      <c r="A155" s="24" t="s">
        <v>25</v>
      </c>
      <c r="B155" t="s">
        <v>11</v>
      </c>
      <c r="C155" t="s">
        <v>10</v>
      </c>
      <c r="D155">
        <v>2010</v>
      </c>
      <c r="E155" s="9" t="s">
        <v>119</v>
      </c>
      <c r="F155" s="9" t="s">
        <v>87</v>
      </c>
      <c r="G155">
        <v>5.9084780149999997E-4</v>
      </c>
      <c r="H155" s="40">
        <f>VLOOKUP(I155,$A$255:$B$256,2,FALSE)*G155</f>
        <v>5.908478015E-5</v>
      </c>
      <c r="I155" t="s">
        <v>110</v>
      </c>
    </row>
    <row r="156" spans="1:9" x14ac:dyDescent="0.25">
      <c r="A156" s="24" t="s">
        <v>25</v>
      </c>
      <c r="B156" t="s">
        <v>11</v>
      </c>
      <c r="C156" t="s">
        <v>10</v>
      </c>
      <c r="D156">
        <v>2010</v>
      </c>
      <c r="E156" s="9" t="s">
        <v>119</v>
      </c>
      <c r="F156" s="9" t="s">
        <v>88</v>
      </c>
      <c r="G156">
        <v>5.7159306599999997E-4</v>
      </c>
      <c r="H156" s="40">
        <f t="shared" si="15"/>
        <v>5.1443375940000004E-4</v>
      </c>
      <c r="I156" t="s">
        <v>112</v>
      </c>
    </row>
    <row r="157" spans="1:9" x14ac:dyDescent="0.25">
      <c r="A157" s="24" t="s">
        <v>25</v>
      </c>
      <c r="B157" t="s">
        <v>11</v>
      </c>
      <c r="C157" t="s">
        <v>10</v>
      </c>
      <c r="D157">
        <v>2010</v>
      </c>
      <c r="E157" s="9" t="s">
        <v>119</v>
      </c>
      <c r="F157" s="9" t="s">
        <v>88</v>
      </c>
      <c r="G157">
        <v>5.7159306599999997E-4</v>
      </c>
      <c r="H157" s="40">
        <f t="shared" si="15"/>
        <v>5.7159306599999999E-5</v>
      </c>
      <c r="I157" t="s">
        <v>110</v>
      </c>
    </row>
    <row r="158" spans="1:9" s="11" customFormat="1" x14ac:dyDescent="0.25">
      <c r="A158" s="24" t="s">
        <v>25</v>
      </c>
      <c r="B158" s="11" t="s">
        <v>11</v>
      </c>
      <c r="C158" s="11" t="s">
        <v>10</v>
      </c>
      <c r="D158">
        <v>2010</v>
      </c>
      <c r="E158" s="9" t="s">
        <v>119</v>
      </c>
      <c r="F158" s="9" t="s">
        <v>89</v>
      </c>
      <c r="G158" s="11">
        <v>6.7310672000000003E-5</v>
      </c>
      <c r="H158" s="40">
        <f t="shared" si="15"/>
        <v>6.0579604800000002E-5</v>
      </c>
      <c r="I158" s="11" t="s">
        <v>112</v>
      </c>
    </row>
    <row r="159" spans="1:9" s="11" customFormat="1" x14ac:dyDescent="0.25">
      <c r="A159" s="24" t="s">
        <v>25</v>
      </c>
      <c r="B159" s="11" t="s">
        <v>11</v>
      </c>
      <c r="C159" s="11" t="s">
        <v>10</v>
      </c>
      <c r="D159">
        <v>2010</v>
      </c>
      <c r="E159" s="9" t="s">
        <v>119</v>
      </c>
      <c r="F159" s="9" t="s">
        <v>89</v>
      </c>
      <c r="G159" s="11">
        <v>6.7310672000000003E-5</v>
      </c>
      <c r="H159" s="40">
        <f t="shared" si="15"/>
        <v>6.7310672000000003E-6</v>
      </c>
      <c r="I159" t="s">
        <v>110</v>
      </c>
    </row>
    <row r="160" spans="1:9" s="5" customFormat="1" x14ac:dyDescent="0.25">
      <c r="A160" s="38" t="s">
        <v>25</v>
      </c>
      <c r="B160" s="5" t="s">
        <v>6</v>
      </c>
      <c r="C160" s="5" t="s">
        <v>7</v>
      </c>
      <c r="D160">
        <v>2010</v>
      </c>
      <c r="E160" s="39" t="s">
        <v>119</v>
      </c>
      <c r="F160" s="39" t="s">
        <v>85</v>
      </c>
      <c r="G160" s="5">
        <v>2.9676543999999998E-3</v>
      </c>
      <c r="H160" s="5">
        <f>G160</f>
        <v>2.9676543999999998E-3</v>
      </c>
    </row>
    <row r="161" spans="1:11" x14ac:dyDescent="0.25">
      <c r="A161" s="24" t="s">
        <v>25</v>
      </c>
      <c r="B161" t="s">
        <v>6</v>
      </c>
      <c r="C161" t="s">
        <v>7</v>
      </c>
      <c r="D161">
        <v>2010</v>
      </c>
      <c r="E161" s="9" t="s">
        <v>119</v>
      </c>
      <c r="F161" s="9" t="s">
        <v>86</v>
      </c>
      <c r="G161">
        <v>8.6749696E-4</v>
      </c>
      <c r="H161">
        <f t="shared" ref="H161:H164" si="16">G161</f>
        <v>8.6749696E-4</v>
      </c>
    </row>
    <row r="162" spans="1:11" x14ac:dyDescent="0.25">
      <c r="A162" s="24" t="s">
        <v>25</v>
      </c>
      <c r="B162" t="s">
        <v>6</v>
      </c>
      <c r="C162" t="s">
        <v>7</v>
      </c>
      <c r="D162">
        <v>2010</v>
      </c>
      <c r="E162" s="9" t="s">
        <v>119</v>
      </c>
      <c r="F162" s="9" t="s">
        <v>87</v>
      </c>
      <c r="G162">
        <v>5.9084780149999997E-4</v>
      </c>
      <c r="H162">
        <f t="shared" si="16"/>
        <v>5.9084780149999997E-4</v>
      </c>
    </row>
    <row r="163" spans="1:11" x14ac:dyDescent="0.25">
      <c r="A163" s="24" t="s">
        <v>25</v>
      </c>
      <c r="B163" t="s">
        <v>6</v>
      </c>
      <c r="C163" t="s">
        <v>7</v>
      </c>
      <c r="D163">
        <v>2010</v>
      </c>
      <c r="E163" s="9" t="s">
        <v>119</v>
      </c>
      <c r="F163" s="9" t="s">
        <v>88</v>
      </c>
      <c r="G163">
        <v>5.7159306599999997E-4</v>
      </c>
      <c r="H163">
        <f t="shared" si="16"/>
        <v>5.7159306599999997E-4</v>
      </c>
    </row>
    <row r="164" spans="1:11" s="13" customFormat="1" x14ac:dyDescent="0.25">
      <c r="A164" s="26" t="s">
        <v>25</v>
      </c>
      <c r="B164" s="13" t="s">
        <v>6</v>
      </c>
      <c r="C164" s="13" t="s">
        <v>7</v>
      </c>
      <c r="D164">
        <v>2010</v>
      </c>
      <c r="E164" s="16" t="s">
        <v>119</v>
      </c>
      <c r="F164" s="16" t="s">
        <v>89</v>
      </c>
      <c r="G164" s="13">
        <v>6.7310672000000003E-5</v>
      </c>
      <c r="H164" s="13">
        <f t="shared" si="16"/>
        <v>6.7310672000000003E-5</v>
      </c>
    </row>
    <row r="165" spans="1:11" s="11" customFormat="1" x14ac:dyDescent="0.25">
      <c r="A165" t="s">
        <v>16</v>
      </c>
      <c r="B165" t="s">
        <v>29</v>
      </c>
      <c r="C165" t="s">
        <v>46</v>
      </c>
      <c r="D165">
        <v>2010</v>
      </c>
      <c r="E165" t="s">
        <v>92</v>
      </c>
      <c r="F165" t="s">
        <v>93</v>
      </c>
      <c r="G165" s="3">
        <v>5</v>
      </c>
      <c r="H165" s="3">
        <f>G165</f>
        <v>5</v>
      </c>
      <c r="I165" s="3"/>
      <c r="J165" s="4" t="s">
        <v>94</v>
      </c>
    </row>
    <row r="166" spans="1:11" s="11" customFormat="1" x14ac:dyDescent="0.25">
      <c r="A166" t="s">
        <v>17</v>
      </c>
      <c r="B166" t="s">
        <v>29</v>
      </c>
      <c r="C166" t="s">
        <v>46</v>
      </c>
      <c r="D166">
        <v>2010</v>
      </c>
      <c r="E166" t="s">
        <v>92</v>
      </c>
      <c r="F166" t="s">
        <v>93</v>
      </c>
      <c r="G166" s="3">
        <v>5</v>
      </c>
      <c r="H166" s="3">
        <f t="shared" ref="H166:H175" si="17">G166</f>
        <v>5</v>
      </c>
      <c r="I166" s="3"/>
      <c r="J166" s="4" t="s">
        <v>94</v>
      </c>
    </row>
    <row r="167" spans="1:11" s="11" customFormat="1" x14ac:dyDescent="0.25">
      <c r="A167" t="s">
        <v>18</v>
      </c>
      <c r="B167" t="s">
        <v>29</v>
      </c>
      <c r="C167" t="s">
        <v>46</v>
      </c>
      <c r="D167">
        <v>2010</v>
      </c>
      <c r="E167" t="s">
        <v>92</v>
      </c>
      <c r="F167" t="s">
        <v>93</v>
      </c>
      <c r="G167" s="3">
        <v>5</v>
      </c>
      <c r="H167" s="3">
        <f t="shared" si="17"/>
        <v>5</v>
      </c>
      <c r="I167" s="3"/>
      <c r="J167" s="4" t="s">
        <v>94</v>
      </c>
    </row>
    <row r="168" spans="1:11" s="11" customFormat="1" x14ac:dyDescent="0.25">
      <c r="A168" t="s">
        <v>19</v>
      </c>
      <c r="B168" t="s">
        <v>29</v>
      </c>
      <c r="C168" t="s">
        <v>46</v>
      </c>
      <c r="D168">
        <v>2010</v>
      </c>
      <c r="E168" t="s">
        <v>92</v>
      </c>
      <c r="F168" t="s">
        <v>93</v>
      </c>
      <c r="G168" s="3">
        <v>3</v>
      </c>
      <c r="H168" s="3">
        <f t="shared" si="17"/>
        <v>3</v>
      </c>
      <c r="I168" s="3"/>
      <c r="J168" s="4" t="s">
        <v>94</v>
      </c>
    </row>
    <row r="169" spans="1:11" s="11" customFormat="1" x14ac:dyDescent="0.25">
      <c r="A169" t="s">
        <v>20</v>
      </c>
      <c r="B169" t="s">
        <v>29</v>
      </c>
      <c r="C169" t="s">
        <v>46</v>
      </c>
      <c r="D169">
        <v>2010</v>
      </c>
      <c r="E169" t="s">
        <v>92</v>
      </c>
      <c r="F169" t="s">
        <v>93</v>
      </c>
      <c r="G169" s="3">
        <v>3</v>
      </c>
      <c r="H169" s="3">
        <f t="shared" si="17"/>
        <v>3</v>
      </c>
      <c r="I169" s="3"/>
      <c r="J169" s="4" t="s">
        <v>94</v>
      </c>
    </row>
    <row r="170" spans="1:11" s="11" customFormat="1" x14ac:dyDescent="0.25">
      <c r="A170" t="s">
        <v>21</v>
      </c>
      <c r="B170" t="s">
        <v>29</v>
      </c>
      <c r="C170" t="s">
        <v>46</v>
      </c>
      <c r="D170">
        <v>2010</v>
      </c>
      <c r="E170" t="s">
        <v>92</v>
      </c>
      <c r="F170" t="s">
        <v>93</v>
      </c>
      <c r="G170" s="3">
        <v>3</v>
      </c>
      <c r="H170" s="3">
        <f t="shared" si="17"/>
        <v>3</v>
      </c>
      <c r="I170" s="3"/>
      <c r="J170" s="4" t="s">
        <v>94</v>
      </c>
    </row>
    <row r="171" spans="1:11" s="11" customFormat="1" x14ac:dyDescent="0.25">
      <c r="A171" t="s">
        <v>22</v>
      </c>
      <c r="B171" t="s">
        <v>29</v>
      </c>
      <c r="C171" t="s">
        <v>46</v>
      </c>
      <c r="D171">
        <v>2010</v>
      </c>
      <c r="E171" t="s">
        <v>92</v>
      </c>
      <c r="F171" t="s">
        <v>93</v>
      </c>
      <c r="G171" s="3">
        <v>3</v>
      </c>
      <c r="H171" s="3">
        <f t="shared" si="17"/>
        <v>3</v>
      </c>
      <c r="I171" s="3"/>
      <c r="J171" s="4" t="s">
        <v>94</v>
      </c>
    </row>
    <row r="172" spans="1:11" s="11" customFormat="1" x14ac:dyDescent="0.25">
      <c r="A172" t="s">
        <v>23</v>
      </c>
      <c r="B172" t="s">
        <v>29</v>
      </c>
      <c r="C172" t="s">
        <v>46</v>
      </c>
      <c r="D172">
        <v>2010</v>
      </c>
      <c r="E172" t="s">
        <v>92</v>
      </c>
      <c r="F172" t="s">
        <v>93</v>
      </c>
      <c r="G172" s="3">
        <v>0.45</v>
      </c>
      <c r="H172" s="3">
        <f t="shared" si="17"/>
        <v>0.45</v>
      </c>
      <c r="I172" s="3"/>
      <c r="J172" s="4" t="s">
        <v>94</v>
      </c>
    </row>
    <row r="173" spans="1:11" s="11" customFormat="1" x14ac:dyDescent="0.25">
      <c r="A173" t="s">
        <v>24</v>
      </c>
      <c r="B173" t="s">
        <v>29</v>
      </c>
      <c r="C173" t="s">
        <v>46</v>
      </c>
      <c r="D173">
        <v>2010</v>
      </c>
      <c r="E173" t="s">
        <v>92</v>
      </c>
      <c r="F173" t="s">
        <v>93</v>
      </c>
      <c r="G173" s="3">
        <v>0.45</v>
      </c>
      <c r="H173" s="3">
        <f t="shared" si="17"/>
        <v>0.45</v>
      </c>
      <c r="I173" s="3"/>
      <c r="J173" s="4" t="s">
        <v>94</v>
      </c>
    </row>
    <row r="174" spans="1:11" s="13" customFormat="1" x14ac:dyDescent="0.25">
      <c r="A174" s="13" t="s">
        <v>25</v>
      </c>
      <c r="B174" s="13" t="s">
        <v>29</v>
      </c>
      <c r="C174" s="13" t="s">
        <v>46</v>
      </c>
      <c r="D174">
        <v>2010</v>
      </c>
      <c r="E174" s="13" t="s">
        <v>92</v>
      </c>
      <c r="F174" s="13" t="s">
        <v>93</v>
      </c>
      <c r="G174" s="17">
        <v>3</v>
      </c>
      <c r="H174" s="17">
        <f t="shared" si="17"/>
        <v>3</v>
      </c>
      <c r="I174" s="17"/>
      <c r="J174" s="15" t="s">
        <v>94</v>
      </c>
    </row>
    <row r="175" spans="1:11" s="29" customFormat="1" x14ac:dyDescent="0.25">
      <c r="A175" s="29" t="s">
        <v>22</v>
      </c>
      <c r="B175" s="29" t="s">
        <v>29</v>
      </c>
      <c r="C175" s="29" t="s">
        <v>46</v>
      </c>
      <c r="D175">
        <v>2010</v>
      </c>
      <c r="E175" s="29" t="s">
        <v>90</v>
      </c>
      <c r="F175" s="29" t="s">
        <v>93</v>
      </c>
      <c r="G175" s="30">
        <v>2.6</v>
      </c>
      <c r="H175" s="17">
        <f t="shared" si="17"/>
        <v>2.6</v>
      </c>
      <c r="I175" s="30"/>
      <c r="J175" s="29" t="s">
        <v>84</v>
      </c>
    </row>
    <row r="176" spans="1:11" s="11" customFormat="1" x14ac:dyDescent="0.25">
      <c r="I176" s="21"/>
      <c r="J176" s="21"/>
      <c r="K176" s="28"/>
    </row>
    <row r="177" spans="1:11" s="11" customFormat="1" x14ac:dyDescent="0.25">
      <c r="I177" s="21"/>
      <c r="J177" s="21"/>
      <c r="K177" s="28"/>
    </row>
    <row r="178" spans="1:11" s="11" customFormat="1" x14ac:dyDescent="0.25">
      <c r="I178" s="21"/>
      <c r="J178" s="21"/>
      <c r="K178" s="28"/>
    </row>
    <row r="179" spans="1:11" s="11" customFormat="1" x14ac:dyDescent="0.25">
      <c r="I179" s="21"/>
      <c r="J179" s="21"/>
      <c r="K179" s="28"/>
    </row>
    <row r="180" spans="1:11" x14ac:dyDescent="0.25">
      <c r="A180" t="s">
        <v>40</v>
      </c>
    </row>
    <row r="181" spans="1:11" x14ac:dyDescent="0.25">
      <c r="A181" t="s">
        <v>32</v>
      </c>
      <c r="B181" t="s">
        <v>33</v>
      </c>
      <c r="C181" t="s">
        <v>34</v>
      </c>
      <c r="E181" t="s">
        <v>30</v>
      </c>
      <c r="F181" t="s">
        <v>35</v>
      </c>
      <c r="G181" t="s">
        <v>31</v>
      </c>
      <c r="I181" t="s">
        <v>37</v>
      </c>
    </row>
    <row r="182" spans="1:11" x14ac:dyDescent="0.25">
      <c r="A182">
        <v>1</v>
      </c>
      <c r="B182" t="s">
        <v>25</v>
      </c>
      <c r="C182">
        <v>1900</v>
      </c>
      <c r="E182">
        <v>665</v>
      </c>
      <c r="F182">
        <v>1235</v>
      </c>
      <c r="G182">
        <f>F182/C182</f>
        <v>0.65</v>
      </c>
    </row>
    <row r="183" spans="1:11" x14ac:dyDescent="0.25">
      <c r="A183">
        <v>2</v>
      </c>
      <c r="B183" t="s">
        <v>23</v>
      </c>
      <c r="I183" t="s">
        <v>38</v>
      </c>
    </row>
    <row r="184" spans="1:11" x14ac:dyDescent="0.25">
      <c r="A184">
        <v>3</v>
      </c>
      <c r="B184" t="s">
        <v>23</v>
      </c>
      <c r="C184">
        <v>2.1</v>
      </c>
      <c r="E184">
        <v>0</v>
      </c>
      <c r="F184">
        <v>2.1</v>
      </c>
      <c r="G184">
        <f t="shared" ref="G184:G208" si="18">F184/C184</f>
        <v>1</v>
      </c>
    </row>
    <row r="185" spans="1:11" x14ac:dyDescent="0.25">
      <c r="A185">
        <v>4</v>
      </c>
      <c r="B185" t="s">
        <v>24</v>
      </c>
      <c r="C185">
        <v>233</v>
      </c>
      <c r="E185">
        <v>47</v>
      </c>
      <c r="F185">
        <v>187</v>
      </c>
      <c r="G185">
        <f t="shared" si="18"/>
        <v>0.80257510729613735</v>
      </c>
    </row>
    <row r="186" spans="1:11" x14ac:dyDescent="0.25">
      <c r="A186">
        <v>5</v>
      </c>
      <c r="B186" t="s">
        <v>24</v>
      </c>
      <c r="C186">
        <v>0.52</v>
      </c>
      <c r="E186">
        <v>0</v>
      </c>
      <c r="F186">
        <v>0.52</v>
      </c>
      <c r="G186">
        <f t="shared" si="18"/>
        <v>1</v>
      </c>
    </row>
    <row r="187" spans="1:11" x14ac:dyDescent="0.25">
      <c r="A187">
        <v>6</v>
      </c>
      <c r="B187" t="s">
        <v>24</v>
      </c>
      <c r="C187">
        <v>0.91</v>
      </c>
      <c r="E187">
        <v>0</v>
      </c>
      <c r="F187">
        <v>0.91</v>
      </c>
      <c r="G187">
        <f t="shared" si="18"/>
        <v>1</v>
      </c>
    </row>
    <row r="188" spans="1:11" x14ac:dyDescent="0.25">
      <c r="A188">
        <v>7</v>
      </c>
      <c r="B188" t="s">
        <v>23</v>
      </c>
      <c r="C188">
        <v>0</v>
      </c>
      <c r="E188">
        <v>0</v>
      </c>
      <c r="F188">
        <v>0</v>
      </c>
    </row>
    <row r="189" spans="1:11" x14ac:dyDescent="0.25">
      <c r="A189">
        <v>8</v>
      </c>
      <c r="B189" t="s">
        <v>24</v>
      </c>
      <c r="C189">
        <v>34.799999999999997</v>
      </c>
      <c r="E189">
        <v>6.1</v>
      </c>
      <c r="F189">
        <v>28.7</v>
      </c>
      <c r="G189">
        <f t="shared" si="18"/>
        <v>0.82471264367816099</v>
      </c>
    </row>
    <row r="190" spans="1:11" x14ac:dyDescent="0.25">
      <c r="A190">
        <v>9</v>
      </c>
      <c r="B190" t="s">
        <v>23</v>
      </c>
      <c r="C190">
        <v>0.95</v>
      </c>
      <c r="E190">
        <v>0</v>
      </c>
      <c r="F190">
        <v>0.95</v>
      </c>
      <c r="G190">
        <f t="shared" si="18"/>
        <v>1</v>
      </c>
    </row>
    <row r="191" spans="1:11" x14ac:dyDescent="0.25">
      <c r="A191">
        <v>10</v>
      </c>
      <c r="B191" t="s">
        <v>24</v>
      </c>
      <c r="C191">
        <v>0.52</v>
      </c>
      <c r="E191">
        <v>0</v>
      </c>
      <c r="F191">
        <v>0.52</v>
      </c>
      <c r="G191">
        <f t="shared" si="18"/>
        <v>1</v>
      </c>
    </row>
    <row r="192" spans="1:11" x14ac:dyDescent="0.25">
      <c r="A192">
        <v>11</v>
      </c>
      <c r="B192" t="s">
        <v>23</v>
      </c>
      <c r="C192">
        <v>0.31</v>
      </c>
      <c r="E192">
        <v>0</v>
      </c>
      <c r="F192">
        <v>0.31</v>
      </c>
      <c r="G192">
        <f t="shared" si="18"/>
        <v>1</v>
      </c>
    </row>
    <row r="193" spans="1:9" x14ac:dyDescent="0.25">
      <c r="A193">
        <v>12</v>
      </c>
      <c r="B193" t="s">
        <v>23</v>
      </c>
      <c r="C193">
        <v>1.68</v>
      </c>
      <c r="E193">
        <v>0</v>
      </c>
      <c r="F193">
        <v>1.68</v>
      </c>
      <c r="G193">
        <f t="shared" si="18"/>
        <v>1</v>
      </c>
    </row>
    <row r="194" spans="1:9" x14ac:dyDescent="0.25">
      <c r="A194">
        <v>13</v>
      </c>
      <c r="B194" t="s">
        <v>23</v>
      </c>
      <c r="C194" s="2">
        <v>0</v>
      </c>
      <c r="D194" s="2"/>
      <c r="E194" s="2">
        <v>0</v>
      </c>
      <c r="F194" s="2">
        <v>0</v>
      </c>
      <c r="I194" t="s">
        <v>38</v>
      </c>
    </row>
    <row r="195" spans="1:9" x14ac:dyDescent="0.25">
      <c r="A195">
        <v>14</v>
      </c>
      <c r="B195" t="s">
        <v>23</v>
      </c>
      <c r="C195" s="2">
        <v>0</v>
      </c>
      <c r="D195" s="2"/>
      <c r="E195" s="2">
        <v>0</v>
      </c>
      <c r="F195" s="2">
        <v>0</v>
      </c>
    </row>
    <row r="196" spans="1:9" x14ac:dyDescent="0.25">
      <c r="A196">
        <v>15</v>
      </c>
      <c r="B196" t="s">
        <v>21</v>
      </c>
      <c r="C196">
        <v>47</v>
      </c>
      <c r="E196">
        <v>19</v>
      </c>
      <c r="F196">
        <v>28</v>
      </c>
      <c r="G196">
        <f t="shared" si="18"/>
        <v>0.5957446808510638</v>
      </c>
    </row>
    <row r="197" spans="1:9" x14ac:dyDescent="0.25">
      <c r="A197">
        <v>16</v>
      </c>
      <c r="B197" t="s">
        <v>22</v>
      </c>
      <c r="C197">
        <v>177</v>
      </c>
      <c r="E197">
        <v>0</v>
      </c>
      <c r="F197">
        <v>177</v>
      </c>
      <c r="G197">
        <f t="shared" si="18"/>
        <v>1</v>
      </c>
    </row>
    <row r="198" spans="1:9" x14ac:dyDescent="0.25">
      <c r="A198">
        <v>17</v>
      </c>
      <c r="B198" t="s">
        <v>22</v>
      </c>
      <c r="C198">
        <v>56</v>
      </c>
      <c r="E198">
        <v>0</v>
      </c>
      <c r="F198">
        <v>56</v>
      </c>
      <c r="G198">
        <f t="shared" si="18"/>
        <v>1</v>
      </c>
    </row>
    <row r="199" spans="1:9" x14ac:dyDescent="0.25">
      <c r="A199">
        <v>18</v>
      </c>
      <c r="B199" t="s">
        <v>21</v>
      </c>
      <c r="C199">
        <v>70</v>
      </c>
      <c r="E199">
        <v>12</v>
      </c>
      <c r="F199">
        <v>58</v>
      </c>
      <c r="G199">
        <f t="shared" si="18"/>
        <v>0.82857142857142863</v>
      </c>
    </row>
    <row r="200" spans="1:9" x14ac:dyDescent="0.25">
      <c r="A200">
        <v>19</v>
      </c>
      <c r="B200" t="s">
        <v>21</v>
      </c>
      <c r="C200">
        <v>51</v>
      </c>
      <c r="E200">
        <v>12</v>
      </c>
      <c r="F200">
        <v>40</v>
      </c>
      <c r="G200">
        <f t="shared" si="18"/>
        <v>0.78431372549019607</v>
      </c>
    </row>
    <row r="201" spans="1:9" x14ac:dyDescent="0.25">
      <c r="A201">
        <v>20</v>
      </c>
      <c r="B201" t="s">
        <v>21</v>
      </c>
      <c r="C201">
        <v>10.5</v>
      </c>
      <c r="E201">
        <v>0</v>
      </c>
      <c r="F201">
        <v>10.5</v>
      </c>
      <c r="G201">
        <f t="shared" si="18"/>
        <v>1</v>
      </c>
    </row>
    <row r="202" spans="1:9" x14ac:dyDescent="0.25">
      <c r="A202">
        <v>21</v>
      </c>
      <c r="B202" t="s">
        <v>20</v>
      </c>
      <c r="C202">
        <v>5.3</v>
      </c>
      <c r="E202">
        <v>0.2</v>
      </c>
      <c r="F202">
        <v>5.0999999999999996</v>
      </c>
      <c r="G202">
        <f t="shared" si="18"/>
        <v>0.96226415094339623</v>
      </c>
    </row>
    <row r="203" spans="1:9" x14ac:dyDescent="0.25">
      <c r="A203">
        <v>22</v>
      </c>
      <c r="B203" t="s">
        <v>20</v>
      </c>
      <c r="C203">
        <v>4.9000000000000004</v>
      </c>
      <c r="E203">
        <v>0</v>
      </c>
      <c r="F203">
        <v>4.9000000000000004</v>
      </c>
      <c r="G203">
        <f t="shared" si="18"/>
        <v>1</v>
      </c>
    </row>
    <row r="204" spans="1:9" x14ac:dyDescent="0.25">
      <c r="A204">
        <v>23</v>
      </c>
      <c r="B204" t="s">
        <v>20</v>
      </c>
      <c r="C204">
        <v>45</v>
      </c>
      <c r="E204">
        <v>9.6999999999999993</v>
      </c>
      <c r="F204">
        <v>35</v>
      </c>
      <c r="G204">
        <f t="shared" si="18"/>
        <v>0.77777777777777779</v>
      </c>
    </row>
    <row r="205" spans="1:9" x14ac:dyDescent="0.25">
      <c r="A205">
        <v>24</v>
      </c>
      <c r="B205" t="s">
        <v>20</v>
      </c>
      <c r="C205">
        <v>9.1999999999999993</v>
      </c>
      <c r="E205">
        <v>0</v>
      </c>
      <c r="F205">
        <v>9.1999999999999993</v>
      </c>
      <c r="G205">
        <f t="shared" si="18"/>
        <v>1</v>
      </c>
    </row>
    <row r="206" spans="1:9" x14ac:dyDescent="0.25">
      <c r="A206">
        <v>25</v>
      </c>
      <c r="B206" t="s">
        <v>20</v>
      </c>
      <c r="C206">
        <v>1.2</v>
      </c>
      <c r="E206">
        <v>0</v>
      </c>
      <c r="F206">
        <v>1.2</v>
      </c>
      <c r="G206">
        <f t="shared" si="18"/>
        <v>1</v>
      </c>
    </row>
    <row r="207" spans="1:9" x14ac:dyDescent="0.25">
      <c r="A207">
        <v>26</v>
      </c>
      <c r="B207" t="s">
        <v>18</v>
      </c>
      <c r="C207">
        <v>8.6999999999999993</v>
      </c>
      <c r="E207">
        <v>4.4000000000000004</v>
      </c>
      <c r="F207">
        <v>4.3</v>
      </c>
      <c r="G207">
        <f t="shared" si="18"/>
        <v>0.4942528735632184</v>
      </c>
    </row>
    <row r="208" spans="1:9" x14ac:dyDescent="0.25">
      <c r="A208">
        <v>27</v>
      </c>
      <c r="B208" t="s">
        <v>16</v>
      </c>
      <c r="C208">
        <v>1</v>
      </c>
      <c r="E208">
        <v>0</v>
      </c>
      <c r="F208">
        <v>1</v>
      </c>
      <c r="G208">
        <f t="shared" si="18"/>
        <v>1</v>
      </c>
    </row>
    <row r="209" spans="1:9" x14ac:dyDescent="0.25">
      <c r="B209" t="s">
        <v>39</v>
      </c>
      <c r="C209">
        <f>SUM(C182:C208)</f>
        <v>2661.5899999999992</v>
      </c>
      <c r="E209">
        <f t="shared" ref="E209:F209" si="19">SUM(E182:E208)</f>
        <v>775.40000000000009</v>
      </c>
      <c r="F209">
        <f t="shared" si="19"/>
        <v>1887.89</v>
      </c>
      <c r="G209" s="1" t="s">
        <v>36</v>
      </c>
      <c r="H209" s="1"/>
    </row>
    <row r="210" spans="1:9" x14ac:dyDescent="0.25">
      <c r="A210" t="s">
        <v>41</v>
      </c>
    </row>
    <row r="212" spans="1:9" x14ac:dyDescent="0.25">
      <c r="A212">
        <v>1</v>
      </c>
      <c r="B212" s="4" t="s">
        <v>25</v>
      </c>
      <c r="C212">
        <v>1.58</v>
      </c>
    </row>
    <row r="213" spans="1:9" x14ac:dyDescent="0.25">
      <c r="A213">
        <v>2</v>
      </c>
      <c r="B213" s="4" t="s">
        <v>25</v>
      </c>
      <c r="C213">
        <v>0</v>
      </c>
      <c r="I213" t="s">
        <v>38</v>
      </c>
    </row>
    <row r="214" spans="1:9" x14ac:dyDescent="0.25">
      <c r="A214">
        <v>3</v>
      </c>
      <c r="B214" s="4" t="s">
        <v>25</v>
      </c>
      <c r="C214">
        <v>0.94</v>
      </c>
    </row>
    <row r="215" spans="1:9" x14ac:dyDescent="0.25">
      <c r="A215">
        <v>4</v>
      </c>
      <c r="B215" s="4" t="s">
        <v>23</v>
      </c>
      <c r="C215">
        <v>0.64</v>
      </c>
    </row>
    <row r="216" spans="1:9" x14ac:dyDescent="0.25">
      <c r="A216">
        <v>5</v>
      </c>
      <c r="B216" s="4" t="s">
        <v>24</v>
      </c>
      <c r="C216">
        <v>2.1</v>
      </c>
    </row>
    <row r="217" spans="1:9" x14ac:dyDescent="0.25">
      <c r="A217">
        <v>6</v>
      </c>
      <c r="B217" s="4" t="s">
        <v>23</v>
      </c>
      <c r="C217">
        <v>10.039999999999999</v>
      </c>
      <c r="I217" t="s">
        <v>42</v>
      </c>
    </row>
    <row r="218" spans="1:9" x14ac:dyDescent="0.25">
      <c r="A218">
        <v>7</v>
      </c>
      <c r="B218" s="4" t="s">
        <v>23</v>
      </c>
      <c r="C218">
        <v>7.0000000000000007E-2</v>
      </c>
    </row>
    <row r="219" spans="1:9" x14ac:dyDescent="0.25">
      <c r="A219">
        <v>8</v>
      </c>
      <c r="B219" s="4" t="s">
        <v>23</v>
      </c>
      <c r="C219">
        <v>0.12</v>
      </c>
    </row>
    <row r="220" spans="1:9" x14ac:dyDescent="0.25">
      <c r="A220">
        <v>9</v>
      </c>
      <c r="B220" s="4" t="s">
        <v>21</v>
      </c>
      <c r="C220">
        <v>2.77</v>
      </c>
    </row>
    <row r="221" spans="1:9" x14ac:dyDescent="0.25">
      <c r="A221">
        <v>10</v>
      </c>
      <c r="B221" s="4" t="s">
        <v>22</v>
      </c>
      <c r="C221">
        <v>1.66</v>
      </c>
    </row>
    <row r="222" spans="1:9" x14ac:dyDescent="0.25">
      <c r="A222">
        <v>11</v>
      </c>
      <c r="B222" s="4" t="s">
        <v>20</v>
      </c>
      <c r="C222">
        <v>0.13</v>
      </c>
      <c r="I222" t="s">
        <v>43</v>
      </c>
    </row>
    <row r="223" spans="1:9" x14ac:dyDescent="0.25">
      <c r="A223">
        <v>12</v>
      </c>
      <c r="B223" s="4" t="s">
        <v>20</v>
      </c>
      <c r="C223">
        <v>1.75</v>
      </c>
    </row>
    <row r="224" spans="1:9" x14ac:dyDescent="0.25">
      <c r="A224">
        <v>13</v>
      </c>
      <c r="B224" s="4" t="s">
        <v>19</v>
      </c>
      <c r="C224" s="2">
        <v>1.2</v>
      </c>
      <c r="D224" s="2"/>
      <c r="E224" s="2"/>
      <c r="F224" s="2"/>
      <c r="I224" t="s">
        <v>38</v>
      </c>
    </row>
    <row r="225" spans="1:10" x14ac:dyDescent="0.25">
      <c r="A225">
        <v>14</v>
      </c>
      <c r="B225" s="4" t="s">
        <v>20</v>
      </c>
      <c r="C225">
        <v>1.1000000000000001</v>
      </c>
      <c r="E225" s="2"/>
      <c r="F225" s="2"/>
    </row>
    <row r="226" spans="1:10" x14ac:dyDescent="0.25">
      <c r="A226">
        <v>15</v>
      </c>
      <c r="B226" s="4" t="s">
        <v>18</v>
      </c>
      <c r="C226">
        <v>0.26</v>
      </c>
    </row>
    <row r="227" spans="1:10" x14ac:dyDescent="0.25">
      <c r="B227" t="s">
        <v>45</v>
      </c>
      <c r="C227">
        <f>SUM(C212:C226)</f>
        <v>24.36</v>
      </c>
    </row>
    <row r="231" spans="1:10" x14ac:dyDescent="0.25">
      <c r="A231" s="10" t="s">
        <v>95</v>
      </c>
      <c r="B231" s="31" t="s">
        <v>91</v>
      </c>
      <c r="C231" s="31" t="s">
        <v>97</v>
      </c>
      <c r="D231" s="31"/>
      <c r="E231" s="31" t="s">
        <v>104</v>
      </c>
      <c r="F231" s="31" t="s">
        <v>96</v>
      </c>
      <c r="G231" s="10" t="s">
        <v>98</v>
      </c>
      <c r="H231" s="10"/>
      <c r="I231" s="5" t="s">
        <v>99</v>
      </c>
      <c r="J231" s="11"/>
    </row>
    <row r="232" spans="1:10" x14ac:dyDescent="0.25">
      <c r="A232" t="s">
        <v>16</v>
      </c>
      <c r="B232" s="3">
        <f>G2</f>
        <v>0.27612500000000001</v>
      </c>
      <c r="C232" s="3">
        <f>0</f>
        <v>0</v>
      </c>
      <c r="D232" s="3"/>
      <c r="E232" s="3">
        <f>B232+C232</f>
        <v>0.27612500000000001</v>
      </c>
      <c r="F232" s="34">
        <f>G38+G66</f>
        <v>1E-3</v>
      </c>
      <c r="G232" s="3">
        <f t="shared" ref="G232:G241" si="20">B232+C232-F232</f>
        <v>0.27512500000000001</v>
      </c>
      <c r="H232" s="3"/>
    </row>
    <row r="233" spans="1:10" x14ac:dyDescent="0.25">
      <c r="A233" t="s">
        <v>17</v>
      </c>
      <c r="B233" s="3">
        <f>G3</f>
        <v>3.5028999999999999</v>
      </c>
      <c r="C233">
        <f>0</f>
        <v>0</v>
      </c>
      <c r="E233" s="3">
        <f t="shared" ref="E233:E241" si="21">B233+C233</f>
        <v>3.5028999999999999</v>
      </c>
      <c r="F233" s="34">
        <f>G39+G67+G81</f>
        <v>1.9644292354980848E-9</v>
      </c>
      <c r="G233" s="3">
        <f t="shared" si="20"/>
        <v>3.5028999980355708</v>
      </c>
      <c r="H233" s="3"/>
    </row>
    <row r="234" spans="1:10" x14ac:dyDescent="0.25">
      <c r="A234" t="s">
        <v>18</v>
      </c>
      <c r="B234" s="3">
        <f>G4</f>
        <v>0.82837500000000008</v>
      </c>
      <c r="C234">
        <f>0</f>
        <v>0</v>
      </c>
      <c r="E234" s="3">
        <f t="shared" si="21"/>
        <v>0.82837500000000008</v>
      </c>
      <c r="F234" s="34">
        <f>G40+G68</f>
        <v>4.3286000000000002E-3</v>
      </c>
      <c r="G234" s="3">
        <f t="shared" si="20"/>
        <v>0.82404640000000007</v>
      </c>
      <c r="H234" s="3"/>
    </row>
    <row r="235" spans="1:10" x14ac:dyDescent="0.25">
      <c r="A235" t="s">
        <v>19</v>
      </c>
      <c r="B235">
        <v>0</v>
      </c>
      <c r="C235" s="35">
        <f>0.5*SUM(G232:G234)</f>
        <v>2.3010356990177856</v>
      </c>
      <c r="D235" s="35"/>
      <c r="E235" s="3">
        <f t="shared" si="21"/>
        <v>2.3010356990177856</v>
      </c>
      <c r="F235" s="34">
        <f>G41+G69</f>
        <v>1.3199999999999998E-4</v>
      </c>
      <c r="G235" s="3">
        <f t="shared" si="20"/>
        <v>2.3009036990177858</v>
      </c>
      <c r="H235" s="3"/>
      <c r="I235" t="s">
        <v>100</v>
      </c>
    </row>
    <row r="236" spans="1:10" x14ac:dyDescent="0.25">
      <c r="A236" t="s">
        <v>20</v>
      </c>
      <c r="B236">
        <v>0</v>
      </c>
      <c r="C236" s="35">
        <f>0.5*SUM(G232:G234)</f>
        <v>2.3010356990177856</v>
      </c>
      <c r="D236" s="35"/>
      <c r="E236" s="3">
        <f t="shared" si="21"/>
        <v>2.3010356990177856</v>
      </c>
      <c r="F236" s="34">
        <f>G42+G70+G82</f>
        <v>5.5728247969504714E-2</v>
      </c>
      <c r="G236" s="3">
        <f t="shared" si="20"/>
        <v>2.2453074510482809</v>
      </c>
      <c r="H236" s="3"/>
      <c r="I236" t="s">
        <v>100</v>
      </c>
    </row>
    <row r="237" spans="1:10" x14ac:dyDescent="0.25">
      <c r="A237" t="s">
        <v>21</v>
      </c>
      <c r="B237">
        <v>0</v>
      </c>
      <c r="C237">
        <f>0.5*(G235+G236)</f>
        <v>2.2731055750330333</v>
      </c>
      <c r="E237" s="3">
        <f t="shared" si="21"/>
        <v>2.2731055750330333</v>
      </c>
      <c r="F237" s="34">
        <f>G43+G71</f>
        <v>0.1368047</v>
      </c>
      <c r="G237" s="3">
        <f t="shared" si="20"/>
        <v>2.1363008750330335</v>
      </c>
      <c r="H237" s="3"/>
    </row>
    <row r="238" spans="1:10" x14ac:dyDescent="0.25">
      <c r="A238" t="s">
        <v>22</v>
      </c>
      <c r="B238">
        <v>0</v>
      </c>
      <c r="C238">
        <f>0.5*(G235+G236)</f>
        <v>2.2731055750330333</v>
      </c>
      <c r="E238" s="3">
        <f t="shared" si="21"/>
        <v>2.2731055750330333</v>
      </c>
      <c r="F238" s="34">
        <f>G44+G72+G85</f>
        <v>0.23318260000000002</v>
      </c>
      <c r="G238" s="3">
        <f t="shared" si="20"/>
        <v>2.0399229750330332</v>
      </c>
      <c r="H238" s="3"/>
    </row>
    <row r="239" spans="1:10" x14ac:dyDescent="0.25">
      <c r="A239" t="s">
        <v>23</v>
      </c>
      <c r="B239">
        <v>0</v>
      </c>
      <c r="C239">
        <f>0.5*(G238+G237)</f>
        <v>2.0881119250330333</v>
      </c>
      <c r="E239" s="3">
        <f t="shared" si="21"/>
        <v>2.0881119250330333</v>
      </c>
      <c r="F239" s="34">
        <f>G45+G73+G84</f>
        <v>5.1313009291219357E-3</v>
      </c>
      <c r="G239" s="3">
        <f t="shared" si="20"/>
        <v>2.0829806241039113</v>
      </c>
      <c r="H239" s="3"/>
    </row>
    <row r="240" spans="1:10" x14ac:dyDescent="0.25">
      <c r="A240" t="s">
        <v>24</v>
      </c>
      <c r="B240">
        <v>0</v>
      </c>
      <c r="C240">
        <f>0.5*(G238+G237)</f>
        <v>2.0881119250330333</v>
      </c>
      <c r="E240" s="3">
        <f t="shared" si="21"/>
        <v>2.0881119250330333</v>
      </c>
      <c r="F240" s="3">
        <f>G46+G74</f>
        <v>0.21788100000000002</v>
      </c>
      <c r="G240" s="3">
        <f t="shared" si="20"/>
        <v>1.8702309250330333</v>
      </c>
      <c r="H240" s="3"/>
    </row>
    <row r="241" spans="1:10" x14ac:dyDescent="0.25">
      <c r="A241" t="s">
        <v>25</v>
      </c>
      <c r="B241">
        <v>0</v>
      </c>
      <c r="C241" s="3">
        <f>G240+G239</f>
        <v>3.9532115491369444</v>
      </c>
      <c r="D241" s="3"/>
      <c r="E241" s="3">
        <f t="shared" si="21"/>
        <v>3.9532115491369444</v>
      </c>
      <c r="F241" s="3">
        <f>G47+G75+SUM(G160:G164)</f>
        <v>1.2403421028995001</v>
      </c>
      <c r="G241" s="3">
        <f t="shared" si="20"/>
        <v>2.7128694462374443</v>
      </c>
      <c r="H241" s="3"/>
    </row>
    <row r="242" spans="1:10" x14ac:dyDescent="0.25">
      <c r="A242" s="10" t="s">
        <v>39</v>
      </c>
      <c r="B242" s="5"/>
      <c r="C242" s="5"/>
      <c r="D242" s="5"/>
      <c r="E242" s="5"/>
      <c r="F242" s="36">
        <f>SUM(F232:F241)</f>
        <v>1.8945305537625559</v>
      </c>
      <c r="G242" s="5"/>
      <c r="H242" s="5"/>
      <c r="I242" s="5"/>
      <c r="J242" s="11"/>
    </row>
    <row r="243" spans="1:10" x14ac:dyDescent="0.25">
      <c r="F243" s="37">
        <f>F242/G245</f>
        <v>0.4111929838439371</v>
      </c>
      <c r="G243" t="s">
        <v>101</v>
      </c>
    </row>
    <row r="244" spans="1:10" x14ac:dyDescent="0.25">
      <c r="G244" s="32">
        <f>SUM(G38:G46)+SUM(G66:G74)+SUM(G81:G85)</f>
        <v>0.65422305926147817</v>
      </c>
      <c r="H244" s="32"/>
    </row>
    <row r="245" spans="1:10" x14ac:dyDescent="0.25">
      <c r="B245" t="s">
        <v>102</v>
      </c>
      <c r="C245" s="33">
        <f>SUM(G22:G36)+SUM(G48:G64)+SUM(G76:G80)+SUM(G150:G158)</f>
        <v>3.218609026655368</v>
      </c>
      <c r="D245" s="33"/>
      <c r="E245" s="33"/>
      <c r="G245" s="3">
        <f>SUM(B232:B234)</f>
        <v>4.6074000000000002</v>
      </c>
      <c r="H245" s="3"/>
    </row>
    <row r="246" spans="1:10" x14ac:dyDescent="0.25">
      <c r="B246" t="s">
        <v>103</v>
      </c>
      <c r="C246" s="37">
        <f>C245/G245</f>
        <v>0.69857382182041239</v>
      </c>
      <c r="D246" s="37"/>
      <c r="E246" s="37"/>
      <c r="G246" s="34">
        <f>G245-G244</f>
        <v>3.9531769407385218</v>
      </c>
      <c r="H246" s="34"/>
    </row>
    <row r="247" spans="1:10" x14ac:dyDescent="0.25">
      <c r="G247">
        <f>G241/G245</f>
        <v>0.5888070161560629</v>
      </c>
    </row>
    <row r="248" spans="1:10" x14ac:dyDescent="0.25">
      <c r="G248">
        <f>1-G247</f>
        <v>0.4111929838439371</v>
      </c>
    </row>
    <row r="253" spans="1:10" x14ac:dyDescent="0.25">
      <c r="A253" t="s">
        <v>44</v>
      </c>
      <c r="B253">
        <f>0.001</f>
        <v>1E-3</v>
      </c>
    </row>
    <row r="254" spans="1:10" x14ac:dyDescent="0.25">
      <c r="A254" t="s">
        <v>54</v>
      </c>
      <c r="B254">
        <f>1000/(264.172*1000000000)</f>
        <v>3.7854125342579833E-9</v>
      </c>
    </row>
    <row r="255" spans="1:10" x14ac:dyDescent="0.25">
      <c r="A255" t="s">
        <v>112</v>
      </c>
      <c r="B255">
        <f>0.9</f>
        <v>0.9</v>
      </c>
    </row>
    <row r="256" spans="1:10" x14ac:dyDescent="0.25">
      <c r="A256" t="s">
        <v>110</v>
      </c>
      <c r="B256">
        <f>0.1</f>
        <v>0.1</v>
      </c>
    </row>
    <row r="259" spans="2:2" x14ac:dyDescent="0.25">
      <c r="B259">
        <f>1/(273*1000000)</f>
        <v>3.6630036630036628E-9</v>
      </c>
    </row>
  </sheetData>
  <conditionalFormatting sqref="G128:G137 I128:I137">
    <cfRule type="cellIs" dxfId="9" priority="4" operator="equal">
      <formula>"NA"</formula>
    </cfRule>
  </conditionalFormatting>
  <conditionalFormatting sqref="G138:G140 I138:I140">
    <cfRule type="cellIs" dxfId="8" priority="3" operator="equal">
      <formula>"NA"</formula>
    </cfRule>
  </conditionalFormatting>
  <conditionalFormatting sqref="G141:G149 I141:I149">
    <cfRule type="cellIs" dxfId="7" priority="2" operator="equal">
      <formula>"NA"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K32" sqref="K32"/>
    </sheetView>
  </sheetViews>
  <sheetFormatPr defaultRowHeight="15" x14ac:dyDescent="0.25"/>
  <cols>
    <col min="1" max="1" width="33" bestFit="1" customWidth="1"/>
    <col min="2" max="2" width="17.28515625" bestFit="1" customWidth="1"/>
    <col min="3" max="3" width="19.28515625" customWidth="1"/>
  </cols>
  <sheetData>
    <row r="1" spans="1:3" ht="32.25" x14ac:dyDescent="0.25">
      <c r="A1" s="80" t="s">
        <v>249</v>
      </c>
      <c r="B1" s="81" t="s">
        <v>250</v>
      </c>
      <c r="C1" s="81" t="s">
        <v>251</v>
      </c>
    </row>
    <row r="2" spans="1:3" x14ac:dyDescent="0.25">
      <c r="A2" s="82" t="s">
        <v>252</v>
      </c>
      <c r="B2" s="83">
        <v>49.54</v>
      </c>
      <c r="C2" s="83">
        <v>0.38</v>
      </c>
    </row>
    <row r="3" spans="1:3" x14ac:dyDescent="0.25">
      <c r="A3" s="82" t="s">
        <v>253</v>
      </c>
      <c r="B3" s="83">
        <v>147.06</v>
      </c>
      <c r="C3" s="83">
        <v>0.91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0" sqref="E10"/>
    </sheetView>
  </sheetViews>
  <sheetFormatPr defaultRowHeight="15" x14ac:dyDescent="0.25"/>
  <cols>
    <col min="1" max="1" width="11.5703125" bestFit="1" customWidth="1"/>
    <col min="2" max="2" width="5" bestFit="1" customWidth="1"/>
    <col min="3" max="3" width="16.7109375" bestFit="1" customWidth="1"/>
    <col min="4" max="4" width="9.85546875" customWidth="1"/>
    <col min="5" max="5" width="16.7109375" bestFit="1" customWidth="1"/>
  </cols>
  <sheetData>
    <row r="1" spans="1:5" ht="47.25" x14ac:dyDescent="0.25">
      <c r="A1" s="85" t="s">
        <v>263</v>
      </c>
      <c r="B1" s="85" t="s">
        <v>264</v>
      </c>
      <c r="C1" s="85" t="s">
        <v>266</v>
      </c>
      <c r="D1" s="85" t="s">
        <v>265</v>
      </c>
      <c r="E1" s="85" t="s">
        <v>267</v>
      </c>
    </row>
    <row r="2" spans="1:5" x14ac:dyDescent="0.25">
      <c r="A2" s="84" t="s">
        <v>254</v>
      </c>
      <c r="B2" s="84">
        <v>2010</v>
      </c>
      <c r="C2" s="86">
        <v>4.2483529999999999E-2</v>
      </c>
      <c r="D2" s="86">
        <v>4.9053180000000002E-2</v>
      </c>
      <c r="E2" s="86">
        <v>0.86607089999999998</v>
      </c>
    </row>
    <row r="3" spans="1:5" x14ac:dyDescent="0.25">
      <c r="A3" s="84" t="s">
        <v>255</v>
      </c>
      <c r="B3" s="84">
        <v>2010</v>
      </c>
      <c r="C3" s="86">
        <v>4.200707E-4</v>
      </c>
      <c r="D3" s="86">
        <v>6.9139799999999997E-4</v>
      </c>
      <c r="E3" s="86">
        <v>0.60756719999999997</v>
      </c>
    </row>
    <row r="4" spans="1:5" x14ac:dyDescent="0.25">
      <c r="A4" s="84" t="s">
        <v>256</v>
      </c>
      <c r="B4" s="84">
        <v>2010</v>
      </c>
      <c r="C4" s="86">
        <v>0.13459199999999999</v>
      </c>
      <c r="D4" s="86">
        <v>0.24686859999999999</v>
      </c>
      <c r="E4" s="86">
        <v>0.54519689999999998</v>
      </c>
    </row>
    <row r="5" spans="1:5" x14ac:dyDescent="0.25">
      <c r="A5" s="84" t="s">
        <v>257</v>
      </c>
      <c r="B5" s="84">
        <v>2010</v>
      </c>
      <c r="C5" s="86">
        <v>1.60221904</v>
      </c>
      <c r="D5" s="86">
        <v>4.6400347999999996</v>
      </c>
      <c r="E5" s="86">
        <v>0.34530319999999998</v>
      </c>
    </row>
    <row r="6" spans="1:5" x14ac:dyDescent="0.25">
      <c r="A6" s="84" t="s">
        <v>258</v>
      </c>
      <c r="B6" s="84">
        <v>2010</v>
      </c>
      <c r="C6" s="86">
        <v>0.13348789999999999</v>
      </c>
      <c r="D6" s="86">
        <v>9.3928600000000001E-2</v>
      </c>
      <c r="E6" s="86">
        <v>1.4211635</v>
      </c>
    </row>
    <row r="7" spans="1:5" x14ac:dyDescent="0.25">
      <c r="A7" s="84" t="s">
        <v>259</v>
      </c>
      <c r="B7" s="84">
        <v>2010</v>
      </c>
      <c r="C7" s="86">
        <v>3.0225229999999999E-2</v>
      </c>
      <c r="D7" s="86">
        <v>0.1095454</v>
      </c>
      <c r="E7" s="86">
        <v>0.27591510000000002</v>
      </c>
    </row>
    <row r="8" spans="1:5" x14ac:dyDescent="0.25">
      <c r="A8" s="84" t="s">
        <v>260</v>
      </c>
      <c r="B8" s="84">
        <v>2010</v>
      </c>
      <c r="C8" s="86">
        <v>1.322075E-4</v>
      </c>
      <c r="D8" s="86">
        <v>2.33E-4</v>
      </c>
      <c r="E8" s="86">
        <v>0.56741419999999998</v>
      </c>
    </row>
    <row r="9" spans="1:5" x14ac:dyDescent="0.25">
      <c r="A9" s="84" t="s">
        <v>261</v>
      </c>
      <c r="B9" s="84">
        <v>2010</v>
      </c>
      <c r="C9" s="86">
        <v>5.6669490000000003E-2</v>
      </c>
      <c r="D9" s="86">
        <v>0.14153018000000001</v>
      </c>
      <c r="E9" s="86">
        <v>0.40040569999999998</v>
      </c>
    </row>
    <row r="10" spans="1:5" x14ac:dyDescent="0.25">
      <c r="A10" s="84" t="s">
        <v>262</v>
      </c>
      <c r="B10" s="84">
        <v>2010</v>
      </c>
      <c r="C10" s="86">
        <v>0.10841133</v>
      </c>
      <c r="D10" s="86">
        <v>0.15162538</v>
      </c>
      <c r="E10" s="86">
        <v>0.71499460000000004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opLeftCell="A133" zoomScale="85" zoomScaleNormal="85" workbookViewId="0">
      <selection activeCell="F15" sqref="F15"/>
    </sheetView>
  </sheetViews>
  <sheetFormatPr defaultRowHeight="15" x14ac:dyDescent="0.25"/>
  <cols>
    <col min="1" max="1" width="24.85546875" bestFit="1" customWidth="1"/>
    <col min="2" max="2" width="18.85546875" bestFit="1" customWidth="1"/>
    <col min="3" max="3" width="31.28515625" bestFit="1" customWidth="1"/>
    <col min="4" max="4" width="5.140625" bestFit="1" customWidth="1"/>
    <col min="5" max="5" width="24.140625" bestFit="1" customWidth="1"/>
    <col min="6" max="6" width="26.5703125" bestFit="1" customWidth="1"/>
    <col min="7" max="7" width="14.7109375" bestFit="1" customWidth="1"/>
    <col min="8" max="8" width="12.28515625" bestFit="1" customWidth="1"/>
    <col min="9" max="9" width="12.28515625" customWidth="1"/>
    <col min="10" max="10" width="24.140625" bestFit="1" customWidth="1"/>
    <col min="11" max="11" width="50.42578125" bestFit="1" customWidth="1"/>
  </cols>
  <sheetData>
    <row r="1" spans="1:11" x14ac:dyDescent="0.25">
      <c r="A1" s="10" t="s">
        <v>117</v>
      </c>
      <c r="B1" s="10" t="s">
        <v>0</v>
      </c>
      <c r="C1" s="10" t="s">
        <v>1</v>
      </c>
      <c r="D1" s="10" t="s">
        <v>109</v>
      </c>
      <c r="E1" s="10" t="s">
        <v>127</v>
      </c>
      <c r="F1" s="10" t="s">
        <v>3</v>
      </c>
      <c r="G1" s="10" t="s">
        <v>123</v>
      </c>
      <c r="H1" s="10" t="s">
        <v>124</v>
      </c>
      <c r="I1" s="10" t="s">
        <v>118</v>
      </c>
      <c r="J1" s="10" t="s">
        <v>244</v>
      </c>
      <c r="K1" s="10" t="s">
        <v>125</v>
      </c>
    </row>
    <row r="2" spans="1:11" x14ac:dyDescent="0.25">
      <c r="A2" s="61" t="s">
        <v>16</v>
      </c>
      <c r="B2" t="s">
        <v>11</v>
      </c>
      <c r="C2" t="s">
        <v>10</v>
      </c>
      <c r="D2">
        <v>2010</v>
      </c>
      <c r="E2" t="s">
        <v>226</v>
      </c>
      <c r="G2">
        <v>1E-3</v>
      </c>
      <c r="H2">
        <v>1E-3</v>
      </c>
      <c r="I2" t="s">
        <v>245</v>
      </c>
      <c r="J2" t="s">
        <v>113</v>
      </c>
      <c r="K2" t="s">
        <v>84</v>
      </c>
    </row>
    <row r="3" spans="1:11" x14ac:dyDescent="0.25">
      <c r="A3" s="61" t="s">
        <v>17</v>
      </c>
      <c r="B3" t="s">
        <v>11</v>
      </c>
      <c r="C3" t="s">
        <v>10</v>
      </c>
      <c r="D3">
        <v>2010</v>
      </c>
      <c r="E3" t="s">
        <v>126</v>
      </c>
      <c r="G3">
        <v>0</v>
      </c>
      <c r="H3">
        <v>0</v>
      </c>
      <c r="I3" t="s">
        <v>245</v>
      </c>
      <c r="J3" t="s">
        <v>113</v>
      </c>
      <c r="K3" t="s">
        <v>84</v>
      </c>
    </row>
    <row r="4" spans="1:11" x14ac:dyDescent="0.25">
      <c r="A4" s="61" t="s">
        <v>18</v>
      </c>
      <c r="B4" t="s">
        <v>11</v>
      </c>
      <c r="C4" t="s">
        <v>10</v>
      </c>
      <c r="D4">
        <v>2010</v>
      </c>
      <c r="E4" s="11" t="s">
        <v>223</v>
      </c>
      <c r="G4">
        <v>8.6999999999999994E-3</v>
      </c>
      <c r="H4">
        <v>8.6999999999999994E-3</v>
      </c>
      <c r="I4" t="s">
        <v>245</v>
      </c>
      <c r="J4" t="s">
        <v>113</v>
      </c>
      <c r="K4" t="s">
        <v>84</v>
      </c>
    </row>
    <row r="5" spans="1:11" x14ac:dyDescent="0.25">
      <c r="A5" s="61" t="s">
        <v>19</v>
      </c>
      <c r="B5" t="s">
        <v>11</v>
      </c>
      <c r="C5" t="s">
        <v>10</v>
      </c>
      <c r="D5">
        <v>2010</v>
      </c>
      <c r="E5" t="s">
        <v>126</v>
      </c>
      <c r="G5">
        <v>0</v>
      </c>
      <c r="H5">
        <v>0</v>
      </c>
      <c r="I5" t="s">
        <v>245</v>
      </c>
      <c r="J5" t="s">
        <v>112</v>
      </c>
      <c r="K5" t="s">
        <v>84</v>
      </c>
    </row>
    <row r="6" spans="1:11" x14ac:dyDescent="0.25">
      <c r="A6" s="61" t="s">
        <v>19</v>
      </c>
      <c r="B6" t="s">
        <v>11</v>
      </c>
      <c r="C6" t="s">
        <v>10</v>
      </c>
      <c r="D6">
        <v>2010</v>
      </c>
      <c r="E6" t="s">
        <v>126</v>
      </c>
      <c r="G6">
        <v>0</v>
      </c>
      <c r="H6">
        <v>0</v>
      </c>
      <c r="I6" t="s">
        <v>245</v>
      </c>
      <c r="J6" t="s">
        <v>110</v>
      </c>
      <c r="K6" t="s">
        <v>228</v>
      </c>
    </row>
    <row r="7" spans="1:11" x14ac:dyDescent="0.25">
      <c r="A7" s="61" t="s">
        <v>20</v>
      </c>
      <c r="B7" t="s">
        <v>11</v>
      </c>
      <c r="C7" t="s">
        <v>10</v>
      </c>
      <c r="D7">
        <v>2010</v>
      </c>
      <c r="E7" t="s">
        <v>223</v>
      </c>
      <c r="G7">
        <v>6.5599999999999992E-2</v>
      </c>
      <c r="H7">
        <f>0.05904/4</f>
        <v>1.4760000000000001E-2</v>
      </c>
      <c r="I7" t="s">
        <v>245</v>
      </c>
      <c r="J7" t="s">
        <v>112</v>
      </c>
      <c r="K7" t="s">
        <v>235</v>
      </c>
    </row>
    <row r="8" spans="1:11" x14ac:dyDescent="0.25">
      <c r="A8" s="61" t="s">
        <v>20</v>
      </c>
      <c r="B8" t="s">
        <v>11</v>
      </c>
      <c r="C8" t="s">
        <v>10</v>
      </c>
      <c r="D8">
        <v>2010</v>
      </c>
      <c r="E8" t="s">
        <v>221</v>
      </c>
      <c r="G8">
        <v>6.5599999999999992E-2</v>
      </c>
      <c r="H8">
        <f t="shared" ref="H8:H10" si="0">0.05904/4</f>
        <v>1.4760000000000001E-2</v>
      </c>
      <c r="I8" t="s">
        <v>245</v>
      </c>
      <c r="J8" t="s">
        <v>112</v>
      </c>
      <c r="K8" t="s">
        <v>235</v>
      </c>
    </row>
    <row r="9" spans="1:11" x14ac:dyDescent="0.25">
      <c r="A9" s="61" t="s">
        <v>20</v>
      </c>
      <c r="B9" t="s">
        <v>11</v>
      </c>
      <c r="C9" t="s">
        <v>10</v>
      </c>
      <c r="D9">
        <v>2010</v>
      </c>
      <c r="E9" t="s">
        <v>226</v>
      </c>
      <c r="G9">
        <v>6.5599999999999992E-2</v>
      </c>
      <c r="H9">
        <f t="shared" si="0"/>
        <v>1.4760000000000001E-2</v>
      </c>
      <c r="I9" t="s">
        <v>245</v>
      </c>
      <c r="J9" t="s">
        <v>112</v>
      </c>
      <c r="K9" t="s">
        <v>235</v>
      </c>
    </row>
    <row r="10" spans="1:11" x14ac:dyDescent="0.25">
      <c r="A10" s="61" t="s">
        <v>20</v>
      </c>
      <c r="B10" t="s">
        <v>11</v>
      </c>
      <c r="C10" t="s">
        <v>10</v>
      </c>
      <c r="D10">
        <v>2010</v>
      </c>
      <c r="E10" s="11" t="s">
        <v>222</v>
      </c>
      <c r="G10">
        <v>6.5599999999999992E-2</v>
      </c>
      <c r="H10">
        <f t="shared" si="0"/>
        <v>1.4760000000000001E-2</v>
      </c>
      <c r="I10" t="s">
        <v>245</v>
      </c>
      <c r="J10" t="s">
        <v>112</v>
      </c>
      <c r="K10" t="s">
        <v>235</v>
      </c>
    </row>
    <row r="11" spans="1:11" x14ac:dyDescent="0.25">
      <c r="A11" s="61" t="s">
        <v>20</v>
      </c>
      <c r="B11" t="s">
        <v>11</v>
      </c>
      <c r="C11" t="s">
        <v>10</v>
      </c>
      <c r="D11">
        <v>2010</v>
      </c>
      <c r="E11" t="s">
        <v>223</v>
      </c>
      <c r="G11">
        <v>6.5599999999999992E-2</v>
      </c>
      <c r="H11" s="3">
        <f>0.00656/4</f>
        <v>1.64E-3</v>
      </c>
      <c r="I11" t="s">
        <v>245</v>
      </c>
      <c r="J11" t="s">
        <v>110</v>
      </c>
      <c r="K11" t="s">
        <v>235</v>
      </c>
    </row>
    <row r="12" spans="1:11" x14ac:dyDescent="0.25">
      <c r="A12" s="61" t="s">
        <v>20</v>
      </c>
      <c r="B12" t="s">
        <v>11</v>
      </c>
      <c r="C12" t="s">
        <v>10</v>
      </c>
      <c r="D12">
        <v>2010</v>
      </c>
      <c r="E12" t="s">
        <v>221</v>
      </c>
      <c r="G12">
        <v>6.5599999999999992E-2</v>
      </c>
      <c r="H12" s="3">
        <f t="shared" ref="H12:H14" si="1">0.00656/4</f>
        <v>1.64E-3</v>
      </c>
      <c r="I12" t="s">
        <v>245</v>
      </c>
      <c r="J12" t="s">
        <v>110</v>
      </c>
      <c r="K12" t="s">
        <v>235</v>
      </c>
    </row>
    <row r="13" spans="1:11" x14ac:dyDescent="0.25">
      <c r="A13" s="61" t="s">
        <v>20</v>
      </c>
      <c r="B13" t="s">
        <v>11</v>
      </c>
      <c r="C13" t="s">
        <v>10</v>
      </c>
      <c r="D13">
        <v>2010</v>
      </c>
      <c r="E13" t="s">
        <v>226</v>
      </c>
      <c r="G13">
        <v>6.5599999999999992E-2</v>
      </c>
      <c r="H13" s="3">
        <f t="shared" si="1"/>
        <v>1.64E-3</v>
      </c>
      <c r="I13" t="s">
        <v>245</v>
      </c>
      <c r="J13" t="s">
        <v>110</v>
      </c>
      <c r="K13" t="s">
        <v>235</v>
      </c>
    </row>
    <row r="14" spans="1:11" x14ac:dyDescent="0.25">
      <c r="A14" s="61" t="s">
        <v>20</v>
      </c>
      <c r="B14" t="s">
        <v>11</v>
      </c>
      <c r="C14" t="s">
        <v>10</v>
      </c>
      <c r="D14">
        <v>2010</v>
      </c>
      <c r="E14" s="11" t="s">
        <v>222</v>
      </c>
      <c r="G14">
        <v>6.5599999999999992E-2</v>
      </c>
      <c r="H14" s="3">
        <f t="shared" si="1"/>
        <v>1.64E-3</v>
      </c>
      <c r="I14" t="s">
        <v>245</v>
      </c>
      <c r="J14" t="s">
        <v>110</v>
      </c>
      <c r="K14" t="s">
        <v>235</v>
      </c>
    </row>
    <row r="15" spans="1:11" x14ac:dyDescent="0.25">
      <c r="A15" s="61" t="s">
        <v>21</v>
      </c>
      <c r="B15" t="s">
        <v>11</v>
      </c>
      <c r="C15" t="s">
        <v>10</v>
      </c>
      <c r="D15">
        <v>2010</v>
      </c>
      <c r="E15" t="s">
        <v>223</v>
      </c>
      <c r="G15">
        <v>0.17849999999999999</v>
      </c>
      <c r="H15" s="3">
        <f>0.16065/4</f>
        <v>4.0162499999999997E-2</v>
      </c>
      <c r="I15" t="s">
        <v>245</v>
      </c>
      <c r="J15" t="s">
        <v>112</v>
      </c>
      <c r="K15" t="s">
        <v>235</v>
      </c>
    </row>
    <row r="16" spans="1:11" x14ac:dyDescent="0.25">
      <c r="A16" s="61" t="s">
        <v>21</v>
      </c>
      <c r="B16" t="s">
        <v>11</v>
      </c>
      <c r="C16" t="s">
        <v>10</v>
      </c>
      <c r="D16">
        <v>2010</v>
      </c>
      <c r="E16" t="s">
        <v>221</v>
      </c>
      <c r="G16">
        <v>0.17849999999999999</v>
      </c>
      <c r="H16" s="3">
        <f t="shared" ref="H16:H18" si="2">0.16065/4</f>
        <v>4.0162499999999997E-2</v>
      </c>
      <c r="I16" t="s">
        <v>245</v>
      </c>
      <c r="J16" t="s">
        <v>112</v>
      </c>
      <c r="K16" t="s">
        <v>235</v>
      </c>
    </row>
    <row r="17" spans="1:11" x14ac:dyDescent="0.25">
      <c r="A17" s="61" t="s">
        <v>21</v>
      </c>
      <c r="B17" t="s">
        <v>11</v>
      </c>
      <c r="C17" t="s">
        <v>10</v>
      </c>
      <c r="D17">
        <v>2010</v>
      </c>
      <c r="E17" t="s">
        <v>224</v>
      </c>
      <c r="G17">
        <v>0.17849999999999999</v>
      </c>
      <c r="H17" s="3">
        <f t="shared" si="2"/>
        <v>4.0162499999999997E-2</v>
      </c>
      <c r="I17" t="s">
        <v>245</v>
      </c>
      <c r="J17" t="s">
        <v>112</v>
      </c>
      <c r="K17" t="s">
        <v>235</v>
      </c>
    </row>
    <row r="18" spans="1:11" x14ac:dyDescent="0.25">
      <c r="A18" s="61" t="s">
        <v>21</v>
      </c>
      <c r="B18" t="s">
        <v>11</v>
      </c>
      <c r="C18" t="s">
        <v>10</v>
      </c>
      <c r="D18">
        <v>2010</v>
      </c>
      <c r="E18" t="s">
        <v>226</v>
      </c>
      <c r="G18">
        <v>0.17849999999999999</v>
      </c>
      <c r="H18" s="3">
        <f t="shared" si="2"/>
        <v>4.0162499999999997E-2</v>
      </c>
      <c r="I18" t="s">
        <v>245</v>
      </c>
      <c r="J18" t="s">
        <v>112</v>
      </c>
      <c r="K18" t="s">
        <v>235</v>
      </c>
    </row>
    <row r="19" spans="1:11" x14ac:dyDescent="0.25">
      <c r="A19" s="61" t="s">
        <v>21</v>
      </c>
      <c r="B19" t="s">
        <v>11</v>
      </c>
      <c r="C19" t="s">
        <v>10</v>
      </c>
      <c r="D19">
        <v>2010</v>
      </c>
      <c r="E19" t="s">
        <v>223</v>
      </c>
      <c r="G19">
        <v>0.17849999999999999</v>
      </c>
      <c r="H19" s="3">
        <f>0.01785/4</f>
        <v>4.4625000000000003E-3</v>
      </c>
      <c r="I19" t="s">
        <v>245</v>
      </c>
      <c r="J19" t="s">
        <v>110</v>
      </c>
      <c r="K19" t="s">
        <v>235</v>
      </c>
    </row>
    <row r="20" spans="1:11" x14ac:dyDescent="0.25">
      <c r="A20" s="61" t="s">
        <v>21</v>
      </c>
      <c r="B20" t="s">
        <v>11</v>
      </c>
      <c r="C20" t="s">
        <v>10</v>
      </c>
      <c r="D20">
        <v>2010</v>
      </c>
      <c r="E20" t="s">
        <v>221</v>
      </c>
      <c r="G20">
        <v>0.17849999999999999</v>
      </c>
      <c r="H20" s="3">
        <f t="shared" ref="H20:H22" si="3">0.01785/4</f>
        <v>4.4625000000000003E-3</v>
      </c>
      <c r="I20" t="s">
        <v>245</v>
      </c>
      <c r="J20" t="s">
        <v>110</v>
      </c>
      <c r="K20" t="s">
        <v>235</v>
      </c>
    </row>
    <row r="21" spans="1:11" x14ac:dyDescent="0.25">
      <c r="A21" s="61" t="s">
        <v>21</v>
      </c>
      <c r="B21" t="s">
        <v>11</v>
      </c>
      <c r="C21" t="s">
        <v>10</v>
      </c>
      <c r="D21">
        <v>2010</v>
      </c>
      <c r="E21" t="s">
        <v>224</v>
      </c>
      <c r="G21">
        <v>0.17849999999999999</v>
      </c>
      <c r="H21" s="3">
        <f t="shared" si="3"/>
        <v>4.4625000000000003E-3</v>
      </c>
      <c r="I21" t="s">
        <v>245</v>
      </c>
      <c r="J21" t="s">
        <v>110</v>
      </c>
      <c r="K21" t="s">
        <v>235</v>
      </c>
    </row>
    <row r="22" spans="1:11" x14ac:dyDescent="0.25">
      <c r="A22" s="61" t="s">
        <v>21</v>
      </c>
      <c r="B22" t="s">
        <v>11</v>
      </c>
      <c r="C22" t="s">
        <v>10</v>
      </c>
      <c r="D22">
        <v>2010</v>
      </c>
      <c r="E22" t="s">
        <v>226</v>
      </c>
      <c r="G22">
        <v>0.17849999999999999</v>
      </c>
      <c r="H22" s="3">
        <f t="shared" si="3"/>
        <v>4.4625000000000003E-3</v>
      </c>
      <c r="I22" t="s">
        <v>245</v>
      </c>
      <c r="J22" t="s">
        <v>110</v>
      </c>
      <c r="K22" t="s">
        <v>235</v>
      </c>
    </row>
    <row r="23" spans="1:11" x14ac:dyDescent="0.25">
      <c r="A23" s="61" t="s">
        <v>22</v>
      </c>
      <c r="B23" t="s">
        <v>11</v>
      </c>
      <c r="C23" t="s">
        <v>10</v>
      </c>
      <c r="D23">
        <v>2010</v>
      </c>
      <c r="E23" t="s">
        <v>226</v>
      </c>
      <c r="G23">
        <v>0.23300000000000001</v>
      </c>
      <c r="H23">
        <f>0.233/4</f>
        <v>5.8250000000000003E-2</v>
      </c>
      <c r="I23" t="s">
        <v>245</v>
      </c>
      <c r="J23" t="s">
        <v>111</v>
      </c>
      <c r="K23" t="s">
        <v>235</v>
      </c>
    </row>
    <row r="24" spans="1:11" x14ac:dyDescent="0.25">
      <c r="A24" s="61" t="s">
        <v>22</v>
      </c>
      <c r="B24" t="s">
        <v>11</v>
      </c>
      <c r="C24" t="s">
        <v>10</v>
      </c>
      <c r="D24">
        <v>2010</v>
      </c>
      <c r="E24" t="s">
        <v>224</v>
      </c>
      <c r="G24">
        <v>0.23300000000000001</v>
      </c>
      <c r="H24">
        <f t="shared" ref="H24:H26" si="4">0.233/4</f>
        <v>5.8250000000000003E-2</v>
      </c>
      <c r="I24" t="s">
        <v>245</v>
      </c>
      <c r="J24" t="s">
        <v>111</v>
      </c>
      <c r="K24" t="s">
        <v>235</v>
      </c>
    </row>
    <row r="25" spans="1:11" x14ac:dyDescent="0.25">
      <c r="A25" s="61" t="s">
        <v>22</v>
      </c>
      <c r="B25" t="s">
        <v>11</v>
      </c>
      <c r="C25" t="s">
        <v>10</v>
      </c>
      <c r="D25">
        <v>2010</v>
      </c>
      <c r="E25" t="s">
        <v>221</v>
      </c>
      <c r="G25">
        <v>0.23300000000000001</v>
      </c>
      <c r="H25">
        <f t="shared" si="4"/>
        <v>5.8250000000000003E-2</v>
      </c>
      <c r="I25" t="s">
        <v>245</v>
      </c>
      <c r="J25" t="s">
        <v>111</v>
      </c>
      <c r="K25" t="s">
        <v>235</v>
      </c>
    </row>
    <row r="26" spans="1:11" x14ac:dyDescent="0.25">
      <c r="A26" s="61" t="s">
        <v>22</v>
      </c>
      <c r="B26" t="s">
        <v>11</v>
      </c>
      <c r="C26" t="s">
        <v>10</v>
      </c>
      <c r="D26">
        <v>2010</v>
      </c>
      <c r="E26" t="s">
        <v>223</v>
      </c>
      <c r="G26">
        <v>0.23300000000000001</v>
      </c>
      <c r="H26">
        <f t="shared" si="4"/>
        <v>5.8250000000000003E-2</v>
      </c>
      <c r="I26" t="s">
        <v>245</v>
      </c>
      <c r="J26" t="s">
        <v>111</v>
      </c>
      <c r="K26" t="s">
        <v>235</v>
      </c>
    </row>
    <row r="27" spans="1:11" x14ac:dyDescent="0.25">
      <c r="A27" s="61" t="s">
        <v>23</v>
      </c>
      <c r="B27" t="s">
        <v>11</v>
      </c>
      <c r="C27" t="s">
        <v>10</v>
      </c>
      <c r="D27">
        <v>2010</v>
      </c>
      <c r="E27" t="s">
        <v>223</v>
      </c>
      <c r="G27">
        <v>5.0400000000000002E-3</v>
      </c>
      <c r="H27">
        <f>0.004536/3</f>
        <v>1.5120000000000001E-3</v>
      </c>
      <c r="I27" t="s">
        <v>245</v>
      </c>
      <c r="J27" t="s">
        <v>112</v>
      </c>
      <c r="K27" t="s">
        <v>235</v>
      </c>
    </row>
    <row r="28" spans="1:11" x14ac:dyDescent="0.25">
      <c r="A28" s="61" t="s">
        <v>23</v>
      </c>
      <c r="B28" t="s">
        <v>11</v>
      </c>
      <c r="C28" t="s">
        <v>10</v>
      </c>
      <c r="D28">
        <v>2010</v>
      </c>
      <c r="E28" t="s">
        <v>224</v>
      </c>
      <c r="G28">
        <v>5.0400000000000002E-3</v>
      </c>
      <c r="H28">
        <f t="shared" ref="H28:H29" si="5">0.004536/3</f>
        <v>1.5120000000000001E-3</v>
      </c>
      <c r="I28" t="s">
        <v>245</v>
      </c>
      <c r="J28" t="s">
        <v>112</v>
      </c>
      <c r="K28" t="s">
        <v>235</v>
      </c>
    </row>
    <row r="29" spans="1:11" x14ac:dyDescent="0.25">
      <c r="A29" s="61" t="s">
        <v>23</v>
      </c>
      <c r="B29" t="s">
        <v>11</v>
      </c>
      <c r="C29" t="s">
        <v>10</v>
      </c>
      <c r="D29">
        <v>2010</v>
      </c>
      <c r="E29" t="s">
        <v>222</v>
      </c>
      <c r="G29">
        <v>5.0400000000000002E-3</v>
      </c>
      <c r="H29">
        <f t="shared" si="5"/>
        <v>1.5120000000000001E-3</v>
      </c>
      <c r="I29" t="s">
        <v>245</v>
      </c>
      <c r="J29" t="s">
        <v>112</v>
      </c>
      <c r="K29" t="s">
        <v>235</v>
      </c>
    </row>
    <row r="30" spans="1:11" x14ac:dyDescent="0.25">
      <c r="A30" s="61" t="s">
        <v>23</v>
      </c>
      <c r="B30" t="s">
        <v>11</v>
      </c>
      <c r="C30" t="s">
        <v>10</v>
      </c>
      <c r="D30">
        <v>2010</v>
      </c>
      <c r="E30" t="s">
        <v>223</v>
      </c>
      <c r="G30">
        <v>5.0400000000000002E-3</v>
      </c>
      <c r="H30">
        <f>0.000504/3</f>
        <v>1.6799999999999999E-4</v>
      </c>
      <c r="I30" t="s">
        <v>245</v>
      </c>
      <c r="J30" t="s">
        <v>110</v>
      </c>
      <c r="K30" t="s">
        <v>235</v>
      </c>
    </row>
    <row r="31" spans="1:11" x14ac:dyDescent="0.25">
      <c r="A31" s="61" t="s">
        <v>23</v>
      </c>
      <c r="B31" t="s">
        <v>11</v>
      </c>
      <c r="C31" t="s">
        <v>10</v>
      </c>
      <c r="D31">
        <v>2010</v>
      </c>
      <c r="E31" t="s">
        <v>224</v>
      </c>
      <c r="G31">
        <v>5.0400000000000002E-3</v>
      </c>
      <c r="H31">
        <f t="shared" ref="H31:H32" si="6">0.000504/3</f>
        <v>1.6799999999999999E-4</v>
      </c>
      <c r="I31" t="s">
        <v>245</v>
      </c>
      <c r="J31" t="s">
        <v>110</v>
      </c>
      <c r="K31" t="s">
        <v>235</v>
      </c>
    </row>
    <row r="32" spans="1:11" x14ac:dyDescent="0.25">
      <c r="A32" s="61" t="s">
        <v>23</v>
      </c>
      <c r="B32" t="s">
        <v>11</v>
      </c>
      <c r="C32" t="s">
        <v>10</v>
      </c>
      <c r="D32">
        <v>2010</v>
      </c>
      <c r="E32" t="s">
        <v>222</v>
      </c>
      <c r="G32">
        <v>5.0400000000000002E-3</v>
      </c>
      <c r="H32">
        <f t="shared" si="6"/>
        <v>1.6799999999999999E-4</v>
      </c>
      <c r="I32" t="s">
        <v>245</v>
      </c>
      <c r="J32" t="s">
        <v>110</v>
      </c>
      <c r="K32" t="s">
        <v>235</v>
      </c>
    </row>
    <row r="33" spans="1:11" x14ac:dyDescent="0.25">
      <c r="A33" s="61" t="s">
        <v>24</v>
      </c>
      <c r="B33" t="s">
        <v>11</v>
      </c>
      <c r="C33" t="s">
        <v>10</v>
      </c>
      <c r="D33">
        <v>2010</v>
      </c>
      <c r="E33" t="s">
        <v>226</v>
      </c>
      <c r="G33">
        <v>0.26974999999999999</v>
      </c>
      <c r="H33">
        <f>0.242775/4</f>
        <v>6.0693749999999998E-2</v>
      </c>
      <c r="I33" t="s">
        <v>245</v>
      </c>
      <c r="J33" t="s">
        <v>112</v>
      </c>
      <c r="K33" t="s">
        <v>235</v>
      </c>
    </row>
    <row r="34" spans="1:11" x14ac:dyDescent="0.25">
      <c r="A34" s="61" t="s">
        <v>24</v>
      </c>
      <c r="B34" t="s">
        <v>11</v>
      </c>
      <c r="C34" t="s">
        <v>10</v>
      </c>
      <c r="D34">
        <v>2010</v>
      </c>
      <c r="E34" t="s">
        <v>223</v>
      </c>
      <c r="G34">
        <v>0.26974999999999999</v>
      </c>
      <c r="H34">
        <f t="shared" ref="H34:H36" si="7">0.242775/4</f>
        <v>6.0693749999999998E-2</v>
      </c>
      <c r="I34" t="s">
        <v>245</v>
      </c>
      <c r="J34" t="s">
        <v>112</v>
      </c>
      <c r="K34" t="s">
        <v>235</v>
      </c>
    </row>
    <row r="35" spans="1:11" x14ac:dyDescent="0.25">
      <c r="A35" s="61" t="s">
        <v>24</v>
      </c>
      <c r="B35" t="s">
        <v>11</v>
      </c>
      <c r="C35" t="s">
        <v>10</v>
      </c>
      <c r="D35">
        <v>2010</v>
      </c>
      <c r="E35" t="s">
        <v>222</v>
      </c>
      <c r="G35">
        <v>0.26974999999999999</v>
      </c>
      <c r="H35">
        <f t="shared" si="7"/>
        <v>6.0693749999999998E-2</v>
      </c>
      <c r="I35" t="s">
        <v>245</v>
      </c>
      <c r="J35" t="s">
        <v>112</v>
      </c>
      <c r="K35" t="s">
        <v>235</v>
      </c>
    </row>
    <row r="36" spans="1:11" x14ac:dyDescent="0.25">
      <c r="A36" s="61" t="s">
        <v>24</v>
      </c>
      <c r="B36" t="s">
        <v>11</v>
      </c>
      <c r="C36" t="s">
        <v>10</v>
      </c>
      <c r="D36">
        <v>2010</v>
      </c>
      <c r="E36" t="s">
        <v>221</v>
      </c>
      <c r="G36">
        <v>0.26974999999999999</v>
      </c>
      <c r="H36">
        <f t="shared" si="7"/>
        <v>6.0693749999999998E-2</v>
      </c>
      <c r="I36" t="s">
        <v>245</v>
      </c>
      <c r="J36" t="s">
        <v>112</v>
      </c>
      <c r="K36" t="s">
        <v>235</v>
      </c>
    </row>
    <row r="37" spans="1:11" x14ac:dyDescent="0.25">
      <c r="A37" s="61" t="s">
        <v>24</v>
      </c>
      <c r="B37" t="s">
        <v>11</v>
      </c>
      <c r="C37" t="s">
        <v>10</v>
      </c>
      <c r="D37">
        <v>2010</v>
      </c>
      <c r="E37" t="s">
        <v>226</v>
      </c>
      <c r="G37">
        <v>0.26974999999999999</v>
      </c>
      <c r="H37">
        <f>0.026975/4</f>
        <v>6.7437499999999997E-3</v>
      </c>
      <c r="I37" t="s">
        <v>245</v>
      </c>
      <c r="J37" t="s">
        <v>110</v>
      </c>
      <c r="K37" t="s">
        <v>235</v>
      </c>
    </row>
    <row r="38" spans="1:11" x14ac:dyDescent="0.25">
      <c r="A38" s="61" t="s">
        <v>24</v>
      </c>
      <c r="B38" t="s">
        <v>11</v>
      </c>
      <c r="C38" t="s">
        <v>10</v>
      </c>
      <c r="D38">
        <v>2010</v>
      </c>
      <c r="E38" t="s">
        <v>223</v>
      </c>
      <c r="G38">
        <v>0.26974999999999999</v>
      </c>
      <c r="H38">
        <f t="shared" ref="H38:H40" si="8">0.026975/4</f>
        <v>6.7437499999999997E-3</v>
      </c>
      <c r="I38" t="s">
        <v>245</v>
      </c>
      <c r="J38" t="s">
        <v>110</v>
      </c>
      <c r="K38" t="s">
        <v>235</v>
      </c>
    </row>
    <row r="39" spans="1:11" x14ac:dyDescent="0.25">
      <c r="A39" s="61" t="s">
        <v>24</v>
      </c>
      <c r="B39" t="s">
        <v>11</v>
      </c>
      <c r="C39" t="s">
        <v>10</v>
      </c>
      <c r="D39">
        <v>2010</v>
      </c>
      <c r="E39" t="s">
        <v>222</v>
      </c>
      <c r="G39">
        <v>0.26974999999999999</v>
      </c>
      <c r="H39">
        <f t="shared" si="8"/>
        <v>6.7437499999999997E-3</v>
      </c>
      <c r="I39" t="s">
        <v>245</v>
      </c>
      <c r="J39" t="s">
        <v>110</v>
      </c>
      <c r="K39" t="s">
        <v>235</v>
      </c>
    </row>
    <row r="40" spans="1:11" x14ac:dyDescent="0.25">
      <c r="A40" s="61" t="s">
        <v>24</v>
      </c>
      <c r="B40" t="s">
        <v>11</v>
      </c>
      <c r="C40" t="s">
        <v>10</v>
      </c>
      <c r="D40">
        <v>2010</v>
      </c>
      <c r="E40" t="s">
        <v>221</v>
      </c>
      <c r="G40">
        <v>0.26974999999999999</v>
      </c>
      <c r="H40">
        <f t="shared" si="8"/>
        <v>6.7437499999999997E-3</v>
      </c>
      <c r="I40" t="s">
        <v>245</v>
      </c>
      <c r="J40" t="s">
        <v>110</v>
      </c>
      <c r="K40" t="s">
        <v>235</v>
      </c>
    </row>
    <row r="41" spans="1:11" x14ac:dyDescent="0.25">
      <c r="A41" t="s">
        <v>25</v>
      </c>
      <c r="B41" t="s">
        <v>11</v>
      </c>
      <c r="C41" t="s">
        <v>10</v>
      </c>
      <c r="D41">
        <v>2010</v>
      </c>
      <c r="E41" t="s">
        <v>221</v>
      </c>
      <c r="G41">
        <v>1.9000000000000001</v>
      </c>
      <c r="H41">
        <f>1.71/3</f>
        <v>0.56999999999999995</v>
      </c>
      <c r="I41" t="s">
        <v>245</v>
      </c>
      <c r="J41" t="s">
        <v>112</v>
      </c>
      <c r="K41" t="s">
        <v>235</v>
      </c>
    </row>
    <row r="42" spans="1:11" x14ac:dyDescent="0.25">
      <c r="A42" t="s">
        <v>25</v>
      </c>
      <c r="B42" t="s">
        <v>11</v>
      </c>
      <c r="C42" t="s">
        <v>10</v>
      </c>
      <c r="D42">
        <v>2010</v>
      </c>
      <c r="E42" t="s">
        <v>222</v>
      </c>
      <c r="G42">
        <v>1.9000000000000001</v>
      </c>
      <c r="H42">
        <f t="shared" ref="H42:H43" si="9">1.71/3</f>
        <v>0.56999999999999995</v>
      </c>
      <c r="I42" t="s">
        <v>245</v>
      </c>
      <c r="J42" t="s">
        <v>112</v>
      </c>
      <c r="K42" t="s">
        <v>235</v>
      </c>
    </row>
    <row r="43" spans="1:11" x14ac:dyDescent="0.25">
      <c r="A43" t="s">
        <v>25</v>
      </c>
      <c r="B43" t="s">
        <v>11</v>
      </c>
      <c r="C43" t="s">
        <v>10</v>
      </c>
      <c r="D43">
        <v>2010</v>
      </c>
      <c r="E43" t="s">
        <v>223</v>
      </c>
      <c r="G43">
        <v>1.9000000000000001</v>
      </c>
      <c r="H43">
        <f t="shared" si="9"/>
        <v>0.56999999999999995</v>
      </c>
      <c r="I43" t="s">
        <v>245</v>
      </c>
      <c r="J43" t="s">
        <v>112</v>
      </c>
      <c r="K43" t="s">
        <v>235</v>
      </c>
    </row>
    <row r="44" spans="1:11" x14ac:dyDescent="0.25">
      <c r="A44" t="s">
        <v>25</v>
      </c>
      <c r="B44" t="s">
        <v>11</v>
      </c>
      <c r="C44" t="s">
        <v>10</v>
      </c>
      <c r="D44">
        <v>2010</v>
      </c>
      <c r="E44" t="s">
        <v>221</v>
      </c>
      <c r="G44">
        <v>1.9000000000000001</v>
      </c>
      <c r="H44">
        <f>0.19/3</f>
        <v>6.3333333333333339E-2</v>
      </c>
      <c r="I44" t="s">
        <v>245</v>
      </c>
      <c r="J44" t="s">
        <v>110</v>
      </c>
      <c r="K44" t="s">
        <v>235</v>
      </c>
    </row>
    <row r="45" spans="1:11" x14ac:dyDescent="0.25">
      <c r="A45" t="s">
        <v>25</v>
      </c>
      <c r="B45" t="s">
        <v>11</v>
      </c>
      <c r="C45" t="s">
        <v>10</v>
      </c>
      <c r="D45">
        <v>2010</v>
      </c>
      <c r="E45" t="s">
        <v>222</v>
      </c>
      <c r="G45">
        <v>1.9000000000000001</v>
      </c>
      <c r="H45">
        <f t="shared" ref="H45:H46" si="10">0.19/3</f>
        <v>6.3333333333333339E-2</v>
      </c>
      <c r="I45" t="s">
        <v>245</v>
      </c>
      <c r="J45" t="s">
        <v>110</v>
      </c>
      <c r="K45" t="s">
        <v>235</v>
      </c>
    </row>
    <row r="46" spans="1:11" x14ac:dyDescent="0.25">
      <c r="A46" t="s">
        <v>25</v>
      </c>
      <c r="B46" t="s">
        <v>11</v>
      </c>
      <c r="C46" t="s">
        <v>10</v>
      </c>
      <c r="D46">
        <v>2010</v>
      </c>
      <c r="E46" t="s">
        <v>223</v>
      </c>
      <c r="G46">
        <v>1.9000000000000001</v>
      </c>
      <c r="H46">
        <f t="shared" si="10"/>
        <v>6.3333333333333339E-2</v>
      </c>
      <c r="I46" t="s">
        <v>245</v>
      </c>
      <c r="J46" t="s">
        <v>110</v>
      </c>
      <c r="K46" t="s">
        <v>235</v>
      </c>
    </row>
    <row r="47" spans="1:11" x14ac:dyDescent="0.25">
      <c r="A47" t="s">
        <v>16</v>
      </c>
      <c r="B47" t="s">
        <v>11</v>
      </c>
      <c r="C47" t="s">
        <v>10</v>
      </c>
      <c r="D47">
        <v>2010</v>
      </c>
      <c r="E47" t="s">
        <v>9</v>
      </c>
      <c r="G47">
        <v>0</v>
      </c>
      <c r="H47">
        <v>0</v>
      </c>
      <c r="I47" t="s">
        <v>245</v>
      </c>
      <c r="J47" t="s">
        <v>113</v>
      </c>
      <c r="K47" t="s">
        <v>84</v>
      </c>
    </row>
    <row r="48" spans="1:11" x14ac:dyDescent="0.25">
      <c r="A48" t="s">
        <v>17</v>
      </c>
      <c r="B48" t="s">
        <v>11</v>
      </c>
      <c r="C48" t="s">
        <v>10</v>
      </c>
      <c r="D48">
        <v>2010</v>
      </c>
      <c r="E48" t="s">
        <v>9</v>
      </c>
      <c r="G48">
        <v>0</v>
      </c>
      <c r="H48">
        <v>0</v>
      </c>
      <c r="I48" t="s">
        <v>245</v>
      </c>
      <c r="J48" t="s">
        <v>113</v>
      </c>
      <c r="K48" t="s">
        <v>84</v>
      </c>
    </row>
    <row r="49" spans="1:11" x14ac:dyDescent="0.25">
      <c r="A49" t="s">
        <v>18</v>
      </c>
      <c r="B49" t="s">
        <v>11</v>
      </c>
      <c r="C49" t="s">
        <v>10</v>
      </c>
      <c r="D49">
        <v>2010</v>
      </c>
      <c r="E49" t="s">
        <v>9</v>
      </c>
      <c r="G49">
        <v>2.6000000000000003E-4</v>
      </c>
      <c r="H49">
        <v>2.6000000000000003E-4</v>
      </c>
      <c r="I49" t="s">
        <v>245</v>
      </c>
      <c r="J49" t="s">
        <v>113</v>
      </c>
      <c r="K49" t="s">
        <v>84</v>
      </c>
    </row>
    <row r="50" spans="1:11" x14ac:dyDescent="0.25">
      <c r="A50" t="s">
        <v>19</v>
      </c>
      <c r="B50" t="s">
        <v>11</v>
      </c>
      <c r="C50" t="s">
        <v>10</v>
      </c>
      <c r="D50">
        <v>2010</v>
      </c>
      <c r="E50" t="s">
        <v>9</v>
      </c>
      <c r="G50">
        <v>1.1999999999999999E-3</v>
      </c>
      <c r="H50">
        <v>1.08E-3</v>
      </c>
      <c r="I50" t="s">
        <v>245</v>
      </c>
      <c r="J50" t="s">
        <v>112</v>
      </c>
      <c r="K50" t="s">
        <v>84</v>
      </c>
    </row>
    <row r="51" spans="1:11" x14ac:dyDescent="0.25">
      <c r="A51" t="s">
        <v>19</v>
      </c>
      <c r="B51" t="s">
        <v>11</v>
      </c>
      <c r="C51" t="s">
        <v>10</v>
      </c>
      <c r="D51">
        <v>2010</v>
      </c>
      <c r="E51" t="s">
        <v>9</v>
      </c>
      <c r="G51">
        <v>1.1999999999999999E-3</v>
      </c>
      <c r="H51">
        <v>1.1999999999999999E-4</v>
      </c>
      <c r="I51" t="s">
        <v>245</v>
      </c>
      <c r="J51" t="s">
        <v>110</v>
      </c>
      <c r="K51" t="s">
        <v>84</v>
      </c>
    </row>
    <row r="52" spans="1:11" x14ac:dyDescent="0.25">
      <c r="A52" t="s">
        <v>20</v>
      </c>
      <c r="B52" t="s">
        <v>11</v>
      </c>
      <c r="C52" t="s">
        <v>10</v>
      </c>
      <c r="D52">
        <v>2010</v>
      </c>
      <c r="E52" t="s">
        <v>9</v>
      </c>
      <c r="G52">
        <v>2.98E-3</v>
      </c>
      <c r="H52">
        <v>2.6819999999999999E-3</v>
      </c>
      <c r="I52" t="s">
        <v>245</v>
      </c>
      <c r="J52" t="s">
        <v>112</v>
      </c>
      <c r="K52" t="s">
        <v>84</v>
      </c>
    </row>
    <row r="53" spans="1:11" x14ac:dyDescent="0.25">
      <c r="A53" t="s">
        <v>20</v>
      </c>
      <c r="B53" t="s">
        <v>11</v>
      </c>
      <c r="C53" t="s">
        <v>10</v>
      </c>
      <c r="D53">
        <v>2010</v>
      </c>
      <c r="E53" t="s">
        <v>9</v>
      </c>
      <c r="G53">
        <v>2.98E-3</v>
      </c>
      <c r="H53">
        <v>2.9800000000000003E-4</v>
      </c>
      <c r="I53" t="s">
        <v>245</v>
      </c>
      <c r="J53" t="s">
        <v>110</v>
      </c>
      <c r="K53" t="s">
        <v>84</v>
      </c>
    </row>
    <row r="54" spans="1:11" x14ac:dyDescent="0.25">
      <c r="A54" t="s">
        <v>21</v>
      </c>
      <c r="B54" t="s">
        <v>11</v>
      </c>
      <c r="C54" t="s">
        <v>10</v>
      </c>
      <c r="D54">
        <v>2010</v>
      </c>
      <c r="E54" t="s">
        <v>9</v>
      </c>
      <c r="G54">
        <v>2.7699999999999999E-3</v>
      </c>
      <c r="H54">
        <v>2.493E-3</v>
      </c>
      <c r="I54" t="s">
        <v>245</v>
      </c>
      <c r="J54" t="s">
        <v>112</v>
      </c>
      <c r="K54" t="s">
        <v>84</v>
      </c>
    </row>
    <row r="55" spans="1:11" x14ac:dyDescent="0.25">
      <c r="A55" t="s">
        <v>21</v>
      </c>
      <c r="B55" t="s">
        <v>11</v>
      </c>
      <c r="C55" t="s">
        <v>10</v>
      </c>
      <c r="D55">
        <v>2010</v>
      </c>
      <c r="E55" t="s">
        <v>9</v>
      </c>
      <c r="G55">
        <v>2.7699999999999999E-3</v>
      </c>
      <c r="H55">
        <v>2.7700000000000001E-4</v>
      </c>
      <c r="I55" t="s">
        <v>245</v>
      </c>
      <c r="J55" t="s">
        <v>110</v>
      </c>
      <c r="K55" t="s">
        <v>84</v>
      </c>
    </row>
    <row r="56" spans="1:11" x14ac:dyDescent="0.25">
      <c r="A56" t="s">
        <v>22</v>
      </c>
      <c r="B56" t="s">
        <v>11</v>
      </c>
      <c r="C56" t="s">
        <v>10</v>
      </c>
      <c r="D56">
        <v>2010</v>
      </c>
      <c r="E56" t="s">
        <v>9</v>
      </c>
      <c r="G56">
        <v>1.66E-3</v>
      </c>
      <c r="H56">
        <v>1.4940000000000001E-3</v>
      </c>
      <c r="I56" t="s">
        <v>245</v>
      </c>
      <c r="J56" t="s">
        <v>112</v>
      </c>
      <c r="K56" t="s">
        <v>84</v>
      </c>
    </row>
    <row r="57" spans="1:11" x14ac:dyDescent="0.25">
      <c r="A57" t="s">
        <v>22</v>
      </c>
      <c r="B57" t="s">
        <v>11</v>
      </c>
      <c r="C57" t="s">
        <v>10</v>
      </c>
      <c r="D57">
        <v>2010</v>
      </c>
      <c r="E57" t="s">
        <v>9</v>
      </c>
      <c r="G57">
        <v>1.66E-3</v>
      </c>
      <c r="H57">
        <v>1.6600000000000002E-4</v>
      </c>
      <c r="I57" t="s">
        <v>245</v>
      </c>
      <c r="J57" t="s">
        <v>110</v>
      </c>
      <c r="K57" t="s">
        <v>84</v>
      </c>
    </row>
    <row r="58" spans="1:11" x14ac:dyDescent="0.25">
      <c r="A58" t="s">
        <v>23</v>
      </c>
      <c r="B58" t="s">
        <v>11</v>
      </c>
      <c r="C58" t="s">
        <v>10</v>
      </c>
      <c r="D58">
        <v>2010</v>
      </c>
      <c r="E58" t="s">
        <v>9</v>
      </c>
      <c r="G58">
        <v>8.3000000000000001E-4</v>
      </c>
      <c r="H58">
        <v>7.4700000000000005E-4</v>
      </c>
      <c r="I58" t="s">
        <v>245</v>
      </c>
      <c r="J58" t="s">
        <v>112</v>
      </c>
      <c r="K58" t="s">
        <v>84</v>
      </c>
    </row>
    <row r="59" spans="1:11" x14ac:dyDescent="0.25">
      <c r="A59" t="s">
        <v>23</v>
      </c>
      <c r="B59" t="s">
        <v>11</v>
      </c>
      <c r="C59" t="s">
        <v>10</v>
      </c>
      <c r="D59">
        <v>2010</v>
      </c>
      <c r="E59" t="s">
        <v>9</v>
      </c>
      <c r="G59">
        <v>8.3000000000000001E-4</v>
      </c>
      <c r="H59">
        <v>8.3000000000000012E-5</v>
      </c>
      <c r="I59" t="s">
        <v>245</v>
      </c>
      <c r="J59" t="s">
        <v>110</v>
      </c>
      <c r="K59" t="s">
        <v>84</v>
      </c>
    </row>
    <row r="60" spans="1:11" x14ac:dyDescent="0.25">
      <c r="A60" t="s">
        <v>23</v>
      </c>
      <c r="B60" t="s">
        <v>11</v>
      </c>
      <c r="C60" t="s">
        <v>10</v>
      </c>
      <c r="D60">
        <v>2010</v>
      </c>
      <c r="E60" t="s">
        <v>9</v>
      </c>
      <c r="G60">
        <v>2.1000000000000003E-3</v>
      </c>
      <c r="H60">
        <v>2.1000000000000003E-3</v>
      </c>
      <c r="I60" t="s">
        <v>245</v>
      </c>
      <c r="J60" t="s">
        <v>144</v>
      </c>
      <c r="K60" t="s">
        <v>84</v>
      </c>
    </row>
    <row r="61" spans="1:11" x14ac:dyDescent="0.25">
      <c r="A61" t="s">
        <v>24</v>
      </c>
      <c r="B61" t="s">
        <v>11</v>
      </c>
      <c r="C61" t="s">
        <v>10</v>
      </c>
      <c r="D61">
        <v>2010</v>
      </c>
      <c r="E61" t="s">
        <v>9</v>
      </c>
      <c r="G61">
        <v>2.1000000000000003E-3</v>
      </c>
      <c r="H61">
        <v>1.8900000000000004E-3</v>
      </c>
      <c r="I61" t="s">
        <v>245</v>
      </c>
      <c r="J61" t="s">
        <v>112</v>
      </c>
      <c r="K61" t="s">
        <v>84</v>
      </c>
    </row>
    <row r="62" spans="1:11" x14ac:dyDescent="0.25">
      <c r="A62" t="s">
        <v>24</v>
      </c>
      <c r="B62" t="s">
        <v>11</v>
      </c>
      <c r="C62" t="s">
        <v>10</v>
      </c>
      <c r="D62">
        <v>2010</v>
      </c>
      <c r="E62" t="s">
        <v>9</v>
      </c>
      <c r="G62">
        <v>2.1000000000000003E-3</v>
      </c>
      <c r="H62">
        <v>2.1000000000000004E-4</v>
      </c>
      <c r="I62" t="s">
        <v>245</v>
      </c>
      <c r="J62" t="s">
        <v>110</v>
      </c>
      <c r="K62" t="s">
        <v>84</v>
      </c>
    </row>
    <row r="63" spans="1:11" x14ac:dyDescent="0.25">
      <c r="A63" t="s">
        <v>25</v>
      </c>
      <c r="B63" t="s">
        <v>11</v>
      </c>
      <c r="C63" t="s">
        <v>10</v>
      </c>
      <c r="D63">
        <v>2010</v>
      </c>
      <c r="E63" t="s">
        <v>9</v>
      </c>
      <c r="G63">
        <v>2.5200000000000001E-3</v>
      </c>
      <c r="H63">
        <v>2.2680000000000001E-3</v>
      </c>
      <c r="I63" t="s">
        <v>245</v>
      </c>
      <c r="J63" t="s">
        <v>112</v>
      </c>
      <c r="K63" t="s">
        <v>84</v>
      </c>
    </row>
    <row r="64" spans="1:11" x14ac:dyDescent="0.25">
      <c r="A64" t="s">
        <v>25</v>
      </c>
      <c r="B64" t="s">
        <v>11</v>
      </c>
      <c r="C64" t="s">
        <v>10</v>
      </c>
      <c r="D64">
        <v>2010</v>
      </c>
      <c r="E64" t="s">
        <v>9</v>
      </c>
      <c r="G64">
        <v>2.5200000000000001E-3</v>
      </c>
      <c r="H64">
        <v>2.52E-4</v>
      </c>
      <c r="I64" t="s">
        <v>245</v>
      </c>
      <c r="J64" t="s">
        <v>110</v>
      </c>
      <c r="K64" t="s">
        <v>84</v>
      </c>
    </row>
    <row r="65" spans="1:11" x14ac:dyDescent="0.25">
      <c r="A65" t="s">
        <v>17</v>
      </c>
      <c r="B65" t="s">
        <v>11</v>
      </c>
      <c r="C65" t="s">
        <v>10</v>
      </c>
      <c r="D65">
        <v>2010</v>
      </c>
      <c r="E65" s="11" t="s">
        <v>131</v>
      </c>
      <c r="F65" t="s">
        <v>132</v>
      </c>
      <c r="G65">
        <v>3.1430867767969357E-7</v>
      </c>
      <c r="H65">
        <v>3.1430867767969357E-7</v>
      </c>
      <c r="I65" t="s">
        <v>245</v>
      </c>
      <c r="J65" t="s">
        <v>113</v>
      </c>
      <c r="K65" t="s">
        <v>59</v>
      </c>
    </row>
    <row r="66" spans="1:11" x14ac:dyDescent="0.25">
      <c r="A66" t="s">
        <v>20</v>
      </c>
      <c r="B66" t="s">
        <v>11</v>
      </c>
      <c r="C66" t="s">
        <v>10</v>
      </c>
      <c r="D66">
        <v>2010</v>
      </c>
      <c r="E66" s="11" t="s">
        <v>131</v>
      </c>
      <c r="F66" t="s">
        <v>133</v>
      </c>
      <c r="G66">
        <v>7.1675120754659832E-5</v>
      </c>
      <c r="H66">
        <v>7.1675120754659832E-5</v>
      </c>
      <c r="I66" t="s">
        <v>245</v>
      </c>
      <c r="J66" t="s">
        <v>112</v>
      </c>
      <c r="K66" t="s">
        <v>59</v>
      </c>
    </row>
    <row r="67" spans="1:11" x14ac:dyDescent="0.25">
      <c r="A67" t="s">
        <v>20</v>
      </c>
      <c r="B67" t="s">
        <v>11</v>
      </c>
      <c r="C67" t="s">
        <v>10</v>
      </c>
      <c r="D67">
        <v>2010</v>
      </c>
      <c r="E67" s="11" t="s">
        <v>131</v>
      </c>
      <c r="F67" t="s">
        <v>132</v>
      </c>
      <c r="G67">
        <v>3.4393439425828631E-5</v>
      </c>
      <c r="H67">
        <v>3.4393439425828631E-5</v>
      </c>
      <c r="I67" t="s">
        <v>245</v>
      </c>
      <c r="J67" t="s">
        <v>112</v>
      </c>
      <c r="K67" t="s">
        <v>59</v>
      </c>
    </row>
    <row r="68" spans="1:11" x14ac:dyDescent="0.25">
      <c r="A68" t="s">
        <v>23</v>
      </c>
      <c r="B68" t="s">
        <v>11</v>
      </c>
      <c r="C68" t="s">
        <v>10</v>
      </c>
      <c r="D68">
        <v>2010</v>
      </c>
      <c r="E68" s="11" t="s">
        <v>131</v>
      </c>
      <c r="F68" t="s">
        <v>132</v>
      </c>
      <c r="G68">
        <v>1.4865950971336861E-7</v>
      </c>
      <c r="H68">
        <v>1.4865950971336861E-7</v>
      </c>
      <c r="I68" t="s">
        <v>245</v>
      </c>
      <c r="J68" t="s">
        <v>112</v>
      </c>
      <c r="K68" t="s">
        <v>59</v>
      </c>
    </row>
    <row r="69" spans="1:11" x14ac:dyDescent="0.25">
      <c r="A69" t="s">
        <v>22</v>
      </c>
      <c r="B69" t="s">
        <v>11</v>
      </c>
      <c r="C69" t="s">
        <v>10</v>
      </c>
      <c r="D69">
        <v>2010</v>
      </c>
      <c r="E69" s="11" t="s">
        <v>131</v>
      </c>
      <c r="F69" t="s">
        <v>134</v>
      </c>
      <c r="G69">
        <v>0</v>
      </c>
      <c r="H69">
        <v>0</v>
      </c>
      <c r="I69" t="s">
        <v>245</v>
      </c>
      <c r="J69" t="s">
        <v>112</v>
      </c>
      <c r="K69" t="s">
        <v>59</v>
      </c>
    </row>
    <row r="70" spans="1:11" x14ac:dyDescent="0.25">
      <c r="A70" t="s">
        <v>25</v>
      </c>
      <c r="B70" t="s">
        <v>11</v>
      </c>
      <c r="C70" t="s">
        <v>10</v>
      </c>
      <c r="D70">
        <v>2010</v>
      </c>
      <c r="E70" t="s">
        <v>237</v>
      </c>
      <c r="G70">
        <v>2.9676543999999998E-3</v>
      </c>
      <c r="H70">
        <v>2.6708889599999998E-3</v>
      </c>
      <c r="I70" t="s">
        <v>245</v>
      </c>
      <c r="J70" t="s">
        <v>112</v>
      </c>
      <c r="K70" t="s">
        <v>84</v>
      </c>
    </row>
    <row r="71" spans="1:11" x14ac:dyDescent="0.25">
      <c r="A71" t="s">
        <v>25</v>
      </c>
      <c r="B71" t="s">
        <v>11</v>
      </c>
      <c r="C71" t="s">
        <v>10</v>
      </c>
      <c r="D71">
        <v>2010</v>
      </c>
      <c r="E71" t="s">
        <v>237</v>
      </c>
      <c r="G71">
        <v>2.9676543999999998E-3</v>
      </c>
      <c r="H71">
        <v>2.9676544000000003E-4</v>
      </c>
      <c r="I71" t="s">
        <v>245</v>
      </c>
      <c r="J71" t="s">
        <v>110</v>
      </c>
      <c r="K71" t="s">
        <v>84</v>
      </c>
    </row>
    <row r="72" spans="1:11" x14ac:dyDescent="0.25">
      <c r="A72" t="s">
        <v>25</v>
      </c>
      <c r="B72" t="s">
        <v>11</v>
      </c>
      <c r="C72" t="s">
        <v>10</v>
      </c>
      <c r="D72">
        <v>2010</v>
      </c>
      <c r="E72" t="s">
        <v>238</v>
      </c>
      <c r="G72">
        <v>8.6749696E-4</v>
      </c>
      <c r="H72">
        <v>7.8074726400000007E-4</v>
      </c>
      <c r="I72" t="s">
        <v>245</v>
      </c>
      <c r="J72" t="s">
        <v>112</v>
      </c>
      <c r="K72" t="s">
        <v>84</v>
      </c>
    </row>
    <row r="73" spans="1:11" x14ac:dyDescent="0.25">
      <c r="A73" t="s">
        <v>25</v>
      </c>
      <c r="B73" t="s">
        <v>11</v>
      </c>
      <c r="C73" t="s">
        <v>10</v>
      </c>
      <c r="D73">
        <v>2010</v>
      </c>
      <c r="E73" t="s">
        <v>238</v>
      </c>
      <c r="G73">
        <v>8.6749696E-4</v>
      </c>
      <c r="H73">
        <v>8.6749696000000003E-5</v>
      </c>
      <c r="I73" t="s">
        <v>245</v>
      </c>
      <c r="J73" t="s">
        <v>110</v>
      </c>
      <c r="K73" t="s">
        <v>84</v>
      </c>
    </row>
    <row r="74" spans="1:11" x14ac:dyDescent="0.25">
      <c r="A74" t="s">
        <v>25</v>
      </c>
      <c r="B74" t="s">
        <v>11</v>
      </c>
      <c r="C74" t="s">
        <v>10</v>
      </c>
      <c r="D74">
        <v>2010</v>
      </c>
      <c r="E74" t="s">
        <v>239</v>
      </c>
      <c r="G74">
        <v>5.9084780149999997E-4</v>
      </c>
      <c r="H74">
        <v>5.3176302134999999E-4</v>
      </c>
      <c r="I74" t="s">
        <v>245</v>
      </c>
      <c r="J74" t="s">
        <v>112</v>
      </c>
      <c r="K74" t="s">
        <v>84</v>
      </c>
    </row>
    <row r="75" spans="1:11" x14ac:dyDescent="0.25">
      <c r="A75" t="s">
        <v>25</v>
      </c>
      <c r="B75" t="s">
        <v>11</v>
      </c>
      <c r="C75" t="s">
        <v>10</v>
      </c>
      <c r="D75">
        <v>2010</v>
      </c>
      <c r="E75" t="s">
        <v>239</v>
      </c>
      <c r="G75">
        <v>5.9084780149999997E-4</v>
      </c>
      <c r="H75">
        <v>5.908478015E-5</v>
      </c>
      <c r="I75" t="s">
        <v>245</v>
      </c>
      <c r="J75" t="s">
        <v>110</v>
      </c>
      <c r="K75" t="s">
        <v>84</v>
      </c>
    </row>
    <row r="76" spans="1:11" x14ac:dyDescent="0.25">
      <c r="A76" t="s">
        <v>25</v>
      </c>
      <c r="B76" t="s">
        <v>11</v>
      </c>
      <c r="C76" t="s">
        <v>10</v>
      </c>
      <c r="D76">
        <v>2010</v>
      </c>
      <c r="E76" t="s">
        <v>240</v>
      </c>
      <c r="G76">
        <v>5.7159306599999997E-4</v>
      </c>
      <c r="H76">
        <v>5.1443375940000004E-4</v>
      </c>
      <c r="I76" t="s">
        <v>245</v>
      </c>
      <c r="J76" t="s">
        <v>112</v>
      </c>
      <c r="K76" t="s">
        <v>84</v>
      </c>
    </row>
    <row r="77" spans="1:11" x14ac:dyDescent="0.25">
      <c r="A77" t="s">
        <v>25</v>
      </c>
      <c r="B77" t="s">
        <v>11</v>
      </c>
      <c r="C77" t="s">
        <v>10</v>
      </c>
      <c r="D77">
        <v>2010</v>
      </c>
      <c r="E77" t="s">
        <v>240</v>
      </c>
      <c r="G77">
        <v>5.7159306599999997E-4</v>
      </c>
      <c r="H77">
        <v>5.7159306599999999E-5</v>
      </c>
      <c r="I77" t="s">
        <v>245</v>
      </c>
      <c r="J77" t="s">
        <v>110</v>
      </c>
      <c r="K77" t="s">
        <v>84</v>
      </c>
    </row>
    <row r="78" spans="1:11" x14ac:dyDescent="0.25">
      <c r="A78" t="s">
        <v>25</v>
      </c>
      <c r="B78" t="s">
        <v>11</v>
      </c>
      <c r="C78" t="s">
        <v>10</v>
      </c>
      <c r="D78">
        <v>2010</v>
      </c>
      <c r="E78" s="13" t="s">
        <v>241</v>
      </c>
      <c r="G78">
        <v>6.7310672000000003E-5</v>
      </c>
      <c r="H78">
        <v>6.0579604800000002E-5</v>
      </c>
      <c r="I78" t="s">
        <v>245</v>
      </c>
      <c r="J78" t="s">
        <v>112</v>
      </c>
      <c r="K78" t="s">
        <v>84</v>
      </c>
    </row>
    <row r="79" spans="1:11" s="13" customFormat="1" x14ac:dyDescent="0.25">
      <c r="A79" s="13" t="s">
        <v>25</v>
      </c>
      <c r="B79" s="13" t="s">
        <v>11</v>
      </c>
      <c r="C79" s="13" t="s">
        <v>10</v>
      </c>
      <c r="D79" s="13">
        <v>2010</v>
      </c>
      <c r="E79" s="13" t="s">
        <v>241</v>
      </c>
      <c r="G79" s="13">
        <v>6.7310672000000003E-5</v>
      </c>
      <c r="H79" s="13">
        <v>6.7310672000000003E-6</v>
      </c>
      <c r="I79" t="s">
        <v>245</v>
      </c>
      <c r="J79" s="13" t="s">
        <v>110</v>
      </c>
      <c r="K79" s="13" t="s">
        <v>84</v>
      </c>
    </row>
    <row r="80" spans="1:11" x14ac:dyDescent="0.25">
      <c r="A80" t="s">
        <v>17</v>
      </c>
      <c r="B80" t="s">
        <v>120</v>
      </c>
      <c r="C80" t="s">
        <v>53</v>
      </c>
      <c r="D80">
        <v>2010</v>
      </c>
      <c r="E80" t="s">
        <v>49</v>
      </c>
      <c r="G80">
        <v>23.828638999999999</v>
      </c>
      <c r="H80" s="20">
        <f>VLOOKUP(A80,elec_consump_prov_bas_units!$H$3:$Q$10,IF(AND(E80="residential",J80="Electricity_Import")=TRUE,2+4,2),FALSE)</f>
        <v>0.75657074229642807</v>
      </c>
      <c r="I80" t="s">
        <v>131</v>
      </c>
      <c r="J80" s="11" t="s">
        <v>128</v>
      </c>
      <c r="K80" t="s">
        <v>84</v>
      </c>
    </row>
    <row r="81" spans="1:11" x14ac:dyDescent="0.25">
      <c r="A81" t="s">
        <v>17</v>
      </c>
      <c r="B81" t="s">
        <v>120</v>
      </c>
      <c r="C81" t="s">
        <v>53</v>
      </c>
      <c r="D81">
        <v>2010</v>
      </c>
      <c r="E81" t="s">
        <v>49</v>
      </c>
      <c r="G81">
        <v>23.828638999999999</v>
      </c>
      <c r="H81" s="20">
        <f>VLOOKUP(A81,elec_consump_prov_bas_units!$H$3:$Q$10,IF(AND(E81="residential",J81="Electricity_Import")=TRUE,2+4,2),FALSE)</f>
        <v>23.07206825770357</v>
      </c>
      <c r="I81" t="s">
        <v>131</v>
      </c>
      <c r="J81" t="s">
        <v>136</v>
      </c>
      <c r="K81" t="s">
        <v>84</v>
      </c>
    </row>
    <row r="82" spans="1:11" x14ac:dyDescent="0.25">
      <c r="A82" t="s">
        <v>18</v>
      </c>
      <c r="B82" t="s">
        <v>120</v>
      </c>
      <c r="C82" t="s">
        <v>53</v>
      </c>
      <c r="D82">
        <v>2010</v>
      </c>
      <c r="E82" t="s">
        <v>49</v>
      </c>
      <c r="G82">
        <v>7.4602500000000003</v>
      </c>
      <c r="H82" s="20">
        <f>VLOOKUP(A82,elec_consump_prov_bas_units!$H$3:$Q$10,IF(AND(E82="residential",J82="Electricity_Import")=TRUE,2+4,2),FALSE)</f>
        <v>7.4602500000000003</v>
      </c>
      <c r="I82" t="s">
        <v>131</v>
      </c>
      <c r="J82" t="s">
        <v>136</v>
      </c>
      <c r="K82" t="s">
        <v>84</v>
      </c>
    </row>
    <row r="83" spans="1:11" x14ac:dyDescent="0.25">
      <c r="A83" t="s">
        <v>20</v>
      </c>
      <c r="B83" t="s">
        <v>120</v>
      </c>
      <c r="C83" t="s">
        <v>53</v>
      </c>
      <c r="D83">
        <v>2010</v>
      </c>
      <c r="E83" t="s">
        <v>49</v>
      </c>
      <c r="G83">
        <v>57.470152999999996</v>
      </c>
      <c r="H83" s="20">
        <f>VLOOKUP(A83,elec_consump_prov_bas_units!$H$3:$Q$10,IF(AND(E83="residential",J83="Electricity_Import")=TRUE,2+4,2),FALSE)*0.32</f>
        <v>18.390448960000001</v>
      </c>
      <c r="I83" t="s">
        <v>131</v>
      </c>
      <c r="J83" s="11" t="s">
        <v>128</v>
      </c>
      <c r="K83" t="s">
        <v>84</v>
      </c>
    </row>
    <row r="84" spans="1:11" x14ac:dyDescent="0.25">
      <c r="A84" t="s">
        <v>20</v>
      </c>
      <c r="B84" t="s">
        <v>120</v>
      </c>
      <c r="C84" t="s">
        <v>53</v>
      </c>
      <c r="D84">
        <v>2010</v>
      </c>
      <c r="E84" t="s">
        <v>49</v>
      </c>
      <c r="G84">
        <v>57.470152999999996</v>
      </c>
      <c r="H84" s="20">
        <f>VLOOKUP(A84,elec_consump_prov_bas_units!$H$3:$Q$10,IF(AND(E84="residential",J84="Electricity_Import")=TRUE,2+4,2),FALSE)*0.68</f>
        <v>39.079704040000003</v>
      </c>
      <c r="I84" t="s">
        <v>131</v>
      </c>
      <c r="J84" s="11" t="s">
        <v>129</v>
      </c>
      <c r="K84" t="s">
        <v>84</v>
      </c>
    </row>
    <row r="85" spans="1:11" x14ac:dyDescent="0.25">
      <c r="A85" t="s">
        <v>21</v>
      </c>
      <c r="B85" t="s">
        <v>120</v>
      </c>
      <c r="C85" t="s">
        <v>53</v>
      </c>
      <c r="D85">
        <v>2010</v>
      </c>
      <c r="E85" t="s">
        <v>49</v>
      </c>
      <c r="G85">
        <v>270.82852629828903</v>
      </c>
      <c r="H85" s="20">
        <f>VLOOKUP(A85,elec_consump_prov_bas_units!$H$3:$Q$10,IF(AND(E85="residential",J85="Electricity_Import")=TRUE,2+4,2),FALSE)</f>
        <v>229.84562425290454</v>
      </c>
      <c r="I85" t="s">
        <v>131</v>
      </c>
      <c r="J85" t="s">
        <v>136</v>
      </c>
      <c r="K85" t="s">
        <v>84</v>
      </c>
    </row>
    <row r="86" spans="1:11" x14ac:dyDescent="0.25">
      <c r="A86" t="s">
        <v>24</v>
      </c>
      <c r="B86" t="s">
        <v>120</v>
      </c>
      <c r="C86" t="s">
        <v>53</v>
      </c>
      <c r="D86">
        <v>2010</v>
      </c>
      <c r="E86" t="s">
        <v>49</v>
      </c>
      <c r="G86">
        <v>36.956574000000003</v>
      </c>
      <c r="H86" s="20">
        <f>VLOOKUP(A86,elec_consump_prov_bas_units!$H$3:$Q$10,IF(AND(E86="residential",J86="Electricity_Import")=TRUE,2+4,2),FALSE)</f>
        <v>36.956574000000003</v>
      </c>
      <c r="I86" t="s">
        <v>131</v>
      </c>
      <c r="J86" t="s">
        <v>136</v>
      </c>
      <c r="K86" t="s">
        <v>84</v>
      </c>
    </row>
    <row r="87" spans="1:11" x14ac:dyDescent="0.25">
      <c r="A87" t="s">
        <v>22</v>
      </c>
      <c r="B87" t="s">
        <v>120</v>
      </c>
      <c r="C87" t="s">
        <v>53</v>
      </c>
      <c r="D87">
        <v>2010</v>
      </c>
      <c r="E87" t="s">
        <v>49</v>
      </c>
      <c r="G87">
        <v>9.2364259999999998</v>
      </c>
      <c r="H87" s="20">
        <f>VLOOKUP(A87,elec_consump_prov_bas_units!$H$3:$Q$10,IF(AND(E87="residential",J87="Electricity_Import")=TRUE,2+4,2),FALSE)</f>
        <v>9.2364259999999998</v>
      </c>
      <c r="I87" t="s">
        <v>131</v>
      </c>
      <c r="J87" t="s">
        <v>130</v>
      </c>
      <c r="K87" t="s">
        <v>84</v>
      </c>
    </row>
    <row r="88" spans="1:11" x14ac:dyDescent="0.25">
      <c r="A88" t="s">
        <v>23</v>
      </c>
      <c r="B88" t="s">
        <v>120</v>
      </c>
      <c r="C88" t="s">
        <v>53</v>
      </c>
      <c r="D88">
        <v>2010</v>
      </c>
      <c r="E88" t="s">
        <v>49</v>
      </c>
      <c r="G88">
        <v>4.0649129999999998</v>
      </c>
      <c r="H88" s="20">
        <f>VLOOKUP(A88,elec_consump_prov_bas_units!$H$3:$Q$10,IF(AND(E88="residential",J88="Electricity_Import")=TRUE,2+4,2),FALSE)</f>
        <v>0.37916879500567635</v>
      </c>
      <c r="I88" t="s">
        <v>131</v>
      </c>
      <c r="J88" s="11" t="s">
        <v>128</v>
      </c>
      <c r="K88" t="s">
        <v>84</v>
      </c>
    </row>
    <row r="89" spans="1:11" x14ac:dyDescent="0.25">
      <c r="A89" t="s">
        <v>23</v>
      </c>
      <c r="B89" t="s">
        <v>120</v>
      </c>
      <c r="C89" t="s">
        <v>53</v>
      </c>
      <c r="D89">
        <v>2010</v>
      </c>
      <c r="E89" t="s">
        <v>49</v>
      </c>
      <c r="G89">
        <v>4.0649129999999998</v>
      </c>
      <c r="H89" s="20">
        <f>VLOOKUP(A89,elec_consump_prov_bas_units!$H$3:$Q$10,IF(AND(E89="residential",J89="Electricity_Import")=TRUE,2+4,2),FALSE)</f>
        <v>3.6857442049943234</v>
      </c>
      <c r="I89" t="s">
        <v>131</v>
      </c>
      <c r="J89" t="s">
        <v>136</v>
      </c>
      <c r="K89" t="s">
        <v>84</v>
      </c>
    </row>
    <row r="90" spans="1:11" s="13" customFormat="1" x14ac:dyDescent="0.25">
      <c r="A90" s="13" t="s">
        <v>25</v>
      </c>
      <c r="B90" s="13" t="s">
        <v>120</v>
      </c>
      <c r="C90" s="13" t="s">
        <v>53</v>
      </c>
      <c r="D90" s="13">
        <v>2010</v>
      </c>
      <c r="E90" s="13" t="s">
        <v>49</v>
      </c>
      <c r="G90" s="13">
        <v>41.523714999999996</v>
      </c>
      <c r="H90" s="43">
        <f>VLOOKUP(A90,elec_consump_prov_bas_units!$H$3:$Q$10,IF(AND(E90="residential",J90="Electricity_Import")=TRUE,2+4,2),FALSE)</f>
        <v>41.523714999999996</v>
      </c>
      <c r="I90" t="s">
        <v>131</v>
      </c>
      <c r="J90" s="13" t="s">
        <v>136</v>
      </c>
      <c r="K90" s="13" t="s">
        <v>84</v>
      </c>
    </row>
    <row r="91" spans="1:11" x14ac:dyDescent="0.25">
      <c r="A91" t="s">
        <v>17</v>
      </c>
      <c r="B91" t="s">
        <v>120</v>
      </c>
      <c r="C91" t="s">
        <v>53</v>
      </c>
      <c r="D91">
        <v>2010</v>
      </c>
      <c r="E91" t="s">
        <v>50</v>
      </c>
      <c r="G91">
        <v>6.808592</v>
      </c>
      <c r="H91" s="20">
        <f>VLOOKUP(A91,elec_consump_prov_bas_units!$H$3:$Q$10,IF(AND(E91="commercial",J91="Electricity_Import")=TRUE,3+4,3),FALSE)</f>
        <v>0.21617606878149953</v>
      </c>
      <c r="I91" t="s">
        <v>131</v>
      </c>
      <c r="J91" s="11" t="s">
        <v>128</v>
      </c>
      <c r="K91" t="s">
        <v>84</v>
      </c>
    </row>
    <row r="92" spans="1:11" x14ac:dyDescent="0.25">
      <c r="A92" t="s">
        <v>17</v>
      </c>
      <c r="B92" t="s">
        <v>120</v>
      </c>
      <c r="C92" t="s">
        <v>53</v>
      </c>
      <c r="D92">
        <v>2010</v>
      </c>
      <c r="E92" t="s">
        <v>50</v>
      </c>
      <c r="G92">
        <v>6.808592</v>
      </c>
      <c r="H92" s="20">
        <f>VLOOKUP(A92,elec_consump_prov_bas_units!$H$3:$Q$10,IF(AND(E92="commercial",J92="Electricity_Import")=TRUE,3+4,3),FALSE)</f>
        <v>6.5924159312185004</v>
      </c>
      <c r="I92" t="s">
        <v>131</v>
      </c>
      <c r="J92" t="s">
        <v>136</v>
      </c>
    </row>
    <row r="93" spans="1:11" x14ac:dyDescent="0.25">
      <c r="A93" t="s">
        <v>18</v>
      </c>
      <c r="B93" t="s">
        <v>120</v>
      </c>
      <c r="C93" t="s">
        <v>53</v>
      </c>
      <c r="D93">
        <v>2010</v>
      </c>
      <c r="E93" t="s">
        <v>50</v>
      </c>
      <c r="G93">
        <v>0</v>
      </c>
      <c r="H93" s="20">
        <f>VLOOKUP(A93,elec_consump_prov_bas_units!$H$3:$Q$10,IF(AND(E93="commercial",J93="Electricity_Import")=TRUE,3+4,3),FALSE)</f>
        <v>0</v>
      </c>
      <c r="I93" t="s">
        <v>131</v>
      </c>
      <c r="J93" t="s">
        <v>136</v>
      </c>
      <c r="K93" t="s">
        <v>84</v>
      </c>
    </row>
    <row r="94" spans="1:11" x14ac:dyDescent="0.25">
      <c r="A94" t="s">
        <v>20</v>
      </c>
      <c r="B94" t="s">
        <v>120</v>
      </c>
      <c r="C94" t="s">
        <v>53</v>
      </c>
      <c r="D94">
        <v>2010</v>
      </c>
      <c r="E94" t="s">
        <v>50</v>
      </c>
      <c r="G94">
        <v>0</v>
      </c>
      <c r="H94" s="20">
        <f>VLOOKUP(A94,elec_consump_prov_bas_units!$H$3:$Q$10,IF(AND(E94="commercial",J94="Electricity_Import")=TRUE,3+4,3),FALSE)</f>
        <v>0</v>
      </c>
      <c r="I94" t="s">
        <v>131</v>
      </c>
      <c r="J94" s="11" t="s">
        <v>128</v>
      </c>
      <c r="K94" t="s">
        <v>84</v>
      </c>
    </row>
    <row r="95" spans="1:11" x14ac:dyDescent="0.25">
      <c r="A95" t="s">
        <v>20</v>
      </c>
      <c r="B95" t="s">
        <v>120</v>
      </c>
      <c r="C95" t="s">
        <v>53</v>
      </c>
      <c r="D95">
        <v>2010</v>
      </c>
      <c r="E95" t="s">
        <v>50</v>
      </c>
      <c r="G95">
        <v>0</v>
      </c>
      <c r="H95" s="20">
        <f>VLOOKUP(A95,elec_consump_prov_bas_units!$H$3:$Q$10,IF(AND(E95="commercial",J95="Electricity_Import")=TRUE,3+4,3),FALSE)</f>
        <v>0</v>
      </c>
      <c r="I95" t="s">
        <v>131</v>
      </c>
      <c r="J95" s="11" t="s">
        <v>129</v>
      </c>
    </row>
    <row r="96" spans="1:11" x14ac:dyDescent="0.25">
      <c r="A96" t="s">
        <v>21</v>
      </c>
      <c r="B96" t="s">
        <v>120</v>
      </c>
      <c r="C96" t="s">
        <v>53</v>
      </c>
      <c r="D96">
        <v>2010</v>
      </c>
      <c r="E96" t="s">
        <v>50</v>
      </c>
      <c r="G96">
        <v>137.85332973204817</v>
      </c>
      <c r="H96" s="20">
        <f>VLOOKUP(A96,elec_consump_prov_bas_units!$H$3:$Q$10,IF(AND(E96="commercial",J96="Electricity_Import")=TRUE,3+4,3),FALSE)</f>
        <v>116.99278898230385</v>
      </c>
      <c r="I96" t="s">
        <v>131</v>
      </c>
      <c r="J96" t="s">
        <v>136</v>
      </c>
      <c r="K96" t="s">
        <v>84</v>
      </c>
    </row>
    <row r="97" spans="1:11" x14ac:dyDescent="0.25">
      <c r="A97" t="s">
        <v>24</v>
      </c>
      <c r="B97" t="s">
        <v>120</v>
      </c>
      <c r="C97" t="s">
        <v>53</v>
      </c>
      <c r="D97">
        <v>2010</v>
      </c>
      <c r="E97" t="s">
        <v>50</v>
      </c>
      <c r="G97">
        <v>20.835905999999998</v>
      </c>
      <c r="H97" s="20">
        <f>VLOOKUP(A97,elec_consump_prov_bas_units!$H$3:$Q$10,IF(AND(E97="commercial",J97="Electricity_Import")=TRUE,3+4,3),FALSE)</f>
        <v>20.835905999999998</v>
      </c>
      <c r="I97" t="s">
        <v>131</v>
      </c>
      <c r="J97" t="s">
        <v>136</v>
      </c>
      <c r="K97" t="s">
        <v>84</v>
      </c>
    </row>
    <row r="98" spans="1:11" x14ac:dyDescent="0.25">
      <c r="A98" t="s">
        <v>22</v>
      </c>
      <c r="B98" t="s">
        <v>120</v>
      </c>
      <c r="C98" t="s">
        <v>53</v>
      </c>
      <c r="D98">
        <v>2010</v>
      </c>
      <c r="E98" t="s">
        <v>50</v>
      </c>
      <c r="G98">
        <v>3.19665</v>
      </c>
      <c r="H98" s="20">
        <f>VLOOKUP(A98,elec_consump_prov_bas_units!$H$3:$Q$10,IF(AND(E98="commercial",J98="Electricity_Import")=TRUE,3+4,3),FALSE)</f>
        <v>3.19665</v>
      </c>
      <c r="I98" t="s">
        <v>131</v>
      </c>
      <c r="J98" t="s">
        <v>130</v>
      </c>
      <c r="K98" t="s">
        <v>84</v>
      </c>
    </row>
    <row r="99" spans="1:11" x14ac:dyDescent="0.25">
      <c r="A99" t="s">
        <v>23</v>
      </c>
      <c r="B99" t="s">
        <v>120</v>
      </c>
      <c r="C99" t="s">
        <v>53</v>
      </c>
      <c r="D99">
        <v>2010</v>
      </c>
      <c r="E99" t="s">
        <v>50</v>
      </c>
      <c r="G99">
        <v>1.5874009999999998</v>
      </c>
      <c r="H99" s="20">
        <f>VLOOKUP(A99,elec_consump_prov_bas_units!$H$3:$Q$10,IF(AND(E99="commercial",J99="Electricity_Import")=TRUE,3+4,3),FALSE)</f>
        <v>0.14807030909660446</v>
      </c>
      <c r="I99" t="s">
        <v>131</v>
      </c>
      <c r="J99" s="11" t="s">
        <v>128</v>
      </c>
      <c r="K99" t="s">
        <v>84</v>
      </c>
    </row>
    <row r="100" spans="1:11" x14ac:dyDescent="0.25">
      <c r="A100" t="s">
        <v>23</v>
      </c>
      <c r="B100" t="s">
        <v>120</v>
      </c>
      <c r="C100" t="s">
        <v>53</v>
      </c>
      <c r="D100">
        <v>2010</v>
      </c>
      <c r="E100" t="s">
        <v>50</v>
      </c>
      <c r="G100">
        <v>1.5874009999999998</v>
      </c>
      <c r="H100" s="20">
        <f>VLOOKUP(A100,elec_consump_prov_bas_units!$H$3:$Q$10,IF(AND(E100="commercial",J100="Electricity_Import")=TRUE,3+4,3),FALSE)</f>
        <v>1.4393306909033954</v>
      </c>
      <c r="I100" t="s">
        <v>131</v>
      </c>
      <c r="J100" t="s">
        <v>136</v>
      </c>
    </row>
    <row r="101" spans="1:11" s="13" customFormat="1" x14ac:dyDescent="0.25">
      <c r="A101" s="13" t="s">
        <v>25</v>
      </c>
      <c r="B101" s="13" t="s">
        <v>120</v>
      </c>
      <c r="C101" s="13" t="s">
        <v>53</v>
      </c>
      <c r="D101" s="13">
        <v>2010</v>
      </c>
      <c r="E101" s="13" t="s">
        <v>50</v>
      </c>
      <c r="G101" s="13">
        <v>20.123545</v>
      </c>
      <c r="H101" s="43">
        <f>VLOOKUP(A101,elec_consump_prov_bas_units!$H$3:$Q$10,IF(AND(E101="commercial",J101="Electricity_Import")=TRUE,3+4,3),FALSE)</f>
        <v>20.123545</v>
      </c>
      <c r="I101" t="s">
        <v>131</v>
      </c>
      <c r="J101" s="13" t="s">
        <v>136</v>
      </c>
      <c r="K101" s="13" t="s">
        <v>84</v>
      </c>
    </row>
    <row r="102" spans="1:11" s="11" customFormat="1" x14ac:dyDescent="0.25">
      <c r="A102" t="s">
        <v>17</v>
      </c>
      <c r="B102" t="s">
        <v>120</v>
      </c>
      <c r="C102" t="s">
        <v>53</v>
      </c>
      <c r="D102">
        <v>2010</v>
      </c>
      <c r="E102" t="s">
        <v>51</v>
      </c>
      <c r="G102" s="11">
        <v>23.004598000000001</v>
      </c>
      <c r="H102" s="20">
        <f>VLOOKUP(A102,elec_consump_prov_bas_units!$H$3:$Q$10,IF(AND(E102="industrial",J102="Electricity_Import")=TRUE,4+4,4),FALSE)</f>
        <v>0.73040704444307236</v>
      </c>
      <c r="I102" t="s">
        <v>131</v>
      </c>
      <c r="J102" s="11" t="s">
        <v>128</v>
      </c>
      <c r="K102" s="11" t="s">
        <v>84</v>
      </c>
    </row>
    <row r="103" spans="1:11" s="11" customFormat="1" x14ac:dyDescent="0.25">
      <c r="A103" t="s">
        <v>17</v>
      </c>
      <c r="B103" t="s">
        <v>120</v>
      </c>
      <c r="C103" t="s">
        <v>53</v>
      </c>
      <c r="D103">
        <v>2010</v>
      </c>
      <c r="E103" t="s">
        <v>51</v>
      </c>
      <c r="G103" s="11">
        <v>23.004598000000001</v>
      </c>
      <c r="H103" s="20">
        <f>VLOOKUP(A103,elec_consump_prov_bas_units!$H$3:$Q$10,IF(AND(E103="industrial",J103="Electricity_Import")=TRUE,4+4,4),FALSE)</f>
        <v>22.274190955556929</v>
      </c>
      <c r="I103" t="s">
        <v>131</v>
      </c>
      <c r="J103" t="s">
        <v>136</v>
      </c>
    </row>
    <row r="104" spans="1:11" x14ac:dyDescent="0.25">
      <c r="A104" t="s">
        <v>18</v>
      </c>
      <c r="B104" t="s">
        <v>120</v>
      </c>
      <c r="C104" t="s">
        <v>53</v>
      </c>
      <c r="D104">
        <v>2010</v>
      </c>
      <c r="E104" t="s">
        <v>51</v>
      </c>
      <c r="G104">
        <v>0</v>
      </c>
      <c r="H104" s="20">
        <f>VLOOKUP(A104,elec_consump_prov_bas_units!$H$3:$Q$10,IF(AND(E104="industrial",J104="Electricity_Import")=TRUE,4+4,4),FALSE)</f>
        <v>0</v>
      </c>
      <c r="I104" t="s">
        <v>131</v>
      </c>
      <c r="J104" t="s">
        <v>136</v>
      </c>
      <c r="K104" t="s">
        <v>84</v>
      </c>
    </row>
    <row r="105" spans="1:11" x14ac:dyDescent="0.25">
      <c r="A105" t="s">
        <v>20</v>
      </c>
      <c r="B105" t="s">
        <v>120</v>
      </c>
      <c r="C105" t="s">
        <v>53</v>
      </c>
      <c r="D105">
        <v>2010</v>
      </c>
      <c r="E105" t="s">
        <v>51</v>
      </c>
      <c r="G105">
        <v>533.74019999999996</v>
      </c>
      <c r="H105" s="20">
        <f>VLOOKUP(A105,elec_consump_prov_bas_units!$H$3:$Q$10,IF(AND(E105="industrial",J105="Electricity_Import")=TRUE,4+4,4),FALSE)*0.32</f>
        <v>170.796864</v>
      </c>
      <c r="I105" t="s">
        <v>131</v>
      </c>
      <c r="J105" s="11" t="s">
        <v>128</v>
      </c>
      <c r="K105" t="s">
        <v>84</v>
      </c>
    </row>
    <row r="106" spans="1:11" x14ac:dyDescent="0.25">
      <c r="A106" t="s">
        <v>20</v>
      </c>
      <c r="B106" t="s">
        <v>120</v>
      </c>
      <c r="C106" t="s">
        <v>53</v>
      </c>
      <c r="D106">
        <v>2010</v>
      </c>
      <c r="E106" t="s">
        <v>51</v>
      </c>
      <c r="G106">
        <v>533.74019999999996</v>
      </c>
      <c r="H106" s="20">
        <f>VLOOKUP(A106,elec_consump_prov_bas_units!$H$3:$Q$10,IF(AND(E106="industrial",J106="Electricity_Import")=TRUE,4+4,4),FALSE)*0.68</f>
        <v>362.94333599999999</v>
      </c>
      <c r="I106" t="s">
        <v>131</v>
      </c>
      <c r="J106" s="11" t="s">
        <v>129</v>
      </c>
    </row>
    <row r="107" spans="1:11" x14ac:dyDescent="0.25">
      <c r="A107" t="s">
        <v>21</v>
      </c>
      <c r="B107" t="s">
        <v>120</v>
      </c>
      <c r="C107" t="s">
        <v>53</v>
      </c>
      <c r="D107">
        <v>2010</v>
      </c>
      <c r="E107" t="s">
        <v>51</v>
      </c>
      <c r="G107">
        <v>500.39769525533006</v>
      </c>
      <c r="H107" s="20">
        <f>VLOOKUP(A107,elec_consump_prov_bas_units!$H$3:$Q$10,IF(AND(E107="industrial",J107="Electricity_Import")=TRUE,4+4,4),FALSE)</f>
        <v>424.67542918281811</v>
      </c>
      <c r="I107" t="s">
        <v>131</v>
      </c>
      <c r="J107" t="s">
        <v>136</v>
      </c>
      <c r="K107" t="s">
        <v>84</v>
      </c>
    </row>
    <row r="108" spans="1:11" x14ac:dyDescent="0.25">
      <c r="A108" t="s">
        <v>24</v>
      </c>
      <c r="B108" t="s">
        <v>120</v>
      </c>
      <c r="C108" t="s">
        <v>53</v>
      </c>
      <c r="D108">
        <v>2010</v>
      </c>
      <c r="E108" t="s">
        <v>51</v>
      </c>
      <c r="G108">
        <v>24.013419000000003</v>
      </c>
      <c r="H108" s="20">
        <f>VLOOKUP(A108,elec_consump_prov_bas_units!$H$3:$Q$10,IF(AND(E108="industrial",J108="Electricity_Import")=TRUE,4+4,4),FALSE)</f>
        <v>24.013419000000003</v>
      </c>
      <c r="I108" t="s">
        <v>131</v>
      </c>
      <c r="J108" t="s">
        <v>136</v>
      </c>
      <c r="K108" t="s">
        <v>84</v>
      </c>
    </row>
    <row r="109" spans="1:11" x14ac:dyDescent="0.25">
      <c r="A109" t="s">
        <v>22</v>
      </c>
      <c r="B109" t="s">
        <v>120</v>
      </c>
      <c r="C109" t="s">
        <v>53</v>
      </c>
      <c r="D109">
        <v>2010</v>
      </c>
      <c r="E109" t="s">
        <v>51</v>
      </c>
      <c r="G109">
        <v>6.5671850000000003</v>
      </c>
      <c r="H109" s="20">
        <f>VLOOKUP(A109,elec_consump_prov_bas_units!$H$3:$Q$10,IF(AND(E109="industrial",J109="Electricity_Import")=TRUE,4+4,4),FALSE)</f>
        <v>6.5671850000000003</v>
      </c>
      <c r="I109" t="s">
        <v>131</v>
      </c>
      <c r="J109" t="s">
        <v>130</v>
      </c>
      <c r="K109" t="s">
        <v>84</v>
      </c>
    </row>
    <row r="110" spans="1:11" x14ac:dyDescent="0.25">
      <c r="A110" t="s">
        <v>23</v>
      </c>
      <c r="B110" t="s">
        <v>120</v>
      </c>
      <c r="C110" t="s">
        <v>53</v>
      </c>
      <c r="D110">
        <v>2010</v>
      </c>
      <c r="E110" t="s">
        <v>51</v>
      </c>
      <c r="G110">
        <v>0.11881200000000001</v>
      </c>
      <c r="H110" s="20">
        <f>VLOOKUP(A110,elec_consump_prov_bas_units!$H$3:$Q$10,IF(AND(E110="industrial",J110="Electricity_Import")=TRUE,4+4,4),FALSE)</f>
        <v>1.1082599522354951E-2</v>
      </c>
      <c r="I110" t="s">
        <v>131</v>
      </c>
      <c r="J110" s="11" t="s">
        <v>128</v>
      </c>
      <c r="K110" t="s">
        <v>84</v>
      </c>
    </row>
    <row r="111" spans="1:11" x14ac:dyDescent="0.25">
      <c r="A111" t="s">
        <v>23</v>
      </c>
      <c r="B111" t="s">
        <v>120</v>
      </c>
      <c r="C111" t="s">
        <v>53</v>
      </c>
      <c r="D111">
        <v>2010</v>
      </c>
      <c r="E111" t="s">
        <v>51</v>
      </c>
      <c r="G111">
        <v>0.11881200000000001</v>
      </c>
      <c r="H111" s="20">
        <f>VLOOKUP(A111,elec_consump_prov_bas_units!$H$3:$Q$10,IF(AND(E111="industrial",J111="Electricity_Import")=TRUE,4+4,4),FALSE)</f>
        <v>0.10772940047764507</v>
      </c>
      <c r="I111" t="s">
        <v>131</v>
      </c>
      <c r="J111" t="s">
        <v>136</v>
      </c>
    </row>
    <row r="112" spans="1:11" s="13" customFormat="1" x14ac:dyDescent="0.25">
      <c r="A112" s="13" t="s">
        <v>25</v>
      </c>
      <c r="B112" s="13" t="s">
        <v>120</v>
      </c>
      <c r="C112" s="13" t="s">
        <v>53</v>
      </c>
      <c r="D112" s="13">
        <v>2010</v>
      </c>
      <c r="E112" s="13" t="s">
        <v>51</v>
      </c>
      <c r="G112" s="13">
        <v>8.8862249999999996</v>
      </c>
      <c r="H112" s="43">
        <f>VLOOKUP(A112,elec_consump_prov_bas_units!$H$3:$Q$10,IF(AND(E112="industrial",J112="Electricity_Import")=TRUE,4+4,4),FALSE)</f>
        <v>8.8862249999999996</v>
      </c>
      <c r="I112" t="s">
        <v>131</v>
      </c>
      <c r="J112" s="13" t="s">
        <v>136</v>
      </c>
      <c r="K112" s="13" t="s">
        <v>84</v>
      </c>
    </row>
    <row r="113" spans="1:11" x14ac:dyDescent="0.25">
      <c r="A113" t="s">
        <v>17</v>
      </c>
      <c r="B113" t="s">
        <v>120</v>
      </c>
      <c r="C113" t="s">
        <v>53</v>
      </c>
      <c r="D113">
        <v>2010</v>
      </c>
      <c r="E113" t="s">
        <v>52</v>
      </c>
      <c r="G113">
        <v>11.736355999999999</v>
      </c>
      <c r="H113" s="20">
        <f>VLOOKUP(A113,elec_consump_prov_bas_units!$H$3:$Q$10,IF(AND(E113="other",J113="Electricity_Import")=TRUE,5+4,5),FALSE)</f>
        <v>0.37263494447900014</v>
      </c>
      <c r="I113" t="s">
        <v>131</v>
      </c>
      <c r="J113" s="11" t="s">
        <v>128</v>
      </c>
      <c r="K113" t="s">
        <v>84</v>
      </c>
    </row>
    <row r="114" spans="1:11" x14ac:dyDescent="0.25">
      <c r="A114" t="s">
        <v>17</v>
      </c>
      <c r="B114" t="s">
        <v>120</v>
      </c>
      <c r="C114" t="s">
        <v>53</v>
      </c>
      <c r="D114">
        <v>2010</v>
      </c>
      <c r="E114" t="s">
        <v>52</v>
      </c>
      <c r="G114">
        <v>11.736355999999999</v>
      </c>
      <c r="H114" s="20">
        <f>VLOOKUP(A114,elec_consump_prov_bas_units!$H$3:$Q$10,IF(AND(E114="other",J114="Electricity_Import")=TRUE,5+4,5),FALSE)</f>
        <v>11.363721055520999</v>
      </c>
      <c r="I114" t="s">
        <v>131</v>
      </c>
      <c r="J114" t="s">
        <v>136</v>
      </c>
    </row>
    <row r="115" spans="1:11" x14ac:dyDescent="0.25">
      <c r="A115" t="s">
        <v>18</v>
      </c>
      <c r="B115" t="s">
        <v>120</v>
      </c>
      <c r="C115" t="s">
        <v>53</v>
      </c>
      <c r="D115">
        <v>2010</v>
      </c>
      <c r="E115" t="s">
        <v>52</v>
      </c>
      <c r="G115">
        <v>5.4779669999999996</v>
      </c>
      <c r="H115" s="20">
        <f>VLOOKUP(A115,elec_consump_prov_bas_units!$H$3:$Q$10,IF(AND(E115="other",J115="Electricity_Import")=TRUE,5+4,5),FALSE)</f>
        <v>5.4779669999999996</v>
      </c>
      <c r="I115" t="s">
        <v>131</v>
      </c>
      <c r="J115" t="s">
        <v>136</v>
      </c>
      <c r="K115" t="s">
        <v>84</v>
      </c>
    </row>
    <row r="116" spans="1:11" x14ac:dyDescent="0.25">
      <c r="A116" t="s">
        <v>20</v>
      </c>
      <c r="B116" t="s">
        <v>120</v>
      </c>
      <c r="C116" t="s">
        <v>53</v>
      </c>
      <c r="D116">
        <v>2010</v>
      </c>
      <c r="E116" t="s">
        <v>52</v>
      </c>
      <c r="G116">
        <v>105.08211200000001</v>
      </c>
      <c r="H116" s="20">
        <f>VLOOKUP(A116,elec_consump_prov_bas_units!$H$3:$Q$10,IF(AND(E116="other",J116="Electricity_Import")=TRUE,5+4,5),FALSE)*0.32</f>
        <v>33.626275840000005</v>
      </c>
      <c r="I116" t="s">
        <v>131</v>
      </c>
      <c r="J116" s="11" t="s">
        <v>128</v>
      </c>
      <c r="K116" t="s">
        <v>84</v>
      </c>
    </row>
    <row r="117" spans="1:11" x14ac:dyDescent="0.25">
      <c r="A117" t="s">
        <v>20</v>
      </c>
      <c r="B117" t="s">
        <v>120</v>
      </c>
      <c r="C117" t="s">
        <v>53</v>
      </c>
      <c r="D117">
        <v>2010</v>
      </c>
      <c r="E117" t="s">
        <v>52</v>
      </c>
      <c r="G117">
        <v>105.08211200000001</v>
      </c>
      <c r="H117" s="20">
        <f>VLOOKUP(A117,elec_consump_prov_bas_units!$H$3:$Q$10,IF(AND(E117="other",J117="Electricity_Import")=TRUE,5+4,5),FALSE)*0.68</f>
        <v>71.455836160000018</v>
      </c>
      <c r="I117" t="s">
        <v>131</v>
      </c>
      <c r="J117" s="11" t="s">
        <v>129</v>
      </c>
    </row>
    <row r="118" spans="1:11" x14ac:dyDescent="0.25">
      <c r="A118" t="s">
        <v>21</v>
      </c>
      <c r="B118" t="s">
        <v>120</v>
      </c>
      <c r="C118" t="s">
        <v>53</v>
      </c>
      <c r="D118">
        <v>2010</v>
      </c>
      <c r="E118" t="s">
        <v>52</v>
      </c>
      <c r="G118">
        <v>133.63556586809966</v>
      </c>
      <c r="H118" s="20">
        <f>VLOOKUP(A118,elec_consump_prov_bas_units!$H$3:$Q$10,IF(AND(E118="other",J118="Electricity_Import")=TRUE,5+4,5),FALSE)</f>
        <v>113.41327473574026</v>
      </c>
      <c r="I118" t="s">
        <v>131</v>
      </c>
      <c r="J118" t="s">
        <v>136</v>
      </c>
      <c r="K118" t="s">
        <v>84</v>
      </c>
    </row>
    <row r="119" spans="1:11" x14ac:dyDescent="0.25">
      <c r="A119" t="s">
        <v>24</v>
      </c>
      <c r="B119" t="s">
        <v>120</v>
      </c>
      <c r="C119" t="s">
        <v>53</v>
      </c>
      <c r="D119">
        <v>2010</v>
      </c>
      <c r="E119" t="s">
        <v>52</v>
      </c>
      <c r="G119">
        <v>24.521529999999998</v>
      </c>
      <c r="H119" s="20">
        <f>VLOOKUP(A119,elec_consump_prov_bas_units!$H$3:$Q$10,IF(AND(E119="other",J119="Electricity_Import")=TRUE,5+4,5),FALSE)</f>
        <v>24.521529999999998</v>
      </c>
      <c r="I119" t="s">
        <v>131</v>
      </c>
      <c r="J119" t="s">
        <v>136</v>
      </c>
      <c r="K119" t="s">
        <v>84</v>
      </c>
    </row>
    <row r="120" spans="1:11" x14ac:dyDescent="0.25">
      <c r="A120" t="s">
        <v>22</v>
      </c>
      <c r="B120" t="s">
        <v>120</v>
      </c>
      <c r="C120" t="s">
        <v>53</v>
      </c>
      <c r="D120">
        <v>2010</v>
      </c>
      <c r="E120" t="s">
        <v>52</v>
      </c>
      <c r="G120">
        <v>4.5687889999999998</v>
      </c>
      <c r="H120" s="20">
        <f>VLOOKUP(A120,elec_consump_prov_bas_units!$H$3:$Q$10,IF(AND(E120="other",J120="Electricity_Import")=TRUE,5+4,5),FALSE)</f>
        <v>4.5687889999999998</v>
      </c>
      <c r="I120" t="s">
        <v>131</v>
      </c>
      <c r="J120" t="s">
        <v>130</v>
      </c>
      <c r="K120" t="s">
        <v>84</v>
      </c>
    </row>
    <row r="121" spans="1:11" x14ac:dyDescent="0.25">
      <c r="A121" t="s">
        <v>23</v>
      </c>
      <c r="B121" t="s">
        <v>120</v>
      </c>
      <c r="C121" t="s">
        <v>53</v>
      </c>
      <c r="D121">
        <v>2010</v>
      </c>
      <c r="E121" t="s">
        <v>52</v>
      </c>
      <c r="G121">
        <v>4.7542629999999999</v>
      </c>
      <c r="H121" s="20">
        <f>VLOOKUP(A121,elec_consump_prov_bas_units!$H$3:$Q$10,IF(AND(E121="other",J121="Electricity_Import")=TRUE,5+4,5),FALSE)</f>
        <v>0.4434702963753645</v>
      </c>
      <c r="I121" t="s">
        <v>131</v>
      </c>
      <c r="J121" s="11" t="s">
        <v>128</v>
      </c>
      <c r="K121" t="s">
        <v>84</v>
      </c>
    </row>
    <row r="122" spans="1:11" x14ac:dyDescent="0.25">
      <c r="A122" t="s">
        <v>23</v>
      </c>
      <c r="B122" t="s">
        <v>120</v>
      </c>
      <c r="C122" t="s">
        <v>53</v>
      </c>
      <c r="D122">
        <v>2010</v>
      </c>
      <c r="E122" t="s">
        <v>52</v>
      </c>
      <c r="G122">
        <v>4.7542629999999999</v>
      </c>
      <c r="H122" s="20">
        <f>VLOOKUP(A122,elec_consump_prov_bas_units!$H$3:$Q$10,IF(AND(E122="other",J122="Electricity_Import")=TRUE,5+4,5),FALSE)</f>
        <v>4.3107927036246352</v>
      </c>
      <c r="I122" t="s">
        <v>131</v>
      </c>
      <c r="J122" t="s">
        <v>136</v>
      </c>
    </row>
    <row r="123" spans="1:11" s="13" customFormat="1" x14ac:dyDescent="0.25">
      <c r="A123" s="13" t="s">
        <v>25</v>
      </c>
      <c r="B123" s="13" t="s">
        <v>120</v>
      </c>
      <c r="C123" s="13" t="s">
        <v>53</v>
      </c>
      <c r="D123" s="13">
        <v>2010</v>
      </c>
      <c r="E123" s="13" t="s">
        <v>52</v>
      </c>
      <c r="G123" s="13">
        <v>25.390125000000001</v>
      </c>
      <c r="H123" s="43">
        <f>VLOOKUP(A123,elec_consump_prov_bas_units!$H$3:$Q$10,IF(AND(E123="other",J123="Electricity_Import")=TRUE,5+4,5),FALSE)</f>
        <v>25.390125000000001</v>
      </c>
      <c r="I123" t="s">
        <v>131</v>
      </c>
      <c r="J123" s="13" t="s">
        <v>136</v>
      </c>
      <c r="K123" s="13" t="s">
        <v>84</v>
      </c>
    </row>
    <row r="124" spans="1:11" s="11" customFormat="1" x14ac:dyDescent="0.25">
      <c r="A124" s="4" t="s">
        <v>20</v>
      </c>
      <c r="B124" t="s">
        <v>120</v>
      </c>
      <c r="C124" t="s">
        <v>53</v>
      </c>
      <c r="D124" s="11">
        <v>2010</v>
      </c>
      <c r="E124" s="9" t="s">
        <v>144</v>
      </c>
      <c r="G124" s="54">
        <f>elec_consump_prov_bas_units!G5-H93-H94-H95-H105-H106-H83-H84-H116-H117</f>
        <v>4.2161269999999718</v>
      </c>
      <c r="H124" s="20">
        <f>G124*0.32</f>
        <v>1.3491606399999909</v>
      </c>
      <c r="I124" t="s">
        <v>131</v>
      </c>
      <c r="J124" s="11" t="s">
        <v>128</v>
      </c>
    </row>
    <row r="125" spans="1:11" s="11" customFormat="1" x14ac:dyDescent="0.25">
      <c r="A125" s="4" t="s">
        <v>20</v>
      </c>
      <c r="B125" t="s">
        <v>120</v>
      </c>
      <c r="C125" t="s">
        <v>53</v>
      </c>
      <c r="D125" s="11">
        <v>2010</v>
      </c>
      <c r="E125" s="9" t="s">
        <v>144</v>
      </c>
      <c r="G125" s="54">
        <f>G124</f>
        <v>4.2161269999999718</v>
      </c>
      <c r="H125" s="20">
        <f>G125*0.68</f>
        <v>2.8669663599999811</v>
      </c>
      <c r="I125" t="s">
        <v>131</v>
      </c>
      <c r="J125" s="11" t="s">
        <v>129</v>
      </c>
    </row>
    <row r="126" spans="1:11" s="13" customFormat="1" x14ac:dyDescent="0.25">
      <c r="A126" s="15" t="s">
        <v>22</v>
      </c>
      <c r="B126" s="13" t="s">
        <v>120</v>
      </c>
      <c r="C126" s="13" t="s">
        <v>53</v>
      </c>
      <c r="D126" s="13">
        <v>2010</v>
      </c>
      <c r="E126" s="16" t="s">
        <v>144</v>
      </c>
      <c r="G126" s="55">
        <f>elec_consump_prov_bas_units!G8-H120-H109-H98-H87</f>
        <v>134.21895000000001</v>
      </c>
      <c r="H126" s="43">
        <f>G126</f>
        <v>134.21895000000001</v>
      </c>
      <c r="I126" t="s">
        <v>131</v>
      </c>
      <c r="J126" s="13" t="s">
        <v>130</v>
      </c>
    </row>
    <row r="127" spans="1:11" s="11" customFormat="1" x14ac:dyDescent="0.25">
      <c r="A127" t="s">
        <v>25</v>
      </c>
      <c r="B127" s="9" t="s">
        <v>219</v>
      </c>
      <c r="C127" s="9" t="s">
        <v>220</v>
      </c>
      <c r="D127" s="11">
        <v>2010</v>
      </c>
      <c r="E127" s="9" t="s">
        <v>144</v>
      </c>
      <c r="G127" s="54">
        <v>79.784590790489133</v>
      </c>
      <c r="H127" s="54">
        <v>79.784590790489133</v>
      </c>
      <c r="I127" s="54" t="s">
        <v>246</v>
      </c>
      <c r="J127" t="s">
        <v>221</v>
      </c>
      <c r="K127" s="11" t="s">
        <v>218</v>
      </c>
    </row>
    <row r="128" spans="1:11" s="11" customFormat="1" x14ac:dyDescent="0.25">
      <c r="A128" t="s">
        <v>25</v>
      </c>
      <c r="B128" s="9" t="s">
        <v>219</v>
      </c>
      <c r="C128" s="9" t="s">
        <v>220</v>
      </c>
      <c r="D128" s="11">
        <v>2010</v>
      </c>
      <c r="E128" s="9" t="s">
        <v>144</v>
      </c>
      <c r="G128" s="54">
        <v>340.64928000000003</v>
      </c>
      <c r="H128" s="54">
        <v>340.64928000000003</v>
      </c>
      <c r="I128" s="54" t="s">
        <v>246</v>
      </c>
      <c r="J128" t="s">
        <v>222</v>
      </c>
      <c r="K128" s="11" t="s">
        <v>218</v>
      </c>
    </row>
    <row r="129" spans="1:11" x14ac:dyDescent="0.25">
      <c r="A129" t="s">
        <v>25</v>
      </c>
      <c r="B129" s="9" t="s">
        <v>219</v>
      </c>
      <c r="C129" s="9" t="s">
        <v>220</v>
      </c>
      <c r="D129" s="11">
        <v>2010</v>
      </c>
      <c r="E129" s="9" t="s">
        <v>144</v>
      </c>
      <c r="G129" s="25">
        <v>26.375530267911028</v>
      </c>
      <c r="H129" s="25">
        <v>26.375530267911028</v>
      </c>
      <c r="I129" s="54" t="s">
        <v>246</v>
      </c>
      <c r="J129" t="s">
        <v>223</v>
      </c>
      <c r="K129" s="11" t="s">
        <v>218</v>
      </c>
    </row>
    <row r="130" spans="1:11" x14ac:dyDescent="0.25">
      <c r="A130" s="18" t="s">
        <v>23</v>
      </c>
      <c r="B130" s="9" t="s">
        <v>219</v>
      </c>
      <c r="C130" s="9" t="s">
        <v>220</v>
      </c>
      <c r="D130" s="11">
        <v>2010</v>
      </c>
      <c r="E130" s="9" t="s">
        <v>144</v>
      </c>
      <c r="G130" s="25">
        <v>8.4956222830602904E-2</v>
      </c>
      <c r="H130" s="25">
        <v>8.4956222830602904E-2</v>
      </c>
      <c r="I130" s="54" t="s">
        <v>246</v>
      </c>
      <c r="J130" t="s">
        <v>223</v>
      </c>
      <c r="K130" s="11" t="s">
        <v>218</v>
      </c>
    </row>
    <row r="131" spans="1:11" x14ac:dyDescent="0.25">
      <c r="A131" s="18" t="s">
        <v>23</v>
      </c>
      <c r="B131" s="9" t="s">
        <v>219</v>
      </c>
      <c r="C131" s="9" t="s">
        <v>220</v>
      </c>
      <c r="D131" s="11">
        <v>2010</v>
      </c>
      <c r="E131" s="9" t="s">
        <v>144</v>
      </c>
      <c r="G131" s="25">
        <v>0.74003378378378382</v>
      </c>
      <c r="H131" s="25">
        <v>0.74003378378378382</v>
      </c>
      <c r="I131" s="54" t="s">
        <v>246</v>
      </c>
      <c r="J131" t="s">
        <v>224</v>
      </c>
      <c r="K131" s="11" t="s">
        <v>218</v>
      </c>
    </row>
    <row r="132" spans="1:11" x14ac:dyDescent="0.25">
      <c r="A132" s="18" t="s">
        <v>23</v>
      </c>
      <c r="B132" s="9" t="s">
        <v>219</v>
      </c>
      <c r="C132" s="9" t="s">
        <v>220</v>
      </c>
      <c r="D132" s="11">
        <v>2010</v>
      </c>
      <c r="E132" s="9" t="s">
        <v>144</v>
      </c>
      <c r="G132" s="25">
        <v>0.95300691428571427</v>
      </c>
      <c r="H132" s="25">
        <v>0.95300691428571427</v>
      </c>
      <c r="I132" s="54" t="s">
        <v>246</v>
      </c>
      <c r="J132" t="s">
        <v>222</v>
      </c>
      <c r="K132" s="11" t="s">
        <v>218</v>
      </c>
    </row>
    <row r="133" spans="1:11" x14ac:dyDescent="0.25">
      <c r="A133" s="18" t="s">
        <v>24</v>
      </c>
      <c r="B133" s="9" t="s">
        <v>219</v>
      </c>
      <c r="C133" s="9" t="s">
        <v>220</v>
      </c>
      <c r="D133" s="11">
        <v>2010</v>
      </c>
      <c r="E133" s="9" t="s">
        <v>144</v>
      </c>
      <c r="G133" s="25">
        <v>16.614326335877863</v>
      </c>
      <c r="H133" s="25">
        <v>16.614326335877863</v>
      </c>
      <c r="I133" s="54" t="s">
        <v>246</v>
      </c>
      <c r="J133" t="s">
        <v>226</v>
      </c>
      <c r="K133" s="11" t="s">
        <v>218</v>
      </c>
    </row>
    <row r="134" spans="1:11" x14ac:dyDescent="0.25">
      <c r="A134" s="18" t="s">
        <v>24</v>
      </c>
      <c r="B134" s="9" t="s">
        <v>219</v>
      </c>
      <c r="C134" s="9" t="s">
        <v>220</v>
      </c>
      <c r="D134" s="11">
        <v>2010</v>
      </c>
      <c r="E134" s="9" t="s">
        <v>144</v>
      </c>
      <c r="G134" s="25">
        <v>0.38923457740380824</v>
      </c>
      <c r="H134" s="25">
        <v>0.38923457740380824</v>
      </c>
      <c r="I134" s="54" t="s">
        <v>246</v>
      </c>
      <c r="J134" t="s">
        <v>223</v>
      </c>
      <c r="K134" s="11" t="s">
        <v>218</v>
      </c>
    </row>
    <row r="135" spans="1:11" x14ac:dyDescent="0.25">
      <c r="A135" s="18" t="s">
        <v>24</v>
      </c>
      <c r="B135" s="9" t="s">
        <v>219</v>
      </c>
      <c r="C135" s="9" t="s">
        <v>220</v>
      </c>
      <c r="D135" s="11">
        <v>2010</v>
      </c>
      <c r="E135" s="9" t="s">
        <v>144</v>
      </c>
      <c r="G135" s="25">
        <v>12.368813142857142</v>
      </c>
      <c r="H135" s="25">
        <v>12.368813142857142</v>
      </c>
      <c r="I135" s="54" t="s">
        <v>246</v>
      </c>
      <c r="J135" t="s">
        <v>222</v>
      </c>
      <c r="K135" s="11" t="s">
        <v>218</v>
      </c>
    </row>
    <row r="136" spans="1:11" x14ac:dyDescent="0.25">
      <c r="A136" s="18" t="s">
        <v>24</v>
      </c>
      <c r="B136" s="9" t="s">
        <v>219</v>
      </c>
      <c r="C136" s="9" t="s">
        <v>220</v>
      </c>
      <c r="D136" s="11">
        <v>2010</v>
      </c>
      <c r="E136" s="9" t="s">
        <v>144</v>
      </c>
      <c r="G136" s="25">
        <v>3.2320900554922636</v>
      </c>
      <c r="H136" s="25">
        <v>3.2320900554922636</v>
      </c>
      <c r="I136" s="54" t="s">
        <v>246</v>
      </c>
      <c r="J136" t="s">
        <v>221</v>
      </c>
      <c r="K136" s="11" t="s">
        <v>218</v>
      </c>
    </row>
    <row r="137" spans="1:11" x14ac:dyDescent="0.25">
      <c r="A137" s="18" t="s">
        <v>21</v>
      </c>
      <c r="B137" s="9" t="s">
        <v>219</v>
      </c>
      <c r="C137" s="9" t="s">
        <v>220</v>
      </c>
      <c r="D137" s="11">
        <v>2010</v>
      </c>
      <c r="E137" s="9" t="s">
        <v>144</v>
      </c>
      <c r="G137" s="25">
        <v>0.79091044266983879</v>
      </c>
      <c r="H137" s="25">
        <v>0.79091044266983879</v>
      </c>
      <c r="I137" s="54" t="s">
        <v>246</v>
      </c>
      <c r="J137" t="s">
        <v>223</v>
      </c>
      <c r="K137" s="11" t="s">
        <v>218</v>
      </c>
    </row>
    <row r="138" spans="1:11" x14ac:dyDescent="0.25">
      <c r="A138" s="18" t="s">
        <v>21</v>
      </c>
      <c r="B138" s="9" t="s">
        <v>219</v>
      </c>
      <c r="C138" s="9" t="s">
        <v>220</v>
      </c>
      <c r="D138" s="11">
        <v>2010</v>
      </c>
      <c r="E138" s="9" t="s">
        <v>144</v>
      </c>
      <c r="G138" s="25">
        <v>9.7695417294476491E-2</v>
      </c>
      <c r="H138" s="25">
        <v>9.7695417294476491E-2</v>
      </c>
      <c r="I138" s="54" t="s">
        <v>246</v>
      </c>
      <c r="J138" t="s">
        <v>221</v>
      </c>
      <c r="K138" s="11" t="s">
        <v>218</v>
      </c>
    </row>
    <row r="139" spans="1:11" x14ac:dyDescent="0.25">
      <c r="A139" s="18" t="s">
        <v>21</v>
      </c>
      <c r="B139" s="9" t="s">
        <v>219</v>
      </c>
      <c r="C139" s="9" t="s">
        <v>220</v>
      </c>
      <c r="D139" s="11">
        <v>2010</v>
      </c>
      <c r="E139" s="9" t="s">
        <v>144</v>
      </c>
      <c r="G139" s="25">
        <v>0.91764189189189194</v>
      </c>
      <c r="H139" s="25">
        <v>0.91764189189189194</v>
      </c>
      <c r="I139" s="54" t="s">
        <v>246</v>
      </c>
      <c r="J139" t="s">
        <v>224</v>
      </c>
      <c r="K139" s="11" t="s">
        <v>218</v>
      </c>
    </row>
    <row r="140" spans="1:11" x14ac:dyDescent="0.25">
      <c r="A140" s="18" t="s">
        <v>21</v>
      </c>
      <c r="B140" s="9" t="s">
        <v>219</v>
      </c>
      <c r="C140" s="9" t="s">
        <v>220</v>
      </c>
      <c r="D140" s="11">
        <v>2010</v>
      </c>
      <c r="E140" s="9" t="s">
        <v>144</v>
      </c>
      <c r="G140" s="25">
        <v>1.3185973282442749</v>
      </c>
      <c r="H140" s="25">
        <v>1.3185973282442749</v>
      </c>
      <c r="I140" s="54" t="s">
        <v>246</v>
      </c>
      <c r="J140" t="s">
        <v>226</v>
      </c>
      <c r="K140" s="11" t="s">
        <v>218</v>
      </c>
    </row>
    <row r="141" spans="1:11" x14ac:dyDescent="0.25">
      <c r="A141" s="18" t="s">
        <v>21</v>
      </c>
      <c r="B141" s="9" t="s">
        <v>219</v>
      </c>
      <c r="C141" s="9" t="s">
        <v>220</v>
      </c>
      <c r="D141" s="11">
        <v>2010</v>
      </c>
      <c r="E141" s="9" t="s">
        <v>144</v>
      </c>
      <c r="G141" s="25">
        <v>0</v>
      </c>
      <c r="H141" s="25">
        <v>0</v>
      </c>
      <c r="I141" s="54" t="s">
        <v>246</v>
      </c>
      <c r="J141" t="s">
        <v>227</v>
      </c>
      <c r="K141" s="11" t="s">
        <v>218</v>
      </c>
    </row>
    <row r="142" spans="1:11" x14ac:dyDescent="0.25">
      <c r="A142" s="18" t="s">
        <v>22</v>
      </c>
      <c r="B142" s="9" t="s">
        <v>219</v>
      </c>
      <c r="C142" s="9" t="s">
        <v>220</v>
      </c>
      <c r="D142" s="11">
        <v>2010</v>
      </c>
      <c r="E142" s="9" t="s">
        <v>144</v>
      </c>
      <c r="G142" s="25">
        <v>27.338917938931299</v>
      </c>
      <c r="H142" s="25">
        <v>27.338917938931299</v>
      </c>
      <c r="I142" s="54" t="s">
        <v>246</v>
      </c>
      <c r="J142" t="s">
        <v>226</v>
      </c>
      <c r="K142" s="11" t="s">
        <v>218</v>
      </c>
    </row>
    <row r="143" spans="1:11" x14ac:dyDescent="0.25">
      <c r="A143" s="18" t="s">
        <v>22</v>
      </c>
      <c r="B143" s="9" t="s">
        <v>219</v>
      </c>
      <c r="C143" s="9" t="s">
        <v>220</v>
      </c>
      <c r="D143" s="11">
        <v>2010</v>
      </c>
      <c r="E143" s="9" t="s">
        <v>144</v>
      </c>
      <c r="G143" s="25">
        <v>7.6963513513513515</v>
      </c>
      <c r="H143" s="25">
        <v>7.6963513513513515</v>
      </c>
      <c r="I143" s="54" t="s">
        <v>246</v>
      </c>
      <c r="J143" t="s">
        <v>224</v>
      </c>
      <c r="K143" s="11" t="s">
        <v>218</v>
      </c>
    </row>
    <row r="144" spans="1:11" x14ac:dyDescent="0.25">
      <c r="A144" s="18" t="s">
        <v>22</v>
      </c>
      <c r="B144" s="9" t="s">
        <v>219</v>
      </c>
      <c r="C144" s="9" t="s">
        <v>220</v>
      </c>
      <c r="D144" s="11">
        <v>2010</v>
      </c>
      <c r="E144" s="9" t="s">
        <v>144</v>
      </c>
      <c r="G144" s="25">
        <v>4.6405323214876333</v>
      </c>
      <c r="H144" s="25">
        <v>4.6405323214876333</v>
      </c>
      <c r="I144" s="54" t="s">
        <v>246</v>
      </c>
      <c r="J144" t="s">
        <v>221</v>
      </c>
      <c r="K144" s="11" t="s">
        <v>218</v>
      </c>
    </row>
    <row r="145" spans="1:11" x14ac:dyDescent="0.25">
      <c r="A145" s="18" t="s">
        <v>22</v>
      </c>
      <c r="B145" s="9" t="s">
        <v>219</v>
      </c>
      <c r="C145" s="9" t="s">
        <v>220</v>
      </c>
      <c r="D145" s="11">
        <v>2010</v>
      </c>
      <c r="E145" s="9" t="s">
        <v>144</v>
      </c>
      <c r="G145" s="25">
        <v>0.46921428508952229</v>
      </c>
      <c r="H145" s="25">
        <v>0.46921428508952229</v>
      </c>
      <c r="I145" s="54" t="s">
        <v>246</v>
      </c>
      <c r="J145" t="s">
        <v>223</v>
      </c>
      <c r="K145" s="11" t="s">
        <v>218</v>
      </c>
    </row>
    <row r="146" spans="1:11" x14ac:dyDescent="0.25">
      <c r="A146" s="18" t="s">
        <v>20</v>
      </c>
      <c r="B146" s="9" t="s">
        <v>219</v>
      </c>
      <c r="C146" s="9" t="s">
        <v>220</v>
      </c>
      <c r="D146" s="11">
        <v>2010</v>
      </c>
      <c r="E146" s="9" t="s">
        <v>144</v>
      </c>
      <c r="G146" s="25">
        <v>0.22109945858006277</v>
      </c>
      <c r="H146" s="25">
        <v>0.22109945858006277</v>
      </c>
      <c r="I146" s="54" t="s">
        <v>246</v>
      </c>
      <c r="J146" t="s">
        <v>223</v>
      </c>
      <c r="K146" s="11" t="s">
        <v>218</v>
      </c>
    </row>
    <row r="147" spans="1:11" x14ac:dyDescent="0.25">
      <c r="A147" s="18" t="s">
        <v>20</v>
      </c>
      <c r="B147" s="9" t="s">
        <v>219</v>
      </c>
      <c r="C147" s="9" t="s">
        <v>220</v>
      </c>
      <c r="D147" s="11">
        <v>2010</v>
      </c>
      <c r="E147" s="9" t="s">
        <v>144</v>
      </c>
      <c r="G147" s="25">
        <v>3.2565139098158828E-2</v>
      </c>
      <c r="H147" s="25">
        <v>3.2565139098158828E-2</v>
      </c>
      <c r="I147" s="54" t="s">
        <v>246</v>
      </c>
      <c r="J147" t="s">
        <v>221</v>
      </c>
      <c r="K147" s="11" t="s">
        <v>218</v>
      </c>
    </row>
    <row r="148" spans="1:11" x14ac:dyDescent="0.25">
      <c r="A148" s="18" t="s">
        <v>20</v>
      </c>
      <c r="B148" s="9" t="s">
        <v>219</v>
      </c>
      <c r="C148" s="9" t="s">
        <v>220</v>
      </c>
      <c r="D148" s="11">
        <v>2010</v>
      </c>
      <c r="E148" s="9" t="s">
        <v>144</v>
      </c>
      <c r="G148" s="25">
        <v>5.2743893129770993E-2</v>
      </c>
      <c r="H148" s="25">
        <v>5.2743893129770993E-2</v>
      </c>
      <c r="I148" s="54" t="s">
        <v>246</v>
      </c>
      <c r="J148" t="s">
        <v>226</v>
      </c>
      <c r="K148" s="11" t="s">
        <v>218</v>
      </c>
    </row>
    <row r="149" spans="1:11" x14ac:dyDescent="0.25">
      <c r="A149" s="18" t="s">
        <v>20</v>
      </c>
      <c r="B149" s="9" t="s">
        <v>219</v>
      </c>
      <c r="C149" s="9" t="s">
        <v>220</v>
      </c>
      <c r="D149" s="11">
        <v>2010</v>
      </c>
      <c r="E149" s="9" t="s">
        <v>144</v>
      </c>
      <c r="G149" s="25">
        <v>4.0553485714285714E-2</v>
      </c>
      <c r="H149" s="25">
        <v>4.0553485714285714E-2</v>
      </c>
      <c r="I149" s="54" t="s">
        <v>246</v>
      </c>
      <c r="J149" s="11" t="s">
        <v>222</v>
      </c>
      <c r="K149" s="11" t="s">
        <v>218</v>
      </c>
    </row>
    <row r="150" spans="1:11" x14ac:dyDescent="0.25">
      <c r="A150" s="18" t="s">
        <v>18</v>
      </c>
      <c r="B150" s="9" t="s">
        <v>219</v>
      </c>
      <c r="C150" s="9" t="s">
        <v>220</v>
      </c>
      <c r="D150" s="11">
        <v>2010</v>
      </c>
      <c r="E150" s="9" t="s">
        <v>144</v>
      </c>
      <c r="G150" s="25">
        <v>1.8839664477079306E-2</v>
      </c>
      <c r="H150" s="25">
        <v>1.8839664477079306E-2</v>
      </c>
      <c r="I150" s="54" t="s">
        <v>246</v>
      </c>
      <c r="J150" s="11" t="s">
        <v>223</v>
      </c>
      <c r="K150" s="11" t="s">
        <v>218</v>
      </c>
    </row>
    <row r="151" spans="1:11" x14ac:dyDescent="0.25">
      <c r="A151" s="18" t="s">
        <v>18</v>
      </c>
      <c r="B151" s="9" t="s">
        <v>219</v>
      </c>
      <c r="C151" s="9" t="s">
        <v>220</v>
      </c>
      <c r="D151" s="11">
        <v>2010</v>
      </c>
      <c r="E151" s="9" t="s">
        <v>144</v>
      </c>
      <c r="G151" s="54">
        <v>0</v>
      </c>
      <c r="H151" s="54">
        <v>0</v>
      </c>
      <c r="I151" s="54" t="s">
        <v>246</v>
      </c>
      <c r="J151" s="11" t="s">
        <v>227</v>
      </c>
      <c r="K151" s="11" t="s">
        <v>218</v>
      </c>
    </row>
    <row r="152" spans="1:11" s="13" customFormat="1" x14ac:dyDescent="0.25">
      <c r="A152" s="19" t="s">
        <v>16</v>
      </c>
      <c r="B152" s="16" t="s">
        <v>219</v>
      </c>
      <c r="C152" s="16" t="s">
        <v>220</v>
      </c>
      <c r="D152" s="13">
        <v>2010</v>
      </c>
      <c r="E152" s="16" t="s">
        <v>144</v>
      </c>
      <c r="G152" s="55">
        <v>1.7581297709923664E-2</v>
      </c>
      <c r="H152" s="55">
        <v>1.7581297709923664E-2</v>
      </c>
      <c r="I152" s="54" t="s">
        <v>246</v>
      </c>
      <c r="J152" s="13" t="s">
        <v>226</v>
      </c>
      <c r="K152" s="13" t="s">
        <v>218</v>
      </c>
    </row>
    <row r="153" spans="1:11" x14ac:dyDescent="0.25">
      <c r="A153" s="24" t="s">
        <v>25</v>
      </c>
      <c r="B153" s="9" t="s">
        <v>236</v>
      </c>
      <c r="C153" s="9" t="s">
        <v>242</v>
      </c>
      <c r="D153" s="9">
        <v>2010</v>
      </c>
      <c r="E153" s="9" t="s">
        <v>144</v>
      </c>
      <c r="G153" s="70">
        <f>H153</f>
        <v>127040</v>
      </c>
      <c r="H153" s="70">
        <v>127040</v>
      </c>
      <c r="I153" s="70" t="s">
        <v>247</v>
      </c>
      <c r="J153" t="s">
        <v>237</v>
      </c>
      <c r="K153" s="9" t="s">
        <v>243</v>
      </c>
    </row>
    <row r="154" spans="1:11" x14ac:dyDescent="0.25">
      <c r="A154" s="24" t="s">
        <v>25</v>
      </c>
      <c r="B154" s="9" t="s">
        <v>236</v>
      </c>
      <c r="C154" s="9" t="s">
        <v>242</v>
      </c>
      <c r="D154" s="9">
        <v>2010</v>
      </c>
      <c r="E154" s="9" t="s">
        <v>144</v>
      </c>
      <c r="G154" s="70">
        <f t="shared" ref="G154:G157" si="11">H154</f>
        <v>37136</v>
      </c>
      <c r="H154" s="70">
        <v>37136</v>
      </c>
      <c r="I154" s="70" t="s">
        <v>247</v>
      </c>
      <c r="J154" t="s">
        <v>238</v>
      </c>
      <c r="K154" s="9" t="s">
        <v>243</v>
      </c>
    </row>
    <row r="155" spans="1:11" x14ac:dyDescent="0.25">
      <c r="A155" s="24" t="s">
        <v>25</v>
      </c>
      <c r="B155" s="9" t="s">
        <v>236</v>
      </c>
      <c r="C155" s="9" t="s">
        <v>242</v>
      </c>
      <c r="D155" s="9">
        <v>2010</v>
      </c>
      <c r="E155" s="9" t="s">
        <v>144</v>
      </c>
      <c r="G155" s="70">
        <f t="shared" si="11"/>
        <v>47471</v>
      </c>
      <c r="H155" s="70">
        <v>47471</v>
      </c>
      <c r="I155" s="70" t="s">
        <v>247</v>
      </c>
      <c r="J155" t="s">
        <v>239</v>
      </c>
      <c r="K155" s="9" t="s">
        <v>243</v>
      </c>
    </row>
    <row r="156" spans="1:11" x14ac:dyDescent="0.25">
      <c r="A156" s="24" t="s">
        <v>25</v>
      </c>
      <c r="B156" s="9" t="s">
        <v>236</v>
      </c>
      <c r="C156" s="9" t="s">
        <v>242</v>
      </c>
      <c r="D156" s="9">
        <v>2010</v>
      </c>
      <c r="E156" s="9" t="s">
        <v>144</v>
      </c>
      <c r="G156" s="70">
        <f t="shared" si="11"/>
        <v>45924</v>
      </c>
      <c r="H156" s="70">
        <v>45924</v>
      </c>
      <c r="I156" s="70" t="s">
        <v>247</v>
      </c>
      <c r="J156" t="s">
        <v>240</v>
      </c>
      <c r="K156" s="9" t="s">
        <v>243</v>
      </c>
    </row>
    <row r="157" spans="1:11" s="13" customFormat="1" x14ac:dyDescent="0.25">
      <c r="A157" s="26" t="s">
        <v>25</v>
      </c>
      <c r="B157" s="16" t="s">
        <v>236</v>
      </c>
      <c r="C157" s="16" t="s">
        <v>242</v>
      </c>
      <c r="D157" s="16">
        <v>2010</v>
      </c>
      <c r="E157" s="16" t="s">
        <v>144</v>
      </c>
      <c r="G157" s="71">
        <f t="shared" si="11"/>
        <v>5408</v>
      </c>
      <c r="H157" s="71">
        <v>5408</v>
      </c>
      <c r="I157" s="70" t="s">
        <v>247</v>
      </c>
      <c r="J157" s="13" t="s">
        <v>241</v>
      </c>
      <c r="K157" s="16" t="s">
        <v>243</v>
      </c>
    </row>
    <row r="160" spans="1:11" x14ac:dyDescent="0.25">
      <c r="A160" s="11"/>
      <c r="B160" s="11"/>
      <c r="C160" s="11"/>
      <c r="D160" s="11"/>
      <c r="E160" s="11"/>
      <c r="F160" s="11"/>
    </row>
    <row r="161" spans="1:6" x14ac:dyDescent="0.25">
      <c r="A161" s="11"/>
      <c r="B161" s="11"/>
      <c r="C161" s="11"/>
      <c r="D161" s="11"/>
      <c r="E161" s="11"/>
      <c r="F161" s="11"/>
    </row>
    <row r="162" spans="1:6" x14ac:dyDescent="0.25">
      <c r="A162" s="11"/>
      <c r="B162" s="11"/>
      <c r="C162" s="11"/>
      <c r="D162" s="11"/>
      <c r="E162" s="11"/>
      <c r="F162" s="11"/>
    </row>
    <row r="163" spans="1:6" x14ac:dyDescent="0.25">
      <c r="A163" s="11"/>
      <c r="B163" s="11"/>
      <c r="C163" s="11"/>
      <c r="D163" s="11"/>
      <c r="E163" s="11"/>
      <c r="F163" s="11"/>
    </row>
    <row r="164" spans="1:6" x14ac:dyDescent="0.25">
      <c r="A164" s="11"/>
      <c r="B164" s="11"/>
      <c r="C164" s="11"/>
      <c r="D164" s="11"/>
      <c r="E164" s="11"/>
      <c r="F164" s="11"/>
    </row>
  </sheetData>
  <autoFilter ref="A1:K157"/>
  <conditionalFormatting sqref="G129:G138">
    <cfRule type="cellIs" dxfId="6" priority="8" operator="equal">
      <formula>"NA"</formula>
    </cfRule>
  </conditionalFormatting>
  <conditionalFormatting sqref="G139:G141">
    <cfRule type="cellIs" dxfId="5" priority="7" operator="equal">
      <formula>"NA"</formula>
    </cfRule>
  </conditionalFormatting>
  <conditionalFormatting sqref="G142:G150">
    <cfRule type="cellIs" dxfId="4" priority="6" operator="equal">
      <formula>"NA"</formula>
    </cfRule>
  </conditionalFormatting>
  <conditionalFormatting sqref="G153:I157">
    <cfRule type="cellIs" dxfId="3" priority="4" operator="equal">
      <formula>"NA"</formula>
    </cfRule>
  </conditionalFormatting>
  <conditionalFormatting sqref="H129:H138">
    <cfRule type="cellIs" dxfId="2" priority="3" operator="equal">
      <formula>"NA"</formula>
    </cfRule>
  </conditionalFormatting>
  <conditionalFormatting sqref="H139:H141">
    <cfRule type="cellIs" dxfId="1" priority="2" operator="equal">
      <formula>"NA"</formula>
    </cfRule>
  </conditionalFormatting>
  <conditionalFormatting sqref="H142:H150">
    <cfRule type="cellIs" dxfId="0" priority="1" operator="equal">
      <formula>"NA"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6" sqref="A6"/>
    </sheetView>
  </sheetViews>
  <sheetFormatPr defaultRowHeight="15" x14ac:dyDescent="0.25"/>
  <cols>
    <col min="1" max="1" width="23.42578125" bestFit="1" customWidth="1"/>
    <col min="3" max="3" width="11.5703125" bestFit="1" customWidth="1"/>
    <col min="4" max="4" width="10.28515625" bestFit="1" customWidth="1"/>
    <col min="5" max="5" width="9.42578125" bestFit="1" customWidth="1"/>
    <col min="6" max="6" width="7.5703125" bestFit="1" customWidth="1"/>
    <col min="7" max="7" width="11.140625" bestFit="1" customWidth="1"/>
    <col min="8" max="8" width="23.42578125" style="49" bestFit="1" customWidth="1"/>
    <col min="9" max="9" width="12.28515625" style="11" bestFit="1" customWidth="1"/>
    <col min="10" max="12" width="9.42578125" bestFit="1" customWidth="1"/>
    <col min="13" max="13" width="12.28515625" style="49" bestFit="1" customWidth="1"/>
    <col min="14" max="14" width="10.5703125" bestFit="1" customWidth="1"/>
    <col min="15" max="15" width="9.7109375" bestFit="1" customWidth="1"/>
    <col min="16" max="16" width="7.5703125" bestFit="1" customWidth="1"/>
    <col min="17" max="17" width="10.85546875" bestFit="1" customWidth="1"/>
  </cols>
  <sheetData>
    <row r="1" spans="1:17" x14ac:dyDescent="0.25">
      <c r="I1" s="76" t="s">
        <v>141</v>
      </c>
      <c r="J1" s="77"/>
      <c r="K1" s="77"/>
      <c r="L1" s="77"/>
      <c r="M1" s="78" t="s">
        <v>142</v>
      </c>
      <c r="N1" s="79"/>
      <c r="O1" s="79"/>
      <c r="P1" s="79"/>
    </row>
    <row r="2" spans="1:17" x14ac:dyDescent="0.25">
      <c r="B2" s="74" t="s">
        <v>137</v>
      </c>
      <c r="C2" s="74" t="s">
        <v>143</v>
      </c>
      <c r="D2" s="74" t="s">
        <v>138</v>
      </c>
      <c r="E2" s="74" t="s">
        <v>139</v>
      </c>
      <c r="F2" s="74" t="s">
        <v>52</v>
      </c>
      <c r="G2" s="73" t="s">
        <v>140</v>
      </c>
      <c r="H2" s="52"/>
      <c r="I2" s="46" t="s">
        <v>143</v>
      </c>
      <c r="J2" s="45" t="s">
        <v>138</v>
      </c>
      <c r="K2" s="45" t="s">
        <v>139</v>
      </c>
      <c r="L2" s="45" t="s">
        <v>52</v>
      </c>
      <c r="M2" s="48" t="s">
        <v>143</v>
      </c>
      <c r="N2" s="45" t="s">
        <v>138</v>
      </c>
      <c r="O2" s="45" t="s">
        <v>139</v>
      </c>
      <c r="P2" s="45" t="s">
        <v>52</v>
      </c>
      <c r="Q2" s="46" t="s">
        <v>39</v>
      </c>
    </row>
    <row r="3" spans="1:17" x14ac:dyDescent="0.25">
      <c r="A3" s="4" t="s">
        <v>17</v>
      </c>
      <c r="B3" s="44">
        <v>65.378185000000002</v>
      </c>
      <c r="C3" s="44">
        <v>23.828638999999999</v>
      </c>
      <c r="D3" s="44">
        <v>6.808592</v>
      </c>
      <c r="E3" s="44">
        <v>23.004598000000001</v>
      </c>
      <c r="F3" s="44">
        <v>11.736355999999999</v>
      </c>
      <c r="G3" s="44">
        <v>2.0757888000000002</v>
      </c>
      <c r="H3" s="53" t="s">
        <v>17</v>
      </c>
      <c r="I3" s="54">
        <f t="shared" ref="I3:L10" si="0">IF($B3&gt;$G3, (C3/$B3)*$G3, C3)</f>
        <v>0.75657074229642807</v>
      </c>
      <c r="J3" s="44">
        <f t="shared" si="0"/>
        <v>0.21617606878149953</v>
      </c>
      <c r="K3" s="44">
        <f t="shared" si="0"/>
        <v>0.73040704444307236</v>
      </c>
      <c r="L3" s="44">
        <f t="shared" si="0"/>
        <v>0.37263494447900014</v>
      </c>
      <c r="M3" s="51">
        <f t="shared" ref="M3:P10" si="1">IF($B3&lt;$G3,0,C3-I3)</f>
        <v>23.07206825770357</v>
      </c>
      <c r="N3" s="51">
        <f t="shared" si="1"/>
        <v>6.5924159312185004</v>
      </c>
      <c r="O3" s="51">
        <f t="shared" si="1"/>
        <v>22.274190955556929</v>
      </c>
      <c r="P3" s="51">
        <f t="shared" si="1"/>
        <v>11.363721055520999</v>
      </c>
      <c r="Q3" s="72">
        <f>SUM(I3:P3)</f>
        <v>65.378185000000002</v>
      </c>
    </row>
    <row r="4" spans="1:17" x14ac:dyDescent="0.25">
      <c r="A4" s="4" t="s">
        <v>18</v>
      </c>
      <c r="B4" s="44">
        <v>12.938217</v>
      </c>
      <c r="C4" s="44">
        <v>7.4602500000000003</v>
      </c>
      <c r="D4" s="44">
        <v>0</v>
      </c>
      <c r="E4" s="44">
        <v>0</v>
      </c>
      <c r="F4" s="44">
        <v>5.4779669999999996</v>
      </c>
      <c r="G4" s="44">
        <v>0</v>
      </c>
      <c r="H4" s="53" t="s">
        <v>18</v>
      </c>
      <c r="I4" s="54">
        <f t="shared" si="0"/>
        <v>0</v>
      </c>
      <c r="J4" s="44">
        <f t="shared" si="0"/>
        <v>0</v>
      </c>
      <c r="K4" s="44">
        <f t="shared" si="0"/>
        <v>0</v>
      </c>
      <c r="L4" s="44">
        <f t="shared" si="0"/>
        <v>0</v>
      </c>
      <c r="M4" s="51">
        <f t="shared" si="1"/>
        <v>7.4602500000000003</v>
      </c>
      <c r="N4" s="51">
        <f t="shared" si="1"/>
        <v>0</v>
      </c>
      <c r="O4" s="51">
        <f t="shared" si="1"/>
        <v>0</v>
      </c>
      <c r="P4" s="51">
        <f t="shared" si="1"/>
        <v>5.4779669999999996</v>
      </c>
      <c r="Q4" s="72">
        <f>SUM(I4:P4)</f>
        <v>12.938217</v>
      </c>
    </row>
    <row r="5" spans="1:17" x14ac:dyDescent="0.25">
      <c r="A5" s="4" t="s">
        <v>20</v>
      </c>
      <c r="B5" s="44">
        <v>696.29246499999999</v>
      </c>
      <c r="C5" s="44">
        <v>57.470152999999996</v>
      </c>
      <c r="D5" s="44">
        <v>0</v>
      </c>
      <c r="E5" s="44">
        <v>533.74019999999996</v>
      </c>
      <c r="F5" s="44">
        <v>105.08211200000001</v>
      </c>
      <c r="G5" s="44">
        <v>700.50859200000002</v>
      </c>
      <c r="H5" s="53" t="s">
        <v>20</v>
      </c>
      <c r="I5" s="54">
        <f t="shared" si="0"/>
        <v>57.470152999999996</v>
      </c>
      <c r="J5" s="44">
        <f t="shared" si="0"/>
        <v>0</v>
      </c>
      <c r="K5" s="44">
        <f t="shared" si="0"/>
        <v>533.74019999999996</v>
      </c>
      <c r="L5" s="44">
        <f t="shared" si="0"/>
        <v>105.08211200000001</v>
      </c>
      <c r="M5" s="51">
        <f t="shared" si="1"/>
        <v>0</v>
      </c>
      <c r="N5" s="51">
        <f t="shared" si="1"/>
        <v>0</v>
      </c>
      <c r="O5" s="51">
        <f t="shared" si="1"/>
        <v>0</v>
      </c>
      <c r="P5" s="51">
        <f t="shared" si="1"/>
        <v>0</v>
      </c>
      <c r="Q5" s="72">
        <f t="shared" ref="Q5:Q10" si="2">SUM(I5:P5)</f>
        <v>696.29246499999999</v>
      </c>
    </row>
    <row r="6" spans="1:17" x14ac:dyDescent="0.25">
      <c r="A6" s="4" t="s">
        <v>21</v>
      </c>
      <c r="B6" s="44">
        <v>1042.7151171537669</v>
      </c>
      <c r="C6" s="44">
        <v>270.82852629828903</v>
      </c>
      <c r="D6" s="44">
        <v>137.853329732048</v>
      </c>
      <c r="E6" s="44">
        <v>500.39769525533006</v>
      </c>
      <c r="F6" s="44">
        <v>133.63556586809966</v>
      </c>
      <c r="G6" s="44">
        <f>315.576/2</f>
        <v>157.78800000000001</v>
      </c>
      <c r="H6" s="53" t="s">
        <v>21</v>
      </c>
      <c r="I6" s="54">
        <f t="shared" si="0"/>
        <v>40.982902045384485</v>
      </c>
      <c r="J6" s="44">
        <f t="shared" si="0"/>
        <v>20.860540749744143</v>
      </c>
      <c r="K6" s="44">
        <f t="shared" si="0"/>
        <v>75.722266072511971</v>
      </c>
      <c r="L6" s="44">
        <f t="shared" si="0"/>
        <v>20.222291132359395</v>
      </c>
      <c r="M6" s="51">
        <f t="shared" si="1"/>
        <v>229.84562425290454</v>
      </c>
      <c r="N6" s="51">
        <f t="shared" si="1"/>
        <v>116.99278898230385</v>
      </c>
      <c r="O6" s="51">
        <f t="shared" si="1"/>
        <v>424.67542918281811</v>
      </c>
      <c r="P6" s="51">
        <f t="shared" si="1"/>
        <v>113.41327473574026</v>
      </c>
      <c r="Q6" s="72">
        <f t="shared" si="2"/>
        <v>1042.7151171537666</v>
      </c>
    </row>
    <row r="7" spans="1:17" x14ac:dyDescent="0.25">
      <c r="A7" s="4" t="s">
        <v>24</v>
      </c>
      <c r="B7" s="44">
        <v>106.32742900000001</v>
      </c>
      <c r="C7" s="44">
        <v>36.956574000000003</v>
      </c>
      <c r="D7" s="44">
        <v>20.835905999999998</v>
      </c>
      <c r="E7" s="44">
        <v>24.013419000000003</v>
      </c>
      <c r="F7" s="44">
        <v>24.521529999999998</v>
      </c>
      <c r="G7" s="44">
        <v>0</v>
      </c>
      <c r="H7" s="53" t="s">
        <v>24</v>
      </c>
      <c r="I7" s="54">
        <f t="shared" si="0"/>
        <v>0</v>
      </c>
      <c r="J7" s="44">
        <f t="shared" si="0"/>
        <v>0</v>
      </c>
      <c r="K7" s="44">
        <f t="shared" si="0"/>
        <v>0</v>
      </c>
      <c r="L7" s="44">
        <f t="shared" si="0"/>
        <v>0</v>
      </c>
      <c r="M7" s="51">
        <f t="shared" si="1"/>
        <v>36.956574000000003</v>
      </c>
      <c r="N7" s="51">
        <f t="shared" si="1"/>
        <v>20.835905999999998</v>
      </c>
      <c r="O7" s="51">
        <f t="shared" si="1"/>
        <v>24.013419000000003</v>
      </c>
      <c r="P7" s="51">
        <f t="shared" si="1"/>
        <v>24.521529999999998</v>
      </c>
      <c r="Q7" s="72">
        <f t="shared" si="2"/>
        <v>106.327429</v>
      </c>
    </row>
    <row r="8" spans="1:17" x14ac:dyDescent="0.25">
      <c r="A8" s="4" t="s">
        <v>22</v>
      </c>
      <c r="B8" s="44">
        <v>23.569050000000001</v>
      </c>
      <c r="C8" s="44">
        <v>9.2364259999999998</v>
      </c>
      <c r="D8" s="44">
        <v>3.19665</v>
      </c>
      <c r="E8" s="44">
        <v>6.5671850000000003</v>
      </c>
      <c r="F8" s="44">
        <v>4.5687889999999998</v>
      </c>
      <c r="G8" s="44">
        <f>315.576/2</f>
        <v>157.78800000000001</v>
      </c>
      <c r="H8" s="53" t="s">
        <v>22</v>
      </c>
      <c r="I8" s="54">
        <f>IF($B8&gt;$G8, (C8/$B8)*$G8, C8)</f>
        <v>9.2364259999999998</v>
      </c>
      <c r="J8" s="44">
        <f t="shared" si="0"/>
        <v>3.19665</v>
      </c>
      <c r="K8" s="44">
        <f t="shared" si="0"/>
        <v>6.5671850000000003</v>
      </c>
      <c r="L8" s="44">
        <f t="shared" si="0"/>
        <v>4.5687889999999998</v>
      </c>
      <c r="M8" s="51">
        <f t="shared" si="1"/>
        <v>0</v>
      </c>
      <c r="N8" s="51">
        <f t="shared" si="1"/>
        <v>0</v>
      </c>
      <c r="O8" s="51">
        <f t="shared" si="1"/>
        <v>0</v>
      </c>
      <c r="P8" s="51">
        <f t="shared" si="1"/>
        <v>0</v>
      </c>
      <c r="Q8" s="72">
        <f t="shared" si="2"/>
        <v>23.569050000000001</v>
      </c>
    </row>
    <row r="9" spans="1:17" x14ac:dyDescent="0.25">
      <c r="A9" s="4" t="s">
        <v>23</v>
      </c>
      <c r="B9" s="44">
        <v>10.525388999999999</v>
      </c>
      <c r="C9" s="44">
        <v>4.0649129999999998</v>
      </c>
      <c r="D9" s="44">
        <v>1.5874009999999998</v>
      </c>
      <c r="E9" s="44">
        <v>0.11881200000000001</v>
      </c>
      <c r="F9" s="44">
        <v>4.7542629999999999</v>
      </c>
      <c r="G9" s="44">
        <v>0.98179200000000022</v>
      </c>
      <c r="H9" s="53" t="s">
        <v>23</v>
      </c>
      <c r="I9" s="54">
        <f t="shared" si="0"/>
        <v>0.37916879500567635</v>
      </c>
      <c r="J9" s="44">
        <f t="shared" si="0"/>
        <v>0.14807030909660446</v>
      </c>
      <c r="K9" s="44">
        <f t="shared" si="0"/>
        <v>1.1082599522354951E-2</v>
      </c>
      <c r="L9" s="44">
        <f t="shared" si="0"/>
        <v>0.4434702963753645</v>
      </c>
      <c r="M9" s="51">
        <f t="shared" si="1"/>
        <v>3.6857442049943234</v>
      </c>
      <c r="N9" s="51">
        <f t="shared" si="1"/>
        <v>1.4393306909033954</v>
      </c>
      <c r="O9" s="51">
        <f t="shared" si="1"/>
        <v>0.10772940047764507</v>
      </c>
      <c r="P9" s="51">
        <f t="shared" si="1"/>
        <v>4.3107927036246352</v>
      </c>
      <c r="Q9" s="72">
        <f t="shared" si="2"/>
        <v>10.525388999999999</v>
      </c>
    </row>
    <row r="10" spans="1:17" x14ac:dyDescent="0.25">
      <c r="A10" s="4" t="s">
        <v>25</v>
      </c>
      <c r="B10" s="44">
        <v>95.923609999999996</v>
      </c>
      <c r="C10" s="44">
        <v>41.523714999999996</v>
      </c>
      <c r="D10" s="44">
        <v>20.123545</v>
      </c>
      <c r="E10" s="44">
        <v>8.8862249999999996</v>
      </c>
      <c r="F10" s="44">
        <v>25.390125000000001</v>
      </c>
      <c r="G10" s="44">
        <v>0</v>
      </c>
      <c r="H10" s="53" t="s">
        <v>25</v>
      </c>
      <c r="I10" s="54">
        <f t="shared" si="0"/>
        <v>0</v>
      </c>
      <c r="J10" s="44">
        <f t="shared" si="0"/>
        <v>0</v>
      </c>
      <c r="K10" s="44">
        <f t="shared" si="0"/>
        <v>0</v>
      </c>
      <c r="L10" s="44">
        <f t="shared" si="0"/>
        <v>0</v>
      </c>
      <c r="M10" s="51">
        <f t="shared" si="1"/>
        <v>41.523714999999996</v>
      </c>
      <c r="N10" s="51">
        <f t="shared" si="1"/>
        <v>20.123545</v>
      </c>
      <c r="O10" s="51">
        <f t="shared" si="1"/>
        <v>8.8862249999999996</v>
      </c>
      <c r="P10" s="51">
        <f t="shared" si="1"/>
        <v>25.390125000000001</v>
      </c>
      <c r="Q10" s="72">
        <f t="shared" si="2"/>
        <v>95.923609999999996</v>
      </c>
    </row>
    <row r="11" spans="1:17" x14ac:dyDescent="0.25">
      <c r="A11" s="47" t="s">
        <v>39</v>
      </c>
      <c r="B11" s="44">
        <v>2053.6694621537672</v>
      </c>
      <c r="C11" s="44">
        <v>451.36919629828901</v>
      </c>
      <c r="D11" s="44">
        <v>190.40542373204818</v>
      </c>
      <c r="E11" s="44">
        <v>1096.7281342553299</v>
      </c>
      <c r="F11" s="44">
        <v>315.16670786809959</v>
      </c>
      <c r="G11" s="44">
        <f>SUM(G3:G10)</f>
        <v>1019.1421728000001</v>
      </c>
      <c r="H11" s="51"/>
      <c r="N11" s="49"/>
      <c r="O11" s="49"/>
      <c r="P11" s="49"/>
      <c r="Q11" s="50"/>
    </row>
    <row r="16" spans="1:17" x14ac:dyDescent="0.25">
      <c r="F16" s="44"/>
    </row>
    <row r="17" spans="8:10" x14ac:dyDescent="0.25">
      <c r="H17" s="51"/>
      <c r="J17" s="44"/>
    </row>
  </sheetData>
  <mergeCells count="2">
    <mergeCell ref="I1:L1"/>
    <mergeCell ref="M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4" zoomScale="85" zoomScaleNormal="85" workbookViewId="0">
      <selection activeCell="D51" sqref="D51"/>
    </sheetView>
  </sheetViews>
  <sheetFormatPr defaultRowHeight="15" x14ac:dyDescent="0.25"/>
  <cols>
    <col min="1" max="1" width="31.28515625" bestFit="1" customWidth="1"/>
    <col min="2" max="2" width="21" bestFit="1" customWidth="1"/>
    <col min="3" max="3" width="5.140625" bestFit="1" customWidth="1"/>
    <col min="4" max="4" width="31.85546875" bestFit="1" customWidth="1"/>
    <col min="5" max="5" width="7.7109375" bestFit="1" customWidth="1"/>
  </cols>
  <sheetData>
    <row r="1" spans="1:5" s="5" customFormat="1" x14ac:dyDescent="0.25">
      <c r="A1" s="10" t="s">
        <v>95</v>
      </c>
      <c r="B1" s="10" t="s">
        <v>118</v>
      </c>
      <c r="C1" s="10" t="s">
        <v>109</v>
      </c>
      <c r="D1" s="10" t="s">
        <v>1</v>
      </c>
      <c r="E1" s="10" t="s">
        <v>135</v>
      </c>
    </row>
    <row r="2" spans="1:5" x14ac:dyDescent="0.25">
      <c r="A2" t="s">
        <v>16</v>
      </c>
      <c r="B2" t="s">
        <v>113</v>
      </c>
      <c r="C2">
        <v>2010</v>
      </c>
      <c r="D2" t="s">
        <v>46</v>
      </c>
      <c r="E2" s="3">
        <f>0.25*1.1045</f>
        <v>0.27612500000000001</v>
      </c>
    </row>
    <row r="3" spans="1:5" x14ac:dyDescent="0.25">
      <c r="A3" t="s">
        <v>17</v>
      </c>
      <c r="B3" t="s">
        <v>113</v>
      </c>
      <c r="C3">
        <v>2010</v>
      </c>
      <c r="D3" t="s">
        <v>46</v>
      </c>
      <c r="E3" s="3">
        <f>3.5029</f>
        <v>3.5028999999999999</v>
      </c>
    </row>
    <row r="4" spans="1:5" x14ac:dyDescent="0.25">
      <c r="A4" t="s">
        <v>18</v>
      </c>
      <c r="B4" t="s">
        <v>113</v>
      </c>
      <c r="C4">
        <v>2010</v>
      </c>
      <c r="D4" t="s">
        <v>46</v>
      </c>
      <c r="E4" s="3">
        <f>0.75*1.1045</f>
        <v>0.82837500000000008</v>
      </c>
    </row>
    <row r="5" spans="1:5" x14ac:dyDescent="0.25">
      <c r="A5" t="s">
        <v>19</v>
      </c>
      <c r="B5" t="s">
        <v>113</v>
      </c>
      <c r="C5">
        <v>2010</v>
      </c>
      <c r="D5" t="s">
        <v>46</v>
      </c>
      <c r="E5" s="3">
        <f>0</f>
        <v>0</v>
      </c>
    </row>
    <row r="6" spans="1:5" x14ac:dyDescent="0.25">
      <c r="A6" t="s">
        <v>20</v>
      </c>
      <c r="B6" t="s">
        <v>113</v>
      </c>
      <c r="C6">
        <v>2010</v>
      </c>
      <c r="D6" t="s">
        <v>46</v>
      </c>
      <c r="E6" s="3">
        <f>0</f>
        <v>0</v>
      </c>
    </row>
    <row r="7" spans="1:5" x14ac:dyDescent="0.25">
      <c r="A7" t="s">
        <v>21</v>
      </c>
      <c r="B7" t="s">
        <v>113</v>
      </c>
      <c r="C7">
        <v>2010</v>
      </c>
      <c r="D7" t="s">
        <v>46</v>
      </c>
      <c r="E7" s="3">
        <f>0</f>
        <v>0</v>
      </c>
    </row>
    <row r="8" spans="1:5" x14ac:dyDescent="0.25">
      <c r="A8" t="s">
        <v>22</v>
      </c>
      <c r="B8" t="s">
        <v>113</v>
      </c>
      <c r="C8">
        <v>2010</v>
      </c>
      <c r="D8" t="s">
        <v>46</v>
      </c>
      <c r="E8" s="3">
        <f>0</f>
        <v>0</v>
      </c>
    </row>
    <row r="9" spans="1:5" x14ac:dyDescent="0.25">
      <c r="A9" t="s">
        <v>23</v>
      </c>
      <c r="B9" t="s">
        <v>113</v>
      </c>
      <c r="C9">
        <v>2010</v>
      </c>
      <c r="D9" t="s">
        <v>46</v>
      </c>
      <c r="E9" s="3">
        <f>0</f>
        <v>0</v>
      </c>
    </row>
    <row r="10" spans="1:5" s="11" customFormat="1" x14ac:dyDescent="0.25">
      <c r="A10" s="11" t="s">
        <v>24</v>
      </c>
      <c r="B10" t="s">
        <v>113</v>
      </c>
      <c r="C10">
        <v>2010</v>
      </c>
      <c r="D10" s="11" t="s">
        <v>46</v>
      </c>
      <c r="E10" s="21">
        <f>0</f>
        <v>0</v>
      </c>
    </row>
    <row r="11" spans="1:5" s="13" customFormat="1" x14ac:dyDescent="0.25">
      <c r="A11" s="13" t="s">
        <v>25</v>
      </c>
      <c r="B11" s="13" t="s">
        <v>113</v>
      </c>
      <c r="C11" s="13">
        <v>2010</v>
      </c>
      <c r="D11" s="13" t="s">
        <v>46</v>
      </c>
      <c r="E11" s="17">
        <f>0</f>
        <v>0</v>
      </c>
    </row>
    <row r="12" spans="1:5" x14ac:dyDescent="0.25">
      <c r="A12" t="s">
        <v>16</v>
      </c>
      <c r="B12" t="s">
        <v>112</v>
      </c>
      <c r="C12">
        <v>2010</v>
      </c>
      <c r="D12" t="s">
        <v>46</v>
      </c>
      <c r="E12" s="3">
        <v>0.27612500000000001</v>
      </c>
    </row>
    <row r="13" spans="1:5" x14ac:dyDescent="0.25">
      <c r="A13" t="s">
        <v>17</v>
      </c>
      <c r="B13" t="s">
        <v>112</v>
      </c>
      <c r="C13">
        <v>2010</v>
      </c>
      <c r="D13" t="s">
        <v>46</v>
      </c>
      <c r="E13" s="3">
        <v>3.5028999999999999</v>
      </c>
    </row>
    <row r="14" spans="1:5" x14ac:dyDescent="0.25">
      <c r="A14" t="s">
        <v>18</v>
      </c>
      <c r="B14" t="s">
        <v>112</v>
      </c>
      <c r="C14">
        <v>2010</v>
      </c>
      <c r="D14" t="s">
        <v>46</v>
      </c>
      <c r="E14" s="3">
        <v>0.82837500000000008</v>
      </c>
    </row>
    <row r="15" spans="1:5" x14ac:dyDescent="0.25">
      <c r="A15" t="s">
        <v>19</v>
      </c>
      <c r="B15" t="s">
        <v>112</v>
      </c>
      <c r="C15">
        <v>2010</v>
      </c>
      <c r="D15" t="s">
        <v>46</v>
      </c>
      <c r="E15" s="3">
        <v>2.3010356990177856</v>
      </c>
    </row>
    <row r="16" spans="1:5" x14ac:dyDescent="0.25">
      <c r="A16" t="s">
        <v>20</v>
      </c>
      <c r="B16" t="s">
        <v>112</v>
      </c>
      <c r="C16">
        <v>2010</v>
      </c>
      <c r="D16" t="s">
        <v>46</v>
      </c>
      <c r="E16" s="3">
        <v>2.3010356990177856</v>
      </c>
    </row>
    <row r="17" spans="1:5" x14ac:dyDescent="0.25">
      <c r="A17" t="s">
        <v>21</v>
      </c>
      <c r="B17" t="s">
        <v>112</v>
      </c>
      <c r="C17">
        <v>2010</v>
      </c>
      <c r="D17" t="s">
        <v>46</v>
      </c>
      <c r="E17" s="3">
        <v>2.2731055750330333</v>
      </c>
    </row>
    <row r="18" spans="1:5" x14ac:dyDescent="0.25">
      <c r="A18" t="s">
        <v>22</v>
      </c>
      <c r="B18" t="s">
        <v>112</v>
      </c>
      <c r="C18">
        <v>2010</v>
      </c>
      <c r="D18" t="s">
        <v>46</v>
      </c>
      <c r="E18" s="3">
        <v>2.2731055750330333</v>
      </c>
    </row>
    <row r="19" spans="1:5" x14ac:dyDescent="0.25">
      <c r="A19" t="s">
        <v>23</v>
      </c>
      <c r="B19" t="s">
        <v>112</v>
      </c>
      <c r="C19">
        <v>2010</v>
      </c>
      <c r="D19" t="s">
        <v>46</v>
      </c>
      <c r="E19" s="3">
        <v>2.0881119250330333</v>
      </c>
    </row>
    <row r="20" spans="1:5" x14ac:dyDescent="0.25">
      <c r="A20" t="s">
        <v>24</v>
      </c>
      <c r="B20" t="s">
        <v>112</v>
      </c>
      <c r="C20">
        <v>2010</v>
      </c>
      <c r="D20" t="s">
        <v>46</v>
      </c>
      <c r="E20" s="3">
        <v>2.0881119250330333</v>
      </c>
    </row>
    <row r="21" spans="1:5" s="13" customFormat="1" x14ac:dyDescent="0.25">
      <c r="A21" s="13" t="s">
        <v>25</v>
      </c>
      <c r="B21" s="13" t="s">
        <v>112</v>
      </c>
      <c r="C21" s="13">
        <v>2010</v>
      </c>
      <c r="D21" s="13" t="s">
        <v>46</v>
      </c>
      <c r="E21" s="17">
        <v>3.9521071491369444</v>
      </c>
    </row>
    <row r="22" spans="1:5" s="11" customFormat="1" x14ac:dyDescent="0.25">
      <c r="A22" s="11" t="s">
        <v>17</v>
      </c>
      <c r="B22" s="11" t="s">
        <v>128</v>
      </c>
      <c r="C22">
        <v>2010</v>
      </c>
      <c r="D22" s="11" t="s">
        <v>47</v>
      </c>
      <c r="E22" s="12">
        <v>0.29599999999999999</v>
      </c>
    </row>
    <row r="23" spans="1:5" x14ac:dyDescent="0.25">
      <c r="A23" t="s">
        <v>20</v>
      </c>
      <c r="B23" s="11" t="s">
        <v>129</v>
      </c>
      <c r="C23">
        <v>2010</v>
      </c>
      <c r="D23" t="s">
        <v>47</v>
      </c>
      <c r="E23" s="8">
        <v>67.5</v>
      </c>
    </row>
    <row r="24" spans="1:5" x14ac:dyDescent="0.25">
      <c r="A24" t="s">
        <v>20</v>
      </c>
      <c r="B24" s="11" t="s">
        <v>128</v>
      </c>
      <c r="C24">
        <v>2010</v>
      </c>
      <c r="D24" t="s">
        <v>47</v>
      </c>
      <c r="E24" s="7">
        <v>32.39</v>
      </c>
    </row>
    <row r="25" spans="1:5" x14ac:dyDescent="0.25">
      <c r="A25" t="s">
        <v>23</v>
      </c>
      <c r="B25" s="11" t="s">
        <v>128</v>
      </c>
      <c r="C25">
        <v>2010</v>
      </c>
      <c r="D25" t="s">
        <v>47</v>
      </c>
      <c r="E25" s="8">
        <v>0.14000000000000001</v>
      </c>
    </row>
    <row r="26" spans="1:5" s="13" customFormat="1" x14ac:dyDescent="0.25">
      <c r="A26" s="13" t="s">
        <v>22</v>
      </c>
      <c r="B26" s="13" t="s">
        <v>130</v>
      </c>
      <c r="C26" s="13">
        <v>2010</v>
      </c>
      <c r="D26" s="13" t="s">
        <v>47</v>
      </c>
      <c r="E26" s="14">
        <v>60</v>
      </c>
    </row>
    <row r="27" spans="1:5" s="11" customFormat="1" x14ac:dyDescent="0.25">
      <c r="A27" t="s">
        <v>16</v>
      </c>
      <c r="B27" t="s">
        <v>110</v>
      </c>
      <c r="C27">
        <v>2010</v>
      </c>
      <c r="D27" t="s">
        <v>46</v>
      </c>
      <c r="E27" s="3">
        <v>5</v>
      </c>
    </row>
    <row r="28" spans="1:5" s="11" customFormat="1" x14ac:dyDescent="0.25">
      <c r="A28" t="s">
        <v>17</v>
      </c>
      <c r="B28" t="s">
        <v>110</v>
      </c>
      <c r="C28">
        <v>2010</v>
      </c>
      <c r="D28" t="s">
        <v>46</v>
      </c>
      <c r="E28" s="3">
        <v>5</v>
      </c>
    </row>
    <row r="29" spans="1:5" s="11" customFormat="1" x14ac:dyDescent="0.25">
      <c r="A29" t="s">
        <v>18</v>
      </c>
      <c r="B29" t="s">
        <v>110</v>
      </c>
      <c r="C29">
        <v>2010</v>
      </c>
      <c r="D29" t="s">
        <v>46</v>
      </c>
      <c r="E29" s="3">
        <v>5</v>
      </c>
    </row>
    <row r="30" spans="1:5" s="11" customFormat="1" x14ac:dyDescent="0.25">
      <c r="A30" t="s">
        <v>19</v>
      </c>
      <c r="B30" t="s">
        <v>110</v>
      </c>
      <c r="C30">
        <v>2010</v>
      </c>
      <c r="D30" t="s">
        <v>46</v>
      </c>
      <c r="E30" s="3">
        <v>3</v>
      </c>
    </row>
    <row r="31" spans="1:5" s="11" customFormat="1" x14ac:dyDescent="0.25">
      <c r="A31" t="s">
        <v>20</v>
      </c>
      <c r="B31" t="s">
        <v>110</v>
      </c>
      <c r="C31">
        <v>2010</v>
      </c>
      <c r="D31" t="s">
        <v>46</v>
      </c>
      <c r="E31" s="3">
        <v>3</v>
      </c>
    </row>
    <row r="32" spans="1:5" s="11" customFormat="1" x14ac:dyDescent="0.25">
      <c r="A32" t="s">
        <v>21</v>
      </c>
      <c r="B32" t="s">
        <v>110</v>
      </c>
      <c r="C32">
        <v>2010</v>
      </c>
      <c r="D32" t="s">
        <v>46</v>
      </c>
      <c r="E32" s="3">
        <v>3</v>
      </c>
    </row>
    <row r="33" spans="1:5" s="11" customFormat="1" x14ac:dyDescent="0.25">
      <c r="A33" t="s">
        <v>22</v>
      </c>
      <c r="B33" t="s">
        <v>110</v>
      </c>
      <c r="C33">
        <v>2010</v>
      </c>
      <c r="D33" t="s">
        <v>46</v>
      </c>
      <c r="E33" s="3">
        <v>3</v>
      </c>
    </row>
    <row r="34" spans="1:5" s="11" customFormat="1" x14ac:dyDescent="0.25">
      <c r="A34" t="s">
        <v>23</v>
      </c>
      <c r="B34" t="s">
        <v>110</v>
      </c>
      <c r="C34">
        <v>2010</v>
      </c>
      <c r="D34" t="s">
        <v>46</v>
      </c>
      <c r="E34" s="3">
        <v>0.45</v>
      </c>
    </row>
    <row r="35" spans="1:5" s="11" customFormat="1" x14ac:dyDescent="0.25">
      <c r="A35" t="s">
        <v>24</v>
      </c>
      <c r="B35" t="s">
        <v>110</v>
      </c>
      <c r="C35">
        <v>2010</v>
      </c>
      <c r="D35" t="s">
        <v>46</v>
      </c>
      <c r="E35" s="3">
        <v>0.45</v>
      </c>
    </row>
    <row r="36" spans="1:5" s="13" customFormat="1" x14ac:dyDescent="0.25">
      <c r="A36" s="13" t="s">
        <v>25</v>
      </c>
      <c r="B36" s="13" t="s">
        <v>110</v>
      </c>
      <c r="C36" s="13">
        <v>2010</v>
      </c>
      <c r="D36" s="13" t="s">
        <v>46</v>
      </c>
      <c r="E36" s="17">
        <v>3</v>
      </c>
    </row>
    <row r="37" spans="1:5" s="29" customFormat="1" x14ac:dyDescent="0.25">
      <c r="A37" s="29" t="s">
        <v>22</v>
      </c>
      <c r="B37" s="29" t="s">
        <v>111</v>
      </c>
      <c r="C37" s="29">
        <v>2010</v>
      </c>
      <c r="D37" s="29" t="s">
        <v>46</v>
      </c>
      <c r="E37" s="30">
        <v>2.6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43" sqref="A43"/>
    </sheetView>
  </sheetViews>
  <sheetFormatPr defaultRowHeight="15" x14ac:dyDescent="0.25"/>
  <cols>
    <col min="1" max="1" width="134.42578125" bestFit="1" customWidth="1"/>
  </cols>
  <sheetData>
    <row r="1" spans="1:1" x14ac:dyDescent="0.25">
      <c r="A1" t="s">
        <v>12</v>
      </c>
    </row>
    <row r="2" spans="1:1" x14ac:dyDescent="0.25">
      <c r="A2" s="1" t="s">
        <v>13</v>
      </c>
    </row>
    <row r="3" spans="1:1" x14ac:dyDescent="0.25">
      <c r="A3" s="1" t="s">
        <v>14</v>
      </c>
    </row>
    <row r="4" spans="1:1" x14ac:dyDescent="0.25">
      <c r="A4" s="1" t="s">
        <v>15</v>
      </c>
    </row>
    <row r="5" spans="1:1" x14ac:dyDescent="0.25">
      <c r="A5" s="1" t="s">
        <v>26</v>
      </c>
    </row>
    <row r="6" spans="1:1" x14ac:dyDescent="0.25">
      <c r="A6" s="1" t="s">
        <v>27</v>
      </c>
    </row>
    <row r="7" spans="1:1" x14ac:dyDescent="0.25">
      <c r="A7" s="1" t="s">
        <v>28</v>
      </c>
    </row>
    <row r="8" spans="1:1" x14ac:dyDescent="0.25">
      <c r="A8" s="1" t="s">
        <v>55</v>
      </c>
    </row>
    <row r="9" spans="1:1" x14ac:dyDescent="0.25">
      <c r="A9" s="1" t="s">
        <v>56</v>
      </c>
    </row>
    <row r="10" spans="1:1" x14ac:dyDescent="0.25">
      <c r="A10" s="1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26" sqref="D26"/>
    </sheetView>
  </sheetViews>
  <sheetFormatPr defaultRowHeight="15" x14ac:dyDescent="0.25"/>
  <cols>
    <col min="1" max="1" width="23.42578125" bestFit="1" customWidth="1"/>
    <col min="2" max="2" width="16.7109375" bestFit="1" customWidth="1"/>
    <col min="3" max="3" width="5" bestFit="1" customWidth="1"/>
    <col min="4" max="4" width="25.85546875" bestFit="1" customWidth="1"/>
    <col min="5" max="5" width="10.5703125" bestFit="1" customWidth="1"/>
    <col min="9" max="9" width="19.7109375" bestFit="1" customWidth="1"/>
  </cols>
  <sheetData>
    <row r="1" spans="1:9" x14ac:dyDescent="0.25">
      <c r="A1" t="s">
        <v>16</v>
      </c>
      <c r="B1" t="s">
        <v>6</v>
      </c>
      <c r="C1">
        <v>2010</v>
      </c>
      <c r="D1" t="s">
        <v>7</v>
      </c>
      <c r="E1" t="s">
        <v>8</v>
      </c>
      <c r="F1" t="s">
        <v>3</v>
      </c>
      <c r="G1">
        <v>1E-3</v>
      </c>
      <c r="I1" t="s">
        <v>84</v>
      </c>
    </row>
    <row r="2" spans="1:9" x14ac:dyDescent="0.25">
      <c r="A2" t="s">
        <v>17</v>
      </c>
      <c r="B2" t="s">
        <v>6</v>
      </c>
      <c r="C2">
        <v>2010</v>
      </c>
      <c r="D2" t="s">
        <v>7</v>
      </c>
      <c r="E2" t="s">
        <v>8</v>
      </c>
      <c r="F2" t="s">
        <v>3</v>
      </c>
      <c r="G2">
        <v>0</v>
      </c>
      <c r="I2" t="s">
        <v>84</v>
      </c>
    </row>
    <row r="3" spans="1:9" x14ac:dyDescent="0.25">
      <c r="A3" t="s">
        <v>18</v>
      </c>
      <c r="B3" t="s">
        <v>6</v>
      </c>
      <c r="C3">
        <v>2010</v>
      </c>
      <c r="D3" t="s">
        <v>7</v>
      </c>
      <c r="E3" t="s">
        <v>8</v>
      </c>
      <c r="F3" t="s">
        <v>3</v>
      </c>
      <c r="G3">
        <v>4.3E-3</v>
      </c>
      <c r="I3" t="s">
        <v>84</v>
      </c>
    </row>
    <row r="4" spans="1:9" x14ac:dyDescent="0.25">
      <c r="A4" t="s">
        <v>19</v>
      </c>
      <c r="B4" t="s">
        <v>6</v>
      </c>
      <c r="C4">
        <v>2010</v>
      </c>
      <c r="D4" t="s">
        <v>7</v>
      </c>
      <c r="E4" t="s">
        <v>8</v>
      </c>
      <c r="F4" t="s">
        <v>3</v>
      </c>
      <c r="G4">
        <v>0</v>
      </c>
      <c r="I4" t="s">
        <v>84</v>
      </c>
    </row>
    <row r="5" spans="1:9" x14ac:dyDescent="0.25">
      <c r="A5" t="s">
        <v>20</v>
      </c>
      <c r="B5" t="s">
        <v>6</v>
      </c>
      <c r="C5">
        <v>2010</v>
      </c>
      <c r="D5" t="s">
        <v>7</v>
      </c>
      <c r="E5" t="s">
        <v>8</v>
      </c>
      <c r="F5" t="s">
        <v>3</v>
      </c>
      <c r="G5">
        <v>5.5399999999999998E-2</v>
      </c>
      <c r="I5" t="s">
        <v>84</v>
      </c>
    </row>
    <row r="6" spans="1:9" x14ac:dyDescent="0.25">
      <c r="A6" t="s">
        <v>21</v>
      </c>
      <c r="B6" t="s">
        <v>6</v>
      </c>
      <c r="C6">
        <v>2010</v>
      </c>
      <c r="D6" t="s">
        <v>7</v>
      </c>
      <c r="E6" t="s">
        <v>8</v>
      </c>
      <c r="F6" t="s">
        <v>3</v>
      </c>
      <c r="G6">
        <v>0.13650000000000001</v>
      </c>
      <c r="I6" t="s">
        <v>84</v>
      </c>
    </row>
    <row r="7" spans="1:9" x14ac:dyDescent="0.25">
      <c r="A7" t="s">
        <v>22</v>
      </c>
      <c r="B7" t="s">
        <v>6</v>
      </c>
      <c r="C7">
        <v>2010</v>
      </c>
      <c r="D7" t="s">
        <v>7</v>
      </c>
      <c r="E7" t="s">
        <v>8</v>
      </c>
      <c r="F7" t="s">
        <v>3</v>
      </c>
      <c r="G7">
        <v>0.23300000000000001</v>
      </c>
      <c r="I7" t="s">
        <v>84</v>
      </c>
    </row>
    <row r="8" spans="1:9" x14ac:dyDescent="0.25">
      <c r="A8" t="s">
        <v>23</v>
      </c>
      <c r="B8" t="s">
        <v>6</v>
      </c>
      <c r="C8">
        <v>2010</v>
      </c>
      <c r="D8" t="s">
        <v>7</v>
      </c>
      <c r="E8" t="s">
        <v>8</v>
      </c>
      <c r="F8" t="s">
        <v>3</v>
      </c>
      <c r="G8">
        <v>5.0400000000000002E-3</v>
      </c>
      <c r="I8" t="s">
        <v>84</v>
      </c>
    </row>
    <row r="9" spans="1:9" x14ac:dyDescent="0.25">
      <c r="A9" t="s">
        <v>24</v>
      </c>
      <c r="B9" t="s">
        <v>6</v>
      </c>
      <c r="C9">
        <v>2010</v>
      </c>
      <c r="D9" t="s">
        <v>7</v>
      </c>
      <c r="E9" t="s">
        <v>8</v>
      </c>
      <c r="F9" t="s">
        <v>3</v>
      </c>
      <c r="G9">
        <v>0.21765000000000001</v>
      </c>
      <c r="I9" t="s">
        <v>84</v>
      </c>
    </row>
    <row r="10" spans="1:9" x14ac:dyDescent="0.25">
      <c r="A10" t="s">
        <v>25</v>
      </c>
      <c r="B10" t="s">
        <v>6</v>
      </c>
      <c r="C10">
        <v>2010</v>
      </c>
      <c r="D10" t="s">
        <v>7</v>
      </c>
      <c r="E10" t="s">
        <v>8</v>
      </c>
      <c r="F10" t="s">
        <v>3</v>
      </c>
      <c r="G10">
        <v>1.2350000000000001</v>
      </c>
      <c r="I10" t="s">
        <v>84</v>
      </c>
    </row>
    <row r="11" spans="1:9" x14ac:dyDescent="0.25">
      <c r="A11" t="s">
        <v>16</v>
      </c>
      <c r="B11" t="s">
        <v>6</v>
      </c>
      <c r="C11">
        <v>2010</v>
      </c>
      <c r="D11" t="s">
        <v>7</v>
      </c>
      <c r="E11" t="s">
        <v>9</v>
      </c>
      <c r="F11" t="s">
        <v>3</v>
      </c>
      <c r="G11">
        <v>0</v>
      </c>
      <c r="I11" t="s">
        <v>84</v>
      </c>
    </row>
    <row r="12" spans="1:9" x14ac:dyDescent="0.25">
      <c r="A12" t="s">
        <v>17</v>
      </c>
      <c r="B12" t="s">
        <v>6</v>
      </c>
      <c r="C12">
        <v>2010</v>
      </c>
      <c r="D12" t="s">
        <v>7</v>
      </c>
      <c r="E12" t="s">
        <v>9</v>
      </c>
      <c r="F12" t="s">
        <v>3</v>
      </c>
      <c r="G12">
        <v>0</v>
      </c>
      <c r="I12" t="s">
        <v>84</v>
      </c>
    </row>
    <row r="13" spans="1:9" x14ac:dyDescent="0.25">
      <c r="A13" t="s">
        <v>18</v>
      </c>
      <c r="B13" t="s">
        <v>6</v>
      </c>
      <c r="C13">
        <v>2010</v>
      </c>
      <c r="D13" t="s">
        <v>7</v>
      </c>
      <c r="E13" t="s">
        <v>9</v>
      </c>
      <c r="F13" t="s">
        <v>3</v>
      </c>
      <c r="G13">
        <v>2.8600000000000004E-5</v>
      </c>
      <c r="I13" t="s">
        <v>84</v>
      </c>
    </row>
    <row r="14" spans="1:9" x14ac:dyDescent="0.25">
      <c r="A14" t="s">
        <v>19</v>
      </c>
      <c r="B14" t="s">
        <v>6</v>
      </c>
      <c r="C14">
        <v>2010</v>
      </c>
      <c r="D14" t="s">
        <v>7</v>
      </c>
      <c r="E14" t="s">
        <v>9</v>
      </c>
      <c r="F14" t="s">
        <v>3</v>
      </c>
      <c r="G14">
        <v>1.3199999999999998E-4</v>
      </c>
      <c r="I14" t="s">
        <v>84</v>
      </c>
    </row>
    <row r="15" spans="1:9" x14ac:dyDescent="0.25">
      <c r="A15" t="s">
        <v>20</v>
      </c>
      <c r="B15" t="s">
        <v>6</v>
      </c>
      <c r="C15">
        <v>2010</v>
      </c>
      <c r="D15" t="s">
        <v>7</v>
      </c>
      <c r="E15" t="s">
        <v>9</v>
      </c>
      <c r="F15" t="s">
        <v>3</v>
      </c>
      <c r="G15">
        <v>3.278E-4</v>
      </c>
      <c r="I15" t="s">
        <v>84</v>
      </c>
    </row>
    <row r="16" spans="1:9" x14ac:dyDescent="0.25">
      <c r="A16" t="s">
        <v>21</v>
      </c>
      <c r="B16" t="s">
        <v>6</v>
      </c>
      <c r="C16">
        <v>2010</v>
      </c>
      <c r="D16" t="s">
        <v>7</v>
      </c>
      <c r="E16" t="s">
        <v>9</v>
      </c>
      <c r="F16" t="s">
        <v>3</v>
      </c>
      <c r="G16">
        <v>3.0469999999999998E-4</v>
      </c>
      <c r="I16" t="s">
        <v>84</v>
      </c>
    </row>
    <row r="17" spans="1:9" x14ac:dyDescent="0.25">
      <c r="A17" t="s">
        <v>22</v>
      </c>
      <c r="B17" t="s">
        <v>6</v>
      </c>
      <c r="C17">
        <v>2010</v>
      </c>
      <c r="D17" t="s">
        <v>7</v>
      </c>
      <c r="E17" t="s">
        <v>9</v>
      </c>
      <c r="F17" t="s">
        <v>3</v>
      </c>
      <c r="G17">
        <v>1.8259999999999999E-4</v>
      </c>
      <c r="I17" t="s">
        <v>84</v>
      </c>
    </row>
    <row r="18" spans="1:9" x14ac:dyDescent="0.25">
      <c r="A18" t="s">
        <v>23</v>
      </c>
      <c r="B18" t="s">
        <v>6</v>
      </c>
      <c r="C18">
        <v>2010</v>
      </c>
      <c r="D18" t="s">
        <v>7</v>
      </c>
      <c r="E18" t="s">
        <v>9</v>
      </c>
      <c r="F18" t="s">
        <v>3</v>
      </c>
      <c r="G18">
        <v>1.1956999999999998E-3</v>
      </c>
      <c r="I18" t="s">
        <v>84</v>
      </c>
    </row>
    <row r="19" spans="1:9" x14ac:dyDescent="0.25">
      <c r="A19" t="s">
        <v>24</v>
      </c>
      <c r="B19" t="s">
        <v>6</v>
      </c>
      <c r="C19">
        <v>2010</v>
      </c>
      <c r="D19" t="s">
        <v>7</v>
      </c>
      <c r="E19" t="s">
        <v>9</v>
      </c>
      <c r="F19" t="s">
        <v>3</v>
      </c>
      <c r="G19">
        <v>2.3100000000000003E-4</v>
      </c>
      <c r="I19" t="s">
        <v>84</v>
      </c>
    </row>
    <row r="20" spans="1:9" x14ac:dyDescent="0.25">
      <c r="A20" t="s">
        <v>25</v>
      </c>
      <c r="B20" t="s">
        <v>6</v>
      </c>
      <c r="C20">
        <v>2010</v>
      </c>
      <c r="D20" t="s">
        <v>7</v>
      </c>
      <c r="E20" t="s">
        <v>9</v>
      </c>
      <c r="F20" t="s">
        <v>3</v>
      </c>
      <c r="G20">
        <v>2.7720000000000002E-4</v>
      </c>
      <c r="I20" t="s">
        <v>84</v>
      </c>
    </row>
    <row r="21" spans="1:9" x14ac:dyDescent="0.25">
      <c r="A21" t="s">
        <v>17</v>
      </c>
      <c r="B21" t="s">
        <v>6</v>
      </c>
      <c r="C21">
        <v>2010</v>
      </c>
      <c r="D21" t="s">
        <v>7</v>
      </c>
      <c r="E21" t="s">
        <v>4</v>
      </c>
      <c r="F21" t="s">
        <v>3</v>
      </c>
      <c r="G21">
        <v>1.9644292354980848E-9</v>
      </c>
      <c r="I21" t="s">
        <v>58</v>
      </c>
    </row>
    <row r="22" spans="1:9" x14ac:dyDescent="0.25">
      <c r="A22" t="s">
        <v>20</v>
      </c>
      <c r="B22" t="s">
        <v>6</v>
      </c>
      <c r="C22">
        <v>2010</v>
      </c>
      <c r="D22" t="s">
        <v>7</v>
      </c>
      <c r="E22" t="s">
        <v>4</v>
      </c>
      <c r="F22" t="s">
        <v>3</v>
      </c>
      <c r="G22">
        <v>4.4796950471662397E-7</v>
      </c>
      <c r="I22" t="s">
        <v>58</v>
      </c>
    </row>
    <row r="23" spans="1:9" x14ac:dyDescent="0.25">
      <c r="A23" t="s">
        <v>20</v>
      </c>
      <c r="B23" t="s">
        <v>6</v>
      </c>
      <c r="C23">
        <v>2010</v>
      </c>
      <c r="D23" t="s">
        <v>7</v>
      </c>
      <c r="E23" t="s">
        <v>4</v>
      </c>
      <c r="F23" t="s">
        <v>3</v>
      </c>
      <c r="G23">
        <v>3.4608398422240063E-5</v>
      </c>
      <c r="I23" t="s">
        <v>58</v>
      </c>
    </row>
    <row r="24" spans="1:9" x14ac:dyDescent="0.25">
      <c r="A24" t="s">
        <v>23</v>
      </c>
      <c r="B24" t="s">
        <v>6</v>
      </c>
      <c r="C24">
        <v>2010</v>
      </c>
      <c r="D24" t="s">
        <v>7</v>
      </c>
      <c r="E24" t="s">
        <v>4</v>
      </c>
      <c r="F24" t="s">
        <v>3</v>
      </c>
      <c r="G24">
        <v>9.2912193570855374E-10</v>
      </c>
      <c r="I24" t="s">
        <v>58</v>
      </c>
    </row>
    <row r="25" spans="1:9" x14ac:dyDescent="0.25">
      <c r="A25" t="s">
        <v>22</v>
      </c>
      <c r="B25" t="s">
        <v>6</v>
      </c>
      <c r="C25">
        <v>2010</v>
      </c>
      <c r="D25" t="s">
        <v>7</v>
      </c>
      <c r="E25" t="s">
        <v>4</v>
      </c>
      <c r="F25" t="s">
        <v>3</v>
      </c>
      <c r="G25">
        <v>0</v>
      </c>
      <c r="I25" t="s">
        <v>58</v>
      </c>
    </row>
    <row r="26" spans="1:9" x14ac:dyDescent="0.25">
      <c r="A26" t="s">
        <v>25</v>
      </c>
      <c r="B26" t="s">
        <v>6</v>
      </c>
      <c r="C26">
        <v>2010</v>
      </c>
      <c r="D26" t="s">
        <v>7</v>
      </c>
      <c r="E26" t="s">
        <v>119</v>
      </c>
      <c r="F26" t="s">
        <v>85</v>
      </c>
      <c r="G26">
        <v>2.9676543999999998E-3</v>
      </c>
    </row>
    <row r="27" spans="1:9" x14ac:dyDescent="0.25">
      <c r="A27" t="s">
        <v>25</v>
      </c>
      <c r="B27" t="s">
        <v>6</v>
      </c>
      <c r="C27">
        <v>2010</v>
      </c>
      <c r="D27" t="s">
        <v>7</v>
      </c>
      <c r="E27" t="s">
        <v>119</v>
      </c>
      <c r="F27" t="s">
        <v>86</v>
      </c>
      <c r="G27">
        <v>8.6749696E-4</v>
      </c>
    </row>
    <row r="28" spans="1:9" x14ac:dyDescent="0.25">
      <c r="A28" t="s">
        <v>25</v>
      </c>
      <c r="B28" t="s">
        <v>6</v>
      </c>
      <c r="C28">
        <v>2010</v>
      </c>
      <c r="D28" t="s">
        <v>7</v>
      </c>
      <c r="E28" t="s">
        <v>119</v>
      </c>
      <c r="F28" t="s">
        <v>87</v>
      </c>
      <c r="G28">
        <v>5.9084780149999997E-4</v>
      </c>
    </row>
    <row r="29" spans="1:9" x14ac:dyDescent="0.25">
      <c r="A29" t="s">
        <v>25</v>
      </c>
      <c r="B29" t="s">
        <v>6</v>
      </c>
      <c r="C29">
        <v>2010</v>
      </c>
      <c r="D29" t="s">
        <v>7</v>
      </c>
      <c r="E29" t="s">
        <v>119</v>
      </c>
      <c r="F29" t="s">
        <v>88</v>
      </c>
      <c r="G29">
        <v>5.7159306599999997E-4</v>
      </c>
    </row>
    <row r="30" spans="1:9" x14ac:dyDescent="0.25">
      <c r="A30" t="s">
        <v>25</v>
      </c>
      <c r="B30" t="s">
        <v>6</v>
      </c>
      <c r="C30">
        <v>2010</v>
      </c>
      <c r="D30" t="s">
        <v>7</v>
      </c>
      <c r="E30" t="s">
        <v>119</v>
      </c>
      <c r="F30" t="s">
        <v>89</v>
      </c>
      <c r="G30">
        <v>6.7310672000000003E-5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5" sqref="C5"/>
    </sheetView>
  </sheetViews>
  <sheetFormatPr defaultRowHeight="15" x14ac:dyDescent="0.25"/>
  <cols>
    <col min="1" max="1" width="23.42578125" bestFit="1" customWidth="1"/>
    <col min="2" max="2" width="11.5703125" bestFit="1" customWidth="1"/>
    <col min="3" max="3" width="14.85546875" bestFit="1" customWidth="1"/>
  </cols>
  <sheetData>
    <row r="1" spans="1:4" x14ac:dyDescent="0.25">
      <c r="A1" s="62" t="s">
        <v>117</v>
      </c>
      <c r="B1" s="62" t="s">
        <v>145</v>
      </c>
      <c r="C1" s="62" t="s">
        <v>178</v>
      </c>
      <c r="D1" s="62" t="s">
        <v>217</v>
      </c>
    </row>
    <row r="2" spans="1:4" x14ac:dyDescent="0.25">
      <c r="A2" t="s">
        <v>25</v>
      </c>
      <c r="B2" s="75" t="s">
        <v>188</v>
      </c>
      <c r="C2">
        <v>490</v>
      </c>
      <c r="D2">
        <f>C2*VLOOKUP(B2,'basin value by ag product'!$A$2:$D$8,4,FALSE)</f>
        <v>79.784590790489133</v>
      </c>
    </row>
    <row r="3" spans="1:4" x14ac:dyDescent="0.25">
      <c r="A3" t="s">
        <v>25</v>
      </c>
      <c r="B3" t="s">
        <v>185</v>
      </c>
      <c r="C3">
        <v>168</v>
      </c>
      <c r="D3">
        <f>C3*VLOOKUP(B3,'basin value by ag product'!$A$2:$D$8,4,FALSE)</f>
        <v>340.64928000000003</v>
      </c>
    </row>
    <row r="4" spans="1:4" x14ac:dyDescent="0.25">
      <c r="A4" t="s">
        <v>25</v>
      </c>
      <c r="B4" t="s">
        <v>176</v>
      </c>
      <c r="C4">
        <v>742</v>
      </c>
      <c r="D4">
        <f>C4*VLOOKUP(B4,'basin value by ag product'!$A$2:$D$8,4,FALSE)</f>
        <v>26.375530267911028</v>
      </c>
    </row>
    <row r="5" spans="1:4" x14ac:dyDescent="0.25">
      <c r="A5" t="s">
        <v>23</v>
      </c>
      <c r="B5" t="s">
        <v>176</v>
      </c>
      <c r="C5">
        <f>1.27+0.18+0.5+0.4+0.04</f>
        <v>2.39</v>
      </c>
      <c r="D5">
        <f>C5*VLOOKUP(B5,'basin value by ag product'!$A$2:$D$8,4,FALSE)</f>
        <v>8.4956222830602904E-2</v>
      </c>
    </row>
    <row r="6" spans="1:4" x14ac:dyDescent="0.25">
      <c r="A6" t="s">
        <v>23</v>
      </c>
      <c r="B6" t="s">
        <v>213</v>
      </c>
      <c r="C6">
        <f>0.35+0.15</f>
        <v>0.5</v>
      </c>
      <c r="D6">
        <f>C6*VLOOKUP(B6,'basin value by ag product'!$A$2:$D$8,4,FALSE)</f>
        <v>0.74003378378378382</v>
      </c>
    </row>
    <row r="7" spans="1:4" x14ac:dyDescent="0.25">
      <c r="A7" t="s">
        <v>23</v>
      </c>
      <c r="B7" t="s">
        <v>185</v>
      </c>
      <c r="C7">
        <f>0.15+0.1+0.12+0.1</f>
        <v>0.47</v>
      </c>
      <c r="D7">
        <f>C7*VLOOKUP(B7,'basin value by ag product'!$A$2:$D$8,4,FALSE)</f>
        <v>0.95300691428571427</v>
      </c>
    </row>
    <row r="8" spans="1:4" x14ac:dyDescent="0.25">
      <c r="A8" t="s">
        <v>24</v>
      </c>
      <c r="B8" t="s">
        <v>225</v>
      </c>
      <c r="C8">
        <v>18.899999999999999</v>
      </c>
      <c r="D8">
        <f>C8*VLOOKUP(B8,'basin value by ag product'!$A$2:$D$8,4,FALSE)</f>
        <v>16.614326335877863</v>
      </c>
    </row>
    <row r="9" spans="1:4" x14ac:dyDescent="0.25">
      <c r="A9" t="s">
        <v>24</v>
      </c>
      <c r="B9" t="s">
        <v>176</v>
      </c>
      <c r="C9">
        <v>10.95</v>
      </c>
      <c r="D9">
        <f>C9*VLOOKUP(B9,'basin value by ag product'!$A$2:$D$8,4,FALSE)</f>
        <v>0.38923457740380824</v>
      </c>
    </row>
    <row r="10" spans="1:4" x14ac:dyDescent="0.25">
      <c r="A10" t="s">
        <v>24</v>
      </c>
      <c r="B10" t="s">
        <v>185</v>
      </c>
      <c r="C10">
        <f>3.9+2.2</f>
        <v>6.1</v>
      </c>
      <c r="D10">
        <f>C10*VLOOKUP(B10,'basin value by ag product'!$A$2:$D$8,4,FALSE)</f>
        <v>12.368813142857142</v>
      </c>
    </row>
    <row r="11" spans="1:4" x14ac:dyDescent="0.25">
      <c r="A11" t="s">
        <v>24</v>
      </c>
      <c r="B11" s="75" t="s">
        <v>188</v>
      </c>
      <c r="C11">
        <f>2.5+17.2+0.15</f>
        <v>19.849999999999998</v>
      </c>
      <c r="D11">
        <f>C11*VLOOKUP(B11,'basin value by ag product'!$A$2:$D$8,4,FALSE)</f>
        <v>3.2320900554922636</v>
      </c>
    </row>
    <row r="12" spans="1:4" x14ac:dyDescent="0.25">
      <c r="A12" t="s">
        <v>21</v>
      </c>
      <c r="B12" t="s">
        <v>176</v>
      </c>
      <c r="C12">
        <f>1.4+9.5+1+10.35</f>
        <v>22.25</v>
      </c>
      <c r="D12">
        <f>C12*VLOOKUP(B12,'basin value by ag product'!$A$2:$D$8,4,FALSE)</f>
        <v>0.79091044266983879</v>
      </c>
    </row>
    <row r="13" spans="1:4" x14ac:dyDescent="0.25">
      <c r="A13" t="s">
        <v>21</v>
      </c>
      <c r="B13" s="75" t="s">
        <v>188</v>
      </c>
      <c r="C13">
        <v>0.6</v>
      </c>
      <c r="D13">
        <f>C13*VLOOKUP(B13,'basin value by ag product'!$A$2:$D$8,4,FALSE)</f>
        <v>9.7695417294476491E-2</v>
      </c>
    </row>
    <row r="14" spans="1:4" x14ac:dyDescent="0.25">
      <c r="A14" t="s">
        <v>21</v>
      </c>
      <c r="B14" t="s">
        <v>213</v>
      </c>
      <c r="C14">
        <f>0.5+0.12</f>
        <v>0.62</v>
      </c>
      <c r="D14">
        <f>C14*VLOOKUP(B14,'basin value by ag product'!$A$2:$D$8,4,FALSE)</f>
        <v>0.91764189189189194</v>
      </c>
    </row>
    <row r="15" spans="1:4" x14ac:dyDescent="0.25">
      <c r="A15" t="s">
        <v>21</v>
      </c>
      <c r="B15" t="s">
        <v>225</v>
      </c>
      <c r="C15">
        <v>1.5</v>
      </c>
      <c r="D15">
        <f>C15*VLOOKUP(B15,'basin value by ag product'!$A$2:$D$8,4,FALSE)</f>
        <v>1.3185973282442749</v>
      </c>
    </row>
    <row r="16" spans="1:4" x14ac:dyDescent="0.25">
      <c r="A16" t="s">
        <v>21</v>
      </c>
      <c r="B16" t="s">
        <v>177</v>
      </c>
      <c r="C16">
        <v>0.63</v>
      </c>
      <c r="D16">
        <f>C16*VLOOKUP(B16,'basin value by ag product'!$A$2:$D$8,4,FALSE)</f>
        <v>0</v>
      </c>
    </row>
    <row r="17" spans="1:4" x14ac:dyDescent="0.25">
      <c r="A17" t="s">
        <v>22</v>
      </c>
      <c r="B17" t="s">
        <v>225</v>
      </c>
      <c r="C17">
        <f>21.5+9.6</f>
        <v>31.1</v>
      </c>
      <c r="D17">
        <f>C17*VLOOKUP(B17,'basin value by ag product'!$A$2:$D$8,4,FALSE)</f>
        <v>27.338917938931299</v>
      </c>
    </row>
    <row r="18" spans="1:4" x14ac:dyDescent="0.25">
      <c r="A18" t="s">
        <v>22</v>
      </c>
      <c r="B18" t="s">
        <v>213</v>
      </c>
      <c r="C18">
        <f>3.45+1.05+0.7</f>
        <v>5.2</v>
      </c>
      <c r="D18">
        <f>C18*VLOOKUP(B18,'basin value by ag product'!$A$2:$D$8,4,FALSE)</f>
        <v>7.6963513513513515</v>
      </c>
    </row>
    <row r="19" spans="1:4" x14ac:dyDescent="0.25">
      <c r="A19" t="s">
        <v>22</v>
      </c>
      <c r="B19" s="75" t="s">
        <v>188</v>
      </c>
      <c r="C19">
        <v>28.5</v>
      </c>
      <c r="D19">
        <f>C19*VLOOKUP(B19,'basin value by ag product'!$A$2:$D$8,4,FALSE)</f>
        <v>4.6405323214876333</v>
      </c>
    </row>
    <row r="20" spans="1:4" x14ac:dyDescent="0.25">
      <c r="A20" t="s">
        <v>22</v>
      </c>
      <c r="B20" t="s">
        <v>176</v>
      </c>
      <c r="C20">
        <f>8.2+5</f>
        <v>13.2</v>
      </c>
      <c r="D20">
        <f>C20*VLOOKUP(B20,'basin value by ag product'!$A$2:$D$8,4,FALSE)</f>
        <v>0.46921428508952229</v>
      </c>
    </row>
    <row r="21" spans="1:4" x14ac:dyDescent="0.25">
      <c r="A21" t="s">
        <v>20</v>
      </c>
      <c r="B21" t="s">
        <v>176</v>
      </c>
      <c r="C21">
        <f>1.3+1+3.5+0.12+0.3</f>
        <v>6.22</v>
      </c>
      <c r="D21">
        <f>C21*VLOOKUP(B21,'basin value by ag product'!$A$2:$D$8,4,FALSE)</f>
        <v>0.22109945858006277</v>
      </c>
    </row>
    <row r="22" spans="1:4" x14ac:dyDescent="0.25">
      <c r="A22" t="s">
        <v>20</v>
      </c>
      <c r="B22" s="75" t="s">
        <v>188</v>
      </c>
      <c r="C22">
        <v>0.2</v>
      </c>
      <c r="D22">
        <f>C22*VLOOKUP(B22,'basin value by ag product'!$A$2:$D$8,4,FALSE)</f>
        <v>3.2565139098158828E-2</v>
      </c>
    </row>
    <row r="23" spans="1:4" x14ac:dyDescent="0.25">
      <c r="A23" t="s">
        <v>20</v>
      </c>
      <c r="B23" t="s">
        <v>225</v>
      </c>
      <c r="C23">
        <v>0.06</v>
      </c>
      <c r="D23">
        <f>C23*VLOOKUP(B23,'basin value by ag product'!$A$2:$D$8,4,FALSE)</f>
        <v>5.2743893129770993E-2</v>
      </c>
    </row>
    <row r="24" spans="1:4" x14ac:dyDescent="0.25">
      <c r="A24" t="s">
        <v>20</v>
      </c>
      <c r="B24" t="s">
        <v>185</v>
      </c>
      <c r="C24">
        <v>0.02</v>
      </c>
      <c r="D24">
        <f>C24*VLOOKUP(B24,'basin value by ag product'!$A$2:$D$8,4,FALSE)</f>
        <v>4.0553485714285714E-2</v>
      </c>
    </row>
    <row r="25" spans="1:4" x14ac:dyDescent="0.25">
      <c r="A25" t="s">
        <v>18</v>
      </c>
      <c r="B25" t="s">
        <v>176</v>
      </c>
      <c r="C25">
        <f>0.3+0.23</f>
        <v>0.53</v>
      </c>
      <c r="D25">
        <f>C25*VLOOKUP(B25,'basin value by ag product'!$A$2:$D$8,4,FALSE)</f>
        <v>1.8839664477079306E-2</v>
      </c>
    </row>
    <row r="26" spans="1:4" x14ac:dyDescent="0.25">
      <c r="A26" t="s">
        <v>18</v>
      </c>
      <c r="B26" t="s">
        <v>177</v>
      </c>
      <c r="C26">
        <v>0.15</v>
      </c>
      <c r="D26">
        <f>C26*VLOOKUP(B26,'basin value by ag product'!$A$2:$D$8,4,FALSE)</f>
        <v>0</v>
      </c>
    </row>
    <row r="27" spans="1:4" x14ac:dyDescent="0.25">
      <c r="A27" t="s">
        <v>16</v>
      </c>
      <c r="B27" t="s">
        <v>225</v>
      </c>
      <c r="C27">
        <v>0.02</v>
      </c>
      <c r="D27">
        <f>C27*VLOOKUP(B27,'basin value by ag product'!$A$2:$D$8,4,FALSE)</f>
        <v>1.7581297709923664E-2</v>
      </c>
    </row>
    <row r="28" spans="1:4" x14ac:dyDescent="0.25">
      <c r="A28" s="62" t="s">
        <v>45</v>
      </c>
      <c r="B28" s="62" t="s">
        <v>36</v>
      </c>
      <c r="C28" s="62">
        <f>SUM(C2:C27)</f>
        <v>1569.96</v>
      </c>
      <c r="D28" s="62">
        <f>SUM(D2:D27)</f>
        <v>524.84510600660099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M6" sqref="M6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20" bestFit="1" customWidth="1"/>
    <col min="4" max="5" width="20" customWidth="1"/>
    <col min="6" max="8" width="20.140625" customWidth="1"/>
    <col min="9" max="9" width="35.140625" bestFit="1" customWidth="1"/>
    <col min="10" max="10" width="12.42578125" bestFit="1" customWidth="1"/>
  </cols>
  <sheetData>
    <row r="1" spans="1:14" ht="30" x14ac:dyDescent="0.25">
      <c r="A1" s="62" t="s">
        <v>204</v>
      </c>
      <c r="B1" s="62" t="s">
        <v>205</v>
      </c>
      <c r="C1" s="62" t="s">
        <v>206</v>
      </c>
      <c r="D1" s="62" t="s">
        <v>216</v>
      </c>
      <c r="E1" s="62" t="s">
        <v>229</v>
      </c>
      <c r="F1" s="64" t="s">
        <v>230</v>
      </c>
      <c r="G1" s="64" t="s">
        <v>232</v>
      </c>
      <c r="H1" s="64" t="s">
        <v>234</v>
      </c>
      <c r="I1" s="62" t="s">
        <v>37</v>
      </c>
      <c r="J1" s="62" t="s">
        <v>208</v>
      </c>
    </row>
    <row r="2" spans="1:14" x14ac:dyDescent="0.25">
      <c r="A2" s="61" t="s">
        <v>225</v>
      </c>
      <c r="B2">
        <v>46.063000000000002</v>
      </c>
      <c r="C2">
        <v>52.4</v>
      </c>
      <c r="D2" s="44">
        <f>B2/C2</f>
        <v>0.87906488549618322</v>
      </c>
      <c r="E2" s="1" t="s">
        <v>36</v>
      </c>
      <c r="F2" s="34"/>
      <c r="G2" s="67">
        <f>G6</f>
        <v>1.8078611490413371E-2</v>
      </c>
      <c r="H2">
        <f>G2/$G$8</f>
        <v>0.29486923658504177</v>
      </c>
      <c r="J2" t="s">
        <v>209</v>
      </c>
    </row>
    <row r="3" spans="1:14" x14ac:dyDescent="0.25">
      <c r="A3" s="61" t="s">
        <v>213</v>
      </c>
      <c r="B3">
        <v>21.905000000000001</v>
      </c>
      <c r="C3">
        <v>14.8</v>
      </c>
      <c r="D3" s="44">
        <f t="shared" ref="D3:D8" si="0">B3/C3</f>
        <v>1.4800675675675676</v>
      </c>
      <c r="E3" s="65" t="s">
        <v>36</v>
      </c>
      <c r="F3" s="34"/>
      <c r="G3" s="68">
        <f>G6</f>
        <v>1.8078611490413371E-2</v>
      </c>
      <c r="H3">
        <f>G3/$G$8</f>
        <v>0.29486923658504177</v>
      </c>
      <c r="I3" t="s">
        <v>212</v>
      </c>
      <c r="J3" t="s">
        <v>209</v>
      </c>
    </row>
    <row r="4" spans="1:14" x14ac:dyDescent="0.25">
      <c r="A4" s="61" t="s">
        <v>188</v>
      </c>
      <c r="B4">
        <f>20.832+36.301+31.48</f>
        <v>88.613</v>
      </c>
      <c r="C4">
        <v>544.22</v>
      </c>
      <c r="D4" s="44">
        <f t="shared" si="0"/>
        <v>0.16282569549079415</v>
      </c>
      <c r="E4" s="34">
        <v>4.0000000000000001E-3</v>
      </c>
      <c r="F4" s="34">
        <v>4.2000000000000003E-2</v>
      </c>
      <c r="G4" s="63">
        <f>F4/B2</f>
        <v>9.1179471593252719E-4</v>
      </c>
      <c r="H4">
        <f>G4/$G$8</f>
        <v>1.4871729056839851E-2</v>
      </c>
      <c r="I4" t="s">
        <v>210</v>
      </c>
      <c r="J4" t="s">
        <v>209</v>
      </c>
    </row>
    <row r="5" spans="1:14" x14ac:dyDescent="0.25">
      <c r="A5" s="61" t="s">
        <v>176</v>
      </c>
      <c r="B5">
        <v>28.448</v>
      </c>
      <c r="C5">
        <v>800.303</v>
      </c>
      <c r="D5" s="44">
        <f t="shared" si="0"/>
        <v>3.5546536749206235E-2</v>
      </c>
      <c r="E5" s="34">
        <v>9.8000000000000004E-2</v>
      </c>
      <c r="F5" s="34">
        <v>0.13500000000000001</v>
      </c>
      <c r="G5" s="63">
        <f t="shared" ref="G5:G6" si="1">F5/B3</f>
        <v>6.1629764893859854E-3</v>
      </c>
      <c r="H5">
        <f>G5/$G$8</f>
        <v>0.1005205611880348</v>
      </c>
      <c r="I5" t="s">
        <v>214</v>
      </c>
      <c r="J5" t="s">
        <v>209</v>
      </c>
    </row>
    <row r="6" spans="1:14" x14ac:dyDescent="0.25">
      <c r="A6" s="61" t="s">
        <v>185</v>
      </c>
      <c r="B6">
        <f>337.492+17.351</f>
        <v>354.84300000000002</v>
      </c>
      <c r="C6">
        <v>175</v>
      </c>
      <c r="D6" s="44">
        <f t="shared" si="0"/>
        <v>2.0276742857142858</v>
      </c>
      <c r="E6" s="34">
        <v>2.09</v>
      </c>
      <c r="F6" s="34">
        <v>1.6020000000000001</v>
      </c>
      <c r="G6" s="67">
        <f t="shared" si="1"/>
        <v>1.8078611490413371E-2</v>
      </c>
      <c r="H6">
        <f>G6/$G$8</f>
        <v>0.29486923658504177</v>
      </c>
      <c r="I6" t="s">
        <v>211</v>
      </c>
      <c r="J6" t="s">
        <v>209</v>
      </c>
    </row>
    <row r="7" spans="1:14" x14ac:dyDescent="0.25">
      <c r="A7" s="61" t="s">
        <v>177</v>
      </c>
      <c r="B7">
        <v>0</v>
      </c>
      <c r="C7">
        <v>6.93</v>
      </c>
      <c r="D7" s="44">
        <f t="shared" si="0"/>
        <v>0</v>
      </c>
      <c r="E7" s="65" t="s">
        <v>36</v>
      </c>
      <c r="F7" s="65" t="s">
        <v>36</v>
      </c>
      <c r="G7" s="66" t="s">
        <v>36</v>
      </c>
      <c r="H7" s="66"/>
      <c r="I7" t="s">
        <v>215</v>
      </c>
      <c r="J7" t="s">
        <v>209</v>
      </c>
    </row>
    <row r="8" spans="1:14" x14ac:dyDescent="0.25">
      <c r="A8" s="62" t="s">
        <v>39</v>
      </c>
      <c r="B8" s="62">
        <f>SUM(B2:B7)</f>
        <v>539.87200000000007</v>
      </c>
      <c r="C8" s="62">
        <f>SUM(C2:C7)</f>
        <v>1593.653</v>
      </c>
      <c r="D8" s="44">
        <f t="shared" si="0"/>
        <v>0.33876383378313851</v>
      </c>
      <c r="E8" s="34"/>
      <c r="F8" s="34"/>
      <c r="G8" s="69">
        <f>SUM(G2:G7)</f>
        <v>6.1310605676558626E-2</v>
      </c>
      <c r="H8" s="69">
        <f>SUM(H2:H7)</f>
        <v>1</v>
      </c>
      <c r="I8" t="s">
        <v>207</v>
      </c>
      <c r="J8" t="s">
        <v>209</v>
      </c>
    </row>
    <row r="11" spans="1:14" x14ac:dyDescent="0.25">
      <c r="C11" t="s">
        <v>231</v>
      </c>
    </row>
    <row r="12" spans="1:14" x14ac:dyDescent="0.25">
      <c r="C12" t="s">
        <v>233</v>
      </c>
    </row>
    <row r="14" spans="1:14" x14ac:dyDescent="0.25">
      <c r="N14" s="61"/>
    </row>
    <row r="15" spans="1:14" x14ac:dyDescent="0.25">
      <c r="N15" s="61"/>
    </row>
    <row r="16" spans="1:14" x14ac:dyDescent="0.25">
      <c r="N16" s="61"/>
    </row>
    <row r="17" spans="14:14" x14ac:dyDescent="0.25">
      <c r="N17" s="61"/>
    </row>
    <row r="18" spans="14:14" x14ac:dyDescent="0.25">
      <c r="N18" s="61"/>
    </row>
    <row r="19" spans="14:14" x14ac:dyDescent="0.25">
      <c r="N19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43" workbookViewId="0">
      <selection activeCell="J66" sqref="J66"/>
    </sheetView>
  </sheetViews>
  <sheetFormatPr defaultRowHeight="15" x14ac:dyDescent="0.25"/>
  <cols>
    <col min="2" max="2" width="23.42578125" bestFit="1" customWidth="1"/>
    <col min="3" max="3" width="23.42578125" customWidth="1"/>
    <col min="4" max="4" width="9.42578125" customWidth="1"/>
    <col min="5" max="5" width="16.85546875" customWidth="1"/>
    <col min="6" max="6" width="16.42578125" bestFit="1" customWidth="1"/>
    <col min="7" max="7" width="14.28515625" bestFit="1" customWidth="1"/>
    <col min="8" max="8" width="7.85546875" bestFit="1" customWidth="1"/>
    <col min="9" max="9" width="87.28515625" bestFit="1" customWidth="1"/>
    <col min="10" max="10" width="8" customWidth="1"/>
    <col min="11" max="11" width="5.85546875" bestFit="1" customWidth="1"/>
    <col min="12" max="12" width="23.42578125" bestFit="1" customWidth="1"/>
    <col min="14" max="14" width="14.140625" bestFit="1" customWidth="1"/>
    <col min="15" max="16" width="16" bestFit="1" customWidth="1"/>
    <col min="17" max="17" width="23.42578125" bestFit="1" customWidth="1"/>
  </cols>
  <sheetData>
    <row r="1" spans="1:20" ht="45" x14ac:dyDescent="0.25">
      <c r="A1" t="s">
        <v>173</v>
      </c>
      <c r="B1" t="s">
        <v>33</v>
      </c>
      <c r="C1" t="s">
        <v>145</v>
      </c>
      <c r="D1" s="57" t="s">
        <v>178</v>
      </c>
      <c r="E1" s="57" t="s">
        <v>187</v>
      </c>
      <c r="F1" t="s">
        <v>179</v>
      </c>
      <c r="G1" t="s">
        <v>181</v>
      </c>
      <c r="H1" t="s">
        <v>184</v>
      </c>
      <c r="I1" t="s">
        <v>37</v>
      </c>
      <c r="K1" s="61" t="s">
        <v>25</v>
      </c>
      <c r="L1" s="61" t="s">
        <v>23</v>
      </c>
      <c r="M1" s="61" t="s">
        <v>22</v>
      </c>
      <c r="N1" s="61" t="s">
        <v>24</v>
      </c>
      <c r="O1" s="61" t="s">
        <v>21</v>
      </c>
      <c r="P1" s="61" t="s">
        <v>20</v>
      </c>
      <c r="Q1" s="61" t="s">
        <v>18</v>
      </c>
      <c r="R1" t="s">
        <v>175</v>
      </c>
      <c r="S1" t="s">
        <v>146</v>
      </c>
      <c r="T1" t="s">
        <v>147</v>
      </c>
    </row>
    <row r="2" spans="1:20" x14ac:dyDescent="0.25">
      <c r="A2" s="56">
        <v>1</v>
      </c>
      <c r="B2" s="56" t="s">
        <v>25</v>
      </c>
      <c r="C2" s="56" t="s">
        <v>188</v>
      </c>
      <c r="D2" s="56">
        <v>490</v>
      </c>
      <c r="E2" s="56">
        <v>1400</v>
      </c>
      <c r="F2" s="56" t="s">
        <v>180</v>
      </c>
      <c r="G2" s="56" t="s">
        <v>183</v>
      </c>
      <c r="H2" s="56" t="s">
        <v>186</v>
      </c>
    </row>
    <row r="3" spans="1:20" x14ac:dyDescent="0.25">
      <c r="A3" s="56">
        <v>1</v>
      </c>
      <c r="B3" s="56" t="s">
        <v>25</v>
      </c>
      <c r="C3" s="56" t="s">
        <v>185</v>
      </c>
      <c r="D3" s="56">
        <v>168</v>
      </c>
      <c r="E3" s="56">
        <v>1400</v>
      </c>
      <c r="F3" s="56" t="s">
        <v>180</v>
      </c>
      <c r="G3" s="56" t="s">
        <v>183</v>
      </c>
      <c r="H3" s="56" t="s">
        <v>186</v>
      </c>
    </row>
    <row r="4" spans="1:20" x14ac:dyDescent="0.25">
      <c r="A4" s="56">
        <v>1</v>
      </c>
      <c r="B4" s="56" t="s">
        <v>25</v>
      </c>
      <c r="C4" s="56" t="s">
        <v>176</v>
      </c>
      <c r="D4" s="56">
        <v>742</v>
      </c>
      <c r="E4" s="56">
        <v>1400</v>
      </c>
      <c r="F4" s="56" t="s">
        <v>180</v>
      </c>
      <c r="G4" s="56" t="s">
        <v>183</v>
      </c>
      <c r="H4" s="56" t="s">
        <v>186</v>
      </c>
    </row>
    <row r="5" spans="1:20" x14ac:dyDescent="0.25">
      <c r="A5" s="56">
        <v>3</v>
      </c>
      <c r="B5" s="56" t="s">
        <v>23</v>
      </c>
      <c r="C5" s="56" t="s">
        <v>176</v>
      </c>
      <c r="D5" s="56">
        <v>1.27</v>
      </c>
      <c r="E5" s="56">
        <v>1.62</v>
      </c>
      <c r="F5" s="56" t="s">
        <v>180</v>
      </c>
      <c r="G5" s="56" t="s">
        <v>183</v>
      </c>
      <c r="H5" s="56" t="s">
        <v>186</v>
      </c>
      <c r="I5">
        <v>1</v>
      </c>
    </row>
    <row r="6" spans="1:20" x14ac:dyDescent="0.25">
      <c r="A6" s="56">
        <v>3</v>
      </c>
      <c r="B6" s="56" t="s">
        <v>23</v>
      </c>
      <c r="C6" s="56" t="s">
        <v>192</v>
      </c>
      <c r="D6" s="56">
        <v>0.35</v>
      </c>
      <c r="E6" s="56">
        <v>1.62</v>
      </c>
      <c r="F6" s="56" t="s">
        <v>180</v>
      </c>
      <c r="G6" s="56" t="s">
        <v>183</v>
      </c>
      <c r="H6" s="56" t="s">
        <v>186</v>
      </c>
      <c r="I6">
        <v>1</v>
      </c>
    </row>
    <row r="7" spans="1:20" x14ac:dyDescent="0.25">
      <c r="A7" s="56">
        <v>9</v>
      </c>
      <c r="B7" s="56" t="s">
        <v>23</v>
      </c>
      <c r="C7" s="56" t="s">
        <v>176</v>
      </c>
      <c r="D7" s="56">
        <v>0.18</v>
      </c>
      <c r="E7" s="56">
        <v>0.6</v>
      </c>
      <c r="F7" s="56" t="s">
        <v>180</v>
      </c>
      <c r="G7" s="56" t="s">
        <v>183</v>
      </c>
      <c r="H7" s="56" t="s">
        <v>186</v>
      </c>
    </row>
    <row r="8" spans="1:20" x14ac:dyDescent="0.25">
      <c r="A8" s="56">
        <v>9</v>
      </c>
      <c r="B8" s="56" t="s">
        <v>23</v>
      </c>
      <c r="C8" s="56" t="s">
        <v>192</v>
      </c>
      <c r="D8" s="56">
        <v>0.15</v>
      </c>
      <c r="E8" s="56">
        <v>0.6</v>
      </c>
      <c r="F8" s="56" t="s">
        <v>180</v>
      </c>
      <c r="G8" s="56" t="s">
        <v>183</v>
      </c>
      <c r="H8" s="56" t="s">
        <v>186</v>
      </c>
    </row>
    <row r="9" spans="1:20" x14ac:dyDescent="0.25">
      <c r="A9" s="56">
        <v>9</v>
      </c>
      <c r="B9" s="56" t="s">
        <v>23</v>
      </c>
      <c r="C9" s="56" t="s">
        <v>185</v>
      </c>
      <c r="D9" s="56">
        <v>0.15</v>
      </c>
      <c r="E9" s="56">
        <v>0.6</v>
      </c>
      <c r="F9" s="56" t="s">
        <v>180</v>
      </c>
      <c r="G9" s="56" t="s">
        <v>183</v>
      </c>
      <c r="H9" s="56" t="s">
        <v>186</v>
      </c>
    </row>
    <row r="10" spans="1:20" x14ac:dyDescent="0.25">
      <c r="A10" s="56">
        <v>9</v>
      </c>
      <c r="B10" s="56" t="s">
        <v>23</v>
      </c>
      <c r="C10" s="56" t="s">
        <v>52</v>
      </c>
      <c r="D10" s="56">
        <f>E7-SUM(D7:D9)</f>
        <v>0.12</v>
      </c>
      <c r="E10" s="56">
        <v>0.6</v>
      </c>
      <c r="F10" s="56" t="s">
        <v>180</v>
      </c>
      <c r="G10" s="56" t="s">
        <v>183</v>
      </c>
      <c r="H10" s="56" t="s">
        <v>186</v>
      </c>
    </row>
    <row r="11" spans="1:20" x14ac:dyDescent="0.25">
      <c r="A11" s="56">
        <v>11</v>
      </c>
      <c r="B11" s="56" t="s">
        <v>23</v>
      </c>
      <c r="C11" s="56" t="s">
        <v>176</v>
      </c>
      <c r="D11" s="56">
        <v>0.4</v>
      </c>
      <c r="E11" s="56">
        <v>0.5</v>
      </c>
      <c r="F11" s="56" t="s">
        <v>180</v>
      </c>
      <c r="G11" s="56" t="s">
        <v>183</v>
      </c>
      <c r="H11" s="56" t="s">
        <v>186</v>
      </c>
    </row>
    <row r="12" spans="1:20" x14ac:dyDescent="0.25">
      <c r="A12" s="56">
        <v>11</v>
      </c>
      <c r="B12" s="56" t="s">
        <v>23</v>
      </c>
      <c r="C12" s="56" t="s">
        <v>199</v>
      </c>
      <c r="D12" s="56">
        <v>0.1</v>
      </c>
      <c r="E12" s="56">
        <v>0.5</v>
      </c>
      <c r="F12" s="56" t="s">
        <v>180</v>
      </c>
      <c r="G12" s="56" t="s">
        <v>183</v>
      </c>
      <c r="H12" s="56" t="s">
        <v>186</v>
      </c>
    </row>
    <row r="13" spans="1:20" x14ac:dyDescent="0.25">
      <c r="A13" s="56">
        <v>12</v>
      </c>
      <c r="B13" s="56" t="s">
        <v>23</v>
      </c>
      <c r="C13" s="56" t="s">
        <v>176</v>
      </c>
      <c r="D13" s="56">
        <v>0.5</v>
      </c>
      <c r="E13" s="56">
        <v>0.6</v>
      </c>
      <c r="F13" s="56" t="s">
        <v>180</v>
      </c>
      <c r="G13" s="56" t="s">
        <v>183</v>
      </c>
      <c r="H13" s="56" t="s">
        <v>186</v>
      </c>
    </row>
    <row r="14" spans="1:20" x14ac:dyDescent="0.25">
      <c r="A14" s="56">
        <v>12</v>
      </c>
      <c r="B14" s="56" t="s">
        <v>23</v>
      </c>
      <c r="C14" s="56" t="s">
        <v>185</v>
      </c>
      <c r="D14" s="56">
        <v>0.1</v>
      </c>
      <c r="E14" s="56">
        <v>0.6</v>
      </c>
      <c r="F14" s="56" t="s">
        <v>180</v>
      </c>
      <c r="G14" s="56" t="s">
        <v>183</v>
      </c>
      <c r="H14" s="56" t="s">
        <v>186</v>
      </c>
    </row>
    <row r="15" spans="1:20" x14ac:dyDescent="0.25">
      <c r="A15" s="56">
        <v>14</v>
      </c>
      <c r="B15" s="56" t="s">
        <v>23</v>
      </c>
      <c r="C15" s="56" t="s">
        <v>176</v>
      </c>
      <c r="D15" s="56">
        <v>0.04</v>
      </c>
      <c r="E15" s="56">
        <v>0.04</v>
      </c>
      <c r="F15" s="56" t="s">
        <v>197</v>
      </c>
      <c r="G15" s="56" t="s">
        <v>183</v>
      </c>
      <c r="H15" s="56" t="s">
        <v>186</v>
      </c>
    </row>
    <row r="16" spans="1:20" x14ac:dyDescent="0.25">
      <c r="A16" s="56">
        <v>4</v>
      </c>
      <c r="B16" s="56" t="s">
        <v>24</v>
      </c>
      <c r="C16" s="56" t="s">
        <v>225</v>
      </c>
      <c r="D16" s="56">
        <v>18.899999999999999</v>
      </c>
      <c r="E16" s="56">
        <v>30.9</v>
      </c>
      <c r="F16" s="56" t="s">
        <v>180</v>
      </c>
      <c r="G16" s="56" t="s">
        <v>183</v>
      </c>
      <c r="H16" s="56" t="s">
        <v>186</v>
      </c>
      <c r="L16" s="56"/>
      <c r="M16" s="56"/>
    </row>
    <row r="17" spans="1:13" x14ac:dyDescent="0.25">
      <c r="A17" s="56">
        <v>4</v>
      </c>
      <c r="B17" s="56" t="s">
        <v>24</v>
      </c>
      <c r="C17" s="56" t="s">
        <v>176</v>
      </c>
      <c r="D17" s="56">
        <v>6</v>
      </c>
      <c r="E17" s="56">
        <v>30.9</v>
      </c>
      <c r="F17" s="56" t="s">
        <v>180</v>
      </c>
      <c r="G17" s="56" t="s">
        <v>183</v>
      </c>
      <c r="H17" s="56" t="s">
        <v>186</v>
      </c>
      <c r="L17" s="56"/>
      <c r="M17" s="56"/>
    </row>
    <row r="18" spans="1:13" x14ac:dyDescent="0.25">
      <c r="A18" s="56">
        <v>4</v>
      </c>
      <c r="B18" s="56" t="s">
        <v>24</v>
      </c>
      <c r="C18" s="56" t="s">
        <v>185</v>
      </c>
      <c r="D18" s="56">
        <v>3.5</v>
      </c>
      <c r="E18" s="56">
        <v>30.9</v>
      </c>
      <c r="F18" s="56" t="s">
        <v>180</v>
      </c>
      <c r="G18" s="56" t="s">
        <v>183</v>
      </c>
      <c r="H18" s="56" t="s">
        <v>186</v>
      </c>
      <c r="L18" s="56"/>
      <c r="M18" s="56"/>
    </row>
    <row r="19" spans="1:13" x14ac:dyDescent="0.25">
      <c r="A19" s="56">
        <v>4</v>
      </c>
      <c r="B19" s="56" t="s">
        <v>24</v>
      </c>
      <c r="C19" s="56" t="s">
        <v>188</v>
      </c>
      <c r="D19" s="56">
        <v>2.5</v>
      </c>
      <c r="E19" s="56">
        <v>30.9</v>
      </c>
      <c r="F19" s="56" t="s">
        <v>180</v>
      </c>
      <c r="G19" s="56" t="s">
        <v>183</v>
      </c>
      <c r="H19" s="56" t="s">
        <v>186</v>
      </c>
      <c r="L19" s="56"/>
      <c r="M19" s="56"/>
    </row>
    <row r="20" spans="1:13" x14ac:dyDescent="0.25">
      <c r="A20" s="56">
        <v>5</v>
      </c>
      <c r="B20" s="56" t="s">
        <v>24</v>
      </c>
      <c r="C20" s="56" t="s">
        <v>185</v>
      </c>
      <c r="D20" s="56">
        <v>0.4</v>
      </c>
      <c r="E20" s="56">
        <v>0.4</v>
      </c>
      <c r="F20" s="56" t="s">
        <v>180</v>
      </c>
      <c r="G20" s="56" t="s">
        <v>183</v>
      </c>
      <c r="H20" s="56" t="s">
        <v>186</v>
      </c>
      <c r="L20" s="56"/>
      <c r="M20" s="56"/>
    </row>
    <row r="21" spans="1:13" x14ac:dyDescent="0.25">
      <c r="A21" s="56">
        <v>6</v>
      </c>
      <c r="B21" s="56" t="s">
        <v>24</v>
      </c>
      <c r="C21" s="56" t="s">
        <v>176</v>
      </c>
      <c r="D21" s="56">
        <v>0.7</v>
      </c>
      <c r="E21" s="56">
        <v>0.7</v>
      </c>
      <c r="F21" s="56" t="s">
        <v>180</v>
      </c>
      <c r="G21" s="56" t="s">
        <v>183</v>
      </c>
      <c r="H21" s="56" t="s">
        <v>186</v>
      </c>
    </row>
    <row r="22" spans="1:13" x14ac:dyDescent="0.25">
      <c r="A22" s="56">
        <v>8</v>
      </c>
      <c r="B22" s="56" t="s">
        <v>24</v>
      </c>
      <c r="C22" s="56" t="s">
        <v>188</v>
      </c>
      <c r="D22" s="56">
        <v>17.2</v>
      </c>
      <c r="E22" s="56">
        <v>23.4</v>
      </c>
      <c r="F22" s="56" t="s">
        <v>180</v>
      </c>
      <c r="G22" s="56" t="s">
        <v>183</v>
      </c>
      <c r="H22" s="56" t="s">
        <v>186</v>
      </c>
    </row>
    <row r="23" spans="1:13" x14ac:dyDescent="0.25">
      <c r="A23" s="56">
        <v>8</v>
      </c>
      <c r="B23" s="56" t="s">
        <v>24</v>
      </c>
      <c r="C23" s="56" t="s">
        <v>176</v>
      </c>
      <c r="D23" s="56">
        <v>4</v>
      </c>
      <c r="E23" s="56">
        <v>23.4</v>
      </c>
      <c r="F23" s="56" t="s">
        <v>180</v>
      </c>
      <c r="G23" s="56" t="s">
        <v>183</v>
      </c>
      <c r="H23" s="56" t="s">
        <v>186</v>
      </c>
    </row>
    <row r="24" spans="1:13" x14ac:dyDescent="0.25">
      <c r="A24" s="56">
        <v>8</v>
      </c>
      <c r="B24" s="56" t="s">
        <v>24</v>
      </c>
      <c r="C24" s="56" t="s">
        <v>185</v>
      </c>
      <c r="D24" s="56">
        <v>2.2000000000000002</v>
      </c>
      <c r="E24" s="56">
        <v>23.4</v>
      </c>
      <c r="F24" s="56" t="s">
        <v>180</v>
      </c>
      <c r="G24" s="56" t="s">
        <v>183</v>
      </c>
      <c r="H24" s="56" t="s">
        <v>186</v>
      </c>
    </row>
    <row r="25" spans="1:13" x14ac:dyDescent="0.25">
      <c r="A25" s="56">
        <v>10</v>
      </c>
      <c r="B25" s="56" t="s">
        <v>24</v>
      </c>
      <c r="C25" s="56" t="s">
        <v>200</v>
      </c>
      <c r="D25" s="56">
        <f>0.15</f>
        <v>0.15</v>
      </c>
      <c r="E25" s="56">
        <v>0.4</v>
      </c>
      <c r="F25" s="56" t="s">
        <v>180</v>
      </c>
      <c r="G25" s="56" t="s">
        <v>183</v>
      </c>
      <c r="H25" s="56" t="s">
        <v>186</v>
      </c>
    </row>
    <row r="26" spans="1:13" x14ac:dyDescent="0.25">
      <c r="A26" s="56">
        <v>10</v>
      </c>
      <c r="B26" s="56" t="s">
        <v>24</v>
      </c>
      <c r="C26" s="56" t="s">
        <v>176</v>
      </c>
      <c r="D26" s="56">
        <v>0.25</v>
      </c>
      <c r="E26" s="56">
        <v>0.4</v>
      </c>
      <c r="F26" s="56" t="s">
        <v>180</v>
      </c>
      <c r="G26" s="56" t="s">
        <v>183</v>
      </c>
      <c r="H26" s="56" t="s">
        <v>186</v>
      </c>
    </row>
    <row r="27" spans="1:13" x14ac:dyDescent="0.25">
      <c r="A27" s="56">
        <v>18</v>
      </c>
      <c r="B27" s="56" t="s">
        <v>21</v>
      </c>
      <c r="C27" s="56" t="s">
        <v>176</v>
      </c>
      <c r="D27" s="56">
        <v>1.4</v>
      </c>
      <c r="E27" s="56">
        <v>20</v>
      </c>
      <c r="F27" s="56" t="s">
        <v>180</v>
      </c>
      <c r="G27" s="56" t="s">
        <v>183</v>
      </c>
      <c r="H27" s="56" t="s">
        <v>186</v>
      </c>
    </row>
    <row r="28" spans="1:13" x14ac:dyDescent="0.25">
      <c r="A28" s="56">
        <v>18</v>
      </c>
      <c r="B28" s="56" t="s">
        <v>21</v>
      </c>
      <c r="C28" s="56" t="s">
        <v>188</v>
      </c>
      <c r="D28" s="56">
        <v>0.6</v>
      </c>
      <c r="E28" s="56">
        <v>20</v>
      </c>
      <c r="F28" s="56" t="s">
        <v>180</v>
      </c>
      <c r="G28" s="56" t="s">
        <v>183</v>
      </c>
      <c r="H28" s="56" t="s">
        <v>186</v>
      </c>
    </row>
    <row r="29" spans="1:13" x14ac:dyDescent="0.25">
      <c r="A29" s="56">
        <v>19</v>
      </c>
      <c r="B29" s="56" t="s">
        <v>21</v>
      </c>
      <c r="C29" s="56" t="s">
        <v>176</v>
      </c>
      <c r="D29" s="56">
        <v>9.5</v>
      </c>
      <c r="E29" s="56">
        <v>10</v>
      </c>
      <c r="F29" s="56" t="s">
        <v>180</v>
      </c>
      <c r="G29" s="56" t="s">
        <v>183</v>
      </c>
      <c r="H29" s="56" t="s">
        <v>186</v>
      </c>
    </row>
    <row r="30" spans="1:13" x14ac:dyDescent="0.25">
      <c r="A30" s="56">
        <v>19</v>
      </c>
      <c r="B30" s="56" t="s">
        <v>21</v>
      </c>
      <c r="C30" s="56" t="s">
        <v>192</v>
      </c>
      <c r="D30" s="56">
        <v>0.5</v>
      </c>
      <c r="E30" s="56">
        <v>10</v>
      </c>
      <c r="F30" s="56" t="s">
        <v>180</v>
      </c>
      <c r="G30" s="56" t="s">
        <v>183</v>
      </c>
      <c r="H30" s="56" t="s">
        <v>186</v>
      </c>
    </row>
    <row r="31" spans="1:13" x14ac:dyDescent="0.25">
      <c r="A31" s="56">
        <v>20</v>
      </c>
      <c r="B31" s="56" t="s">
        <v>21</v>
      </c>
      <c r="C31" s="56" t="s">
        <v>176</v>
      </c>
      <c r="D31" s="56">
        <v>1</v>
      </c>
      <c r="E31" s="56">
        <v>1</v>
      </c>
      <c r="F31" s="56" t="s">
        <v>180</v>
      </c>
      <c r="G31" s="56" t="s">
        <v>183</v>
      </c>
      <c r="H31" s="56" t="s">
        <v>186</v>
      </c>
    </row>
    <row r="32" spans="1:13" x14ac:dyDescent="0.25">
      <c r="A32" s="56">
        <v>15</v>
      </c>
      <c r="B32" s="56" t="s">
        <v>21</v>
      </c>
      <c r="C32" s="56" t="s">
        <v>176</v>
      </c>
      <c r="D32" s="56">
        <v>10.35</v>
      </c>
      <c r="E32" s="56">
        <v>12.6</v>
      </c>
      <c r="F32" s="56" t="s">
        <v>180</v>
      </c>
      <c r="G32" s="56" t="s">
        <v>183</v>
      </c>
      <c r="H32" s="56" t="s">
        <v>186</v>
      </c>
    </row>
    <row r="33" spans="1:8" x14ac:dyDescent="0.25">
      <c r="A33" s="56">
        <v>15</v>
      </c>
      <c r="B33" s="56" t="s">
        <v>21</v>
      </c>
      <c r="C33" s="56" t="s">
        <v>225</v>
      </c>
      <c r="D33" s="56">
        <v>1.5</v>
      </c>
      <c r="E33" s="56">
        <v>12.6</v>
      </c>
      <c r="F33" s="56" t="s">
        <v>180</v>
      </c>
      <c r="G33" s="56" t="s">
        <v>183</v>
      </c>
      <c r="H33" s="56" t="s">
        <v>186</v>
      </c>
    </row>
    <row r="34" spans="1:8" x14ac:dyDescent="0.25">
      <c r="A34" s="56">
        <v>15</v>
      </c>
      <c r="B34" s="56" t="s">
        <v>21</v>
      </c>
      <c r="C34" s="56" t="s">
        <v>177</v>
      </c>
      <c r="D34" s="56">
        <v>0.63</v>
      </c>
      <c r="E34" s="56">
        <v>12.6</v>
      </c>
      <c r="F34" s="56" t="s">
        <v>180</v>
      </c>
      <c r="G34" s="56" t="s">
        <v>183</v>
      </c>
      <c r="H34" s="56" t="s">
        <v>186</v>
      </c>
    </row>
    <row r="35" spans="1:8" x14ac:dyDescent="0.25">
      <c r="A35" s="56">
        <v>15</v>
      </c>
      <c r="B35" s="56" t="s">
        <v>21</v>
      </c>
      <c r="C35" s="56" t="s">
        <v>195</v>
      </c>
      <c r="D35" s="56">
        <v>0.12</v>
      </c>
      <c r="E35" s="56">
        <v>12.6</v>
      </c>
      <c r="F35" s="56" t="s">
        <v>180</v>
      </c>
      <c r="G35" s="56" t="s">
        <v>183</v>
      </c>
      <c r="H35" s="56" t="s">
        <v>186</v>
      </c>
    </row>
    <row r="36" spans="1:8" x14ac:dyDescent="0.25">
      <c r="A36" s="56">
        <v>16</v>
      </c>
      <c r="B36" s="56" t="s">
        <v>22</v>
      </c>
      <c r="C36" s="56" t="s">
        <v>225</v>
      </c>
      <c r="D36" s="56">
        <v>21.5</v>
      </c>
      <c r="E36" s="56">
        <v>54.5</v>
      </c>
      <c r="F36" s="56" t="s">
        <v>180</v>
      </c>
      <c r="G36" s="56" t="s">
        <v>183</v>
      </c>
      <c r="H36" s="56" t="s">
        <v>186</v>
      </c>
    </row>
    <row r="37" spans="1:8" x14ac:dyDescent="0.25">
      <c r="A37" s="56">
        <v>16</v>
      </c>
      <c r="B37" s="56" t="s">
        <v>22</v>
      </c>
      <c r="C37" s="56" t="s">
        <v>192</v>
      </c>
      <c r="D37" s="56">
        <v>3.45</v>
      </c>
      <c r="E37" s="56">
        <v>54.5</v>
      </c>
      <c r="F37" s="56" t="s">
        <v>180</v>
      </c>
      <c r="G37" s="56" t="s">
        <v>183</v>
      </c>
      <c r="H37" s="56" t="s">
        <v>186</v>
      </c>
    </row>
    <row r="38" spans="1:8" x14ac:dyDescent="0.25">
      <c r="A38" s="56">
        <v>16</v>
      </c>
      <c r="B38" s="56" t="s">
        <v>22</v>
      </c>
      <c r="C38" s="56" t="s">
        <v>194</v>
      </c>
      <c r="D38" s="56">
        <v>1.05</v>
      </c>
      <c r="E38" s="56">
        <v>54.5</v>
      </c>
      <c r="F38" s="56" t="s">
        <v>180</v>
      </c>
      <c r="G38" s="56" t="s">
        <v>183</v>
      </c>
      <c r="H38" s="56" t="s">
        <v>186</v>
      </c>
    </row>
    <row r="39" spans="1:8" x14ac:dyDescent="0.25">
      <c r="A39" s="56">
        <v>16</v>
      </c>
      <c r="B39" s="56" t="s">
        <v>22</v>
      </c>
      <c r="C39" s="56" t="s">
        <v>188</v>
      </c>
      <c r="D39" s="56">
        <v>28.5</v>
      </c>
      <c r="E39" s="56">
        <v>54.5</v>
      </c>
      <c r="F39" s="56" t="s">
        <v>180</v>
      </c>
      <c r="G39" s="56" t="s">
        <v>183</v>
      </c>
      <c r="H39" s="56" t="s">
        <v>186</v>
      </c>
    </row>
    <row r="40" spans="1:8" x14ac:dyDescent="0.25">
      <c r="A40" s="56">
        <v>17</v>
      </c>
      <c r="B40" s="56" t="s">
        <v>22</v>
      </c>
      <c r="C40" s="56" t="s">
        <v>225</v>
      </c>
      <c r="D40" s="56">
        <v>9.6</v>
      </c>
      <c r="E40" s="56">
        <v>23.5</v>
      </c>
      <c r="F40" s="56" t="s">
        <v>180</v>
      </c>
      <c r="G40" s="56" t="s">
        <v>183</v>
      </c>
      <c r="H40" s="56" t="s">
        <v>186</v>
      </c>
    </row>
    <row r="41" spans="1:8" x14ac:dyDescent="0.25">
      <c r="A41" s="56">
        <v>17</v>
      </c>
      <c r="B41" s="56" t="s">
        <v>22</v>
      </c>
      <c r="C41" s="56" t="s">
        <v>176</v>
      </c>
      <c r="D41" s="56">
        <v>8.1999999999999993</v>
      </c>
      <c r="E41" s="56">
        <v>23.5</v>
      </c>
      <c r="F41" s="56" t="s">
        <v>180</v>
      </c>
      <c r="G41" s="56" t="s">
        <v>183</v>
      </c>
      <c r="H41" s="56" t="s">
        <v>186</v>
      </c>
    </row>
    <row r="42" spans="1:8" x14ac:dyDescent="0.25">
      <c r="A42" s="56">
        <v>17</v>
      </c>
      <c r="B42" s="56" t="s">
        <v>22</v>
      </c>
      <c r="C42" s="56" t="s">
        <v>193</v>
      </c>
      <c r="D42" s="56">
        <v>5</v>
      </c>
      <c r="E42" s="56">
        <v>23.5</v>
      </c>
      <c r="F42" s="56" t="s">
        <v>180</v>
      </c>
      <c r="G42" s="56" t="s">
        <v>183</v>
      </c>
      <c r="H42" s="56" t="s">
        <v>186</v>
      </c>
    </row>
    <row r="43" spans="1:8" x14ac:dyDescent="0.25">
      <c r="A43" s="56">
        <v>17</v>
      </c>
      <c r="B43" s="56" t="s">
        <v>22</v>
      </c>
      <c r="C43" s="56" t="s">
        <v>194</v>
      </c>
      <c r="D43" s="56">
        <f>23.5-SUM(D40:D42)</f>
        <v>0.70000000000000284</v>
      </c>
      <c r="E43" s="56">
        <v>23.5</v>
      </c>
      <c r="F43" s="56" t="s">
        <v>180</v>
      </c>
      <c r="G43" s="56" t="s">
        <v>183</v>
      </c>
      <c r="H43" s="56" t="s">
        <v>186</v>
      </c>
    </row>
    <row r="44" spans="1:8" x14ac:dyDescent="0.25">
      <c r="A44" s="56">
        <v>21</v>
      </c>
      <c r="B44" s="56" t="s">
        <v>20</v>
      </c>
      <c r="C44" s="56" t="s">
        <v>176</v>
      </c>
      <c r="D44" s="56">
        <v>1.3</v>
      </c>
      <c r="E44" s="56">
        <v>1.3</v>
      </c>
      <c r="F44" s="56" t="s">
        <v>180</v>
      </c>
      <c r="G44" s="56" t="s">
        <v>183</v>
      </c>
      <c r="H44" s="56" t="s">
        <v>186</v>
      </c>
    </row>
    <row r="45" spans="1:8" x14ac:dyDescent="0.25">
      <c r="A45" s="56">
        <v>22</v>
      </c>
      <c r="B45" s="56" t="s">
        <v>20</v>
      </c>
      <c r="C45" s="56" t="s">
        <v>176</v>
      </c>
      <c r="D45" s="56">
        <v>1</v>
      </c>
      <c r="E45" s="56">
        <v>1.2</v>
      </c>
      <c r="F45" s="56" t="s">
        <v>180</v>
      </c>
      <c r="G45" s="56" t="s">
        <v>183</v>
      </c>
      <c r="H45" s="56" t="s">
        <v>186</v>
      </c>
    </row>
    <row r="46" spans="1:8" x14ac:dyDescent="0.25">
      <c r="A46" s="56">
        <v>22</v>
      </c>
      <c r="B46" s="56" t="s">
        <v>20</v>
      </c>
      <c r="C46" s="56" t="s">
        <v>188</v>
      </c>
      <c r="D46" s="56">
        <v>0.2</v>
      </c>
      <c r="E46" s="56">
        <v>1.2</v>
      </c>
      <c r="F46" s="56" t="s">
        <v>180</v>
      </c>
      <c r="G46" s="56" t="s">
        <v>183</v>
      </c>
      <c r="H46" s="56" t="s">
        <v>186</v>
      </c>
    </row>
    <row r="47" spans="1:8" x14ac:dyDescent="0.25">
      <c r="A47" s="56">
        <v>23</v>
      </c>
      <c r="B47" s="56" t="s">
        <v>20</v>
      </c>
      <c r="C47" s="56" t="s">
        <v>176</v>
      </c>
      <c r="D47" s="56">
        <v>3.5</v>
      </c>
      <c r="E47" s="56">
        <v>3.5</v>
      </c>
      <c r="F47" s="56" t="s">
        <v>180</v>
      </c>
      <c r="G47" s="56" t="s">
        <v>183</v>
      </c>
      <c r="H47" s="56" t="s">
        <v>186</v>
      </c>
    </row>
    <row r="48" spans="1:8" x14ac:dyDescent="0.25">
      <c r="A48" s="56">
        <v>24</v>
      </c>
      <c r="B48" s="56" t="s">
        <v>20</v>
      </c>
      <c r="C48" s="56" t="s">
        <v>176</v>
      </c>
      <c r="D48" s="56">
        <v>0.12</v>
      </c>
      <c r="E48" s="56">
        <v>2</v>
      </c>
      <c r="F48" s="56" t="s">
        <v>180</v>
      </c>
      <c r="G48" s="56" t="s">
        <v>183</v>
      </c>
      <c r="H48" s="56" t="s">
        <v>182</v>
      </c>
    </row>
    <row r="49" spans="1:10" x14ac:dyDescent="0.25">
      <c r="A49" s="56">
        <v>24</v>
      </c>
      <c r="B49" s="56" t="s">
        <v>20</v>
      </c>
      <c r="C49" s="56" t="s">
        <v>225</v>
      </c>
      <c r="D49" s="56">
        <v>0.06</v>
      </c>
      <c r="E49" s="56">
        <v>2</v>
      </c>
      <c r="F49" s="56" t="s">
        <v>180</v>
      </c>
      <c r="G49" s="56" t="s">
        <v>183</v>
      </c>
      <c r="H49" s="56" t="s">
        <v>182</v>
      </c>
    </row>
    <row r="50" spans="1:10" x14ac:dyDescent="0.25">
      <c r="A50" s="56">
        <v>24</v>
      </c>
      <c r="B50" s="56" t="s">
        <v>20</v>
      </c>
      <c r="C50" s="56" t="s">
        <v>185</v>
      </c>
      <c r="D50" s="56">
        <v>0.02</v>
      </c>
      <c r="E50" s="56">
        <v>2</v>
      </c>
      <c r="F50" s="56" t="s">
        <v>180</v>
      </c>
      <c r="G50" s="56" t="s">
        <v>183</v>
      </c>
      <c r="H50" s="56" t="s">
        <v>182</v>
      </c>
    </row>
    <row r="51" spans="1:10" x14ac:dyDescent="0.25">
      <c r="A51" s="56">
        <v>25</v>
      </c>
      <c r="B51" s="56" t="s">
        <v>20</v>
      </c>
      <c r="C51" s="56" t="s">
        <v>176</v>
      </c>
      <c r="D51" s="56">
        <v>0.3</v>
      </c>
      <c r="E51" s="56">
        <v>0.3</v>
      </c>
      <c r="F51" s="56" t="s">
        <v>180</v>
      </c>
      <c r="G51" s="56" t="s">
        <v>182</v>
      </c>
      <c r="H51" s="56" t="s">
        <v>186</v>
      </c>
    </row>
    <row r="52" spans="1:10" x14ac:dyDescent="0.25">
      <c r="A52" s="56">
        <v>26</v>
      </c>
      <c r="B52" s="56" t="s">
        <v>18</v>
      </c>
      <c r="C52" s="56" t="s">
        <v>176</v>
      </c>
      <c r="D52" s="56">
        <v>0.3</v>
      </c>
      <c r="E52" s="56">
        <v>0.45</v>
      </c>
      <c r="F52" s="56" t="s">
        <v>180</v>
      </c>
      <c r="G52" s="56" t="s">
        <v>182</v>
      </c>
      <c r="H52" s="56" t="s">
        <v>182</v>
      </c>
    </row>
    <row r="53" spans="1:10" x14ac:dyDescent="0.25">
      <c r="A53" s="56">
        <v>26</v>
      </c>
      <c r="B53" s="56" t="s">
        <v>18</v>
      </c>
      <c r="C53" s="56" t="s">
        <v>177</v>
      </c>
      <c r="D53" s="56">
        <v>0.15</v>
      </c>
      <c r="E53" s="56">
        <v>0.45</v>
      </c>
      <c r="F53" s="56" t="s">
        <v>180</v>
      </c>
      <c r="G53" s="56" t="s">
        <v>182</v>
      </c>
      <c r="H53" s="56" t="s">
        <v>182</v>
      </c>
    </row>
    <row r="54" spans="1:10" x14ac:dyDescent="0.25">
      <c r="A54" s="56">
        <v>27</v>
      </c>
      <c r="B54" s="56" t="s">
        <v>16</v>
      </c>
      <c r="C54" s="56" t="s">
        <v>176</v>
      </c>
      <c r="D54" s="56">
        <v>0.23</v>
      </c>
      <c r="E54" s="56">
        <v>0.25</v>
      </c>
      <c r="F54" s="56" t="s">
        <v>180</v>
      </c>
      <c r="G54" s="56" t="s">
        <v>182</v>
      </c>
      <c r="H54" s="56" t="s">
        <v>186</v>
      </c>
    </row>
    <row r="55" spans="1:10" x14ac:dyDescent="0.25">
      <c r="A55" s="56">
        <v>27</v>
      </c>
      <c r="B55" s="56" t="s">
        <v>16</v>
      </c>
      <c r="C55" s="56" t="s">
        <v>225</v>
      </c>
      <c r="D55" s="56">
        <v>0.02</v>
      </c>
      <c r="E55" s="56">
        <v>0.25</v>
      </c>
      <c r="F55" s="56" t="s">
        <v>180</v>
      </c>
      <c r="G55" s="56" t="s">
        <v>182</v>
      </c>
      <c r="H55" s="56" t="s">
        <v>186</v>
      </c>
    </row>
    <row r="56" spans="1:10" x14ac:dyDescent="0.25">
      <c r="A56" s="60" t="s">
        <v>45</v>
      </c>
      <c r="B56" s="58" t="s">
        <v>36</v>
      </c>
      <c r="C56" s="58" t="s">
        <v>36</v>
      </c>
      <c r="D56" s="56">
        <f>SUM(D2:D55)</f>
        <v>1569.96</v>
      </c>
      <c r="E56" s="56"/>
      <c r="F56" s="56"/>
      <c r="G56" s="56"/>
      <c r="H56" s="56"/>
    </row>
    <row r="57" spans="1:10" x14ac:dyDescent="0.25">
      <c r="A57" s="60"/>
      <c r="B57" s="58"/>
      <c r="C57" s="58"/>
      <c r="D57" s="56"/>
      <c r="E57" s="56"/>
      <c r="F57" s="56"/>
      <c r="G57" s="56"/>
      <c r="H57" s="56"/>
    </row>
    <row r="58" spans="1:10" x14ac:dyDescent="0.25">
      <c r="A58" s="4" t="s">
        <v>202</v>
      </c>
      <c r="B58" s="56"/>
      <c r="C58" s="56"/>
      <c r="D58" s="56"/>
      <c r="E58" s="56"/>
      <c r="F58" s="56"/>
      <c r="G58" s="56"/>
      <c r="H58" s="56"/>
      <c r="J58" t="s">
        <v>248</v>
      </c>
    </row>
    <row r="59" spans="1:10" x14ac:dyDescent="0.25">
      <c r="A59">
        <v>2</v>
      </c>
      <c r="B59" s="4" t="s">
        <v>23</v>
      </c>
      <c r="C59" s="4" t="s">
        <v>186</v>
      </c>
      <c r="D59">
        <v>207</v>
      </c>
      <c r="E59">
        <v>207</v>
      </c>
      <c r="F59" s="4" t="s">
        <v>180</v>
      </c>
      <c r="G59" s="4" t="s">
        <v>183</v>
      </c>
      <c r="H59" s="4" t="s">
        <v>186</v>
      </c>
      <c r="J59">
        <f>E59/SUM(D5:D15)</f>
        <v>61.607142857142854</v>
      </c>
    </row>
    <row r="60" spans="1:10" x14ac:dyDescent="0.25">
      <c r="A60" s="4">
        <v>7</v>
      </c>
      <c r="B60" s="4" t="s">
        <v>23</v>
      </c>
      <c r="C60" s="59" t="s">
        <v>186</v>
      </c>
      <c r="D60" s="4">
        <v>0</v>
      </c>
      <c r="E60" s="4">
        <v>0</v>
      </c>
      <c r="F60" s="4" t="s">
        <v>180</v>
      </c>
      <c r="G60" s="4" t="s">
        <v>183</v>
      </c>
      <c r="H60" s="4" t="s">
        <v>186</v>
      </c>
      <c r="I60" t="s">
        <v>201</v>
      </c>
    </row>
    <row r="61" spans="1:10" x14ac:dyDescent="0.25">
      <c r="A61" s="4">
        <v>8</v>
      </c>
      <c r="B61" s="4" t="s">
        <v>24</v>
      </c>
      <c r="C61" s="4" t="s">
        <v>186</v>
      </c>
      <c r="D61" s="4">
        <f>E61</f>
        <v>46.6</v>
      </c>
      <c r="E61" s="4">
        <f>70-E22</f>
        <v>46.6</v>
      </c>
      <c r="F61" s="4" t="s">
        <v>180</v>
      </c>
      <c r="G61" s="4" t="s">
        <v>183</v>
      </c>
      <c r="H61" s="4" t="s">
        <v>186</v>
      </c>
      <c r="J61">
        <f>E61/SUM(D16:D26)</f>
        <v>0.83512544802867394</v>
      </c>
    </row>
    <row r="62" spans="1:10" x14ac:dyDescent="0.25">
      <c r="A62" s="4">
        <v>13</v>
      </c>
      <c r="B62" s="4" t="s">
        <v>23</v>
      </c>
      <c r="C62" s="4" t="s">
        <v>186</v>
      </c>
      <c r="D62" s="4">
        <v>120</v>
      </c>
      <c r="E62" s="4">
        <v>120</v>
      </c>
      <c r="F62" s="4" t="s">
        <v>197</v>
      </c>
      <c r="G62" s="4" t="s">
        <v>183</v>
      </c>
      <c r="H62" s="4" t="s">
        <v>186</v>
      </c>
      <c r="I62" t="s">
        <v>196</v>
      </c>
      <c r="J62">
        <f>E62/SUM(D5:D15)</f>
        <v>35.714285714285708</v>
      </c>
    </row>
    <row r="63" spans="1:10" x14ac:dyDescent="0.25">
      <c r="A63" s="4">
        <v>14</v>
      </c>
      <c r="B63" s="4" t="s">
        <v>23</v>
      </c>
      <c r="C63" s="4" t="s">
        <v>186</v>
      </c>
      <c r="D63" s="4">
        <v>100</v>
      </c>
      <c r="E63" s="4">
        <v>100</v>
      </c>
      <c r="F63" s="4" t="s">
        <v>197</v>
      </c>
      <c r="G63" s="4" t="s">
        <v>183</v>
      </c>
      <c r="H63" s="4" t="s">
        <v>186</v>
      </c>
      <c r="I63" t="s">
        <v>196</v>
      </c>
      <c r="J63">
        <f>E63/SUM(D5:D15)</f>
        <v>29.761904761904759</v>
      </c>
    </row>
    <row r="64" spans="1:10" x14ac:dyDescent="0.25">
      <c r="A64" s="4" t="s">
        <v>203</v>
      </c>
      <c r="B64" s="4"/>
      <c r="C64" s="4"/>
      <c r="D64" s="4">
        <f>SUM(D59:D63)</f>
        <v>473.6</v>
      </c>
      <c r="E64" s="4">
        <f>SUM(E59:E63)</f>
        <v>473.6</v>
      </c>
      <c r="F64" s="4"/>
      <c r="G64" s="56"/>
      <c r="H64" s="56"/>
    </row>
    <row r="66" spans="2:6" x14ac:dyDescent="0.25">
      <c r="B66" s="4" t="s">
        <v>174</v>
      </c>
      <c r="C66" s="4"/>
      <c r="D66" s="4"/>
    </row>
    <row r="67" spans="2:6" x14ac:dyDescent="0.25">
      <c r="B67" s="56" t="s">
        <v>189</v>
      </c>
    </row>
    <row r="68" spans="2:6" x14ac:dyDescent="0.25">
      <c r="B68" s="56" t="s">
        <v>190</v>
      </c>
    </row>
    <row r="69" spans="2:6" x14ac:dyDescent="0.25">
      <c r="B69" s="56" t="s">
        <v>191</v>
      </c>
    </row>
    <row r="70" spans="2:6" x14ac:dyDescent="0.25">
      <c r="B70" s="56" t="s">
        <v>198</v>
      </c>
    </row>
    <row r="71" spans="2:6" x14ac:dyDescent="0.25">
      <c r="B71">
        <v>1</v>
      </c>
      <c r="E71" t="s">
        <v>172</v>
      </c>
      <c r="F71">
        <v>1347.4299999999998</v>
      </c>
    </row>
    <row r="73" spans="2:6" x14ac:dyDescent="0.25">
      <c r="B73">
        <v>3</v>
      </c>
      <c r="E73" t="s">
        <v>148</v>
      </c>
      <c r="F73">
        <v>1.62</v>
      </c>
    </row>
    <row r="74" spans="2:6" x14ac:dyDescent="0.25">
      <c r="B74">
        <v>4</v>
      </c>
      <c r="E74" t="s">
        <v>149</v>
      </c>
      <c r="F74">
        <v>30.9</v>
      </c>
    </row>
    <row r="75" spans="2:6" x14ac:dyDescent="0.25">
      <c r="B75">
        <v>5</v>
      </c>
      <c r="E75" t="s">
        <v>150</v>
      </c>
      <c r="F75">
        <v>0.4</v>
      </c>
    </row>
    <row r="76" spans="2:6" x14ac:dyDescent="0.25">
      <c r="B76">
        <v>6</v>
      </c>
      <c r="E76" t="s">
        <v>151</v>
      </c>
      <c r="F76">
        <v>0.7</v>
      </c>
    </row>
    <row r="77" spans="2:6" x14ac:dyDescent="0.25">
      <c r="B77">
        <v>7</v>
      </c>
      <c r="E77" t="s">
        <v>152</v>
      </c>
      <c r="F77">
        <v>0</v>
      </c>
    </row>
    <row r="78" spans="2:6" x14ac:dyDescent="0.25">
      <c r="B78">
        <v>8</v>
      </c>
      <c r="E78" t="s">
        <v>153</v>
      </c>
      <c r="F78">
        <v>23.4</v>
      </c>
    </row>
    <row r="79" spans="2:6" x14ac:dyDescent="0.25">
      <c r="B79">
        <v>9</v>
      </c>
      <c r="E79" t="s">
        <v>154</v>
      </c>
      <c r="F79">
        <v>0.6</v>
      </c>
    </row>
    <row r="80" spans="2:6" x14ac:dyDescent="0.25">
      <c r="B80">
        <v>10</v>
      </c>
      <c r="E80" t="s">
        <v>155</v>
      </c>
      <c r="F80">
        <v>0.4</v>
      </c>
    </row>
    <row r="81" spans="2:6" x14ac:dyDescent="0.25">
      <c r="B81">
        <v>11</v>
      </c>
      <c r="E81" t="s">
        <v>156</v>
      </c>
      <c r="F81">
        <v>0.45</v>
      </c>
    </row>
    <row r="82" spans="2:6" x14ac:dyDescent="0.25">
      <c r="B82">
        <v>12</v>
      </c>
      <c r="E82" t="s">
        <v>157</v>
      </c>
      <c r="F82">
        <v>0.6</v>
      </c>
    </row>
    <row r="84" spans="2:6" x14ac:dyDescent="0.25">
      <c r="B84">
        <v>14</v>
      </c>
      <c r="E84" t="s">
        <v>158</v>
      </c>
      <c r="F84">
        <v>0.04</v>
      </c>
    </row>
    <row r="85" spans="2:6" x14ac:dyDescent="0.25">
      <c r="B85">
        <v>15</v>
      </c>
      <c r="E85" t="s">
        <v>159</v>
      </c>
      <c r="F85">
        <v>11.7</v>
      </c>
    </row>
    <row r="86" spans="2:6" x14ac:dyDescent="0.25">
      <c r="B86">
        <v>16</v>
      </c>
      <c r="E86" t="s">
        <v>160</v>
      </c>
      <c r="F86">
        <v>46.9</v>
      </c>
    </row>
    <row r="87" spans="2:6" x14ac:dyDescent="0.25">
      <c r="B87">
        <v>17</v>
      </c>
      <c r="E87" t="s">
        <v>161</v>
      </c>
      <c r="F87">
        <v>23.9</v>
      </c>
    </row>
    <row r="88" spans="2:6" x14ac:dyDescent="0.25">
      <c r="B88">
        <v>18</v>
      </c>
      <c r="E88" t="s">
        <v>162</v>
      </c>
      <c r="F88">
        <v>20</v>
      </c>
    </row>
    <row r="89" spans="2:6" x14ac:dyDescent="0.25">
      <c r="B89">
        <v>19</v>
      </c>
      <c r="E89" t="s">
        <v>163</v>
      </c>
      <c r="F89">
        <v>10</v>
      </c>
    </row>
    <row r="90" spans="2:6" x14ac:dyDescent="0.25">
      <c r="B90">
        <v>20</v>
      </c>
      <c r="E90" t="s">
        <v>164</v>
      </c>
      <c r="F90">
        <v>1</v>
      </c>
    </row>
    <row r="91" spans="2:6" x14ac:dyDescent="0.25">
      <c r="B91">
        <v>21</v>
      </c>
      <c r="E91" t="s">
        <v>165</v>
      </c>
      <c r="F91">
        <v>1.3</v>
      </c>
    </row>
    <row r="92" spans="2:6" x14ac:dyDescent="0.25">
      <c r="B92">
        <v>22</v>
      </c>
      <c r="E92" t="s">
        <v>166</v>
      </c>
      <c r="F92">
        <v>1.2</v>
      </c>
    </row>
    <row r="93" spans="2:6" x14ac:dyDescent="0.25">
      <c r="B93">
        <v>23</v>
      </c>
      <c r="E93" t="s">
        <v>167</v>
      </c>
      <c r="F93">
        <v>3.5</v>
      </c>
    </row>
    <row r="94" spans="2:6" x14ac:dyDescent="0.25">
      <c r="B94">
        <v>24</v>
      </c>
      <c r="E94" t="s">
        <v>168</v>
      </c>
      <c r="F94">
        <v>2</v>
      </c>
    </row>
    <row r="95" spans="2:6" x14ac:dyDescent="0.25">
      <c r="B95">
        <v>25</v>
      </c>
      <c r="E95" t="s">
        <v>169</v>
      </c>
      <c r="F95">
        <v>0.3</v>
      </c>
    </row>
    <row r="96" spans="2:6" x14ac:dyDescent="0.25">
      <c r="B96">
        <v>26</v>
      </c>
      <c r="E96" t="s">
        <v>170</v>
      </c>
      <c r="F96">
        <v>0.45</v>
      </c>
    </row>
    <row r="97" spans="2:6" x14ac:dyDescent="0.25">
      <c r="B97">
        <v>27</v>
      </c>
      <c r="E97" t="s">
        <v>171</v>
      </c>
      <c r="F97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master_table</vt:lpstr>
      <vt:lpstr>demand</vt:lpstr>
      <vt:lpstr>elec_consump_prov_bas_units</vt:lpstr>
      <vt:lpstr>supply_limit</vt:lpstr>
      <vt:lpstr>Notes</vt:lpstr>
      <vt:lpstr>consumption</vt:lpstr>
      <vt:lpstr>agg crop by 10 subreg</vt:lpstr>
      <vt:lpstr>basin value by ag product</vt:lpstr>
      <vt:lpstr>old_crop_productivity</vt:lpstr>
      <vt:lpstr>Policy</vt:lpstr>
      <vt:lpstr>GCAMdata-ThermalCooling</vt:lpstr>
      <vt:lpstr>GCAMdata-waterperland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Bernard Wild</dc:creator>
  <cp:lastModifiedBy>Thomas Bernard Wild</cp:lastModifiedBy>
  <dcterms:created xsi:type="dcterms:W3CDTF">2019-04-30T20:18:44Z</dcterms:created>
  <dcterms:modified xsi:type="dcterms:W3CDTF">2019-09-12T00:13:43Z</dcterms:modified>
</cp:coreProperties>
</file>