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mohanguntiphenompeople-my.sharepoint.com/personal/jonathan_quezada_mohanguntiphenompeople_onmicrosoft_com/Documents/Desktop/Claude Skills/"/>
    </mc:Choice>
  </mc:AlternateContent>
  <xr:revisionPtr revIDLastSave="2" documentId="11_0DCBD2D097BD622F9D4FDE6A58DD07E74E5DA0B6" xr6:coauthVersionLast="47" xr6:coauthVersionMax="47" xr10:uidLastSave="{FFC68340-D18E-460B-A3BF-85E7C9F7A873}"/>
  <bookViews>
    <workbookView xWindow="-108" yWindow="-108" windowWidth="23256" windowHeight="12456" tabRatio="500" activeTab="1" xr2:uid="{00000000-000D-0000-FFFF-FFFF00000000}"/>
  </bookViews>
  <sheets>
    <sheet name="Assumptions" sheetId="1" r:id="rId1"/>
    <sheet name="Income Statement" sheetId="2" r:id="rId2"/>
    <sheet name="Balance Sheet" sheetId="3" r:id="rId3"/>
    <sheet name="Cash Flow Statement" sheetId="4" r:id="rId4"/>
  </sheets>
  <calcPr calcId="191029" iterate="1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B17" i="2"/>
  <c r="G33" i="4"/>
  <c r="F33" i="4"/>
  <c r="E33" i="4"/>
  <c r="D33" i="4"/>
  <c r="C33" i="4"/>
  <c r="G29" i="4"/>
  <c r="F29" i="4"/>
  <c r="E29" i="4"/>
  <c r="D29" i="4"/>
  <c r="C29" i="4"/>
  <c r="B29" i="4"/>
  <c r="G25" i="4"/>
  <c r="G22" i="4"/>
  <c r="F22" i="4"/>
  <c r="E22" i="4"/>
  <c r="D22" i="4"/>
  <c r="C22" i="4"/>
  <c r="B22" i="4"/>
  <c r="G19" i="4"/>
  <c r="K13" i="4"/>
  <c r="J13" i="4"/>
  <c r="I13" i="4"/>
  <c r="H13" i="4"/>
  <c r="G13" i="4"/>
  <c r="F13" i="4"/>
  <c r="E13" i="4"/>
  <c r="D13" i="4"/>
  <c r="C13" i="4"/>
  <c r="F12" i="4"/>
  <c r="E12" i="4"/>
  <c r="D12" i="4"/>
  <c r="C12" i="4"/>
  <c r="G11" i="4"/>
  <c r="F11" i="4"/>
  <c r="E11" i="4"/>
  <c r="D11" i="4"/>
  <c r="C11" i="4"/>
  <c r="K6" i="4"/>
  <c r="J6" i="4"/>
  <c r="I6" i="4"/>
  <c r="H6" i="4"/>
  <c r="G6" i="4"/>
  <c r="F6" i="4"/>
  <c r="F16" i="4" s="1"/>
  <c r="E6" i="4"/>
  <c r="E16" i="4" s="1"/>
  <c r="D6" i="4"/>
  <c r="D16" i="4" s="1"/>
  <c r="D31" i="4" s="1"/>
  <c r="D34" i="4" s="1"/>
  <c r="D36" i="4" s="1"/>
  <c r="C6" i="4"/>
  <c r="C16" i="4" s="1"/>
  <c r="B6" i="4"/>
  <c r="B16" i="4" s="1"/>
  <c r="B31" i="4" s="1"/>
  <c r="B34" i="4" s="1"/>
  <c r="B36" i="4" s="1"/>
  <c r="F39" i="3"/>
  <c r="E39" i="3"/>
  <c r="D39" i="3"/>
  <c r="C39" i="3"/>
  <c r="B39" i="3"/>
  <c r="G38" i="3"/>
  <c r="G39" i="3" s="1"/>
  <c r="H37" i="3"/>
  <c r="G37" i="3"/>
  <c r="F32" i="3"/>
  <c r="E32" i="3"/>
  <c r="D32" i="3"/>
  <c r="C32" i="3"/>
  <c r="B32" i="3"/>
  <c r="B34" i="3" s="1"/>
  <c r="B41" i="3" s="1"/>
  <c r="G31" i="3"/>
  <c r="H31" i="3" s="1"/>
  <c r="I31" i="3" s="1"/>
  <c r="J31" i="3" s="1"/>
  <c r="K31" i="3" s="1"/>
  <c r="G30" i="3"/>
  <c r="G32" i="3" s="1"/>
  <c r="F27" i="3"/>
  <c r="F34" i="3" s="1"/>
  <c r="F41" i="3" s="1"/>
  <c r="E27" i="3"/>
  <c r="E34" i="3" s="1"/>
  <c r="E41" i="3" s="1"/>
  <c r="D27" i="3"/>
  <c r="D34" i="3" s="1"/>
  <c r="D41" i="3" s="1"/>
  <c r="C27" i="3"/>
  <c r="C34" i="3" s="1"/>
  <c r="C41" i="3" s="1"/>
  <c r="B27" i="3"/>
  <c r="G25" i="3"/>
  <c r="G24" i="3"/>
  <c r="H24" i="3" s="1"/>
  <c r="F18" i="3"/>
  <c r="F43" i="3" s="1"/>
  <c r="E18" i="3"/>
  <c r="D18" i="3"/>
  <c r="C18" i="3"/>
  <c r="B18" i="3"/>
  <c r="F16" i="3"/>
  <c r="E16" i="3"/>
  <c r="D16" i="3"/>
  <c r="C16" i="3"/>
  <c r="B16" i="3"/>
  <c r="G15" i="3"/>
  <c r="G8" i="4" s="1"/>
  <c r="F11" i="3"/>
  <c r="E11" i="3"/>
  <c r="D11" i="3"/>
  <c r="C11" i="3"/>
  <c r="B11" i="3"/>
  <c r="G10" i="3"/>
  <c r="H10" i="3" s="1"/>
  <c r="I10" i="3" s="1"/>
  <c r="J10" i="3" s="1"/>
  <c r="K10" i="3" s="1"/>
  <c r="G8" i="3"/>
  <c r="K7" i="3"/>
  <c r="J7" i="3"/>
  <c r="K33" i="4" s="1"/>
  <c r="I7" i="3"/>
  <c r="J33" i="4" s="1"/>
  <c r="H7" i="3"/>
  <c r="I33" i="4" s="1"/>
  <c r="G7" i="3"/>
  <c r="G38" i="2" s="1"/>
  <c r="K49" i="2"/>
  <c r="J49" i="2"/>
  <c r="I49" i="2"/>
  <c r="H49" i="2"/>
  <c r="G49" i="2"/>
  <c r="F49" i="2"/>
  <c r="E49" i="2"/>
  <c r="D49" i="2"/>
  <c r="C49" i="2"/>
  <c r="B49" i="2"/>
  <c r="K39" i="2"/>
  <c r="J39" i="2"/>
  <c r="I39" i="2"/>
  <c r="H39" i="2"/>
  <c r="G39" i="2"/>
  <c r="K38" i="2"/>
  <c r="J38" i="2"/>
  <c r="I38" i="2"/>
  <c r="H38" i="2"/>
  <c r="B34" i="2"/>
  <c r="B42" i="2" s="1"/>
  <c r="B46" i="2" s="1"/>
  <c r="B50" i="2" s="1"/>
  <c r="F32" i="2"/>
  <c r="E32" i="2"/>
  <c r="D32" i="2"/>
  <c r="C32" i="2"/>
  <c r="B32" i="2"/>
  <c r="E25" i="2"/>
  <c r="F23" i="2"/>
  <c r="E23" i="2"/>
  <c r="D23" i="2"/>
  <c r="C23" i="2"/>
  <c r="B23" i="2"/>
  <c r="G22" i="2"/>
  <c r="G21" i="2"/>
  <c r="G23" i="3" s="1"/>
  <c r="G27" i="3" s="1"/>
  <c r="G34" i="3" s="1"/>
  <c r="G41" i="3" s="1"/>
  <c r="F25" i="2"/>
  <c r="D25" i="2"/>
  <c r="D34" i="2" s="1"/>
  <c r="D42" i="2" s="1"/>
  <c r="D46" i="2" s="1"/>
  <c r="C25" i="2"/>
  <c r="C34" i="2" s="1"/>
  <c r="C42" i="2" s="1"/>
  <c r="C46" i="2" s="1"/>
  <c r="B25" i="2"/>
  <c r="B26" i="2" s="1"/>
  <c r="H15" i="2"/>
  <c r="H8" i="3" s="1"/>
  <c r="G15" i="2"/>
  <c r="G12" i="2"/>
  <c r="H12" i="2" s="1"/>
  <c r="F9" i="2"/>
  <c r="E9" i="2"/>
  <c r="D9" i="2"/>
  <c r="C9" i="2"/>
  <c r="B9" i="2"/>
  <c r="H8" i="2"/>
  <c r="H30" i="2" s="1"/>
  <c r="G8" i="2"/>
  <c r="G7" i="2"/>
  <c r="H7" i="2" s="1"/>
  <c r="I7" i="2" s="1"/>
  <c r="J7" i="2" s="1"/>
  <c r="K7" i="2" s="1"/>
  <c r="G6" i="2"/>
  <c r="H6" i="2" s="1"/>
  <c r="I6" i="2" s="1"/>
  <c r="J6" i="2" s="1"/>
  <c r="G30" i="2" l="1"/>
  <c r="G29" i="2"/>
  <c r="G32" i="2" s="1"/>
  <c r="I24" i="3"/>
  <c r="H25" i="4"/>
  <c r="H29" i="4" s="1"/>
  <c r="I12" i="2"/>
  <c r="H21" i="2"/>
  <c r="H11" i="4"/>
  <c r="C43" i="3"/>
  <c r="K6" i="2"/>
  <c r="D47" i="2"/>
  <c r="D50" i="2"/>
  <c r="D43" i="3"/>
  <c r="E43" i="3"/>
  <c r="H39" i="3"/>
  <c r="C31" i="4"/>
  <c r="C34" i="4" s="1"/>
  <c r="C36" i="4" s="1"/>
  <c r="C38" i="4"/>
  <c r="E34" i="2"/>
  <c r="E26" i="2"/>
  <c r="G9" i="3"/>
  <c r="F31" i="4"/>
  <c r="F34" i="4" s="1"/>
  <c r="F36" i="4" s="1"/>
  <c r="F38" i="4"/>
  <c r="H15" i="3"/>
  <c r="H38" i="3"/>
  <c r="I38" i="3" s="1"/>
  <c r="J38" i="3" s="1"/>
  <c r="K38" i="3" s="1"/>
  <c r="H29" i="2"/>
  <c r="H32" i="2" s="1"/>
  <c r="B43" i="3"/>
  <c r="I15" i="2"/>
  <c r="H25" i="3"/>
  <c r="H22" i="2"/>
  <c r="C50" i="2"/>
  <c r="H9" i="2"/>
  <c r="H20" i="2" s="1"/>
  <c r="H23" i="2" s="1"/>
  <c r="H25" i="2" s="1"/>
  <c r="F34" i="2"/>
  <c r="F26" i="2"/>
  <c r="C35" i="2"/>
  <c r="I8" i="2"/>
  <c r="G9" i="2"/>
  <c r="G20" i="2" s="1"/>
  <c r="G23" i="2" s="1"/>
  <c r="G25" i="2" s="1"/>
  <c r="I9" i="2"/>
  <c r="I20" i="2" s="1"/>
  <c r="C26" i="2"/>
  <c r="D35" i="2"/>
  <c r="E38" i="4"/>
  <c r="E31" i="4"/>
  <c r="E34" i="4" s="1"/>
  <c r="E36" i="4" s="1"/>
  <c r="D26" i="2"/>
  <c r="B47" i="2"/>
  <c r="H19" i="4"/>
  <c r="H22" i="4" s="1"/>
  <c r="B38" i="4"/>
  <c r="B35" i="2"/>
  <c r="C47" i="2"/>
  <c r="D38" i="4"/>
  <c r="H33" i="4"/>
  <c r="H30" i="3"/>
  <c r="I37" i="3"/>
  <c r="G26" i="2" l="1"/>
  <c r="G34" i="2"/>
  <c r="H34" i="2"/>
  <c r="H26" i="2"/>
  <c r="E35" i="2"/>
  <c r="E42" i="2"/>
  <c r="E46" i="2" s="1"/>
  <c r="H23" i="3"/>
  <c r="H27" i="3" s="1"/>
  <c r="H9" i="3"/>
  <c r="J37" i="3"/>
  <c r="I39" i="3"/>
  <c r="I23" i="2"/>
  <c r="I25" i="4"/>
  <c r="I29" i="4" s="1"/>
  <c r="J24" i="3"/>
  <c r="F42" i="2"/>
  <c r="F46" i="2" s="1"/>
  <c r="F35" i="2"/>
  <c r="J12" i="2"/>
  <c r="I21" i="2"/>
  <c r="J8" i="2"/>
  <c r="G12" i="4"/>
  <c r="G11" i="3"/>
  <c r="I22" i="2"/>
  <c r="I19" i="4"/>
  <c r="I22" i="4" s="1"/>
  <c r="I25" i="3"/>
  <c r="J15" i="2"/>
  <c r="I8" i="3"/>
  <c r="H32" i="3"/>
  <c r="I30" i="3"/>
  <c r="H8" i="4"/>
  <c r="I15" i="3"/>
  <c r="F47" i="2" l="1"/>
  <c r="F50" i="2"/>
  <c r="I11" i="4"/>
  <c r="J25" i="4"/>
  <c r="J29" i="4" s="1"/>
  <c r="K24" i="3"/>
  <c r="K25" i="4" s="1"/>
  <c r="K29" i="4" s="1"/>
  <c r="H12" i="4"/>
  <c r="H11" i="3"/>
  <c r="E47" i="2"/>
  <c r="E50" i="2"/>
  <c r="H35" i="2"/>
  <c r="H42" i="2"/>
  <c r="J25" i="3"/>
  <c r="J22" i="2"/>
  <c r="J19" i="4"/>
  <c r="J22" i="4" s="1"/>
  <c r="J8" i="3"/>
  <c r="K15" i="2"/>
  <c r="G14" i="3"/>
  <c r="G16" i="4"/>
  <c r="I30" i="2"/>
  <c r="I25" i="2"/>
  <c r="I29" i="2"/>
  <c r="I32" i="2" s="1"/>
  <c r="I8" i="4"/>
  <c r="J15" i="3"/>
  <c r="I23" i="3"/>
  <c r="I27" i="3" s="1"/>
  <c r="I34" i="3" s="1"/>
  <c r="I41" i="3" s="1"/>
  <c r="I9" i="3"/>
  <c r="I12" i="4" s="1"/>
  <c r="K12" i="2"/>
  <c r="K21" i="2" s="1"/>
  <c r="J21" i="2"/>
  <c r="G35" i="2"/>
  <c r="G42" i="2"/>
  <c r="J39" i="3"/>
  <c r="K37" i="3"/>
  <c r="K39" i="3" s="1"/>
  <c r="H34" i="3"/>
  <c r="H41" i="3" s="1"/>
  <c r="K8" i="2"/>
  <c r="J9" i="2"/>
  <c r="J20" i="2" s="1"/>
  <c r="H16" i="4"/>
  <c r="I32" i="3"/>
  <c r="J30" i="3"/>
  <c r="J32" i="3" l="1"/>
  <c r="K30" i="3"/>
  <c r="K32" i="3" s="1"/>
  <c r="I16" i="4"/>
  <c r="I11" i="3"/>
  <c r="K9" i="3"/>
  <c r="K23" i="3"/>
  <c r="K27" i="3" s="1"/>
  <c r="K34" i="3" s="1"/>
  <c r="K41" i="3" s="1"/>
  <c r="H44" i="2"/>
  <c r="H46" i="2" s="1"/>
  <c r="J8" i="4"/>
  <c r="J16" i="4" s="1"/>
  <c r="K15" i="3"/>
  <c r="K8" i="4" s="1"/>
  <c r="J23" i="2"/>
  <c r="J30" i="2"/>
  <c r="J25" i="2"/>
  <c r="J29" i="2"/>
  <c r="G31" i="4"/>
  <c r="G34" i="4" s="1"/>
  <c r="G36" i="4" s="1"/>
  <c r="G38" i="4"/>
  <c r="J11" i="4"/>
  <c r="H31" i="4"/>
  <c r="H34" i="4" s="1"/>
  <c r="H36" i="4" s="1"/>
  <c r="H38" i="4"/>
  <c r="K9" i="2"/>
  <c r="K20" i="2" s="1"/>
  <c r="K23" i="2" s="1"/>
  <c r="I26" i="2"/>
  <c r="I34" i="2"/>
  <c r="G16" i="3"/>
  <c r="G18" i="3" s="1"/>
  <c r="G43" i="3" s="1"/>
  <c r="H14" i="3"/>
  <c r="G44" i="2"/>
  <c r="G46" i="2" s="1"/>
  <c r="K25" i="3"/>
  <c r="K19" i="4"/>
  <c r="K22" i="4" s="1"/>
  <c r="K22" i="2"/>
  <c r="K8" i="3"/>
  <c r="J23" i="3"/>
  <c r="J27" i="3" s="1"/>
  <c r="J34" i="3" s="1"/>
  <c r="J41" i="3" s="1"/>
  <c r="J9" i="3"/>
  <c r="J12" i="4" s="1"/>
  <c r="H50" i="2" l="1"/>
  <c r="H47" i="2"/>
  <c r="I38" i="4"/>
  <c r="I31" i="4"/>
  <c r="I34" i="4" s="1"/>
  <c r="I36" i="4" s="1"/>
  <c r="G47" i="2"/>
  <c r="G50" i="2"/>
  <c r="H16" i="3"/>
  <c r="H18" i="3" s="1"/>
  <c r="H43" i="3" s="1"/>
  <c r="I14" i="3"/>
  <c r="J38" i="4"/>
  <c r="J31" i="4"/>
  <c r="J34" i="4" s="1"/>
  <c r="J36" i="4" s="1"/>
  <c r="K30" i="2"/>
  <c r="K25" i="2"/>
  <c r="K29" i="2"/>
  <c r="K12" i="4"/>
  <c r="J26" i="2"/>
  <c r="I35" i="2"/>
  <c r="I42" i="2"/>
  <c r="K11" i="4"/>
  <c r="K16" i="4" s="1"/>
  <c r="K11" i="3"/>
  <c r="J11" i="3"/>
  <c r="J32" i="2"/>
  <c r="J34" i="2" s="1"/>
  <c r="J35" i="2" l="1"/>
  <c r="J42" i="2"/>
  <c r="K38" i="4"/>
  <c r="K31" i="4"/>
  <c r="K34" i="4" s="1"/>
  <c r="K36" i="4" s="1"/>
  <c r="K32" i="2"/>
  <c r="K34" i="2"/>
  <c r="K26" i="2"/>
  <c r="I16" i="3"/>
  <c r="I18" i="3" s="1"/>
  <c r="I43" i="3" s="1"/>
  <c r="J14" i="3"/>
  <c r="I44" i="2"/>
  <c r="I46" i="2" s="1"/>
  <c r="I47" i="2" l="1"/>
  <c r="I50" i="2"/>
  <c r="K14" i="3"/>
  <c r="K16" i="3" s="1"/>
  <c r="K18" i="3" s="1"/>
  <c r="K43" i="3" s="1"/>
  <c r="J16" i="3"/>
  <c r="J18" i="3" s="1"/>
  <c r="J43" i="3" s="1"/>
  <c r="K42" i="2"/>
  <c r="K35" i="2"/>
  <c r="J44" i="2"/>
  <c r="J46" i="2"/>
  <c r="K44" i="2" l="1"/>
  <c r="K46" i="2"/>
  <c r="J50" i="2"/>
  <c r="J47" i="2"/>
  <c r="K50" i="2" l="1"/>
  <c r="K47" i="2"/>
</calcChain>
</file>

<file path=xl/sharedStrings.xml><?xml version="1.0" encoding="utf-8"?>
<sst xmlns="http://schemas.openxmlformats.org/spreadsheetml/2006/main" count="159" uniqueCount="111">
  <si>
    <t>TESLA, INC. - FINANCIAL MODEL ASSUMPTIONS</t>
  </si>
  <si>
    <t>Source: SEC 10-K Filings (2020-2024) | Model Date: October 19, 2025</t>
  </si>
  <si>
    <t>REVENUE ASSUMPTIONS</t>
  </si>
  <si>
    <t>Automotive Revenue Growth %</t>
  </si>
  <si>
    <t>Historical</t>
  </si>
  <si>
    <t>Energy Storage Growth %</t>
  </si>
  <si>
    <t>MARGIN ASSUMPTIONS</t>
  </si>
  <si>
    <t>Gross Margin %</t>
  </si>
  <si>
    <t>Operating Margin %</t>
  </si>
  <si>
    <t>CAPEX &amp; WORKING CAPITAL</t>
  </si>
  <si>
    <t>Capex as % of Revenue</t>
  </si>
  <si>
    <t>Days Sales Outstanding (DSO)</t>
  </si>
  <si>
    <t>Days Inventory Outstanding (DIO)</t>
  </si>
  <si>
    <t>Days Payable Outstanding (DPO)</t>
  </si>
  <si>
    <t>OTHER ASSUMPTIONS</t>
  </si>
  <si>
    <t>Tax Rate %</t>
  </si>
  <si>
    <t>Shares Outstanding (millions)</t>
  </si>
  <si>
    <t>TESLA, INC. - CONSOLIDATED INCOME STATEMENT</t>
  </si>
  <si>
    <t>(in millions, except per share data)</t>
  </si>
  <si>
    <t>Fiscal Year Ended December 31,</t>
  </si>
  <si>
    <t>AUTOMOTIVE REVENUES</t>
  </si>
  <si>
    <t>Automotive Sales</t>
  </si>
  <si>
    <t>Automotive Regulatory Credits</t>
  </si>
  <si>
    <t>Automotive Leasing</t>
  </si>
  <si>
    <t>Total Automotive Revenue</t>
  </si>
  <si>
    <t>ENERGY GENERATION AND STORAGE</t>
  </si>
  <si>
    <t>Energy Generation and Storage Revenue</t>
  </si>
  <si>
    <t>SERVICES AND OTHER</t>
  </si>
  <si>
    <t>Services and Other Revenue</t>
  </si>
  <si>
    <t>TOTAL REVENUES</t>
  </si>
  <si>
    <t>COST OF REVENUES</t>
  </si>
  <si>
    <t>Automotive Cost of Revenue</t>
  </si>
  <si>
    <t>Energy Generation and Storage Cost</t>
  </si>
  <si>
    <t>Services and Other Cost</t>
  </si>
  <si>
    <t>Total Cost of Revenue</t>
  </si>
  <si>
    <t>GROSS PROFIT</t>
  </si>
  <si>
    <t>OPERATING EXPENSES</t>
  </si>
  <si>
    <t>Research and Development</t>
  </si>
  <si>
    <t>Selling, General and Administrative</t>
  </si>
  <si>
    <t>Restructuring and Other</t>
  </si>
  <si>
    <t>Total Operating Expenses</t>
  </si>
  <si>
    <t>OPERATING INCOME (EBIT)</t>
  </si>
  <si>
    <t>OTHER INCOME (EXPENSE)</t>
  </si>
  <si>
    <t>Interest Income</t>
  </si>
  <si>
    <t>Interest Expense</t>
  </si>
  <si>
    <t>Other Income (Expense), Net</t>
  </si>
  <si>
    <t>INCOME BEFORE INCOME TAXES</t>
  </si>
  <si>
    <t>Income Tax Provision</t>
  </si>
  <si>
    <t>NET INCOME</t>
  </si>
  <si>
    <t>Net Margin %</t>
  </si>
  <si>
    <t>Diluted Shares Outstanding (millions)</t>
  </si>
  <si>
    <t>Earnings Per Share - Diluted ($)</t>
  </si>
  <si>
    <t>TESLA, INC. - CONSOLIDATED BALANCE SHEET</t>
  </si>
  <si>
    <t>(in millions)</t>
  </si>
  <si>
    <t>As of December 31,</t>
  </si>
  <si>
    <t>ASSETS</t>
  </si>
  <si>
    <t>CURRENT ASSETS</t>
  </si>
  <si>
    <t>Cash and Cash Equivalents</t>
  </si>
  <si>
    <t>Accounts Receivable, Net</t>
  </si>
  <si>
    <t>Inventory</t>
  </si>
  <si>
    <t>Other Current Assets</t>
  </si>
  <si>
    <t>Total Current Assets</t>
  </si>
  <si>
    <t>NON-CURRENT ASSETS</t>
  </si>
  <si>
    <t>Property, Plant and Equipment, Net</t>
  </si>
  <si>
    <t>Other Non-Current Assets</t>
  </si>
  <si>
    <t>Total Non-Current Assets</t>
  </si>
  <si>
    <t>TOTAL ASSETS</t>
  </si>
  <si>
    <t>LIABILITIES AND STOCKHOLDERS' EQUITY</t>
  </si>
  <si>
    <t>CURRENT LIABILITIES</t>
  </si>
  <si>
    <t>Accounts Payable</t>
  </si>
  <si>
    <t>Accrued Liabilities and Other</t>
  </si>
  <si>
    <t>Deferred Revenue</t>
  </si>
  <si>
    <t>Current Portion of Long-term Debt</t>
  </si>
  <si>
    <t>Total Current Liabilities</t>
  </si>
  <si>
    <t>NON-CURRENT LIABILITIES</t>
  </si>
  <si>
    <t>Long-term Debt</t>
  </si>
  <si>
    <t>Other Non-Current Liabilities</t>
  </si>
  <si>
    <t>Total Non-Current Liabilities</t>
  </si>
  <si>
    <t>TOTAL LIABILITIES</t>
  </si>
  <si>
    <t>STOCKHOLDERS' EQUITY</t>
  </si>
  <si>
    <t>Common Stock and APIC</t>
  </si>
  <si>
    <t>Retained Earnings</t>
  </si>
  <si>
    <t>Total Stockholders' Equity</t>
  </si>
  <si>
    <t>TOTAL LIABILITIES AND STOCKHOLDERS' EQUITY</t>
  </si>
  <si>
    <t>BALANCE CHECK (Must Equal Zero)</t>
  </si>
  <si>
    <t>TESLA, INC. - CONSOLIDATED CASH FLOW STATEMENT</t>
  </si>
  <si>
    <t>CASH FLOWS FROM OPERATING ACTIVITIES</t>
  </si>
  <si>
    <t>Net Income</t>
  </si>
  <si>
    <t>Adjustments to reconcile net income:</t>
  </si>
  <si>
    <t>Depreciation and Amortization</t>
  </si>
  <si>
    <t>Stock-Based Compensation</t>
  </si>
  <si>
    <t>Changes in operating assets and liabilities:</t>
  </si>
  <si>
    <t xml:space="preserve">  Accounts Receivable</t>
  </si>
  <si>
    <t xml:space="preserve">  Inventory</t>
  </si>
  <si>
    <t xml:space="preserve">  Accounts Payable</t>
  </si>
  <si>
    <t xml:space="preserve">  Other Changes in Operating Assets/Liabilities</t>
  </si>
  <si>
    <t>Net Cash Provided by Operating Activities</t>
  </si>
  <si>
    <t>CASH FLOWS FROM INVESTING ACTIVITIES</t>
  </si>
  <si>
    <t>Capital Expenditures</t>
  </si>
  <si>
    <t>Other Investing Activities</t>
  </si>
  <si>
    <t>Net Cash Used in Investing Activities</t>
  </si>
  <si>
    <t>CASH FLOWS FROM FINANCING ACTIVITIES</t>
  </si>
  <si>
    <t>Net Debt Proceeds (Repayment)</t>
  </si>
  <si>
    <t>Proceeds from Stock Issuance</t>
  </si>
  <si>
    <t>Other Financing Activities</t>
  </si>
  <si>
    <t>Net Cash Provided by (Used in) Financing Activities</t>
  </si>
  <si>
    <t>NET CHANGE IN CASH</t>
  </si>
  <si>
    <t>Cash, Beginning of Period</t>
  </si>
  <si>
    <t>Cash, End of Period</t>
  </si>
  <si>
    <t>CASH FLOW CHECK (Must Equal Zero)</t>
  </si>
  <si>
    <t>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</si>
</sst>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\$#,##0"/>
    <numFmt numFmtId="166" formatCode="\$0.00"/>
    <numFmt numFmtId="167" formatCode="\$#,##0;&quot;($&quot;#,##0\);\-"/>
  </numFmts>
  <fonts count="14" x14ac:knownFonts="1">
    <font>
      <sz val="11"/>
      <color theme="1"/>
      <name val="Calibri"/>
      <family val="2"/>
      <charset val="1"/>
    </font>
    <font>
      <b/>
      <sz val="14"/>
      <name val="Arial"/>
      <family val="2"/>
    </font>
    <font>
      <i/>
      <sz val="9"/>
      <name val="Arial"/>
      <family val="2"/>
    </font>
    <font>
      <b/>
      <sz val="11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2"/>
      <color rgb="FF00B050"/>
      <name val="Arial"/>
      <family val="2"/>
    </font>
    <font>
      <b/>
      <sz val="11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5F5DC"/>
        <bgColor rgb="FFFFFFFF"/>
      </patternFill>
    </fill>
  </fills>
  <borders count="7">
    <border>
      <left/>
      <right/>
      <top/>
      <bottom/>
      <diagonal/>
    </border>
    <border>
      <left style="dashed">
        <color rgb="FFC0C0C0"/>
      </left>
      <right style="dashed">
        <color rgb="FFC0C0C0"/>
      </right>
      <top style="dashed">
        <color rgb="FFC0C0C0"/>
      </top>
      <bottom style="dashed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Alignment="1">
      <alignment horizontal="center"/>
    </xf>
    <xf numFmtId="164" fontId="4" fillId="3" borderId="1" xfId="0" applyNumberFormat="1" applyFont="1" applyFill="1" applyBorder="1"/>
    <xf numFmtId="0" fontId="4" fillId="3" borderId="1" xfId="0" applyFont="1" applyFill="1" applyBorder="1"/>
    <xf numFmtId="3" fontId="4" fillId="3" borderId="1" xfId="0" applyNumberFormat="1" applyFont="1" applyFill="1" applyBorder="1"/>
    <xf numFmtId="0" fontId="3" fillId="0" borderId="0" xfId="0" applyFont="1"/>
    <xf numFmtId="165" fontId="4" fillId="3" borderId="1" xfId="0" applyNumberFormat="1" applyFont="1" applyFill="1" applyBorder="1"/>
    <xf numFmtId="165" fontId="5" fillId="0" borderId="2" xfId="0" applyNumberFormat="1" applyFont="1" applyBorder="1"/>
    <xf numFmtId="165" fontId="5" fillId="0" borderId="3" xfId="0" applyNumberFormat="1" applyFont="1" applyBorder="1"/>
    <xf numFmtId="0" fontId="6" fillId="2" borderId="0" xfId="0" applyFont="1" applyFill="1"/>
    <xf numFmtId="165" fontId="7" fillId="0" borderId="4" xfId="0" applyNumberFormat="1" applyFont="1" applyBorder="1"/>
    <xf numFmtId="165" fontId="5" fillId="0" borderId="5" xfId="0" applyNumberFormat="1" applyFont="1" applyBorder="1"/>
    <xf numFmtId="165" fontId="7" fillId="0" borderId="6" xfId="0" applyNumberFormat="1" applyFont="1" applyBorder="1"/>
    <xf numFmtId="164" fontId="2" fillId="0" borderId="0" xfId="0" applyNumberFormat="1" applyFont="1"/>
    <xf numFmtId="165" fontId="8" fillId="0" borderId="2" xfId="0" applyNumberFormat="1" applyFont="1" applyBorder="1"/>
    <xf numFmtId="165" fontId="7" fillId="0" borderId="3" xfId="0" applyNumberFormat="1" applyFont="1" applyBorder="1"/>
    <xf numFmtId="0" fontId="9" fillId="2" borderId="0" xfId="0" applyFont="1" applyFill="1"/>
    <xf numFmtId="165" fontId="6" fillId="0" borderId="4" xfId="0" applyNumberFormat="1" applyFont="1" applyBorder="1"/>
    <xf numFmtId="3" fontId="8" fillId="0" borderId="2" xfId="0" applyNumberFormat="1" applyFont="1" applyBorder="1"/>
    <xf numFmtId="166" fontId="7" fillId="0" borderId="3" xfId="0" applyNumberFormat="1" applyFont="1" applyBorder="1"/>
    <xf numFmtId="165" fontId="7" fillId="0" borderId="5" xfId="0" applyNumberFormat="1" applyFont="1" applyBorder="1"/>
    <xf numFmtId="0" fontId="10" fillId="2" borderId="0" xfId="0" applyFont="1" applyFill="1"/>
    <xf numFmtId="167" fontId="10" fillId="0" borderId="3" xfId="0" applyNumberFormat="1" applyFont="1" applyBorder="1"/>
    <xf numFmtId="0" fontId="11" fillId="0" borderId="0" xfId="0" applyFont="1"/>
    <xf numFmtId="0" fontId="12" fillId="2" borderId="0" xfId="0" applyFont="1" applyFill="1"/>
    <xf numFmtId="165" fontId="1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D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zoomScaleNormal="100" workbookViewId="0">
      <selection activeCell="G7" sqref="G7"/>
    </sheetView>
  </sheetViews>
  <sheetFormatPr defaultColWidth="8.6640625" defaultRowHeight="14.4" x14ac:dyDescent="0.3"/>
  <cols>
    <col min="1" max="1" width="35" customWidth="1"/>
    <col min="2" max="11" width="12" customWidth="1"/>
  </cols>
  <sheetData>
    <row r="1" spans="1:12" ht="17.25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ht="15" customHeight="1" x14ac:dyDescent="0.3">
      <c r="B4" s="4">
        <v>2020</v>
      </c>
      <c r="C4" s="4">
        <v>2021</v>
      </c>
      <c r="D4" s="4">
        <v>2022</v>
      </c>
      <c r="E4" s="4">
        <v>2023</v>
      </c>
      <c r="F4" s="4">
        <v>2024</v>
      </c>
      <c r="G4" s="4">
        <v>2025</v>
      </c>
      <c r="H4" s="4">
        <v>2026</v>
      </c>
      <c r="I4" s="4">
        <v>2027</v>
      </c>
      <c r="J4" s="4">
        <v>2028</v>
      </c>
      <c r="K4" s="4">
        <v>2029</v>
      </c>
    </row>
    <row r="5" spans="1:12" ht="15" customHeight="1" x14ac:dyDescent="0.3">
      <c r="A5" s="5" t="s">
        <v>2</v>
      </c>
    </row>
    <row r="6" spans="1:12" ht="15" customHeight="1" x14ac:dyDescent="0.3">
      <c r="A6" t="s">
        <v>3</v>
      </c>
      <c r="B6" s="6" t="s">
        <v>4</v>
      </c>
      <c r="C6" s="6" t="s">
        <v>4</v>
      </c>
      <c r="D6" s="6" t="s">
        <v>4</v>
      </c>
      <c r="E6" s="6" t="s">
        <v>4</v>
      </c>
      <c r="F6" s="6" t="s">
        <v>4</v>
      </c>
      <c r="G6" s="7">
        <v>0.08</v>
      </c>
      <c r="H6" s="7">
        <v>0.12</v>
      </c>
      <c r="I6" s="7">
        <v>0.15</v>
      </c>
      <c r="J6" s="7">
        <v>0.15</v>
      </c>
      <c r="K6" s="7">
        <v>0.12</v>
      </c>
    </row>
    <row r="7" spans="1:12" ht="15" customHeight="1" x14ac:dyDescent="0.3">
      <c r="A7" t="s">
        <v>5</v>
      </c>
      <c r="B7" s="6" t="s">
        <v>4</v>
      </c>
      <c r="C7" s="6" t="s">
        <v>4</v>
      </c>
      <c r="D7" s="6" t="s">
        <v>4</v>
      </c>
      <c r="E7" s="6" t="s">
        <v>4</v>
      </c>
      <c r="F7" s="6" t="s">
        <v>4</v>
      </c>
      <c r="G7" s="7">
        <v>0.35</v>
      </c>
      <c r="H7" s="7">
        <v>0.4</v>
      </c>
      <c r="I7" s="7">
        <v>0.35</v>
      </c>
      <c r="J7" s="7">
        <v>0.3</v>
      </c>
      <c r="K7" s="7">
        <v>0.25</v>
      </c>
    </row>
    <row r="9" spans="1:12" ht="15" customHeight="1" x14ac:dyDescent="0.3">
      <c r="A9" s="5" t="s">
        <v>6</v>
      </c>
    </row>
    <row r="10" spans="1:12" ht="15" customHeight="1" x14ac:dyDescent="0.3">
      <c r="A10" t="s">
        <v>7</v>
      </c>
      <c r="B10" s="6" t="s">
        <v>4</v>
      </c>
      <c r="C10" s="6" t="s">
        <v>4</v>
      </c>
      <c r="D10" s="6" t="s">
        <v>4</v>
      </c>
      <c r="E10" s="6" t="s">
        <v>4</v>
      </c>
      <c r="F10" s="6" t="s">
        <v>4</v>
      </c>
      <c r="G10" s="7">
        <v>0.19500000000000001</v>
      </c>
      <c r="H10" s="7">
        <v>0.20499999999999999</v>
      </c>
      <c r="I10" s="7">
        <v>0.215</v>
      </c>
      <c r="J10" s="7">
        <v>0.22</v>
      </c>
      <c r="K10" s="7">
        <v>0.22</v>
      </c>
    </row>
    <row r="11" spans="1:12" ht="15" customHeight="1" x14ac:dyDescent="0.3">
      <c r="A11" t="s">
        <v>8</v>
      </c>
      <c r="B11" s="6" t="s">
        <v>4</v>
      </c>
      <c r="C11" s="6" t="s">
        <v>4</v>
      </c>
      <c r="D11" s="6" t="s">
        <v>4</v>
      </c>
      <c r="E11" s="6" t="s">
        <v>4</v>
      </c>
      <c r="F11" s="6" t="s">
        <v>4</v>
      </c>
      <c r="G11" s="7">
        <v>9.5000000000000001E-2</v>
      </c>
      <c r="H11" s="7">
        <v>0.105</v>
      </c>
      <c r="I11" s="7">
        <v>0.115</v>
      </c>
      <c r="J11" s="7">
        <v>0.12</v>
      </c>
      <c r="K11" s="7">
        <v>0.125</v>
      </c>
    </row>
    <row r="13" spans="1:12" ht="15" customHeight="1" x14ac:dyDescent="0.3">
      <c r="A13" s="5" t="s">
        <v>9</v>
      </c>
    </row>
    <row r="14" spans="1:12" ht="15" customHeight="1" x14ac:dyDescent="0.3">
      <c r="A14" t="s">
        <v>10</v>
      </c>
      <c r="B14" s="6" t="s">
        <v>4</v>
      </c>
      <c r="C14" s="6" t="s">
        <v>4</v>
      </c>
      <c r="D14" s="6" t="s">
        <v>4</v>
      </c>
      <c r="E14" s="6" t="s">
        <v>4</v>
      </c>
      <c r="F14" s="6" t="s">
        <v>4</v>
      </c>
      <c r="G14" s="7">
        <v>0.11</v>
      </c>
      <c r="H14" s="7">
        <v>0.105</v>
      </c>
      <c r="I14" s="7">
        <v>0.1</v>
      </c>
      <c r="J14" s="7">
        <v>9.5000000000000001E-2</v>
      </c>
      <c r="K14" s="7">
        <v>0.09</v>
      </c>
    </row>
    <row r="15" spans="1:12" ht="15" customHeight="1" x14ac:dyDescent="0.3">
      <c r="A15" t="s">
        <v>11</v>
      </c>
      <c r="B15" s="6" t="s">
        <v>4</v>
      </c>
      <c r="C15" s="6" t="s">
        <v>4</v>
      </c>
      <c r="D15" s="6" t="s">
        <v>4</v>
      </c>
      <c r="E15" s="6" t="s">
        <v>4</v>
      </c>
      <c r="F15" s="6" t="s">
        <v>4</v>
      </c>
      <c r="G15" s="8">
        <v>14</v>
      </c>
      <c r="H15" s="8">
        <v>14</v>
      </c>
      <c r="I15" s="8">
        <v>13</v>
      </c>
      <c r="J15" s="8">
        <v>13</v>
      </c>
      <c r="K15" s="8">
        <v>12</v>
      </c>
    </row>
    <row r="16" spans="1:12" ht="15" customHeight="1" x14ac:dyDescent="0.3">
      <c r="A16" t="s">
        <v>12</v>
      </c>
      <c r="B16" s="6" t="s">
        <v>4</v>
      </c>
      <c r="C16" s="6" t="s">
        <v>4</v>
      </c>
      <c r="D16" s="6" t="s">
        <v>4</v>
      </c>
      <c r="E16" s="6" t="s">
        <v>4</v>
      </c>
      <c r="F16" s="6" t="s">
        <v>4</v>
      </c>
      <c r="G16" s="8">
        <v>55</v>
      </c>
      <c r="H16" s="8">
        <v>52</v>
      </c>
      <c r="I16" s="8">
        <v>50</v>
      </c>
      <c r="J16" s="8">
        <v>48</v>
      </c>
      <c r="K16" s="8">
        <v>45</v>
      </c>
    </row>
    <row r="17" spans="1:11" ht="15" customHeight="1" x14ac:dyDescent="0.3">
      <c r="A17" t="s">
        <v>13</v>
      </c>
      <c r="B17" s="6" t="s">
        <v>4</v>
      </c>
      <c r="C17" s="6" t="s">
        <v>4</v>
      </c>
      <c r="D17" s="6" t="s">
        <v>4</v>
      </c>
      <c r="E17" s="6" t="s">
        <v>4</v>
      </c>
      <c r="F17" s="6" t="s">
        <v>4</v>
      </c>
      <c r="G17" s="8">
        <v>82</v>
      </c>
      <c r="H17" s="8">
        <v>80</v>
      </c>
      <c r="I17" s="8">
        <v>78</v>
      </c>
      <c r="J17" s="8">
        <v>76</v>
      </c>
      <c r="K17" s="8">
        <v>75</v>
      </c>
    </row>
    <row r="19" spans="1:11" ht="15" customHeight="1" x14ac:dyDescent="0.3">
      <c r="A19" s="5" t="s">
        <v>14</v>
      </c>
    </row>
    <row r="20" spans="1:11" ht="15" customHeight="1" x14ac:dyDescent="0.3">
      <c r="A20" t="s">
        <v>15</v>
      </c>
      <c r="B20" s="6" t="s">
        <v>4</v>
      </c>
      <c r="C20" s="6" t="s">
        <v>4</v>
      </c>
      <c r="D20" s="6" t="s">
        <v>4</v>
      </c>
      <c r="E20" s="6" t="s">
        <v>4</v>
      </c>
      <c r="F20" s="6" t="s">
        <v>4</v>
      </c>
      <c r="G20" s="7">
        <v>0.21</v>
      </c>
      <c r="H20" s="7">
        <v>0.21</v>
      </c>
      <c r="I20" s="7">
        <v>0.21</v>
      </c>
      <c r="J20" s="7">
        <v>0.21</v>
      </c>
      <c r="K20" s="7">
        <v>0.21</v>
      </c>
    </row>
    <row r="21" spans="1:11" ht="15" customHeight="1" x14ac:dyDescent="0.3">
      <c r="A21" t="s">
        <v>16</v>
      </c>
      <c r="B21" s="9">
        <v>2780</v>
      </c>
      <c r="C21" s="9">
        <v>3185</v>
      </c>
      <c r="D21" s="9">
        <v>3468</v>
      </c>
      <c r="E21" s="9">
        <v>3485</v>
      </c>
      <c r="F21" s="9">
        <v>3534</v>
      </c>
      <c r="G21" s="9">
        <v>3560</v>
      </c>
      <c r="H21" s="9">
        <v>3590</v>
      </c>
      <c r="I21" s="9">
        <v>3620</v>
      </c>
      <c r="J21" s="9">
        <v>3650</v>
      </c>
      <c r="K21" s="9">
        <v>3680</v>
      </c>
    </row>
  </sheetData>
  <mergeCells count="2">
    <mergeCell ref="A1:L1"/>
    <mergeCell ref="A2:L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showGridLines="0" tabSelected="1" topLeftCell="A10" zoomScale="85" zoomScaleNormal="85" workbookViewId="0">
      <selection activeCell="B17" sqref="B17:K17"/>
    </sheetView>
  </sheetViews>
  <sheetFormatPr defaultColWidth="8.6640625" defaultRowHeight="14.4" x14ac:dyDescent="0.3"/>
  <cols>
    <col min="1" max="1" width="35" customWidth="1"/>
    <col min="2" max="11" width="12" customWidth="1"/>
  </cols>
  <sheetData>
    <row r="1" spans="1:12" ht="17.25" customHeight="1" x14ac:dyDescent="0.3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 x14ac:dyDescent="0.3">
      <c r="A2" s="3" t="s">
        <v>18</v>
      </c>
    </row>
    <row r="4" spans="1:12" ht="15" customHeight="1" x14ac:dyDescent="0.3">
      <c r="A4" s="10" t="s">
        <v>19</v>
      </c>
      <c r="B4" s="4">
        <v>2020</v>
      </c>
      <c r="C4" s="4">
        <v>2021</v>
      </c>
      <c r="D4" s="4">
        <v>2022</v>
      </c>
      <c r="E4" s="4">
        <v>2023</v>
      </c>
      <c r="F4" s="4">
        <v>2024</v>
      </c>
      <c r="G4" s="4">
        <v>2025</v>
      </c>
      <c r="H4" s="4">
        <v>2026</v>
      </c>
      <c r="I4" s="4">
        <v>2027</v>
      </c>
      <c r="J4" s="4">
        <v>2028</v>
      </c>
      <c r="K4" s="4">
        <v>2029</v>
      </c>
    </row>
    <row r="5" spans="1:12" ht="15" customHeight="1" x14ac:dyDescent="0.3">
      <c r="A5" s="5" t="s">
        <v>20</v>
      </c>
    </row>
    <row r="6" spans="1:12" ht="15" customHeight="1" x14ac:dyDescent="0.3">
      <c r="A6" t="s">
        <v>21</v>
      </c>
      <c r="B6" s="11">
        <v>26990</v>
      </c>
      <c r="C6" s="11">
        <v>44125</v>
      </c>
      <c r="D6" s="11">
        <v>67210</v>
      </c>
      <c r="E6" s="11">
        <v>78509</v>
      </c>
      <c r="F6" s="11">
        <v>77042</v>
      </c>
      <c r="G6" s="12">
        <f>F6*(1+Assumptions!G$7)</f>
        <v>104006.70000000001</v>
      </c>
      <c r="H6" s="12">
        <f>G6*(1+Assumptions!H$7)</f>
        <v>145609.38</v>
      </c>
      <c r="I6" s="12">
        <f>H6*(1+Assumptions!I$7)</f>
        <v>196572.66300000003</v>
      </c>
      <c r="J6" s="12">
        <f>I6*(1+Assumptions!J$7)</f>
        <v>255544.46190000005</v>
      </c>
      <c r="K6" s="12">
        <f>J6*(1+Assumptions!K$7)</f>
        <v>319430.57737500005</v>
      </c>
    </row>
    <row r="7" spans="1:12" ht="15" customHeight="1" x14ac:dyDescent="0.3">
      <c r="A7" t="s">
        <v>22</v>
      </c>
      <c r="B7" s="11">
        <v>1580</v>
      </c>
      <c r="C7" s="11">
        <v>1465</v>
      </c>
      <c r="D7" s="11">
        <v>1776</v>
      </c>
      <c r="E7" s="11">
        <v>1790</v>
      </c>
      <c r="F7" s="11">
        <v>2534</v>
      </c>
      <c r="G7" s="12">
        <f>F7*1.05</f>
        <v>2660.7000000000003</v>
      </c>
      <c r="H7" s="12">
        <f>G7*1.05</f>
        <v>2793.7350000000006</v>
      </c>
      <c r="I7" s="12">
        <f>H7*1.05</f>
        <v>2933.4217500000009</v>
      </c>
      <c r="J7" s="12">
        <f>I7*1.05</f>
        <v>3080.0928375000012</v>
      </c>
      <c r="K7" s="12">
        <f>J7*1.05</f>
        <v>3234.0974793750015</v>
      </c>
    </row>
    <row r="8" spans="1:12" ht="15" customHeight="1" x14ac:dyDescent="0.3">
      <c r="A8" t="s">
        <v>23</v>
      </c>
      <c r="B8" s="11">
        <v>1052</v>
      </c>
      <c r="C8" s="11">
        <v>1642</v>
      </c>
      <c r="D8" s="11">
        <v>2476</v>
      </c>
      <c r="E8" s="11">
        <v>2155</v>
      </c>
      <c r="F8" s="11">
        <v>2321</v>
      </c>
      <c r="G8" s="12">
        <f>F8*1.07</f>
        <v>2483.4700000000003</v>
      </c>
      <c r="H8" s="12">
        <f>G8*1.07</f>
        <v>2657.3129000000004</v>
      </c>
      <c r="I8" s="12">
        <f>H8*1.07</f>
        <v>2843.3248030000004</v>
      </c>
      <c r="J8" s="12">
        <f>I8*1.07</f>
        <v>3042.3575392100006</v>
      </c>
      <c r="K8" s="12">
        <f>J8*1.07</f>
        <v>3255.322566954701</v>
      </c>
    </row>
    <row r="9" spans="1:12" ht="15" customHeight="1" x14ac:dyDescent="0.3">
      <c r="A9" s="10" t="s">
        <v>24</v>
      </c>
      <c r="B9" s="13">
        <f t="shared" ref="B9:K9" si="0">SUM(B6:B8)</f>
        <v>29622</v>
      </c>
      <c r="C9" s="13">
        <f t="shared" si="0"/>
        <v>47232</v>
      </c>
      <c r="D9" s="13">
        <f t="shared" si="0"/>
        <v>71462</v>
      </c>
      <c r="E9" s="13">
        <f t="shared" si="0"/>
        <v>82454</v>
      </c>
      <c r="F9" s="13">
        <f t="shared" si="0"/>
        <v>81897</v>
      </c>
      <c r="G9" s="13">
        <f t="shared" si="0"/>
        <v>109150.87000000001</v>
      </c>
      <c r="H9" s="13">
        <f t="shared" si="0"/>
        <v>151060.42789999998</v>
      </c>
      <c r="I9" s="13">
        <f t="shared" si="0"/>
        <v>202349.40955300003</v>
      </c>
      <c r="J9" s="13">
        <f t="shared" si="0"/>
        <v>261666.91227671006</v>
      </c>
      <c r="K9" s="13">
        <f t="shared" si="0"/>
        <v>325919.99742132978</v>
      </c>
    </row>
    <row r="11" spans="1:12" ht="15" customHeight="1" x14ac:dyDescent="0.3">
      <c r="A11" s="5" t="s">
        <v>25</v>
      </c>
    </row>
    <row r="12" spans="1:12" ht="15" customHeight="1" x14ac:dyDescent="0.3">
      <c r="A12" t="s">
        <v>26</v>
      </c>
      <c r="B12" s="11">
        <v>1994</v>
      </c>
      <c r="C12" s="11">
        <v>2789</v>
      </c>
      <c r="D12" s="11">
        <v>3909</v>
      </c>
      <c r="E12" s="11">
        <v>6035</v>
      </c>
      <c r="F12" s="11">
        <v>8090</v>
      </c>
      <c r="G12" s="12">
        <f>F12*(1+Assumptions!G$8)</f>
        <v>8090</v>
      </c>
      <c r="H12" s="12">
        <f>G12*(1+Assumptions!H$8)</f>
        <v>8090</v>
      </c>
      <c r="I12" s="12">
        <f>H12*(1+Assumptions!I$8)</f>
        <v>8090</v>
      </c>
      <c r="J12" s="12">
        <f>I12*(1+Assumptions!J$8)</f>
        <v>8090</v>
      </c>
      <c r="K12" s="12">
        <f>J12*(1+Assumptions!K$8)</f>
        <v>8090</v>
      </c>
    </row>
    <row r="14" spans="1:12" ht="15" customHeight="1" x14ac:dyDescent="0.3">
      <c r="A14" s="5" t="s">
        <v>27</v>
      </c>
    </row>
    <row r="15" spans="1:12" ht="15" customHeight="1" x14ac:dyDescent="0.3">
      <c r="A15" t="s">
        <v>28</v>
      </c>
      <c r="B15" s="11">
        <v>2306</v>
      </c>
      <c r="C15" s="11">
        <v>3802</v>
      </c>
      <c r="D15" s="11">
        <v>6091</v>
      </c>
      <c r="E15" s="11">
        <v>8634</v>
      </c>
      <c r="F15" s="11">
        <v>9707</v>
      </c>
      <c r="G15" s="12">
        <f>F15*1.1</f>
        <v>10677.7</v>
      </c>
      <c r="H15" s="12">
        <f>G15*1.1</f>
        <v>11745.470000000001</v>
      </c>
      <c r="I15" s="12">
        <f>H15*1.1</f>
        <v>12920.017000000002</v>
      </c>
      <c r="J15" s="12">
        <f>I15*1.1</f>
        <v>14212.018700000002</v>
      </c>
      <c r="K15" s="12">
        <f>J15*1.1</f>
        <v>15633.220570000003</v>
      </c>
    </row>
    <row r="17" spans="1:11" ht="15" customHeight="1" x14ac:dyDescent="0.3">
      <c r="A17" s="14" t="s">
        <v>29</v>
      </c>
      <c r="B17" s="15">
        <f>B9+B12+B15</f>
        <v>33922</v>
      </c>
      <c r="C17" s="15">
        <f t="shared" ref="C17:K17" si="1">C9+C12+C15</f>
        <v>53823</v>
      </c>
      <c r="D17" s="15">
        <f t="shared" si="1"/>
        <v>81462</v>
      </c>
      <c r="E17" s="15">
        <f t="shared" si="1"/>
        <v>97123</v>
      </c>
      <c r="F17" s="15">
        <f t="shared" si="1"/>
        <v>99694</v>
      </c>
      <c r="G17" s="15">
        <f t="shared" si="1"/>
        <v>127918.57</v>
      </c>
      <c r="H17" s="15">
        <f t="shared" si="1"/>
        <v>170895.89789999998</v>
      </c>
      <c r="I17" s="15">
        <f t="shared" si="1"/>
        <v>223359.42655300003</v>
      </c>
      <c r="J17" s="15">
        <f t="shared" si="1"/>
        <v>283968.93097671005</v>
      </c>
      <c r="K17" s="15">
        <f t="shared" si="1"/>
        <v>349643.21799132979</v>
      </c>
    </row>
    <row r="19" spans="1:11" ht="15" customHeight="1" x14ac:dyDescent="0.3">
      <c r="A19" s="5" t="s">
        <v>30</v>
      </c>
    </row>
    <row r="20" spans="1:11" ht="15" customHeight="1" x14ac:dyDescent="0.3">
      <c r="A20" t="s">
        <v>31</v>
      </c>
      <c r="B20" s="11">
        <v>20853</v>
      </c>
      <c r="C20" s="11">
        <v>32415</v>
      </c>
      <c r="D20" s="11">
        <v>49599</v>
      </c>
      <c r="E20" s="11">
        <v>60609</v>
      </c>
      <c r="F20" s="11">
        <v>62940</v>
      </c>
      <c r="G20" s="12">
        <f>G9*(1-Assumptions!G$11)</f>
        <v>98781.537350000013</v>
      </c>
      <c r="H20" s="12">
        <f>H9*(1-Assumptions!H$11)</f>
        <v>135199.08297049999</v>
      </c>
      <c r="I20" s="12">
        <f>I9*(1-Assumptions!I$11)</f>
        <v>179079.22745440505</v>
      </c>
      <c r="J20" s="12">
        <f>J9*(1-Assumptions!J$11)</f>
        <v>230266.88280350485</v>
      </c>
      <c r="K20" s="12">
        <f>K9*(1-Assumptions!K$11)</f>
        <v>285179.99774366355</v>
      </c>
    </row>
    <row r="21" spans="1:11" ht="15" customHeight="1" x14ac:dyDescent="0.3">
      <c r="A21" t="s">
        <v>32</v>
      </c>
      <c r="B21" s="11">
        <v>1976</v>
      </c>
      <c r="C21" s="11">
        <v>2918</v>
      </c>
      <c r="D21" s="11">
        <v>4056</v>
      </c>
      <c r="E21" s="11">
        <v>6037</v>
      </c>
      <c r="F21" s="11">
        <v>7811</v>
      </c>
      <c r="G21" s="12">
        <f>G12*0.9</f>
        <v>7281</v>
      </c>
      <c r="H21" s="12">
        <f>H12*0.9</f>
        <v>7281</v>
      </c>
      <c r="I21" s="12">
        <f>I12*0.9</f>
        <v>7281</v>
      </c>
      <c r="J21" s="12">
        <f>J12*0.9</f>
        <v>7281</v>
      </c>
      <c r="K21" s="12">
        <f>K12*0.9</f>
        <v>7281</v>
      </c>
    </row>
    <row r="22" spans="1:11" ht="15" customHeight="1" x14ac:dyDescent="0.3">
      <c r="A22" t="s">
        <v>33</v>
      </c>
      <c r="B22" s="11">
        <v>2671</v>
      </c>
      <c r="C22" s="11">
        <v>3906</v>
      </c>
      <c r="D22" s="11">
        <v>5914</v>
      </c>
      <c r="E22" s="11">
        <v>7612</v>
      </c>
      <c r="F22" s="11">
        <v>9486</v>
      </c>
      <c r="G22" s="12">
        <f>G15*0.92</f>
        <v>9823.4840000000004</v>
      </c>
      <c r="H22" s="12">
        <f>H15*0.92</f>
        <v>10805.832400000001</v>
      </c>
      <c r="I22" s="12">
        <f>I15*0.92</f>
        <v>11886.415640000003</v>
      </c>
      <c r="J22" s="12">
        <f>J15*0.92</f>
        <v>13075.057204000002</v>
      </c>
      <c r="K22" s="12">
        <f>K15*0.92</f>
        <v>14382.562924400003</v>
      </c>
    </row>
    <row r="23" spans="1:11" ht="15" customHeight="1" x14ac:dyDescent="0.3">
      <c r="A23" s="10" t="s">
        <v>34</v>
      </c>
      <c r="B23" s="16">
        <f t="shared" ref="B23:K23" si="2">SUM(B20:B22)</f>
        <v>25500</v>
      </c>
      <c r="C23" s="16">
        <f t="shared" si="2"/>
        <v>39239</v>
      </c>
      <c r="D23" s="16">
        <f t="shared" si="2"/>
        <v>59569</v>
      </c>
      <c r="E23" s="16">
        <f t="shared" si="2"/>
        <v>74258</v>
      </c>
      <c r="F23" s="16">
        <f t="shared" si="2"/>
        <v>80237</v>
      </c>
      <c r="G23" s="16">
        <f t="shared" si="2"/>
        <v>115886.02135000001</v>
      </c>
      <c r="H23" s="16">
        <f t="shared" si="2"/>
        <v>153285.91537050001</v>
      </c>
      <c r="I23" s="16">
        <f t="shared" si="2"/>
        <v>198246.64309440504</v>
      </c>
      <c r="J23" s="16">
        <f t="shared" si="2"/>
        <v>250622.94000750486</v>
      </c>
      <c r="K23" s="16">
        <f t="shared" si="2"/>
        <v>306843.56066806358</v>
      </c>
    </row>
    <row r="25" spans="1:11" ht="15" customHeight="1" x14ac:dyDescent="0.3">
      <c r="A25" s="14" t="s">
        <v>35</v>
      </c>
      <c r="B25" s="17">
        <f t="shared" ref="B25:K25" si="3">B17-B23</f>
        <v>8422</v>
      </c>
      <c r="C25" s="17">
        <f t="shared" si="3"/>
        <v>14584</v>
      </c>
      <c r="D25" s="17">
        <f t="shared" si="3"/>
        <v>21893</v>
      </c>
      <c r="E25" s="17">
        <f t="shared" si="3"/>
        <v>22865</v>
      </c>
      <c r="F25" s="17">
        <f t="shared" si="3"/>
        <v>19457</v>
      </c>
      <c r="G25" s="17">
        <f t="shared" si="3"/>
        <v>12032.548649999997</v>
      </c>
      <c r="H25" s="17">
        <f t="shared" si="3"/>
        <v>17609.982529499975</v>
      </c>
      <c r="I25" s="17">
        <f t="shared" si="3"/>
        <v>25112.783458594989</v>
      </c>
      <c r="J25" s="17">
        <f t="shared" si="3"/>
        <v>33345.990969205188</v>
      </c>
      <c r="K25" s="17">
        <f t="shared" si="3"/>
        <v>42799.657323266205</v>
      </c>
    </row>
    <row r="26" spans="1:11" ht="15" customHeight="1" x14ac:dyDescent="0.3">
      <c r="A26" s="3" t="s">
        <v>7</v>
      </c>
      <c r="B26" s="18">
        <f t="shared" ref="B26:K26" si="4">B25/B17</f>
        <v>0.24827545545663582</v>
      </c>
      <c r="C26" s="18">
        <f t="shared" si="4"/>
        <v>0.27096222804377312</v>
      </c>
      <c r="D26" s="18">
        <f t="shared" si="4"/>
        <v>0.2687510741204488</v>
      </c>
      <c r="E26" s="18">
        <f t="shared" si="4"/>
        <v>0.23542312325607734</v>
      </c>
      <c r="F26" s="18">
        <f t="shared" si="4"/>
        <v>0.19516721166770318</v>
      </c>
      <c r="G26" s="18">
        <f t="shared" si="4"/>
        <v>9.4064127280347146E-2</v>
      </c>
      <c r="H26" s="18">
        <f t="shared" si="4"/>
        <v>0.103045086195132</v>
      </c>
      <c r="I26" s="18">
        <f t="shared" si="4"/>
        <v>0.11243216302149703</v>
      </c>
      <c r="J26" s="18">
        <f t="shared" si="4"/>
        <v>0.11742830757756413</v>
      </c>
      <c r="K26" s="18">
        <f t="shared" si="4"/>
        <v>0.12240951667573177</v>
      </c>
    </row>
    <row r="28" spans="1:11" ht="15" customHeight="1" x14ac:dyDescent="0.3">
      <c r="A28" s="5" t="s">
        <v>36</v>
      </c>
    </row>
    <row r="29" spans="1:11" ht="15" customHeight="1" x14ac:dyDescent="0.3">
      <c r="A29" t="s">
        <v>37</v>
      </c>
      <c r="B29" s="11">
        <v>1491</v>
      </c>
      <c r="C29" s="11">
        <v>2593</v>
      </c>
      <c r="D29" s="11">
        <v>3075</v>
      </c>
      <c r="E29" s="11">
        <v>3969</v>
      </c>
      <c r="F29" s="11">
        <v>4860</v>
      </c>
      <c r="G29" s="12">
        <f>G17*0.048</f>
        <v>6140.0913600000003</v>
      </c>
      <c r="H29" s="12">
        <f>H17*0.048</f>
        <v>8203.0030991999993</v>
      </c>
      <c r="I29" s="12">
        <f>I17*0.048</f>
        <v>10721.252474544002</v>
      </c>
      <c r="J29" s="12">
        <f>J17*0.048</f>
        <v>13630.508686882084</v>
      </c>
      <c r="K29" s="12">
        <f>K17*0.048</f>
        <v>16782.87446358383</v>
      </c>
    </row>
    <row r="30" spans="1:11" ht="15" customHeight="1" x14ac:dyDescent="0.3">
      <c r="A30" t="s">
        <v>38</v>
      </c>
      <c r="B30" s="11">
        <v>3145</v>
      </c>
      <c r="C30" s="11">
        <v>4517</v>
      </c>
      <c r="D30" s="11">
        <v>6469</v>
      </c>
      <c r="E30" s="11">
        <v>7051</v>
      </c>
      <c r="F30" s="11">
        <v>7690</v>
      </c>
      <c r="G30" s="12">
        <f>G17*0.075</f>
        <v>9593.8927500000009</v>
      </c>
      <c r="H30" s="12">
        <f>H17*0.075</f>
        <v>12817.192342499999</v>
      </c>
      <c r="I30" s="12">
        <f>I17*0.075</f>
        <v>16751.956991475003</v>
      </c>
      <c r="J30" s="12">
        <f>J17*0.075</f>
        <v>21297.669823253254</v>
      </c>
      <c r="K30" s="12">
        <f>K17*0.075</f>
        <v>26223.241349349733</v>
      </c>
    </row>
    <row r="31" spans="1:11" ht="15" customHeight="1" x14ac:dyDescent="0.3">
      <c r="A31" t="s">
        <v>39</v>
      </c>
      <c r="B31" s="11">
        <v>0</v>
      </c>
      <c r="C31" s="11">
        <v>0</v>
      </c>
      <c r="D31" s="11">
        <v>0</v>
      </c>
      <c r="E31" s="11">
        <v>0</v>
      </c>
      <c r="F31" s="11">
        <v>467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</row>
    <row r="32" spans="1:11" ht="15" customHeight="1" x14ac:dyDescent="0.3">
      <c r="A32" s="10" t="s">
        <v>40</v>
      </c>
      <c r="B32" s="16">
        <f t="shared" ref="B32:K32" si="5">SUM(B29:B31)</f>
        <v>4636</v>
      </c>
      <c r="C32" s="16">
        <f t="shared" si="5"/>
        <v>7110</v>
      </c>
      <c r="D32" s="16">
        <f t="shared" si="5"/>
        <v>9544</v>
      </c>
      <c r="E32" s="16">
        <f t="shared" si="5"/>
        <v>11020</v>
      </c>
      <c r="F32" s="16">
        <f t="shared" si="5"/>
        <v>13017</v>
      </c>
      <c r="G32" s="16">
        <f t="shared" si="5"/>
        <v>15733.984110000001</v>
      </c>
      <c r="H32" s="16">
        <f t="shared" si="5"/>
        <v>21020.195441699998</v>
      </c>
      <c r="I32" s="16">
        <f t="shared" si="5"/>
        <v>27473.209466019005</v>
      </c>
      <c r="J32" s="16">
        <f t="shared" si="5"/>
        <v>34928.178510135338</v>
      </c>
      <c r="K32" s="16">
        <f t="shared" si="5"/>
        <v>43006.115812933567</v>
      </c>
    </row>
    <row r="34" spans="1:11" ht="15" customHeight="1" x14ac:dyDescent="0.3">
      <c r="A34" s="14" t="s">
        <v>41</v>
      </c>
      <c r="B34" s="17">
        <f t="shared" ref="B34:K34" si="6">B25-B32</f>
        <v>3786</v>
      </c>
      <c r="C34" s="17">
        <f t="shared" si="6"/>
        <v>7474</v>
      </c>
      <c r="D34" s="17">
        <f t="shared" si="6"/>
        <v>12349</v>
      </c>
      <c r="E34" s="17">
        <f t="shared" si="6"/>
        <v>11845</v>
      </c>
      <c r="F34" s="17">
        <f t="shared" si="6"/>
        <v>6440</v>
      </c>
      <c r="G34" s="17">
        <f t="shared" si="6"/>
        <v>-3701.4354600000042</v>
      </c>
      <c r="H34" s="17">
        <f t="shared" si="6"/>
        <v>-3410.2129122000224</v>
      </c>
      <c r="I34" s="17">
        <f t="shared" si="6"/>
        <v>-2360.4260074240156</v>
      </c>
      <c r="J34" s="17">
        <f t="shared" si="6"/>
        <v>-1582.1875409301501</v>
      </c>
      <c r="K34" s="17">
        <f t="shared" si="6"/>
        <v>-206.4584896673623</v>
      </c>
    </row>
    <row r="35" spans="1:11" ht="15" customHeight="1" x14ac:dyDescent="0.3">
      <c r="A35" s="3" t="s">
        <v>8</v>
      </c>
      <c r="B35" s="18">
        <f t="shared" ref="B35:K35" si="7">B34/B17</f>
        <v>0.11160898531926183</v>
      </c>
      <c r="C35" s="18">
        <f t="shared" si="7"/>
        <v>0.13886256804711741</v>
      </c>
      <c r="D35" s="18">
        <f t="shared" si="7"/>
        <v>0.15159215339667576</v>
      </c>
      <c r="E35" s="18">
        <f t="shared" si="7"/>
        <v>0.12195875333340198</v>
      </c>
      <c r="F35" s="18">
        <f t="shared" si="7"/>
        <v>6.4597668866732197E-2</v>
      </c>
      <c r="G35" s="18">
        <f t="shared" si="7"/>
        <v>-2.8935872719652856E-2</v>
      </c>
      <c r="H35" s="18">
        <f t="shared" si="7"/>
        <v>-1.9954913804868003E-2</v>
      </c>
      <c r="I35" s="18">
        <f t="shared" si="7"/>
        <v>-1.0567836978502986E-2</v>
      </c>
      <c r="J35" s="18">
        <f t="shared" si="7"/>
        <v>-5.5716924224358706E-3</v>
      </c>
      <c r="K35" s="18">
        <f t="shared" si="7"/>
        <v>-5.9048332426823134E-4</v>
      </c>
    </row>
    <row r="37" spans="1:11" ht="15" customHeight="1" x14ac:dyDescent="0.3">
      <c r="A37" s="5" t="s">
        <v>42</v>
      </c>
    </row>
    <row r="38" spans="1:11" ht="15" customHeight="1" x14ac:dyDescent="0.3">
      <c r="A38" t="s">
        <v>43</v>
      </c>
      <c r="B38" s="11">
        <v>30</v>
      </c>
      <c r="C38" s="11">
        <v>56</v>
      </c>
      <c r="D38" s="11">
        <v>263</v>
      </c>
      <c r="E38" s="11">
        <v>998</v>
      </c>
      <c r="F38" s="11">
        <v>1556</v>
      </c>
      <c r="G38" s="19">
        <f>'Balance Sheet'!G7*0.03</f>
        <v>0</v>
      </c>
      <c r="H38" s="19">
        <f>'Balance Sheet'!H7*0.03</f>
        <v>0</v>
      </c>
      <c r="I38" s="19">
        <f>'Balance Sheet'!I7*0.03</f>
        <v>0</v>
      </c>
      <c r="J38" s="19">
        <f>'Balance Sheet'!J7*0.03</f>
        <v>0</v>
      </c>
      <c r="K38" s="19">
        <f>'Balance Sheet'!K7*0.03</f>
        <v>0</v>
      </c>
    </row>
    <row r="39" spans="1:11" ht="15" customHeight="1" x14ac:dyDescent="0.3">
      <c r="A39" t="s">
        <v>44</v>
      </c>
      <c r="B39" s="11">
        <v>-748</v>
      </c>
      <c r="C39" s="11">
        <v>-371</v>
      </c>
      <c r="D39" s="11">
        <v>-191</v>
      </c>
      <c r="E39" s="11">
        <v>-151</v>
      </c>
      <c r="F39" s="11">
        <v>-160</v>
      </c>
      <c r="G39" s="19">
        <f>-'Balance Sheet'!G28*0.05</f>
        <v>0</v>
      </c>
      <c r="H39" s="19">
        <f>-'Balance Sheet'!H28*0.05</f>
        <v>0</v>
      </c>
      <c r="I39" s="19">
        <f>-'Balance Sheet'!I28*0.05</f>
        <v>0</v>
      </c>
      <c r="J39" s="19">
        <f>-'Balance Sheet'!J28*0.05</f>
        <v>0</v>
      </c>
      <c r="K39" s="19">
        <f>-'Balance Sheet'!K28*0.05</f>
        <v>0</v>
      </c>
    </row>
    <row r="40" spans="1:11" ht="15" customHeight="1" x14ac:dyDescent="0.3">
      <c r="A40" t="s">
        <v>45</v>
      </c>
      <c r="B40" s="11">
        <v>-122</v>
      </c>
      <c r="C40" s="11">
        <v>195</v>
      </c>
      <c r="D40" s="11">
        <v>48</v>
      </c>
      <c r="E40" s="11">
        <v>291</v>
      </c>
      <c r="F40" s="11">
        <v>241</v>
      </c>
      <c r="G40" s="12">
        <v>200</v>
      </c>
      <c r="H40" s="12">
        <v>200</v>
      </c>
      <c r="I40" s="12">
        <v>200</v>
      </c>
      <c r="J40" s="12">
        <v>200</v>
      </c>
      <c r="K40" s="12">
        <v>200</v>
      </c>
    </row>
    <row r="42" spans="1:11" ht="15" customHeight="1" x14ac:dyDescent="0.3">
      <c r="A42" s="14" t="s">
        <v>46</v>
      </c>
      <c r="B42" s="20">
        <f t="shared" ref="B42:K42" si="8">B34+B37+B38+B39</f>
        <v>3068</v>
      </c>
      <c r="C42" s="20">
        <f t="shared" si="8"/>
        <v>7159</v>
      </c>
      <c r="D42" s="20">
        <f t="shared" si="8"/>
        <v>12421</v>
      </c>
      <c r="E42" s="20">
        <f t="shared" si="8"/>
        <v>12692</v>
      </c>
      <c r="F42" s="20">
        <f t="shared" si="8"/>
        <v>7836</v>
      </c>
      <c r="G42" s="20">
        <f t="shared" si="8"/>
        <v>-3701.4354600000042</v>
      </c>
      <c r="H42" s="20">
        <f t="shared" si="8"/>
        <v>-3410.2129122000224</v>
      </c>
      <c r="I42" s="20">
        <f t="shared" si="8"/>
        <v>-2360.4260074240156</v>
      </c>
      <c r="J42" s="20">
        <f t="shared" si="8"/>
        <v>-1582.1875409301501</v>
      </c>
      <c r="K42" s="20">
        <f t="shared" si="8"/>
        <v>-206.4584896673623</v>
      </c>
    </row>
    <row r="44" spans="1:11" ht="15" customHeight="1" x14ac:dyDescent="0.3">
      <c r="A44" t="s">
        <v>47</v>
      </c>
      <c r="B44" s="11">
        <v>-292</v>
      </c>
      <c r="C44" s="11">
        <v>699</v>
      </c>
      <c r="D44" s="11">
        <v>1132</v>
      </c>
      <c r="E44" s="11">
        <v>-2495</v>
      </c>
      <c r="F44" s="11">
        <v>1927</v>
      </c>
      <c r="G44" s="19">
        <f>G42*Assumptions!G$25</f>
        <v>0</v>
      </c>
      <c r="H44" s="19">
        <f>H42*Assumptions!H$25</f>
        <v>0</v>
      </c>
      <c r="I44" s="19">
        <f>I42*Assumptions!I$25</f>
        <v>0</v>
      </c>
      <c r="J44" s="19">
        <f>J42*Assumptions!J$25</f>
        <v>0</v>
      </c>
      <c r="K44" s="19">
        <f>K42*Assumptions!K$25</f>
        <v>0</v>
      </c>
    </row>
    <row r="46" spans="1:11" ht="15" customHeight="1" x14ac:dyDescent="0.3">
      <c r="A46" s="21" t="s">
        <v>48</v>
      </c>
      <c r="B46" s="22">
        <f t="shared" ref="B46:K46" si="9">B42-B44</f>
        <v>3360</v>
      </c>
      <c r="C46" s="22">
        <f t="shared" si="9"/>
        <v>6460</v>
      </c>
      <c r="D46" s="22">
        <f t="shared" si="9"/>
        <v>11289</v>
      </c>
      <c r="E46" s="22">
        <f t="shared" si="9"/>
        <v>15187</v>
      </c>
      <c r="F46" s="22">
        <f t="shared" si="9"/>
        <v>5909</v>
      </c>
      <c r="G46" s="22">
        <f t="shared" si="9"/>
        <v>-3701.4354600000042</v>
      </c>
      <c r="H46" s="22">
        <f t="shared" si="9"/>
        <v>-3410.2129122000224</v>
      </c>
      <c r="I46" s="22">
        <f t="shared" si="9"/>
        <v>-2360.4260074240156</v>
      </c>
      <c r="J46" s="22">
        <f t="shared" si="9"/>
        <v>-1582.1875409301501</v>
      </c>
      <c r="K46" s="22">
        <f t="shared" si="9"/>
        <v>-206.4584896673623</v>
      </c>
    </row>
    <row r="47" spans="1:11" ht="15" customHeight="1" x14ac:dyDescent="0.3">
      <c r="A47" s="3" t="s">
        <v>49</v>
      </c>
      <c r="B47" s="18">
        <f t="shared" ref="B47:K47" si="10">B46/B17</f>
        <v>9.9050763516302098E-2</v>
      </c>
      <c r="C47" s="18">
        <f t="shared" si="10"/>
        <v>0.1200230384779741</v>
      </c>
      <c r="D47" s="18">
        <f t="shared" si="10"/>
        <v>0.13857995138837739</v>
      </c>
      <c r="E47" s="18">
        <f t="shared" si="10"/>
        <v>0.15636872831358176</v>
      </c>
      <c r="F47" s="18">
        <f t="shared" si="10"/>
        <v>5.9271370393403813E-2</v>
      </c>
      <c r="G47" s="18">
        <f t="shared" si="10"/>
        <v>-2.8935872719652856E-2</v>
      </c>
      <c r="H47" s="18">
        <f t="shared" si="10"/>
        <v>-1.9954913804868003E-2</v>
      </c>
      <c r="I47" s="18">
        <f t="shared" si="10"/>
        <v>-1.0567836978502986E-2</v>
      </c>
      <c r="J47" s="18">
        <f t="shared" si="10"/>
        <v>-5.5716924224358706E-3</v>
      </c>
      <c r="K47" s="18">
        <f t="shared" si="10"/>
        <v>-5.9048332426823134E-4</v>
      </c>
    </row>
    <row r="49" spans="1:11" ht="15" customHeight="1" x14ac:dyDescent="0.3">
      <c r="A49" t="s">
        <v>50</v>
      </c>
      <c r="B49" s="23">
        <f>Assumptions!B$26</f>
        <v>0</v>
      </c>
      <c r="C49" s="23">
        <f>Assumptions!C$26</f>
        <v>0</v>
      </c>
      <c r="D49" s="23">
        <f>Assumptions!D$26</f>
        <v>0</v>
      </c>
      <c r="E49" s="23">
        <f>Assumptions!E$26</f>
        <v>0</v>
      </c>
      <c r="F49" s="23">
        <f>Assumptions!F$26</f>
        <v>0</v>
      </c>
      <c r="G49" s="23">
        <f>Assumptions!G$26</f>
        <v>0</v>
      </c>
      <c r="H49" s="23">
        <f>Assumptions!H$26</f>
        <v>0</v>
      </c>
      <c r="I49" s="23">
        <f>Assumptions!I$26</f>
        <v>0</v>
      </c>
      <c r="J49" s="23">
        <f>Assumptions!J$26</f>
        <v>0</v>
      </c>
      <c r="K49" s="23">
        <f>Assumptions!K$26</f>
        <v>0</v>
      </c>
    </row>
    <row r="50" spans="1:11" ht="15" customHeight="1" x14ac:dyDescent="0.3">
      <c r="A50" t="s">
        <v>51</v>
      </c>
      <c r="B50" s="24">
        <f t="shared" ref="B50:K50" si="11">IFERROR(B46/B49, 0)</f>
        <v>0</v>
      </c>
      <c r="C50" s="24">
        <f t="shared" si="11"/>
        <v>0</v>
      </c>
      <c r="D50" s="24">
        <f t="shared" si="11"/>
        <v>0</v>
      </c>
      <c r="E50" s="24">
        <f t="shared" si="11"/>
        <v>0</v>
      </c>
      <c r="F50" s="24">
        <f t="shared" si="11"/>
        <v>0</v>
      </c>
      <c r="G50" s="24">
        <f t="shared" si="11"/>
        <v>0</v>
      </c>
      <c r="H50" s="24">
        <f t="shared" si="11"/>
        <v>0</v>
      </c>
      <c r="I50" s="24">
        <f t="shared" si="11"/>
        <v>0</v>
      </c>
      <c r="J50" s="24">
        <f t="shared" si="11"/>
        <v>0</v>
      </c>
      <c r="K50" s="24">
        <f t="shared" si="11"/>
        <v>0</v>
      </c>
    </row>
  </sheetData>
  <mergeCells count="1">
    <mergeCell ref="A1:L1"/>
  </mergeCells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showGridLines="0" zoomScale="85" zoomScaleNormal="85" workbookViewId="0">
      <selection sqref="A1:L1"/>
    </sheetView>
  </sheetViews>
  <sheetFormatPr defaultColWidth="8.6640625" defaultRowHeight="14.4" x14ac:dyDescent="0.3"/>
  <cols>
    <col min="1" max="1" width="40" customWidth="1"/>
    <col min="2" max="11" width="12" customWidth="1"/>
  </cols>
  <sheetData>
    <row r="1" spans="1:12" ht="17.25" customHeight="1" x14ac:dyDescent="0.3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 x14ac:dyDescent="0.3">
      <c r="A2" s="3" t="s">
        <v>53</v>
      </c>
    </row>
    <row r="4" spans="1:12" ht="15" customHeight="1" x14ac:dyDescent="0.3">
      <c r="A4" s="10" t="s">
        <v>54</v>
      </c>
      <c r="B4" s="4">
        <v>2020</v>
      </c>
      <c r="C4" s="4">
        <v>2021</v>
      </c>
      <c r="D4" s="4">
        <v>2022</v>
      </c>
      <c r="E4" s="4">
        <v>2023</v>
      </c>
      <c r="F4" s="4">
        <v>2024</v>
      </c>
      <c r="G4" s="4">
        <v>2025</v>
      </c>
      <c r="H4" s="4">
        <v>2026</v>
      </c>
      <c r="I4" s="4">
        <v>2027</v>
      </c>
      <c r="J4" s="4">
        <v>2028</v>
      </c>
      <c r="K4" s="4">
        <v>2029</v>
      </c>
    </row>
    <row r="5" spans="1:12" ht="15" customHeight="1" x14ac:dyDescent="0.3">
      <c r="A5" s="21" t="s">
        <v>55</v>
      </c>
    </row>
    <row r="6" spans="1:12" ht="15" customHeight="1" x14ac:dyDescent="0.3">
      <c r="A6" s="5" t="s">
        <v>56</v>
      </c>
    </row>
    <row r="7" spans="1:12" ht="15" customHeight="1" x14ac:dyDescent="0.3">
      <c r="A7" t="s">
        <v>57</v>
      </c>
      <c r="B7" s="11">
        <v>19384</v>
      </c>
      <c r="C7" s="11">
        <v>17576</v>
      </c>
      <c r="D7" s="11">
        <v>16253</v>
      </c>
      <c r="E7" s="11">
        <v>29129</v>
      </c>
      <c r="F7" s="11">
        <v>36562</v>
      </c>
      <c r="G7" s="19">
        <f>'Cash Flow Statement'!G35</f>
        <v>0</v>
      </c>
      <c r="H7" s="19">
        <f>'Cash Flow Statement'!H35</f>
        <v>0</v>
      </c>
      <c r="I7" s="19">
        <f>'Cash Flow Statement'!I35</f>
        <v>0</v>
      </c>
      <c r="J7" s="19">
        <f>'Cash Flow Statement'!J35</f>
        <v>0</v>
      </c>
      <c r="K7" s="19">
        <f>'Cash Flow Statement'!K35</f>
        <v>0</v>
      </c>
    </row>
    <row r="8" spans="1:12" ht="15" customHeight="1" x14ac:dyDescent="0.3">
      <c r="A8" t="s">
        <v>58</v>
      </c>
      <c r="B8" s="11">
        <v>1886</v>
      </c>
      <c r="C8" s="11">
        <v>1913</v>
      </c>
      <c r="D8" s="11">
        <v>2952</v>
      </c>
      <c r="E8" s="11">
        <v>3508</v>
      </c>
      <c r="F8" s="11">
        <v>4317</v>
      </c>
      <c r="G8" s="19">
        <f>'Income Statement'!G$15*Assumptions!G$18/365</f>
        <v>0</v>
      </c>
      <c r="H8" s="19">
        <f>'Income Statement'!H$15*Assumptions!H$18/365</f>
        <v>0</v>
      </c>
      <c r="I8" s="19">
        <f>'Income Statement'!I$15*Assumptions!I$18/365</f>
        <v>0</v>
      </c>
      <c r="J8" s="19">
        <f>'Income Statement'!J$15*Assumptions!J$18/365</f>
        <v>0</v>
      </c>
      <c r="K8" s="19">
        <f>'Income Statement'!K$15*Assumptions!K$18/365</f>
        <v>0</v>
      </c>
    </row>
    <row r="9" spans="1:12" ht="15" customHeight="1" x14ac:dyDescent="0.3">
      <c r="A9" t="s">
        <v>59</v>
      </c>
      <c r="B9" s="11">
        <v>4101</v>
      </c>
      <c r="C9" s="11">
        <v>5757</v>
      </c>
      <c r="D9" s="11">
        <v>9843</v>
      </c>
      <c r="E9" s="11">
        <v>13626</v>
      </c>
      <c r="F9" s="11">
        <v>14547</v>
      </c>
      <c r="G9" s="19">
        <f>'Income Statement'!G$21*Assumptions!G$19/365</f>
        <v>0</v>
      </c>
      <c r="H9" s="19">
        <f>'Income Statement'!H$21*Assumptions!H$19/365</f>
        <v>0</v>
      </c>
      <c r="I9" s="19">
        <f>'Income Statement'!I$21*Assumptions!I$19/365</f>
        <v>0</v>
      </c>
      <c r="J9" s="19">
        <f>'Income Statement'!J$21*Assumptions!J$19/365</f>
        <v>0</v>
      </c>
      <c r="K9" s="19">
        <f>'Income Statement'!K$21*Assumptions!K$19/365</f>
        <v>0</v>
      </c>
    </row>
    <row r="10" spans="1:12" ht="15" customHeight="1" x14ac:dyDescent="0.3">
      <c r="A10" t="s">
        <v>60</v>
      </c>
      <c r="B10" s="11">
        <v>2847</v>
      </c>
      <c r="C10" s="11">
        <v>4080</v>
      </c>
      <c r="D10" s="11">
        <v>5965</v>
      </c>
      <c r="E10" s="11">
        <v>7237</v>
      </c>
      <c r="F10" s="11">
        <v>8118</v>
      </c>
      <c r="G10" s="12">
        <f>F10*1.08</f>
        <v>8767.44</v>
      </c>
      <c r="H10" s="12">
        <f>G10*1.08</f>
        <v>9468.8352000000014</v>
      </c>
      <c r="I10" s="12">
        <f>H10*1.08</f>
        <v>10226.342016000002</v>
      </c>
      <c r="J10" s="12">
        <f>I10*1.08</f>
        <v>11044.449377280003</v>
      </c>
      <c r="K10" s="12">
        <f>J10*1.08</f>
        <v>11928.005327462404</v>
      </c>
    </row>
    <row r="11" spans="1:12" ht="15" customHeight="1" x14ac:dyDescent="0.3">
      <c r="A11" s="10" t="s">
        <v>61</v>
      </c>
      <c r="B11" s="16">
        <f t="shared" ref="B11:K11" si="0">SUM(B7:B10)</f>
        <v>28218</v>
      </c>
      <c r="C11" s="16">
        <f t="shared" si="0"/>
        <v>29326</v>
      </c>
      <c r="D11" s="16">
        <f t="shared" si="0"/>
        <v>35013</v>
      </c>
      <c r="E11" s="16">
        <f t="shared" si="0"/>
        <v>53500</v>
      </c>
      <c r="F11" s="16">
        <f t="shared" si="0"/>
        <v>63544</v>
      </c>
      <c r="G11" s="16">
        <f t="shared" si="0"/>
        <v>8767.44</v>
      </c>
      <c r="H11" s="16">
        <f t="shared" si="0"/>
        <v>9468.8352000000014</v>
      </c>
      <c r="I11" s="16">
        <f t="shared" si="0"/>
        <v>10226.342016000002</v>
      </c>
      <c r="J11" s="16">
        <f t="shared" si="0"/>
        <v>11044.449377280003</v>
      </c>
      <c r="K11" s="16">
        <f t="shared" si="0"/>
        <v>11928.005327462404</v>
      </c>
    </row>
    <row r="13" spans="1:12" ht="15" customHeight="1" x14ac:dyDescent="0.3">
      <c r="A13" s="5" t="s">
        <v>62</v>
      </c>
    </row>
    <row r="14" spans="1:12" ht="15" customHeight="1" x14ac:dyDescent="0.3">
      <c r="A14" t="s">
        <v>63</v>
      </c>
      <c r="B14" s="11">
        <v>23375</v>
      </c>
      <c r="C14" s="11">
        <v>31176</v>
      </c>
      <c r="D14" s="11">
        <v>38950</v>
      </c>
      <c r="E14" s="11">
        <v>43705</v>
      </c>
      <c r="F14" s="11">
        <v>48360</v>
      </c>
      <c r="G14" s="19">
        <f>F14+'Cash Flow Statement'!G$12-'Cash Flow Statement'!G$13</f>
        <v>62907</v>
      </c>
      <c r="H14" s="19">
        <f>G14+'Cash Flow Statement'!H$12-'Cash Flow Statement'!H$13</f>
        <v>62907</v>
      </c>
      <c r="I14" s="19">
        <f>H14+'Cash Flow Statement'!I$12-'Cash Flow Statement'!I$13</f>
        <v>62907</v>
      </c>
      <c r="J14" s="19">
        <f>I14+'Cash Flow Statement'!J$12-'Cash Flow Statement'!J$13</f>
        <v>62907</v>
      </c>
      <c r="K14" s="19">
        <f>J14+'Cash Flow Statement'!K$12-'Cash Flow Statement'!K$13</f>
        <v>62907</v>
      </c>
    </row>
    <row r="15" spans="1:12" ht="15" customHeight="1" x14ac:dyDescent="0.3">
      <c r="A15" t="s">
        <v>64</v>
      </c>
      <c r="B15" s="11">
        <v>555</v>
      </c>
      <c r="C15" s="11">
        <v>659</v>
      </c>
      <c r="D15" s="11">
        <v>1375</v>
      </c>
      <c r="E15" s="11">
        <v>8453</v>
      </c>
      <c r="F15" s="11">
        <v>10166</v>
      </c>
      <c r="G15" s="12">
        <f>F15*1.1</f>
        <v>11182.6</v>
      </c>
      <c r="H15" s="12">
        <f>G15*1.1</f>
        <v>12300.86</v>
      </c>
      <c r="I15" s="12">
        <f>H15*1.1</f>
        <v>13530.946000000002</v>
      </c>
      <c r="J15" s="12">
        <f>I15*1.1</f>
        <v>14884.040600000004</v>
      </c>
      <c r="K15" s="12">
        <f>J15*1.1</f>
        <v>16372.444660000006</v>
      </c>
    </row>
    <row r="16" spans="1:12" ht="15" customHeight="1" x14ac:dyDescent="0.3">
      <c r="A16" s="10" t="s">
        <v>65</v>
      </c>
      <c r="B16" s="16">
        <f t="shared" ref="B16:K16" si="1">SUM(B14:B15)</f>
        <v>23930</v>
      </c>
      <c r="C16" s="16">
        <f t="shared" si="1"/>
        <v>31835</v>
      </c>
      <c r="D16" s="16">
        <f t="shared" si="1"/>
        <v>40325</v>
      </c>
      <c r="E16" s="16">
        <f t="shared" si="1"/>
        <v>52158</v>
      </c>
      <c r="F16" s="16">
        <f t="shared" si="1"/>
        <v>58526</v>
      </c>
      <c r="G16" s="16">
        <f t="shared" si="1"/>
        <v>74089.600000000006</v>
      </c>
      <c r="H16" s="16">
        <f t="shared" si="1"/>
        <v>75207.86</v>
      </c>
      <c r="I16" s="16">
        <f t="shared" si="1"/>
        <v>76437.945999999996</v>
      </c>
      <c r="J16" s="16">
        <f t="shared" si="1"/>
        <v>77791.040600000008</v>
      </c>
      <c r="K16" s="16">
        <f t="shared" si="1"/>
        <v>79279.444660000008</v>
      </c>
    </row>
    <row r="18" spans="1:11" ht="15" customHeight="1" x14ac:dyDescent="0.3">
      <c r="A18" s="21" t="s">
        <v>66</v>
      </c>
      <c r="B18" s="22">
        <f t="shared" ref="B18:K18" si="2">B11+B16</f>
        <v>52148</v>
      </c>
      <c r="C18" s="22">
        <f t="shared" si="2"/>
        <v>61161</v>
      </c>
      <c r="D18" s="22">
        <f t="shared" si="2"/>
        <v>75338</v>
      </c>
      <c r="E18" s="22">
        <f t="shared" si="2"/>
        <v>105658</v>
      </c>
      <c r="F18" s="22">
        <f t="shared" si="2"/>
        <v>122070</v>
      </c>
      <c r="G18" s="22">
        <f t="shared" si="2"/>
        <v>82857.040000000008</v>
      </c>
      <c r="H18" s="22">
        <f t="shared" si="2"/>
        <v>84676.695200000002</v>
      </c>
      <c r="I18" s="22">
        <f t="shared" si="2"/>
        <v>86664.288016000006</v>
      </c>
      <c r="J18" s="22">
        <f t="shared" si="2"/>
        <v>88835.489977280013</v>
      </c>
      <c r="K18" s="22">
        <f t="shared" si="2"/>
        <v>91207.449987462416</v>
      </c>
    </row>
    <row r="21" spans="1:11" ht="15" customHeight="1" x14ac:dyDescent="0.3">
      <c r="A21" s="21" t="s">
        <v>67</v>
      </c>
    </row>
    <row r="22" spans="1:11" ht="15" customHeight="1" x14ac:dyDescent="0.3">
      <c r="A22" s="5" t="s">
        <v>68</v>
      </c>
    </row>
    <row r="23" spans="1:11" ht="15" customHeight="1" x14ac:dyDescent="0.3">
      <c r="A23" t="s">
        <v>69</v>
      </c>
      <c r="B23" s="11">
        <v>6051</v>
      </c>
      <c r="C23" s="11">
        <v>10025</v>
      </c>
      <c r="D23" s="11">
        <v>15255</v>
      </c>
      <c r="E23" s="11">
        <v>17671</v>
      </c>
      <c r="F23" s="11">
        <v>18973</v>
      </c>
      <c r="G23" s="19">
        <f>'Income Statement'!G$21*Assumptions!G$20/365</f>
        <v>4.1890684931506845</v>
      </c>
      <c r="H23" s="19">
        <f>'Income Statement'!H$21*Assumptions!H$20/365</f>
        <v>4.1890684931506845</v>
      </c>
      <c r="I23" s="19">
        <f>'Income Statement'!I$21*Assumptions!I$20/365</f>
        <v>4.1890684931506845</v>
      </c>
      <c r="J23" s="19">
        <f>'Income Statement'!J$21*Assumptions!J$20/365</f>
        <v>4.1890684931506845</v>
      </c>
      <c r="K23" s="19">
        <f>'Income Statement'!K$21*Assumptions!K$20/365</f>
        <v>4.1890684931506845</v>
      </c>
    </row>
    <row r="24" spans="1:11" ht="15" customHeight="1" x14ac:dyDescent="0.3">
      <c r="A24" t="s">
        <v>70</v>
      </c>
      <c r="B24" s="11">
        <v>3855</v>
      </c>
      <c r="C24" s="11">
        <v>5719</v>
      </c>
      <c r="D24" s="11">
        <v>8395</v>
      </c>
      <c r="E24" s="11">
        <v>10376</v>
      </c>
      <c r="F24" s="11">
        <v>11629</v>
      </c>
      <c r="G24" s="12">
        <f>F24*1.1</f>
        <v>12791.900000000001</v>
      </c>
      <c r="H24" s="12">
        <f>G24*1.1</f>
        <v>14071.090000000002</v>
      </c>
      <c r="I24" s="12">
        <f>H24*1.1</f>
        <v>15478.199000000004</v>
      </c>
      <c r="J24" s="12">
        <f>I24*1.1</f>
        <v>17026.018900000006</v>
      </c>
      <c r="K24" s="12">
        <f>J24*1.1</f>
        <v>18728.620790000008</v>
      </c>
    </row>
    <row r="25" spans="1:11" ht="15" customHeight="1" x14ac:dyDescent="0.3">
      <c r="A25" t="s">
        <v>71</v>
      </c>
      <c r="B25" s="11">
        <v>1701</v>
      </c>
      <c r="C25" s="11">
        <v>2189</v>
      </c>
      <c r="D25" s="11">
        <v>3462</v>
      </c>
      <c r="E25" s="11">
        <v>3693</v>
      </c>
      <c r="F25" s="11">
        <v>3627</v>
      </c>
      <c r="G25" s="19">
        <f>'Income Statement'!G$15*0.035</f>
        <v>373.71950000000004</v>
      </c>
      <c r="H25" s="19">
        <f>'Income Statement'!H$15*0.035</f>
        <v>411.09145000000007</v>
      </c>
      <c r="I25" s="19">
        <f>'Income Statement'!I$15*0.035</f>
        <v>452.20059500000008</v>
      </c>
      <c r="J25" s="19">
        <f>'Income Statement'!J$15*0.035</f>
        <v>497.42065450000013</v>
      </c>
      <c r="K25" s="19">
        <f>'Income Statement'!K$15*0.035</f>
        <v>547.16271995000011</v>
      </c>
    </row>
    <row r="26" spans="1:11" ht="15" customHeight="1" x14ac:dyDescent="0.3">
      <c r="A26" t="s">
        <v>72</v>
      </c>
      <c r="B26" s="11">
        <v>2169</v>
      </c>
      <c r="C26" s="11">
        <v>1589</v>
      </c>
      <c r="D26" s="11">
        <v>110</v>
      </c>
      <c r="E26" s="11">
        <v>113</v>
      </c>
      <c r="F26" s="11">
        <v>234</v>
      </c>
      <c r="G26" s="12">
        <v>150</v>
      </c>
      <c r="H26" s="12">
        <v>150</v>
      </c>
      <c r="I26" s="12">
        <v>150</v>
      </c>
      <c r="J26" s="12">
        <v>150</v>
      </c>
      <c r="K26" s="12">
        <v>150</v>
      </c>
    </row>
    <row r="27" spans="1:11" ht="15" customHeight="1" x14ac:dyDescent="0.3">
      <c r="A27" s="10" t="s">
        <v>73</v>
      </c>
      <c r="B27" s="16">
        <f t="shared" ref="B27:K27" si="3">SUM(B23:B26)</f>
        <v>13776</v>
      </c>
      <c r="C27" s="16">
        <f t="shared" si="3"/>
        <v>19522</v>
      </c>
      <c r="D27" s="16">
        <f t="shared" si="3"/>
        <v>27222</v>
      </c>
      <c r="E27" s="16">
        <f t="shared" si="3"/>
        <v>31853</v>
      </c>
      <c r="F27" s="16">
        <f t="shared" si="3"/>
        <v>34463</v>
      </c>
      <c r="G27" s="16">
        <f t="shared" si="3"/>
        <v>13319.808568493152</v>
      </c>
      <c r="H27" s="16">
        <f t="shared" si="3"/>
        <v>14636.370518493153</v>
      </c>
      <c r="I27" s="16">
        <f t="shared" si="3"/>
        <v>16084.588663493156</v>
      </c>
      <c r="J27" s="16">
        <f t="shared" si="3"/>
        <v>17677.628622993157</v>
      </c>
      <c r="K27" s="16">
        <f t="shared" si="3"/>
        <v>19429.972578443158</v>
      </c>
    </row>
    <row r="29" spans="1:11" ht="15" customHeight="1" x14ac:dyDescent="0.3">
      <c r="A29" s="5" t="s">
        <v>74</v>
      </c>
    </row>
    <row r="30" spans="1:11" ht="15" customHeight="1" x14ac:dyDescent="0.3">
      <c r="A30" t="s">
        <v>75</v>
      </c>
      <c r="B30" s="11">
        <v>9465</v>
      </c>
      <c r="C30" s="11">
        <v>5327</v>
      </c>
      <c r="D30" s="11">
        <v>2811</v>
      </c>
      <c r="E30" s="11">
        <v>2745</v>
      </c>
      <c r="F30" s="11">
        <v>2747</v>
      </c>
      <c r="G30" s="12">
        <f>F30</f>
        <v>2747</v>
      </c>
      <c r="H30" s="12">
        <f>G30</f>
        <v>2747</v>
      </c>
      <c r="I30" s="12">
        <f>H30</f>
        <v>2747</v>
      </c>
      <c r="J30" s="12">
        <f>I30</f>
        <v>2747</v>
      </c>
      <c r="K30" s="12">
        <f>J30</f>
        <v>2747</v>
      </c>
    </row>
    <row r="31" spans="1:11" ht="15" customHeight="1" x14ac:dyDescent="0.3">
      <c r="A31" t="s">
        <v>76</v>
      </c>
      <c r="B31" s="11">
        <v>5177</v>
      </c>
      <c r="C31" s="11">
        <v>5699</v>
      </c>
      <c r="D31" s="11">
        <v>6407</v>
      </c>
      <c r="E31" s="11">
        <v>8411</v>
      </c>
      <c r="F31" s="11">
        <v>11180</v>
      </c>
      <c r="G31" s="12">
        <f>F31*1.08</f>
        <v>12074.400000000001</v>
      </c>
      <c r="H31" s="12">
        <f>G31*1.08</f>
        <v>13040.352000000003</v>
      </c>
      <c r="I31" s="12">
        <f>H31*1.08</f>
        <v>14083.580160000003</v>
      </c>
      <c r="J31" s="12">
        <f>I31*1.08</f>
        <v>15210.266572800005</v>
      </c>
      <c r="K31" s="12">
        <f>J31*1.08</f>
        <v>16427.087898624006</v>
      </c>
    </row>
    <row r="32" spans="1:11" ht="15" customHeight="1" x14ac:dyDescent="0.3">
      <c r="A32" s="10" t="s">
        <v>77</v>
      </c>
      <c r="B32" s="16">
        <f t="shared" ref="B32:K32" si="4">SUM(B30:B31)</f>
        <v>14642</v>
      </c>
      <c r="C32" s="16">
        <f t="shared" si="4"/>
        <v>11026</v>
      </c>
      <c r="D32" s="16">
        <f t="shared" si="4"/>
        <v>9218</v>
      </c>
      <c r="E32" s="16">
        <f t="shared" si="4"/>
        <v>11156</v>
      </c>
      <c r="F32" s="16">
        <f t="shared" si="4"/>
        <v>13927</v>
      </c>
      <c r="G32" s="16">
        <f t="shared" si="4"/>
        <v>14821.400000000001</v>
      </c>
      <c r="H32" s="16">
        <f t="shared" si="4"/>
        <v>15787.352000000003</v>
      </c>
      <c r="I32" s="16">
        <f t="shared" si="4"/>
        <v>16830.580160000005</v>
      </c>
      <c r="J32" s="16">
        <f t="shared" si="4"/>
        <v>17957.266572800007</v>
      </c>
      <c r="K32" s="16">
        <f t="shared" si="4"/>
        <v>19174.087898624006</v>
      </c>
    </row>
    <row r="34" spans="1:11" ht="15" customHeight="1" x14ac:dyDescent="0.3">
      <c r="A34" s="14" t="s">
        <v>78</v>
      </c>
      <c r="B34" s="20">
        <f t="shared" ref="B34:K34" si="5">B27+B32</f>
        <v>28418</v>
      </c>
      <c r="C34" s="20">
        <f t="shared" si="5"/>
        <v>30548</v>
      </c>
      <c r="D34" s="20">
        <f t="shared" si="5"/>
        <v>36440</v>
      </c>
      <c r="E34" s="20">
        <f t="shared" si="5"/>
        <v>43009</v>
      </c>
      <c r="F34" s="20">
        <f t="shared" si="5"/>
        <v>48390</v>
      </c>
      <c r="G34" s="20">
        <f t="shared" si="5"/>
        <v>28141.208568493152</v>
      </c>
      <c r="H34" s="20">
        <f t="shared" si="5"/>
        <v>30423.722518493156</v>
      </c>
      <c r="I34" s="20">
        <f t="shared" si="5"/>
        <v>32915.168823493164</v>
      </c>
      <c r="J34" s="20">
        <f t="shared" si="5"/>
        <v>35634.895195793164</v>
      </c>
      <c r="K34" s="20">
        <f t="shared" si="5"/>
        <v>38604.060477067163</v>
      </c>
    </row>
    <row r="36" spans="1:11" ht="15" customHeight="1" x14ac:dyDescent="0.3">
      <c r="A36" s="5" t="s">
        <v>79</v>
      </c>
    </row>
    <row r="37" spans="1:11" ht="15" customHeight="1" x14ac:dyDescent="0.3">
      <c r="A37" t="s">
        <v>80</v>
      </c>
      <c r="B37" s="11">
        <v>33</v>
      </c>
      <c r="C37" s="11">
        <v>39</v>
      </c>
      <c r="D37" s="11">
        <v>57</v>
      </c>
      <c r="E37" s="11">
        <v>70</v>
      </c>
      <c r="F37" s="11">
        <v>77</v>
      </c>
      <c r="G37" s="12">
        <f>F37+50</f>
        <v>127</v>
      </c>
      <c r="H37" s="12">
        <f>G37+50</f>
        <v>177</v>
      </c>
      <c r="I37" s="12">
        <f>H37+50</f>
        <v>227</v>
      </c>
      <c r="J37" s="12">
        <f>I37+50</f>
        <v>277</v>
      </c>
      <c r="K37" s="12">
        <f>J37+50</f>
        <v>327</v>
      </c>
    </row>
    <row r="38" spans="1:11" ht="15" customHeight="1" x14ac:dyDescent="0.3">
      <c r="A38" t="s">
        <v>81</v>
      </c>
      <c r="B38" s="11">
        <v>23697</v>
      </c>
      <c r="C38" s="11">
        <v>31544</v>
      </c>
      <c r="D38" s="11">
        <v>45841</v>
      </c>
      <c r="E38" s="11">
        <v>63539</v>
      </c>
      <c r="F38" s="11">
        <v>73603</v>
      </c>
      <c r="G38" s="19">
        <f>F38+'Income Statement'!G$52</f>
        <v>73603</v>
      </c>
      <c r="H38" s="19">
        <f>G38+'Income Statement'!H$52</f>
        <v>73603</v>
      </c>
      <c r="I38" s="19">
        <f>H38+'Income Statement'!I$52</f>
        <v>73603</v>
      </c>
      <c r="J38" s="19">
        <f>I38+'Income Statement'!J$52</f>
        <v>73603</v>
      </c>
      <c r="K38" s="19">
        <f>J38+'Income Statement'!K$52</f>
        <v>73603</v>
      </c>
    </row>
    <row r="39" spans="1:11" ht="15" customHeight="1" x14ac:dyDescent="0.3">
      <c r="A39" s="14" t="s">
        <v>82</v>
      </c>
      <c r="B39" s="25">
        <f t="shared" ref="B39:K39" si="6">B37+B38</f>
        <v>23730</v>
      </c>
      <c r="C39" s="25">
        <f t="shared" si="6"/>
        <v>31583</v>
      </c>
      <c r="D39" s="25">
        <f t="shared" si="6"/>
        <v>45898</v>
      </c>
      <c r="E39" s="25">
        <f t="shared" si="6"/>
        <v>63609</v>
      </c>
      <c r="F39" s="25">
        <f t="shared" si="6"/>
        <v>73680</v>
      </c>
      <c r="G39" s="25">
        <f t="shared" si="6"/>
        <v>73730</v>
      </c>
      <c r="H39" s="25">
        <f t="shared" si="6"/>
        <v>73780</v>
      </c>
      <c r="I39" s="25">
        <f t="shared" si="6"/>
        <v>73830</v>
      </c>
      <c r="J39" s="25">
        <f t="shared" si="6"/>
        <v>73880</v>
      </c>
      <c r="K39" s="25">
        <f t="shared" si="6"/>
        <v>73930</v>
      </c>
    </row>
    <row r="41" spans="1:11" ht="15" customHeight="1" x14ac:dyDescent="0.3">
      <c r="A41" s="21" t="s">
        <v>83</v>
      </c>
      <c r="B41" s="22">
        <f t="shared" ref="B41:K41" si="7">B34+B39</f>
        <v>52148</v>
      </c>
      <c r="C41" s="22">
        <f t="shared" si="7"/>
        <v>62131</v>
      </c>
      <c r="D41" s="22">
        <f t="shared" si="7"/>
        <v>82338</v>
      </c>
      <c r="E41" s="22">
        <f t="shared" si="7"/>
        <v>106618</v>
      </c>
      <c r="F41" s="22">
        <f t="shared" si="7"/>
        <v>122070</v>
      </c>
      <c r="G41" s="22">
        <f t="shared" si="7"/>
        <v>101871.20856849315</v>
      </c>
      <c r="H41" s="22">
        <f t="shared" si="7"/>
        <v>104203.72251849316</v>
      </c>
      <c r="I41" s="22">
        <f t="shared" si="7"/>
        <v>106745.16882349316</v>
      </c>
      <c r="J41" s="22">
        <f t="shared" si="7"/>
        <v>109514.89519579316</v>
      </c>
      <c r="K41" s="22">
        <f t="shared" si="7"/>
        <v>112534.06047706716</v>
      </c>
    </row>
    <row r="43" spans="1:11" ht="15" customHeight="1" x14ac:dyDescent="0.3">
      <c r="A43" s="26" t="s">
        <v>84</v>
      </c>
      <c r="B43" s="27">
        <f t="shared" ref="B43:K43" si="8">B18-B41</f>
        <v>0</v>
      </c>
      <c r="C43" s="27">
        <f t="shared" si="8"/>
        <v>-970</v>
      </c>
      <c r="D43" s="27">
        <f t="shared" si="8"/>
        <v>-7000</v>
      </c>
      <c r="E43" s="27">
        <f t="shared" si="8"/>
        <v>-960</v>
      </c>
      <c r="F43" s="27">
        <f t="shared" si="8"/>
        <v>0</v>
      </c>
      <c r="G43" s="27">
        <f t="shared" si="8"/>
        <v>-19014.168568493144</v>
      </c>
      <c r="H43" s="27">
        <f t="shared" si="8"/>
        <v>-19527.027318493158</v>
      </c>
      <c r="I43" s="27">
        <f t="shared" si="8"/>
        <v>-20080.880807493158</v>
      </c>
      <c r="J43" s="27">
        <f t="shared" si="8"/>
        <v>-20679.405218513144</v>
      </c>
      <c r="K43" s="27">
        <f t="shared" si="8"/>
        <v>-21326.610489604747</v>
      </c>
    </row>
  </sheetData>
  <mergeCells count="1">
    <mergeCell ref="A1:L1"/>
  </mergeCells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showGridLines="0" zoomScale="85" zoomScaleNormal="85" workbookViewId="0">
      <selection activeCell="G6" sqref="G6"/>
    </sheetView>
  </sheetViews>
  <sheetFormatPr defaultColWidth="8.6640625" defaultRowHeight="14.4" x14ac:dyDescent="0.3"/>
  <cols>
    <col min="1" max="1" width="45" customWidth="1"/>
    <col min="2" max="11" width="12" customWidth="1"/>
  </cols>
  <sheetData>
    <row r="1" spans="1:12" ht="17.25" customHeight="1" x14ac:dyDescent="0.3">
      <c r="A1" s="2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customHeight="1" x14ac:dyDescent="0.3">
      <c r="A2" s="3" t="s">
        <v>53</v>
      </c>
    </row>
    <row r="4" spans="1:12" ht="15" customHeight="1" x14ac:dyDescent="0.3">
      <c r="A4" s="10" t="s">
        <v>19</v>
      </c>
      <c r="B4" s="4">
        <v>2020</v>
      </c>
      <c r="C4" s="4">
        <v>2021</v>
      </c>
      <c r="D4" s="4">
        <v>2022</v>
      </c>
      <c r="E4" s="4">
        <v>2023</v>
      </c>
      <c r="F4" s="4">
        <v>2024</v>
      </c>
      <c r="G4" s="4">
        <v>2025</v>
      </c>
      <c r="H4" s="4">
        <v>2026</v>
      </c>
      <c r="I4" s="4">
        <v>2027</v>
      </c>
      <c r="J4" s="4">
        <v>2028</v>
      </c>
      <c r="K4" s="4">
        <v>2029</v>
      </c>
    </row>
    <row r="5" spans="1:12" ht="15" customHeight="1" x14ac:dyDescent="0.3">
      <c r="A5" s="14" t="s">
        <v>86</v>
      </c>
    </row>
    <row r="6" spans="1:12" ht="15" customHeight="1" x14ac:dyDescent="0.3">
      <c r="A6" t="s">
        <v>87</v>
      </c>
      <c r="B6" s="19">
        <f>'Income Statement'!B$52</f>
        <v>0</v>
      </c>
      <c r="C6" s="19">
        <f>'Income Statement'!C$52</f>
        <v>0</v>
      </c>
      <c r="D6" s="19">
        <f>'Income Statement'!D$52</f>
        <v>0</v>
      </c>
      <c r="E6" s="19">
        <f>'Income Statement'!E$52</f>
        <v>0</v>
      </c>
      <c r="F6" s="19">
        <f>'Income Statement'!F$52</f>
        <v>0</v>
      </c>
      <c r="G6" s="19">
        <f>'Income Statement'!G$52</f>
        <v>0</v>
      </c>
      <c r="H6" s="19">
        <f>'Income Statement'!H$52</f>
        <v>0</v>
      </c>
      <c r="I6" s="19">
        <f>'Income Statement'!I$52</f>
        <v>0</v>
      </c>
      <c r="J6" s="19">
        <f>'Income Statement'!J$52</f>
        <v>0</v>
      </c>
      <c r="K6" s="19">
        <f>'Income Statement'!K$52</f>
        <v>0</v>
      </c>
    </row>
    <row r="7" spans="1:12" ht="15" customHeight="1" x14ac:dyDescent="0.3">
      <c r="A7" s="28" t="s">
        <v>88</v>
      </c>
    </row>
    <row r="8" spans="1:12" ht="15" customHeight="1" x14ac:dyDescent="0.3">
      <c r="A8" t="s">
        <v>89</v>
      </c>
      <c r="B8" s="11">
        <v>1700</v>
      </c>
      <c r="C8" s="11">
        <v>2261</v>
      </c>
      <c r="D8" s="11">
        <v>2970</v>
      </c>
      <c r="E8" s="11">
        <v>3450</v>
      </c>
      <c r="F8" s="11">
        <v>3922</v>
      </c>
      <c r="G8" s="19">
        <f>'Balance Sheet'!G$15*0.08</f>
        <v>894.60800000000006</v>
      </c>
      <c r="H8" s="19">
        <f>'Balance Sheet'!H$15*0.08</f>
        <v>984.06880000000001</v>
      </c>
      <c r="I8" s="19">
        <f>'Balance Sheet'!I$15*0.08</f>
        <v>1082.4756800000002</v>
      </c>
      <c r="J8" s="19">
        <f>'Balance Sheet'!J$15*0.08</f>
        <v>1190.7232480000002</v>
      </c>
      <c r="K8" s="19">
        <f>'Balance Sheet'!K$15*0.08</f>
        <v>1309.7955728000006</v>
      </c>
    </row>
    <row r="9" spans="1:12" ht="15" customHeight="1" x14ac:dyDescent="0.3">
      <c r="A9" t="s">
        <v>90</v>
      </c>
      <c r="B9" s="11">
        <v>943</v>
      </c>
      <c r="C9" s="11">
        <v>1530</v>
      </c>
      <c r="D9" s="11">
        <v>2121</v>
      </c>
      <c r="E9" s="11">
        <v>1591</v>
      </c>
      <c r="F9" s="11">
        <v>1734</v>
      </c>
      <c r="G9" s="12">
        <v>1800</v>
      </c>
      <c r="H9" s="12">
        <v>1800</v>
      </c>
      <c r="I9" s="12">
        <v>1800</v>
      </c>
      <c r="J9" s="12">
        <v>1800</v>
      </c>
      <c r="K9" s="12">
        <v>1800</v>
      </c>
    </row>
    <row r="10" spans="1:12" ht="15" customHeight="1" x14ac:dyDescent="0.3">
      <c r="A10" s="28" t="s">
        <v>91</v>
      </c>
    </row>
    <row r="11" spans="1:12" ht="15" customHeight="1" x14ac:dyDescent="0.3">
      <c r="A11" t="s">
        <v>92</v>
      </c>
      <c r="B11" s="12">
        <v>0</v>
      </c>
      <c r="C11" s="12">
        <f>-('Balance Sheet'!C$8-'Balance Sheet'!B$8)</f>
        <v>-27</v>
      </c>
      <c r="D11" s="12">
        <f>-('Balance Sheet'!D$8-'Balance Sheet'!C$8)</f>
        <v>-1039</v>
      </c>
      <c r="E11" s="12">
        <f>-('Balance Sheet'!E$8-'Balance Sheet'!D$8)</f>
        <v>-556</v>
      </c>
      <c r="F11" s="12">
        <f>-('Balance Sheet'!F$8-'Balance Sheet'!E$8)</f>
        <v>-809</v>
      </c>
      <c r="G11" s="19">
        <f>-('Balance Sheet'!G$8-'Balance Sheet'!F$8)</f>
        <v>4317</v>
      </c>
      <c r="H11" s="19">
        <f>-('Balance Sheet'!H$8-'Balance Sheet'!G$8)</f>
        <v>0</v>
      </c>
      <c r="I11" s="19">
        <f>-('Balance Sheet'!I$8-'Balance Sheet'!H$8)</f>
        <v>0</v>
      </c>
      <c r="J11" s="19">
        <f>-('Balance Sheet'!J$8-'Balance Sheet'!I$8)</f>
        <v>0</v>
      </c>
      <c r="K11" s="19">
        <f>-('Balance Sheet'!K$8-'Balance Sheet'!J$8)</f>
        <v>0</v>
      </c>
    </row>
    <row r="12" spans="1:12" ht="15" customHeight="1" x14ac:dyDescent="0.3">
      <c r="A12" t="s">
        <v>93</v>
      </c>
      <c r="B12" s="12">
        <v>0</v>
      </c>
      <c r="C12" s="12">
        <f>-('Balance Sheet'!C$9-'Balance Sheet'!B$9)</f>
        <v>-1656</v>
      </c>
      <c r="D12" s="12">
        <f>-('Balance Sheet'!D$9-'Balance Sheet'!C$9)</f>
        <v>-4086</v>
      </c>
      <c r="E12" s="12">
        <f>-('Balance Sheet'!E$9-'Balance Sheet'!D$9)</f>
        <v>-3783</v>
      </c>
      <c r="F12" s="12">
        <f>-('Balance Sheet'!F$9-'Balance Sheet'!E$9)</f>
        <v>-921</v>
      </c>
      <c r="G12" s="19">
        <f>-('Balance Sheet'!G$9-'Balance Sheet'!F$9)</f>
        <v>14547</v>
      </c>
      <c r="H12" s="19">
        <f>-('Balance Sheet'!H$9-'Balance Sheet'!G$9)</f>
        <v>0</v>
      </c>
      <c r="I12" s="19">
        <f>-('Balance Sheet'!I$9-'Balance Sheet'!H$9)</f>
        <v>0</v>
      </c>
      <c r="J12" s="19">
        <f>-('Balance Sheet'!J$9-'Balance Sheet'!I$9)</f>
        <v>0</v>
      </c>
      <c r="K12" s="19">
        <f>-('Balance Sheet'!K$9-'Balance Sheet'!J$9)</f>
        <v>0</v>
      </c>
    </row>
    <row r="13" spans="1:12" ht="15" customHeight="1" x14ac:dyDescent="0.3">
      <c r="A13" t="s">
        <v>94</v>
      </c>
      <c r="B13" s="12">
        <v>0</v>
      </c>
      <c r="C13" s="12">
        <f>'Balance Sheet'!C$21-'Balance Sheet'!B$21</f>
        <v>0</v>
      </c>
      <c r="D13" s="12">
        <f>'Balance Sheet'!D$21-'Balance Sheet'!C$21</f>
        <v>0</v>
      </c>
      <c r="E13" s="12">
        <f>'Balance Sheet'!E$21-'Balance Sheet'!D$21</f>
        <v>0</v>
      </c>
      <c r="F13" s="12">
        <f>'Balance Sheet'!F$21-'Balance Sheet'!E$21</f>
        <v>0</v>
      </c>
      <c r="G13" s="19">
        <f>'Balance Sheet'!G$21-'Balance Sheet'!F$21</f>
        <v>0</v>
      </c>
      <c r="H13" s="19">
        <f>'Balance Sheet'!H$21-'Balance Sheet'!G$21</f>
        <v>0</v>
      </c>
      <c r="I13" s="19">
        <f>'Balance Sheet'!I$21-'Balance Sheet'!H$21</f>
        <v>0</v>
      </c>
      <c r="J13" s="19">
        <f>'Balance Sheet'!J$21-'Balance Sheet'!I$21</f>
        <v>0</v>
      </c>
      <c r="K13" s="19">
        <f>'Balance Sheet'!K$21-'Balance Sheet'!J$21</f>
        <v>0</v>
      </c>
    </row>
    <row r="14" spans="1:12" ht="15" customHeight="1" x14ac:dyDescent="0.3">
      <c r="A14" t="s">
        <v>95</v>
      </c>
      <c r="B14" s="11">
        <v>0</v>
      </c>
      <c r="C14" s="11">
        <v>500</v>
      </c>
      <c r="D14" s="11">
        <v>800</v>
      </c>
      <c r="E14" s="11">
        <v>-500</v>
      </c>
      <c r="F14" s="11">
        <v>600</v>
      </c>
      <c r="G14" s="12">
        <v>300</v>
      </c>
      <c r="H14" s="12">
        <v>300</v>
      </c>
      <c r="I14" s="12">
        <v>300</v>
      </c>
      <c r="J14" s="12">
        <v>300</v>
      </c>
      <c r="K14" s="12">
        <v>300</v>
      </c>
    </row>
    <row r="16" spans="1:12" ht="15" customHeight="1" x14ac:dyDescent="0.3">
      <c r="A16" s="14" t="s">
        <v>96</v>
      </c>
      <c r="B16" s="15">
        <f t="shared" ref="B16:K16" si="0">SUM(B6:B15)</f>
        <v>2643</v>
      </c>
      <c r="C16" s="15">
        <f t="shared" si="0"/>
        <v>2608</v>
      </c>
      <c r="D16" s="15">
        <f t="shared" si="0"/>
        <v>766</v>
      </c>
      <c r="E16" s="15">
        <f t="shared" si="0"/>
        <v>202</v>
      </c>
      <c r="F16" s="15">
        <f t="shared" si="0"/>
        <v>4526</v>
      </c>
      <c r="G16" s="15">
        <f t="shared" si="0"/>
        <v>21858.608</v>
      </c>
      <c r="H16" s="15">
        <f t="shared" si="0"/>
        <v>3084.0688</v>
      </c>
      <c r="I16" s="15">
        <f t="shared" si="0"/>
        <v>3182.4756800000005</v>
      </c>
      <c r="J16" s="15">
        <f t="shared" si="0"/>
        <v>3290.7232480000002</v>
      </c>
      <c r="K16" s="15">
        <f t="shared" si="0"/>
        <v>3409.7955728000006</v>
      </c>
    </row>
    <row r="18" spans="1:11" ht="15" customHeight="1" x14ac:dyDescent="0.3">
      <c r="A18" s="14" t="s">
        <v>97</v>
      </c>
    </row>
    <row r="19" spans="1:11" ht="15" customHeight="1" x14ac:dyDescent="0.3">
      <c r="A19" t="s">
        <v>98</v>
      </c>
      <c r="B19" s="11">
        <v>-3157</v>
      </c>
      <c r="C19" s="11">
        <v>-6520</v>
      </c>
      <c r="D19" s="11">
        <v>-7161</v>
      </c>
      <c r="E19" s="11">
        <v>-8901</v>
      </c>
      <c r="F19" s="11">
        <v>-11347</v>
      </c>
      <c r="G19" s="19">
        <f>-'Income Statement'!G$15*Assumptions!G$17</f>
        <v>-875571.4</v>
      </c>
      <c r="H19" s="19">
        <f>-'Income Statement'!H$15*Assumptions!H$17</f>
        <v>-939637.60000000009</v>
      </c>
      <c r="I19" s="19">
        <f>-'Income Statement'!I$15*Assumptions!I$17</f>
        <v>-1007761.3260000001</v>
      </c>
      <c r="J19" s="19">
        <f>-'Income Statement'!J$15*Assumptions!J$17</f>
        <v>-1080113.4212000002</v>
      </c>
      <c r="K19" s="19">
        <f>-'Income Statement'!K$15*Assumptions!K$17</f>
        <v>-1172491.5427500003</v>
      </c>
    </row>
    <row r="20" spans="1:11" ht="15" customHeight="1" x14ac:dyDescent="0.3">
      <c r="A20" t="s">
        <v>99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</row>
    <row r="22" spans="1:11" ht="15" customHeight="1" x14ac:dyDescent="0.3">
      <c r="A22" s="14" t="s">
        <v>100</v>
      </c>
      <c r="B22" s="15">
        <f t="shared" ref="B22:K22" si="1">SUM(B19:B21)</f>
        <v>-3157</v>
      </c>
      <c r="C22" s="15">
        <f t="shared" si="1"/>
        <v>-6520</v>
      </c>
      <c r="D22" s="15">
        <f t="shared" si="1"/>
        <v>-7161</v>
      </c>
      <c r="E22" s="15">
        <f t="shared" si="1"/>
        <v>-8901</v>
      </c>
      <c r="F22" s="15">
        <f t="shared" si="1"/>
        <v>-11347</v>
      </c>
      <c r="G22" s="15">
        <f t="shared" si="1"/>
        <v>-875571.4</v>
      </c>
      <c r="H22" s="15">
        <f t="shared" si="1"/>
        <v>-939637.60000000009</v>
      </c>
      <c r="I22" s="15">
        <f t="shared" si="1"/>
        <v>-1007761.3260000001</v>
      </c>
      <c r="J22" s="15">
        <f t="shared" si="1"/>
        <v>-1080113.4212000002</v>
      </c>
      <c r="K22" s="15">
        <f t="shared" si="1"/>
        <v>-1172491.5427500003</v>
      </c>
    </row>
    <row r="24" spans="1:11" ht="15" customHeight="1" x14ac:dyDescent="0.3">
      <c r="A24" s="14" t="s">
        <v>101</v>
      </c>
    </row>
    <row r="25" spans="1:11" ht="15" customHeight="1" x14ac:dyDescent="0.3">
      <c r="A25" t="s">
        <v>102</v>
      </c>
      <c r="B25" s="11">
        <v>0</v>
      </c>
      <c r="C25" s="11">
        <v>-5000</v>
      </c>
      <c r="D25" s="11">
        <v>-3000</v>
      </c>
      <c r="E25" s="11">
        <v>0</v>
      </c>
      <c r="F25" s="11">
        <v>0</v>
      </c>
      <c r="G25" s="19">
        <f>('Balance Sheet'!G$28+'Balance Sheet'!G$24)-('Balance Sheet'!F$28+'Balance Sheet'!F$24)</f>
        <v>1162.9000000000015</v>
      </c>
      <c r="H25" s="19">
        <f>('Balance Sheet'!H$28+'Balance Sheet'!H$24)-('Balance Sheet'!G$28+'Balance Sheet'!G$24)</f>
        <v>1279.1900000000005</v>
      </c>
      <c r="I25" s="19">
        <f>('Balance Sheet'!I$28+'Balance Sheet'!I$24)-('Balance Sheet'!H$28+'Balance Sheet'!H$24)</f>
        <v>1407.1090000000022</v>
      </c>
      <c r="J25" s="19">
        <f>('Balance Sheet'!J$28+'Balance Sheet'!J$24)-('Balance Sheet'!I$28+'Balance Sheet'!I$24)</f>
        <v>1547.8199000000022</v>
      </c>
      <c r="K25" s="19">
        <f>('Balance Sheet'!K$28+'Balance Sheet'!K$24)-('Balance Sheet'!J$28+'Balance Sheet'!J$24)</f>
        <v>1702.6018900000017</v>
      </c>
    </row>
    <row r="26" spans="1:11" ht="15" customHeight="1" x14ac:dyDescent="0.3">
      <c r="A26" t="s">
        <v>103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</row>
    <row r="27" spans="1:11" ht="15" customHeight="1" x14ac:dyDescent="0.3">
      <c r="A27" t="s">
        <v>104</v>
      </c>
      <c r="B27" s="11">
        <v>700</v>
      </c>
      <c r="C27" s="11">
        <v>-200</v>
      </c>
      <c r="D27" s="11">
        <v>300</v>
      </c>
      <c r="E27" s="11">
        <v>-100</v>
      </c>
      <c r="F27" s="11">
        <v>500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</row>
    <row r="29" spans="1:11" ht="15" customHeight="1" x14ac:dyDescent="0.3">
      <c r="A29" s="14" t="s">
        <v>105</v>
      </c>
      <c r="B29" s="15">
        <f t="shared" ref="B29:K29" si="2">SUM(B25:B28)</f>
        <v>700</v>
      </c>
      <c r="C29" s="15">
        <f t="shared" si="2"/>
        <v>-5200</v>
      </c>
      <c r="D29" s="15">
        <f t="shared" si="2"/>
        <v>-2700</v>
      </c>
      <c r="E29" s="15">
        <f t="shared" si="2"/>
        <v>-100</v>
      </c>
      <c r="F29" s="15">
        <f t="shared" si="2"/>
        <v>500</v>
      </c>
      <c r="G29" s="15">
        <f t="shared" si="2"/>
        <v>1162.9000000000015</v>
      </c>
      <c r="H29" s="15">
        <f t="shared" si="2"/>
        <v>1279.1900000000005</v>
      </c>
      <c r="I29" s="15">
        <f t="shared" si="2"/>
        <v>1407.1090000000022</v>
      </c>
      <c r="J29" s="15">
        <f t="shared" si="2"/>
        <v>1547.8199000000022</v>
      </c>
      <c r="K29" s="15">
        <f t="shared" si="2"/>
        <v>1702.6018900000017</v>
      </c>
    </row>
    <row r="31" spans="1:11" ht="15" customHeight="1" x14ac:dyDescent="0.3">
      <c r="A31" s="14" t="s">
        <v>106</v>
      </c>
      <c r="B31" s="20">
        <f t="shared" ref="B31:K31" si="3">B16+B22+B29</f>
        <v>186</v>
      </c>
      <c r="C31" s="20">
        <f t="shared" si="3"/>
        <v>-9112</v>
      </c>
      <c r="D31" s="20">
        <f t="shared" si="3"/>
        <v>-9095</v>
      </c>
      <c r="E31" s="20">
        <f t="shared" si="3"/>
        <v>-8799</v>
      </c>
      <c r="F31" s="20">
        <f t="shared" si="3"/>
        <v>-6321</v>
      </c>
      <c r="G31" s="20">
        <f t="shared" si="3"/>
        <v>-852549.89199999999</v>
      </c>
      <c r="H31" s="20">
        <f t="shared" si="3"/>
        <v>-935274.34120000014</v>
      </c>
      <c r="I31" s="20">
        <f t="shared" si="3"/>
        <v>-1003171.74132</v>
      </c>
      <c r="J31" s="20">
        <f t="shared" si="3"/>
        <v>-1075274.8780520002</v>
      </c>
      <c r="K31" s="20">
        <f t="shared" si="3"/>
        <v>-1167379.1452872001</v>
      </c>
    </row>
    <row r="33" spans="1:11" ht="15" customHeight="1" x14ac:dyDescent="0.3">
      <c r="A33" t="s">
        <v>107</v>
      </c>
      <c r="B33" s="11">
        <v>19384</v>
      </c>
      <c r="C33" s="19">
        <f>'Balance Sheet'!B$7</f>
        <v>19384</v>
      </c>
      <c r="D33" s="19">
        <f>'Balance Sheet'!C$7</f>
        <v>17576</v>
      </c>
      <c r="E33" s="19">
        <f>'Balance Sheet'!D$7</f>
        <v>16253</v>
      </c>
      <c r="F33" s="19">
        <f>'Balance Sheet'!E$7</f>
        <v>29129</v>
      </c>
      <c r="G33" s="19">
        <f>'Balance Sheet'!F$7</f>
        <v>36562</v>
      </c>
      <c r="H33" s="19">
        <f>'Balance Sheet'!G$7</f>
        <v>0</v>
      </c>
      <c r="I33" s="19">
        <f>'Balance Sheet'!H$7</f>
        <v>0</v>
      </c>
      <c r="J33" s="19">
        <f>'Balance Sheet'!I$7</f>
        <v>0</v>
      </c>
      <c r="K33" s="19">
        <f>'Balance Sheet'!J$7</f>
        <v>0</v>
      </c>
    </row>
    <row r="34" spans="1:11" ht="15" customHeight="1" x14ac:dyDescent="0.3">
      <c r="A34" s="21" t="s">
        <v>108</v>
      </c>
      <c r="B34" s="22">
        <f t="shared" ref="B34:K34" si="4">B33+B31</f>
        <v>19570</v>
      </c>
      <c r="C34" s="22">
        <f t="shared" si="4"/>
        <v>10272</v>
      </c>
      <c r="D34" s="22">
        <f t="shared" si="4"/>
        <v>8481</v>
      </c>
      <c r="E34" s="22">
        <f t="shared" si="4"/>
        <v>7454</v>
      </c>
      <c r="F34" s="22">
        <f t="shared" si="4"/>
        <v>22808</v>
      </c>
      <c r="G34" s="22">
        <f t="shared" si="4"/>
        <v>-815987.89199999999</v>
      </c>
      <c r="H34" s="22">
        <f t="shared" si="4"/>
        <v>-935274.34120000014</v>
      </c>
      <c r="I34" s="22">
        <f t="shared" si="4"/>
        <v>-1003171.74132</v>
      </c>
      <c r="J34" s="22">
        <f t="shared" si="4"/>
        <v>-1075274.8780520002</v>
      </c>
      <c r="K34" s="22">
        <f t="shared" si="4"/>
        <v>-1167379.1452872001</v>
      </c>
    </row>
    <row r="36" spans="1:11" ht="15" customHeight="1" x14ac:dyDescent="0.3">
      <c r="A36" s="26" t="s">
        <v>109</v>
      </c>
      <c r="B36" s="27">
        <f>B34-'Balance Sheet'!B$7</f>
        <v>186</v>
      </c>
      <c r="C36" s="27">
        <f>C34-'Balance Sheet'!C$7</f>
        <v>-7304</v>
      </c>
      <c r="D36" s="27">
        <f>D34-'Balance Sheet'!D$7</f>
        <v>-7772</v>
      </c>
      <c r="E36" s="27">
        <f>E34-'Balance Sheet'!E$7</f>
        <v>-21675</v>
      </c>
      <c r="F36" s="27">
        <f>F34-'Balance Sheet'!F$7</f>
        <v>-13754</v>
      </c>
      <c r="G36" s="27">
        <f>G34-'Balance Sheet'!G$7</f>
        <v>-815987.89199999999</v>
      </c>
      <c r="H36" s="27">
        <f>H34-'Balance Sheet'!H$7</f>
        <v>-935274.34120000014</v>
      </c>
      <c r="I36" s="27">
        <f>I34-'Balance Sheet'!I$7</f>
        <v>-1003171.74132</v>
      </c>
      <c r="J36" s="27">
        <f>J34-'Balance Sheet'!J$7</f>
        <v>-1075274.8780520002</v>
      </c>
      <c r="K36" s="27">
        <f>K34-'Balance Sheet'!K$7</f>
        <v>-1167379.1452872001</v>
      </c>
    </row>
    <row r="38" spans="1:11" ht="15" customHeight="1" x14ac:dyDescent="0.3">
      <c r="A38" s="29" t="s">
        <v>110</v>
      </c>
      <c r="B38" s="30">
        <f t="shared" ref="B38:K38" si="5">B16+B19</f>
        <v>-514</v>
      </c>
      <c r="C38" s="30">
        <f t="shared" si="5"/>
        <v>-3912</v>
      </c>
      <c r="D38" s="30">
        <f t="shared" si="5"/>
        <v>-6395</v>
      </c>
      <c r="E38" s="30">
        <f t="shared" si="5"/>
        <v>-8699</v>
      </c>
      <c r="F38" s="30">
        <f t="shared" si="5"/>
        <v>-6821</v>
      </c>
      <c r="G38" s="30">
        <f t="shared" si="5"/>
        <v>-853712.79200000002</v>
      </c>
      <c r="H38" s="30">
        <f t="shared" si="5"/>
        <v>-936553.53120000008</v>
      </c>
      <c r="I38" s="30">
        <f t="shared" si="5"/>
        <v>-1004578.8503200001</v>
      </c>
      <c r="J38" s="30">
        <f t="shared" si="5"/>
        <v>-1076822.6979520002</v>
      </c>
      <c r="K38" s="30">
        <f t="shared" si="5"/>
        <v>-1169081.7471772002</v>
      </c>
    </row>
  </sheetData>
  <mergeCells count="1">
    <mergeCell ref="A1:L1"/>
  </mergeCell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Jonathan Quezada</cp:lastModifiedBy>
  <cp:revision>0</cp:revision>
  <dcterms:created xsi:type="dcterms:W3CDTF">2025-10-19T15:10:23Z</dcterms:created>
  <dcterms:modified xsi:type="dcterms:W3CDTF">2025-10-19T16:03:36Z</dcterms:modified>
  <dc:language>en-US</dc:language>
</cp:coreProperties>
</file>