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rants/grants 2023/TAMUCC TCRF/"/>
    </mc:Choice>
  </mc:AlternateContent>
  <xr:revisionPtr revIDLastSave="1018" documentId="11_F25DC773A252ABDACC104865599974EA5BDE58ED" xr6:coauthVersionLast="47" xr6:coauthVersionMax="47" xr10:uidLastSave="{0674C0E2-5D1F-41F8-A609-AB53E4EF1E63}"/>
  <bookViews>
    <workbookView xWindow="10290" yWindow="0" windowWidth="10524" windowHeight="12318" firstSheet="2" activeTab="6" xr2:uid="{00000000-000D-0000-FFFF-FFFF00000000}"/>
  </bookViews>
  <sheets>
    <sheet name="budget kevin get paid" sheetId="1" r:id="rId1"/>
    <sheet name="taggimatrix-itru" sheetId="6" r:id="rId2"/>
    <sheet name="oligos" sheetId="5" r:id="rId3"/>
    <sheet name="sieve" sheetId="4" r:id="rId4"/>
    <sheet name="Sheet2" sheetId="2" r:id="rId5"/>
    <sheet name="extractions" sheetId="3" r:id="rId6"/>
    <sheet name="Sheet1" sheetId="7" r:id="rId7"/>
    <sheet name="Sheet3" sheetId="8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E13" i="7" l="1"/>
  <c r="G27" i="6" l="1"/>
  <c r="G5" i="5"/>
  <c r="I3" i="5"/>
  <c r="D12" i="5"/>
  <c r="F6" i="7"/>
  <c r="F5" i="7"/>
  <c r="F4" i="7"/>
  <c r="F7" i="7"/>
  <c r="G21" i="1"/>
  <c r="G20" i="1"/>
  <c r="H11" i="1"/>
  <c r="G11" i="1"/>
  <c r="G26" i="1"/>
  <c r="G27" i="1"/>
  <c r="F23" i="1"/>
  <c r="H23" i="1"/>
  <c r="G16" i="6"/>
  <c r="G26" i="6"/>
  <c r="G30" i="6" s="1"/>
  <c r="H30" i="6" s="1"/>
  <c r="G25" i="6"/>
  <c r="G23" i="6"/>
  <c r="F14" i="6"/>
  <c r="E14" i="6"/>
  <c r="G14" i="6"/>
  <c r="E24" i="6"/>
  <c r="G24" i="6" s="1"/>
  <c r="F19" i="6"/>
  <c r="F11" i="6"/>
  <c r="G11" i="6" s="1"/>
  <c r="F10" i="6"/>
  <c r="G22" i="6"/>
  <c r="F20" i="6"/>
  <c r="G20" i="6" s="1"/>
  <c r="F12" i="6"/>
  <c r="G12" i="6" s="1"/>
  <c r="E10" i="6"/>
  <c r="E19" i="6"/>
  <c r="E21" i="6"/>
  <c r="G21" i="6" s="1"/>
  <c r="E13" i="6"/>
  <c r="G13" i="6" s="1"/>
  <c r="E15" i="6" l="1"/>
  <c r="G10" i="6"/>
  <c r="G19" i="6"/>
  <c r="F2" i="6" l="1"/>
  <c r="E2" i="6"/>
  <c r="G2" i="6" l="1"/>
  <c r="H22" i="1"/>
  <c r="F5" i="5"/>
  <c r="F4" i="5"/>
  <c r="F3" i="5"/>
  <c r="F2" i="5"/>
  <c r="E6" i="4"/>
  <c r="E4" i="4"/>
  <c r="D4" i="4"/>
  <c r="E3" i="4"/>
  <c r="D3" i="4"/>
  <c r="E2" i="4"/>
  <c r="D2" i="4"/>
  <c r="F9" i="3"/>
  <c r="D8" i="3"/>
  <c r="F8" i="3" s="1"/>
  <c r="F7" i="3"/>
  <c r="D6" i="3"/>
  <c r="F6" i="3" s="1"/>
  <c r="H6" i="3" s="1"/>
  <c r="G9" i="3" s="1"/>
  <c r="F5" i="3"/>
  <c r="F4" i="3"/>
  <c r="F3" i="3"/>
  <c r="G7" i="3" l="1"/>
  <c r="G8" i="3"/>
  <c r="G3" i="3"/>
  <c r="G4" i="3"/>
  <c r="G5" i="3"/>
  <c r="E5" i="2" l="1"/>
  <c r="F5" i="2"/>
  <c r="H5" i="2"/>
  <c r="F25" i="1"/>
  <c r="H25" i="1" s="1"/>
  <c r="J13" i="1"/>
  <c r="J12" i="1"/>
  <c r="J35" i="1"/>
  <c r="H16" i="1" l="1"/>
  <c r="H28" i="1"/>
  <c r="H27" i="1"/>
  <c r="H26" i="1"/>
  <c r="H18" i="1"/>
  <c r="H21" i="1"/>
  <c r="H20" i="1"/>
  <c r="H19" i="1"/>
  <c r="H17" i="1"/>
  <c r="H15" i="1"/>
  <c r="H14" i="1"/>
  <c r="H12" i="1"/>
  <c r="H13" i="1"/>
  <c r="H10" i="1"/>
  <c r="B3" i="1"/>
  <c r="B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tc={02973064-07D9-416B-BD68-ADF64285054D}</author>
    <author>tc={E3D886BC-309B-4A35-898B-6E53D9D9F19E}</author>
  </authors>
  <commentList>
    <comment ref="G11" authorId="0" shapeId="0" xr:uid="{02973064-07D9-416B-BD68-ADF64285054D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Bucket (3.78) and Lid (1.98) sold separately</t>
      </text>
    </comment>
    <comment ref="G20" authorId="1" shapeId="0" xr:uid="{E3D886BC-309B-4A35-898B-6E53D9D9F19E}">
      <text>
        <t>[Threaded comment]
Your version of Excel allows you to read this threaded comment; however, any edits to it will get removed if the file is opened in a newer version of Excel. Learn more: https://go.microsoft.com/fwlink/?linkid=870924
Comment:
    $1.25 per reaction is the est cost of consumables from gcl pricing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tc={5861D0B3-53AA-427C-B0B5-22489D54347D}</author>
    <author>tc={F2C86DE7-168F-4AFB-8AA9-F45F38A6E787}</author>
    <author>tc={259EBE06-F003-4132-99A6-1D1872C2EDBA}</author>
    <author>tc={0B9EDDC8-36C5-4481-BA08-7BE2FF076D7C}</author>
    <author>tc={B7878E06-96BB-4AA2-8EB9-AD5FDB614075}</author>
    <author>tc={2C4A5E76-92A1-41E9-AC79-7FE954441740}</author>
    <author>tc={6F39E4F3-E7B4-44F4-9B6E-4F811D5FC536}</author>
    <author>tc={52804565-8BCB-44D7-9A34-0C218E05D1E0}</author>
  </authors>
  <commentList>
    <comment ref="F10" authorId="0" shapeId="0" xr:uid="{5861D0B3-53AA-427C-B0B5-22489D5434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156 filters * 4 loci = 624 which with neg ctrls etc is 7 places.   So we est 7 plates *96 wells * 3 reps of pcr</t>
      </text>
    </comment>
    <comment ref="F11" authorId="1" shapeId="0" xr:uid="{F2C86DE7-168F-4AFB-8AA9-F45F38A6E787}">
      <text>
        <t>[Threaded comment]
Your version of Excel allows you to read this threaded comment; however, any edits to it will get removed if the file is opened in a newer version of Excel. Learn more: https://go.microsoft.com/fwlink/?linkid=870924
Comment:
    Because the 156 filters will be processed on 2 plates, and there are 4 loci, we are increasing the number of reactions here to account for the additonal plate cost</t>
      </text>
    </comment>
    <comment ref="F13" authorId="2" shapeId="0" xr:uid="{259EBE06-F003-4132-99A6-1D1872C2EDBA}">
      <text>
        <t>[Threaded comment]
Your version of Excel allows you to read this threaded comment; however, any edits to it will get removed if the file is opened in a newer version of Excel. Learn more: https://go.microsoft.com/fwlink/?linkid=870924
Comment:
    Pool triplicate pcrs before bead clean/spri select</t>
      </text>
    </comment>
    <comment ref="F14" authorId="3" shapeId="0" xr:uid="{0B9EDDC8-36C5-4481-BA08-7BE2FF076D7C}">
      <text>
        <t>[Threaded comment]
Your version of Excel allows you to read this threaded comment; however, any edits to it will get removed if the file is opened in a newer version of Excel. Learn more: https://go.microsoft.com/fwlink/?linkid=870924
Comment:
    Pool triplicate pcrs before bead clean/spri select</t>
      </text>
    </comment>
    <comment ref="F19" authorId="4" shapeId="0" xr:uid="{B7878E06-96BB-4AA2-8EB9-AD5FDB614075}">
      <text>
        <t>[Threaded comment]
Your version of Excel allows you to read this threaded comment; however, any edits to it will get removed if the file is opened in a newer version of Excel. Learn more: https://go.microsoft.com/fwlink/?linkid=870924
Comment:
    8 pools * 3 reps of pcr</t>
      </text>
    </comment>
    <comment ref="F21" authorId="5" shapeId="0" xr:uid="{2C4A5E76-92A1-41E9-AC79-7FE954441740}">
      <text>
        <t>[Threaded comment]
Your version of Excel allows you to read this threaded comment; however, any edits to it will get removed if the file is opened in a newer version of Excel. Learn more: https://go.microsoft.com/fwlink/?linkid=870924
Comment:
    Pcrs are pools prior to a double bead cleanup, thus 8 pools * 2 cleanups</t>
      </text>
    </comment>
    <comment ref="F22" authorId="6" shapeId="0" xr:uid="{6F39E4F3-E7B4-44F4-9B6E-4F811D5FC536}">
      <text>
        <t>[Threaded comment]
Your version of Excel allows you to read this threaded comment; however, any edits to it will get removed if the file is opened in a newer version of Excel. Learn more: https://go.microsoft.com/fwlink/?linkid=870924
Comment:
    8 pools cleaned for seq</t>
      </text>
    </comment>
    <comment ref="F23" authorId="7" shapeId="0" xr:uid="{52804565-8BCB-44D7-9A34-0C218E05D1E0}">
      <text>
        <t>[Threaded comment]
Your version of Excel allows you to read this threaded comment; however, any edits to it will get removed if the file is opened in a newer version of Excel. Learn more: https://go.microsoft.com/fwlink/?linkid=870924
Comment:
    5 wells per cassette on pippen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tc={68248B3C-6523-4C4D-BBA9-8AFBCE54080E}</author>
  </authors>
  <commentList>
    <comment ref="A2" authorId="0" shapeId="0" xr:uid="{68248B3C-6523-4C4D-BBA9-8AFBCE5408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supp file s1 of Glenn et al 2019, adapteramaII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tc={490AEE83-EC2B-4C0F-901C-8C549ACD5018}</author>
    <author>tc={1ADBB1E9-4280-4868-B0CE-17D5E7CCA3C5}</author>
  </authors>
  <commentList>
    <comment ref="G6" authorId="0" shapeId="0" xr:uid="{490AEE83-EC2B-4C0F-901C-8C549ACD5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what we base our pricing on in the gcl price list</t>
      </text>
    </comment>
    <comment ref="H6" authorId="1" shapeId="0" xr:uid="{1ADBB1E9-4280-4868-B0CE-17D5E7CCA3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how much we charge for tips etc, and this should be added to cost of other extraction kits above</t>
      </text>
    </comment>
  </commentList>
</comments>
</file>

<file path=xl/sharedStrings.xml><?xml version="1.0" encoding="utf-8"?>
<sst xmlns="http://schemas.openxmlformats.org/spreadsheetml/2006/main" count="234" uniqueCount="167">
  <si>
    <t>Project Title</t>
  </si>
  <si>
    <t>Maximum Allowable Budget</t>
  </si>
  <si>
    <t>Proposed Budget</t>
  </si>
  <si>
    <t>Balance</t>
  </si>
  <si>
    <t>line-item</t>
  </si>
  <si>
    <t>particulars</t>
  </si>
  <si>
    <t>justification</t>
  </si>
  <si>
    <t>estimated qty</t>
  </si>
  <si>
    <t>unit-sold</t>
  </si>
  <si>
    <t>qty</t>
  </si>
  <si>
    <t>unit-cost</t>
  </si>
  <si>
    <t>amount-proposed</t>
  </si>
  <si>
    <t>reference</t>
  </si>
  <si>
    <t>Personnel</t>
  </si>
  <si>
    <t>PhD student salary</t>
  </si>
  <si>
    <t>the student will be responsible in coordinating with collaborators from the Philippines, perform laboratory and bioinformatics to work to generate and analyze the data, and prepare reports</t>
  </si>
  <si>
    <t>1 personnel * 2.25 months</t>
  </si>
  <si>
    <t>Budget_XXXXX_CNMI_Aug2023.xlsx</t>
  </si>
  <si>
    <t>Tuition Fee</t>
  </si>
  <si>
    <t>1 semester</t>
  </si>
  <si>
    <t>Fringe benefits, PhD student rate</t>
  </si>
  <si>
    <t>total fringe benefit for the student, including insurance</t>
  </si>
  <si>
    <t>Collection Kit</t>
  </si>
  <si>
    <t>300 mL syringe</t>
  </si>
  <si>
    <t>filter seawater sample through the sterivex cartridge</t>
  </si>
  <si>
    <t>3 syringes * 4 sites = 12</t>
  </si>
  <si>
    <t>1/pk</t>
  </si>
  <si>
    <t>https://www.amazon.com/Syringes-Dispensing-Scientific-Watering-Refilling/dp/B07T7MN36N</t>
  </si>
  <si>
    <t>Collection bucket, 5 gal, with lid</t>
  </si>
  <si>
    <t>used to collect seawater which will be used for filtration</t>
  </si>
  <si>
    <t>1 bucket * 4 sites = 4</t>
  </si>
  <si>
    <t>1/pc</t>
  </si>
  <si>
    <t>https://www.walmart.com/ip/United-Solutions-5-Gallon-Round-Utility-Bucket-Comfort-Handle-Plastic-White-PN0149-1-Each/407475628?athbdg=L1102</t>
  </si>
  <si>
    <t>Sterivex Filtration Units, 0.45 um, 15 units, male nipple outlet, SVHV010RS</t>
  </si>
  <si>
    <t>filter used to capture eDNA from seawater</t>
  </si>
  <si>
    <t>39 filters * 4 sites = 156</t>
  </si>
  <si>
    <t>50/pk</t>
  </si>
  <si>
    <t>https://www.fishersci.com/shop/products/emd-millipore-sterivex-sterile-pressure-driven-devices-12/SVHVL10RC</t>
  </si>
  <si>
    <t>Sterivex Filtration Units, 0.22 um, 50 units, male nipple outlet, SVGP01050</t>
  </si>
  <si>
    <t>https://www.fishersci.com/shop/products/emd-millipore-sterivex-sterile-pressure-driven-devices-12/SVGP01050</t>
  </si>
  <si>
    <t xml:space="preserve">3 mL syringe for preservative </t>
  </si>
  <si>
    <t>administer preservative to the Sterivex cartridge</t>
  </si>
  <si>
    <t>3 preservatives * 4 sites = 12</t>
  </si>
  <si>
    <t>100/pk</t>
  </si>
  <si>
    <t>https://www.amazon.com/dp/B0B51DX4LF/ref=redir_mobile_desktop?_encoding=UTF8&amp;aaxitk=7f741d9445a8c5076066e7084228d4e0&amp;content-id=amzn1.sym.cd95889f-432f-43a7-8ec8-833616493f4a%3Aamzn1.sym.cd95889f-432f-43a7-8ec8-833616493f4a&amp;hsa_cr_id=2703596190501&amp;pd_rd_plhdr=t&amp;pd_rd_r=60765755-8a98-4161-a74c-9b86be61c6a1&amp;pd_rd_w=pAKCr&amp;pd_rd_wg=0v224&amp;qid=1692740263&amp;ref_=sbx_be_s_sparkle_lsi4d_asin_1_title&amp;sr=1-2-9e67e56a-6f64-441f-a281-df67fc737124&amp;th=1</t>
  </si>
  <si>
    <t>Dual Male-Female Luer Lock Cap</t>
  </si>
  <si>
    <t>seal the female inlet and male outlet of the Sterivex cartridge</t>
  </si>
  <si>
    <t>39 filters * 2 size fractions * 1 end * 4 sites = 312</t>
  </si>
  <si>
    <t>https://www.amazon.com/Dispense-All-Dual-Male-Female-Non-sterile/dp/B09MJNQTKL/ref=sr_1_1_sspa?hvadid=580848591987&amp;hvdev=c&amp;hvlocphy=9028157&amp;hvnetw=g&amp;hvqmt=b&amp;hvrand=8665125998377599350&amp;hvtargid=kwd-1458610911823&amp;hydadcr=19823_13385321&amp;keywords=luer+lock+male+cap&amp;qid=1692807904&amp;sr=8-1-spons&amp;sp_csd=d2lkZ2V0TmFtZT1zcF9hdGY&amp;psc=1</t>
  </si>
  <si>
    <t>Whirl-Pak, 1 oz capacity, B01067WA</t>
  </si>
  <si>
    <t>store the Sterivex cartridge in individual whirl-paks to minimize cross contamination</t>
  </si>
  <si>
    <t>39 filters * 2 size fractions * 4 sites = 312</t>
  </si>
  <si>
    <t>500/box</t>
  </si>
  <si>
    <t>https://www.southernlabware.com/whirl-pakr-write-on-bags-1oz-29ml.html?gclid=Cj0KCQjw3JanBhCPARIsAJpXTx7qfQsCCV65NmJAkGHuiJJ9Ljkd2NJyMmIVH3n6TocCjB0ebejQ62waAu-rEALw_wcB</t>
  </si>
  <si>
    <t>Nitex Nylon Mesh Filter Sieve, 80 micron x 40"</t>
  </si>
  <si>
    <t>used for pre-filtering the seawater sample to remove large particles</t>
  </si>
  <si>
    <t>12 sieve sheet * 4 sites = 48</t>
  </si>
  <si>
    <t>sieve sheet</t>
  </si>
  <si>
    <t>https://dynamicaquasupply.com/en-us/products/nitex-screen?variant=6945749467179</t>
  </si>
  <si>
    <t>Laboratory supplies</t>
  </si>
  <si>
    <t>PVC pipe cutter, Ridgid PC-1250</t>
  </si>
  <si>
    <t>used to open the Sterivex cartridge and release the filter</t>
  </si>
  <si>
    <t>1 only</t>
  </si>
  <si>
    <t>https://www.grainger.com/product/2CVH7?gucid=N:N:PS:Paid:GGL:CSM-2295:4P7A1P:20501231&amp;gclid=Cj0KCQjw3JanBhCPARIsAJpXTx5F-efQre5frtIapR4biqY9GDHgLJWZHorixR4y8YRclEcgA4nTSfQaAkE4EALw_wcB&amp;gclsrc=aw.ds</t>
  </si>
  <si>
    <t>United Scientific Disposable Petri Dishes, 90 mm</t>
  </si>
  <si>
    <t>sterile dish to temporarily hold the filters during DNA extraction</t>
  </si>
  <si>
    <t>10/pk</t>
  </si>
  <si>
    <t>https://www.globalindustrial.com/p/60mm-x-15mm-petri-dish-sterile-clear-500-case?infoParam.campaignId=T9F&amp;gclid=Cj0KCQjwuZGnBhD1ARIsACxbAVhrZsVIVeHSOX2z6v4xw4sVhmDXecBs08p61KGLICmnOX86YBmhxYsaAvQoEALw_wcB</t>
  </si>
  <si>
    <t>Qiagen blood and tissue kit</t>
  </si>
  <si>
    <t>kit used to extract DNA from 0.45 um filter</t>
  </si>
  <si>
    <t>156 preps</t>
  </si>
  <si>
    <t>4 x 96-well</t>
  </si>
  <si>
    <t>https://www.qiagen.com/us/products/discovery-and-translational-research/dna-rna-purification/dna-purification/genomic-dna/dneasy-blood-and-tissue-kit?catno=69581</t>
  </si>
  <si>
    <t xml:space="preserve">Qiagen Plant Mini Kit </t>
  </si>
  <si>
    <t>kit used to extract DNA from 0.22 um filter</t>
  </si>
  <si>
    <t>250 preps/box</t>
  </si>
  <si>
    <t>https://www.qiagen.com/us/products/discovery-and-translational-research/dna-rna-purification/dna-purification/genomic-dna/dneasy-plant-pro-and-plant-kits?catno=69206</t>
  </si>
  <si>
    <t>PCR Kit and primers</t>
  </si>
  <si>
    <t>used for amplifying the target metabarcoding marker</t>
  </si>
  <si>
    <t>see oligos sheet</t>
  </si>
  <si>
    <t xml:space="preserve">Taggi Matrix Library Preparation for high throughput sequencing </t>
  </si>
  <si>
    <t>preparation of libraries for sequencing</t>
  </si>
  <si>
    <t>156 samples * 4 loci = 624 libraries</t>
  </si>
  <si>
    <t>see taggimatrix-itru sheet</t>
  </si>
  <si>
    <t>Consumables (gloves, pipet tips, tubes, gloves, bleach, ethanol)</t>
  </si>
  <si>
    <t>consumables used in the laboratory</t>
  </si>
  <si>
    <t>Contractual</t>
  </si>
  <si>
    <t xml:space="preserve">Illumina NovaSeq 6000 PE 250 lane </t>
  </si>
  <si>
    <t>paired end sequencing using Illumina NovaSeq 6000</t>
  </si>
  <si>
    <t>USD 5500/lane; 1 lane = 400 M read pairs</t>
  </si>
  <si>
    <t>400 M read pairs/lane</t>
  </si>
  <si>
    <t>Shipment of MOA, TAMUCC to PHL</t>
  </si>
  <si>
    <t>shipment of original copies of MOA from TAMU-CC to the Philippines</t>
  </si>
  <si>
    <t>1 way * 4 sites = 4</t>
  </si>
  <si>
    <t>https://www.fedex.com/en-us/home.html#</t>
  </si>
  <si>
    <t>Shipment of sampling kit, TAMUCC to PHL</t>
  </si>
  <si>
    <t>shipment of sampling kit from TAMU-CC to the Philippines</t>
  </si>
  <si>
    <t>Shipment of samples, PHL – TAMUCC</t>
  </si>
  <si>
    <t>shipment of samples from the Philippines to TAMU-CC</t>
  </si>
  <si>
    <t>1 way * 4 sites; use GCL FedEx acct</t>
  </si>
  <si>
    <t>Normalize DNA</t>
  </si>
  <si>
    <t>cost /rxn</t>
  </si>
  <si>
    <t>number rxns</t>
  </si>
  <si>
    <t>cost</t>
  </si>
  <si>
    <t>fluor quant</t>
  </si>
  <si>
    <t>Taggi matrix</t>
  </si>
  <si>
    <t>item</t>
  </si>
  <si>
    <t>ul/rxn</t>
  </si>
  <si>
    <t>ul/container</t>
  </si>
  <si>
    <t>pcr mix 2x</t>
  </si>
  <si>
    <t>tips plates</t>
  </si>
  <si>
    <t>gel</t>
  </si>
  <si>
    <t>mag bead clean</t>
  </si>
  <si>
    <t>spri select</t>
  </si>
  <si>
    <t>Itru PCR</t>
  </si>
  <si>
    <t>pippen size select</t>
  </si>
  <si>
    <t>frag analyze</t>
  </si>
  <si>
    <t>qpcr</t>
  </si>
  <si>
    <t>total</t>
  </si>
  <si>
    <t>descrip</t>
  </si>
  <si>
    <t>quant</t>
  </si>
  <si>
    <t>amount/pkg</t>
  </si>
  <si>
    <t>rxns</t>
  </si>
  <si>
    <t>unit cost</t>
  </si>
  <si>
    <t>TaggiMatrix: iTru Fusion F Primers with Internal Tags 16s</t>
  </si>
  <si>
    <t>TaggiMatrix: iTru Fusion R Primers with Internal Tags 16s</t>
  </si>
  <si>
    <t>Itru5 primers</t>
  </si>
  <si>
    <t>iTru7 primers</t>
  </si>
  <si>
    <t>Number sieves</t>
  </si>
  <si>
    <t>Nitex Mesh 80um, 40" x 36"</t>
  </si>
  <si>
    <t>https://dynamicaquasupply.com/en-us/products/nitex-screen</t>
  </si>
  <si>
    <t>3" pvc coupling</t>
  </si>
  <si>
    <t>3" pvc pipe 10'</t>
  </si>
  <si>
    <t>loci</t>
  </si>
  <si>
    <t>filters</t>
  </si>
  <si>
    <t>num novaseq lanes</t>
  </si>
  <si>
    <t>novaseq</t>
  </si>
  <si>
    <t>novaseq price</t>
  </si>
  <si>
    <t>miseq</t>
  </si>
  <si>
    <t>cost per rxn</t>
  </si>
  <si>
    <t>internal tamucc customer cost</t>
  </si>
  <si>
    <t>DESS</t>
  </si>
  <si>
    <t>dneasy 96 powersoil pro kit</t>
  </si>
  <si>
    <t>4 x 96 well plates</t>
  </si>
  <si>
    <t>MagAttract PowerSoilPro DNA EP Kit (384)</t>
  </si>
  <si>
    <t xml:space="preserve">Omega BioTek Mag-Bind® Environmental DNA 96 Kit </t>
  </si>
  <si>
    <t>5 x 96 well plates</t>
  </si>
  <si>
    <t>Mag-Bind® Blood &amp; Tissue DNA HDQ 96 Kit</t>
  </si>
  <si>
    <t>24 x 96 well plates</t>
  </si>
  <si>
    <t>Qiagen blood and tissue</t>
  </si>
  <si>
    <t>12 x 96 well plates</t>
  </si>
  <si>
    <t>E-Z 96™ Tissue DNA Kit</t>
  </si>
  <si>
    <t>Sum of amount-proposed</t>
  </si>
  <si>
    <r>
      <t>Line Item</t>
    </r>
    <r>
      <rPr>
        <sz val="11"/>
        <rFont val="Calibri"/>
        <charset val="1"/>
      </rPr>
      <t> </t>
    </r>
  </si>
  <si>
    <t>Personnel </t>
  </si>
  <si>
    <t>PhD student salary, fringe benefits, and tuition for one semester </t>
  </si>
  <si>
    <t>Items that will be sent to collaborators to collect and filter seawater </t>
  </si>
  <si>
    <t>Laboratory Supplies </t>
  </si>
  <si>
    <t>Laboratory items and reagents needed to process samples, from eDNA extraction up to library preparation for sequencing </t>
  </si>
  <si>
    <t>Contractual </t>
  </si>
  <si>
    <t>Sequencing costs; shipment fees of items (e.g., collection kits, samples) to and from the Philippines </t>
  </si>
  <si>
    <t>Grand Total</t>
  </si>
  <si>
    <t>Total </t>
  </si>
  <si>
    <t>Description</t>
  </si>
  <si>
    <t>Cost</t>
  </si>
  <si>
    <t>eDNA Collection Kit  </t>
  </si>
  <si>
    <t>Line Item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</si>
</sst>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6" formatCode="_([$$-409]* #,##0_);_([$$-409]* \(#,##0\);_([$$-409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ptos"/>
      <family val="2"/>
    </font>
    <font>
      <sz val="11"/>
      <name val="Calibri"/>
      <charset val="1"/>
    </font>
    <font>
      <b/>
      <sz val="1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44" fontId="0" fillId="0" borderId="0" xfId="1" applyFont="1" applyAlignment="1">
      <alignment horizontal="right" vertical="top"/>
    </xf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/>
    </xf>
    <xf numFmtId="44" fontId="1" fillId="0" borderId="2" xfId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8" fontId="4" fillId="0" borderId="0" xfId="0" applyNumberFormat="1" applyFont="1" applyAlignment="1">
      <alignment vertical="top"/>
    </xf>
    <xf numFmtId="0" fontId="3" fillId="0" borderId="0" xfId="2" applyAlignment="1">
      <alignment vertical="top"/>
    </xf>
    <xf numFmtId="44" fontId="0" fillId="0" borderId="0" xfId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44" fontId="0" fillId="0" borderId="1" xfId="1" applyFont="1" applyBorder="1" applyAlignment="1">
      <alignment horizontal="right" vertical="top"/>
    </xf>
    <xf numFmtId="44" fontId="0" fillId="0" borderId="0" xfId="1" applyFont="1" applyFill="1" applyAlignment="1">
      <alignment horizontal="right" vertical="top"/>
    </xf>
    <xf numFmtId="0" fontId="3" fillId="0" borderId="0" xfId="2" applyFill="1" applyAlignment="1">
      <alignment vertical="top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right"/>
    </xf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vertical="top" wrapText="1"/>
    </xf>
    <xf numFmtId="166" fontId="6" fillId="0" borderId="3" xfId="0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vertical="top" wrapText="1"/>
    </xf>
    <xf numFmtId="166" fontId="6" fillId="0" borderId="0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vertical="top" wrapText="1"/>
    </xf>
    <xf numFmtId="166" fontId="6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wrapText="1"/>
    </xf>
    <xf numFmtId="44" fontId="0" fillId="0" borderId="0" xfId="1" applyFont="1" applyAlignment="1">
      <alignment vertical="top" wrapText="1"/>
    </xf>
    <xf numFmtId="0" fontId="0" fillId="0" borderId="2" xfId="0" applyBorder="1" applyAlignment="1">
      <alignment vertical="top" wrapText="1"/>
    </xf>
    <xf numFmtId="44" fontId="0" fillId="0" borderId="2" xfId="1" applyFont="1" applyBorder="1" applyAlignment="1">
      <alignment vertical="top" wrapText="1"/>
    </xf>
    <xf numFmtId="166" fontId="6" fillId="0" borderId="2" xfId="0" applyNumberFormat="1" applyFont="1" applyBorder="1" applyAlignment="1">
      <alignment horizontal="right" wrapText="1"/>
    </xf>
  </cellXfs>
  <cellStyles count="3">
    <cellStyle name="Currency" xfId="1" builtinId="4"/>
    <cellStyle name="Hyperlink" xfId="2" builtinId="8"/>
    <cellStyle name="Normal" xfId="0" builtinId="0"/>
  </cellStyles>
  <dxfs count="2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2198625</xdr:colOff>
      <xdr:row>31</xdr:row>
      <xdr:rowOff>70679</xdr:rowOff>
    </xdr:from>
    <xdr:to>
      <xdr:col>2</xdr:col>
      <xdr:colOff>1970271</xdr:colOff>
      <xdr:row>44</xdr:row>
      <xdr:rowOff>18002</xdr:rowOff>
    </xdr:to>
    <xdr:pic>
      <xdr:nvPicPr>
        <xdr:cNvPr id="2" name="Picture 1" descr="Plankton DNA extraction from Sterivex filter units">
          <a:extLst>
            <a:ext uri="{FF2B5EF4-FFF2-40B4-BE49-F238E27FC236}">
              <a16:creationId xmlns:a16="http://schemas.microsoft.com/office/drawing/2014/main" id="{61AF8EDE-090E-A4F5-6BAC-C272B2D7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3125" y="6806215"/>
          <a:ext cx="1962396" cy="225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2190544</xdr:colOff>
      <xdr:row>45</xdr:row>
      <xdr:rowOff>18415</xdr:rowOff>
    </xdr:from>
    <xdr:to>
      <xdr:col>2</xdr:col>
      <xdr:colOff>1981240</xdr:colOff>
      <xdr:row>57</xdr:row>
      <xdr:rowOff>152156</xdr:rowOff>
    </xdr:to>
    <xdr:pic>
      <xdr:nvPicPr>
        <xdr:cNvPr id="3" name="Picture 2" descr="Plankton DNA extraction from Sterivex filter units">
          <a:extLst>
            <a:ext uri="{FF2B5EF4-FFF2-40B4-BE49-F238E27FC236}">
              <a16:creationId xmlns:a16="http://schemas.microsoft.com/office/drawing/2014/main" id="{E85D2DEB-936B-45FB-8F80-0809C9F7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044" y="9230451"/>
          <a:ext cx="1973826" cy="225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rd, Chris" id="{AE78B2EC-0346-4CEB-9126-914C97BB4175}" userId="S::Chris.Bird@tamucc.edu::bc755951-c795-4bc4-88fb-751a86e11e79" providerId="AD"/>
  <person displayName="Labrador, Kevin" id="{0A44F298-83A3-4CBA-B586-8A6D079BF174}" userId="S::klabrador@islander.tamucc.edu::09a0a055-7062-4115-90cf-b754a01a514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2.397482638888" createdVersion="8" refreshedVersion="8" minRefreshableVersion="3" recordCount="22" xr:uid="{11C15D81-1317-4194-91F1-447BDB898A55}">
  <cacheSource type="worksheet">
    <worksheetSource ref="A6:I28" sheet="budget kevin get paid"/>
  </cacheSource>
  <cacheFields count="9">
    <cacheField name="line-item" numFmtId="0">
      <sharedItems count="5">
        <s v="Personnel"/>
        <s v="Collection Kit"/>
        <s v="Laboratory supplies"/>
        <s v="Contractual"/>
        <s v="Fringe Benefits" u="1"/>
      </sharedItems>
    </cacheField>
    <cacheField name="particulars" numFmtId="0">
      <sharedItems/>
    </cacheField>
    <cacheField name="justification" numFmtId="0">
      <sharedItems containsBlank="1"/>
    </cacheField>
    <cacheField name="estimated qty" numFmtId="0">
      <sharedItems containsBlank="1"/>
    </cacheField>
    <cacheField name="unit-sold" numFmtId="0">
      <sharedItems containsBlank="1"/>
    </cacheField>
    <cacheField name="qty" numFmtId="0">
      <sharedItems containsString="0" containsBlank="1" containsNumber="1" minValue="0.32500000000000001" maxValue="624"/>
    </cacheField>
    <cacheField name="unit-cost" numFmtId="0">
      <sharedItems containsString="0" containsBlank="1" containsNumber="1" minValue="5.35" maxValue="5500"/>
    </cacheField>
    <cacheField name="amount-proposed" numFmtId="44">
      <sharedItems containsString="0" containsBlank="1" containsNumber="1" minValue="13.99" maxValue="9000"/>
    </cacheField>
    <cacheField name="reference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PhD student salary"/>
    <s v="the student will be responsible in coordinating with collaborators from the Philippines, perform laboratory and bioinformatics to work to generate and analyze the data, and prepare reports"/>
    <s v="1 personnel * 2.25 months"/>
    <m/>
    <m/>
    <m/>
    <n v="9000"/>
    <s v="Budget_XXXXX_CNMI_Aug2023.xlsx"/>
  </r>
  <r>
    <x v="0"/>
    <s v="Tuition Fee"/>
    <m/>
    <s v="1 semester"/>
    <m/>
    <m/>
    <m/>
    <n v="3591"/>
    <s v="Budget_XXXXX_CNMI_Aug2023.xlsx"/>
  </r>
  <r>
    <x v="0"/>
    <s v="Fringe benefits, PhD student rate"/>
    <s v="total fringe benefit for the student, including insurance"/>
    <s v="1 personnel * 2.25 months"/>
    <m/>
    <m/>
    <m/>
    <n v="2241"/>
    <s v="Budget_XXXXX_CNMI_Aug2023.xlsx"/>
  </r>
  <r>
    <x v="1"/>
    <s v="300 mL syringe"/>
    <s v="filter seawater sample through the sterivex cartridge"/>
    <s v="3 syringes * 4 sites = 12"/>
    <s v="1/pk"/>
    <n v="12"/>
    <n v="12.12"/>
    <n v="145.44"/>
    <s v="https://www.amazon.com/Syringes-Dispensing-Scientific-Watering-Refilling/dp/B07T7MN36N"/>
  </r>
  <r>
    <x v="1"/>
    <s v="Collection bucket, 5 gal, with lid"/>
    <s v="used to collect seawater which will be used for filtration"/>
    <s v="1 bucket * 4 sites = 4"/>
    <s v="1/pc"/>
    <n v="4"/>
    <n v="5.76"/>
    <n v="23.04"/>
    <s v="https://www.walmart.com/ip/United-Solutions-5-Gallon-Round-Utility-Bucket-Comfort-Handle-Plastic-White-PN0149-1-Each/407475628?athbdg=L1102"/>
  </r>
  <r>
    <x v="1"/>
    <s v="Sterivex Filtration Units, 0.45 um, 15 units, male nipple outlet, SVHV010RS"/>
    <s v="filter used to capture eDNA from seawater"/>
    <s v="39 filters * 4 sites = 156"/>
    <s v="50/pk"/>
    <n v="4"/>
    <n v="294.22000000000003"/>
    <n v="1176.8800000000001"/>
    <s v="https://www.fishersci.com/shop/products/emd-millipore-sterivex-sterile-pressure-driven-devices-12/SVHVL10RC"/>
  </r>
  <r>
    <x v="1"/>
    <s v="Sterivex Filtration Units, 0.22 um, 50 units, male nipple outlet, SVGP01050"/>
    <s v="filter used to capture eDNA from seawater"/>
    <s v="39 filters * 4 sites = 156"/>
    <s v="50/pk"/>
    <n v="4"/>
    <n v="293.61"/>
    <n v="1174.44"/>
    <s v="https://www.fishersci.com/shop/products/emd-millipore-sterivex-sterile-pressure-driven-devices-12/SVGP01050"/>
  </r>
  <r>
    <x v="1"/>
    <s v="3 mL syringe for preservative "/>
    <s v="administer preservative to the Sterivex cartridge"/>
    <s v="3 preservatives * 4 sites = 12"/>
    <s v="100/pk"/>
    <n v="1"/>
    <n v="13.99"/>
    <n v="13.99"/>
    <s v="https://www.amazon.com/dp/B0B51DX4LF/ref=redir_mobile_desktop?_encoding=UTF8&amp;aaxitk=7f741d9445a8c5076066e7084228d4e0&amp;content-id=amzn1.sym.cd95889f-432f-43a7-8ec8-833616493f4a%3Aamzn1.sym.cd95889f-432f-43a7-8ec8-833616493f4a&amp;hsa_cr_id=2703596190501&amp;pd_rd_plhdr=t&amp;pd_rd_r=60765755-8a98-4161-a74c-9b86be61c6a1&amp;pd_rd_w=pAKCr&amp;pd_rd_wg=0v224&amp;qid=1692740263&amp;ref_=sbx_be_s_sparkle_lsi4d_asin_1_title&amp;sr=1-2-9e67e56a-6f64-441f-a281-df67fc737124&amp;th=1"/>
  </r>
  <r>
    <x v="1"/>
    <s v="Dual Male-Female Luer Lock Cap"/>
    <s v="seal the female inlet and male outlet of the Sterivex cartridge"/>
    <s v="39 filters * 2 size fractions * 1 end * 4 sites = 312"/>
    <s v="100/pk"/>
    <n v="4"/>
    <n v="19.989999999999998"/>
    <n v="79.959999999999994"/>
    <s v="https://www.amazon.com/Dispense-All-Dual-Male-Female-Non-sterile/dp/B09MJNQTKL/ref=sr_1_1_sspa?hvadid=580848591987&amp;hvdev=c&amp;hvlocphy=9028157&amp;hvnetw=g&amp;hvqmt=b&amp;hvrand=8665125998377599350&amp;hvtargid=kwd-1458610911823&amp;hydadcr=19823_13385321&amp;keywords=luer+lock+male+cap&amp;qid=1692807904&amp;sr=8-1-spons&amp;sp_csd=d2lkZ2V0TmFtZT1zcF9hdGY&amp;psc=1"/>
  </r>
  <r>
    <x v="1"/>
    <s v="Whirl-Pak, 1 oz capacity, B01067WA"/>
    <s v="store the Sterivex cartridge in individual whirl-paks to minimize cross contamination"/>
    <s v="39 filters * 2 size fractions * 4 sites = 312"/>
    <s v="500/box"/>
    <n v="1"/>
    <n v="53.76"/>
    <n v="53.76"/>
    <s v="https://www.southernlabware.com/whirl-pakr-write-on-bags-1oz-29ml.html?gclid=Cj0KCQjw3JanBhCPARIsAJpXTx7qfQsCCV65NmJAkGHuiJJ9Ljkd2NJyMmIVH3n6TocCjB0ebejQ62waAu-rEALw_wcB"/>
  </r>
  <r>
    <x v="1"/>
    <s v="Nitex Nylon Mesh Filter Sieve, 80 micron x 40&quot;"/>
    <s v="used for pre-filtering the seawater sample to remove large particles"/>
    <s v="12 sieve sheet * 4 sites = 48"/>
    <s v="sieve sheet"/>
    <n v="48"/>
    <n v="5.5"/>
    <n v="264"/>
    <s v="https://dynamicaquasupply.com/en-us/products/nitex-screen?variant=6945749467179"/>
  </r>
  <r>
    <x v="2"/>
    <s v="PVC pipe cutter, Ridgid PC-1250"/>
    <s v="used to open the Sterivex cartridge and release the filter"/>
    <s v="1 only"/>
    <s v="1/pk"/>
    <n v="1"/>
    <n v="25.98"/>
    <n v="25.98"/>
    <s v="https://www.grainger.com/product/2CVH7?gucid=N:N:PS:Paid:GGL:CSM-2295:4P7A1P:20501231&amp;gclid=Cj0KCQjw3JanBhCPARIsAJpXTx5F-efQre5frtIapR4biqY9GDHgLJWZHorixR4y8YRclEcgA4nTSfQaAkE4EALw_wcB&amp;gclsrc=aw.ds"/>
  </r>
  <r>
    <x v="2"/>
    <s v="United Scientific Disposable Petri Dishes, 90 mm"/>
    <s v="sterile dish to temporarily hold the filters during DNA extraction"/>
    <s v="39 filters * 2 size fractions * 4 sites = 312"/>
    <s v="10/pk"/>
    <n v="40"/>
    <n v="5.35"/>
    <n v="214"/>
    <s v="https://www.globalindustrial.com/p/60mm-x-15mm-petri-dish-sterile-clear-500-case?infoParam.campaignId=T9F&amp;gclid=Cj0KCQjwuZGnBhD1ARIsACxbAVhrZsVIVeHSOX2z6v4xw4sVhmDXecBs08p61KGLICmnOX86YBmhxYsaAvQoEALw_wcB"/>
  </r>
  <r>
    <x v="2"/>
    <s v="Qiagen blood and tissue kit"/>
    <s v="kit used to extract DNA from 0.45 um filter"/>
    <s v="156 preps"/>
    <s v="4 x 96-well"/>
    <n v="1"/>
    <n v="2127.7600000000002"/>
    <n v="2127.7600000000002"/>
    <s v="https://www.qiagen.com/us/products/discovery-and-translational-research/dna-rna-purification/dna-purification/genomic-dna/dneasy-blood-and-tissue-kit?catno=69581"/>
  </r>
  <r>
    <x v="2"/>
    <s v="Qiagen Plant Mini Kit "/>
    <s v="kit used to extract DNA from 0.22 um filter"/>
    <s v="156 preps"/>
    <s v="250 preps/box"/>
    <n v="1"/>
    <n v="1916.76"/>
    <n v="1916.76"/>
    <s v="https://www.qiagen.com/us/products/discovery-and-translational-research/dna-rna-purification/dna-purification/genomic-dna/dneasy-plant-pro-and-plant-kits?catno=69206"/>
  </r>
  <r>
    <x v="2"/>
    <s v="PCR Kit and primers"/>
    <s v="used for amplifying the target metabarcoding marker"/>
    <m/>
    <s v="see oligos sheet"/>
    <n v="1"/>
    <n v="557.33000000000004"/>
    <n v="557.33000000000004"/>
    <m/>
  </r>
  <r>
    <x v="2"/>
    <s v="Taggi Matrix Library Preparation for high throughput sequencing "/>
    <s v="preparation of libraries for sequencing"/>
    <s v="156 samples * 4 loci = 624 libraries"/>
    <s v="see taggimatrix-itru sheet"/>
    <n v="624"/>
    <n v="6.4813791196581194"/>
    <n v="4044.3805706666667"/>
    <m/>
  </r>
  <r>
    <x v="2"/>
    <s v="Consumables (gloves, pipet tips, tubes, gloves, bleach, ethanol)"/>
    <s v="consumables used in the laboratory"/>
    <m/>
    <m/>
    <m/>
    <m/>
    <m/>
    <m/>
  </r>
  <r>
    <x v="3"/>
    <s v="Illumina NovaSeq 6000 PE 250 lane "/>
    <s v="paired end sequencing using Illumina NovaSeq 6000"/>
    <s v="USD 5500/lane; 1 lane = 400 M read pairs"/>
    <s v="400 M read pairs/lane"/>
    <n v="0.32500000000000001"/>
    <n v="5500"/>
    <n v="1787.5"/>
    <m/>
  </r>
  <r>
    <x v="3"/>
    <s v="Shipment of MOA, TAMUCC to PHL"/>
    <s v="shipment of original copies of MOA from TAMU-CC to the Philippines"/>
    <s v="1 way * 4 sites = 4"/>
    <m/>
    <n v="4"/>
    <n v="82.06"/>
    <n v="328.24"/>
    <s v="https://www.fedex.com/en-us/home.html#"/>
  </r>
  <r>
    <x v="3"/>
    <s v="Shipment of sampling kit, TAMUCC to PHL"/>
    <s v="shipment of sampling kit from TAMU-CC to the Philippines"/>
    <s v="1 way * 4 sites = 4"/>
    <m/>
    <n v="4"/>
    <n v="212.845"/>
    <n v="851.38"/>
    <s v="https://www.fedex.com/en-us/home.html#"/>
  </r>
  <r>
    <x v="3"/>
    <s v="Shipment of samples, PHL – TAMUCC"/>
    <s v="shipment of samples from the Philippines to TAMU-CC"/>
    <s v="1 way * 4 sites; use GCL FedEx acct"/>
    <m/>
    <n v="4"/>
    <n v="95.79"/>
    <n v="383.16"/>
    <s v="https://www.fedex.com/en-us/home.html#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12487-E7FC-4413-B68F-A140E9F5AB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7" firstHeaderRow="1" firstDataRow="1" firstDataCol="1"/>
  <pivotFields count="9">
    <pivotField axis="axisRow" compact="0" outline="0" showAll="0">
      <items count="6">
        <item x="1"/>
        <item x="3"/>
        <item m="1" x="4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amount-proposed" fld="7" baseField="0" baseItem="0" numFmtId="164"/>
  </dataFields>
  <formats count="2">
    <format dxfId="1">
      <pivotArea outline="0" fieldPosition="0">
        <references count="1">
          <reference field="0" count="0" selected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1" dT="2023-08-24T14:17:46.91" personId="{0A44F298-83A3-4CBA-B586-8A6D079BF174}" id="{02973064-07D9-416B-BD68-ADF64285054D}">
    <text>Bucket (3.78) and Lid (1.98) sold separately</text>
  </threadedComment>
  <threadedComment ref="G20" dT="2023-08-24T00:49:36.84" personId="{AE78B2EC-0346-4CEB-9126-914C97BB4175}" id="{E3D886BC-309B-4A35-898B-6E53D9D9F19E}">
    <text>$1.25 per reaction is the est cost of consumables from gcl pricing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3-08-24T00:16:59.36" personId="{AE78B2EC-0346-4CEB-9126-914C97BB4175}" id="{5861D0B3-53AA-427C-B0B5-22489D54347D}">
    <text>156 filters * 4 loci = 624 which with neg ctrls etc is 7 places.   So we est 7 plates *96 wells * 3 reps of pcr</text>
  </threadedComment>
  <threadedComment ref="F11" dT="2023-08-24T00:18:49.56" personId="{AE78B2EC-0346-4CEB-9126-914C97BB4175}" id="{F2C86DE7-168F-4AFB-8AA9-F45F38A6E787}">
    <text>Because the 156 filters will be processed on 2 plates, and there are 4 loci, we are increasing the number of reactions here to account for the additonal plate cost</text>
  </threadedComment>
  <threadedComment ref="F13" dT="2023-08-24T00:26:23.72" personId="{AE78B2EC-0346-4CEB-9126-914C97BB4175}" id="{259EBE06-F003-4132-99A6-1D1872C2EDBA}">
    <text>Pool triplicate pcrs before bead clean/spri select</text>
  </threadedComment>
  <threadedComment ref="F14" dT="2023-08-24T00:26:23.72" personId="{AE78B2EC-0346-4CEB-9126-914C97BB4175}" id="{0B9EDDC8-36C5-4481-BA08-7BE2FF076D7C}">
    <text>Pool triplicate pcrs before bead clean/spri select</text>
  </threadedComment>
  <threadedComment ref="F19" dT="2023-08-24T00:20:55.21" personId="{AE78B2EC-0346-4CEB-9126-914C97BB4175}" id="{B7878E06-96BB-4AA2-8EB9-AD5FDB614075}">
    <text>8 pools * 3 reps of pcr</text>
  </threadedComment>
  <threadedComment ref="F21" dT="2023-08-24T00:20:41.83" personId="{AE78B2EC-0346-4CEB-9126-914C97BB4175}" id="{2C4A5E76-92A1-41E9-AC79-7FE954441740}">
    <text>Pcrs are pools prior to a double bead cleanup, thus 8 pools * 2 cleanups</text>
  </threadedComment>
  <threadedComment ref="F22" dT="2023-08-24T00:21:46.72" personId="{AE78B2EC-0346-4CEB-9126-914C97BB4175}" id="{6F39E4F3-E7B4-44F4-9B6E-4F811D5FC536}">
    <text>8 pools cleaned for seq</text>
  </threadedComment>
  <threadedComment ref="F23" dT="2023-08-24T00:27:41.51" personId="{AE78B2EC-0346-4CEB-9126-914C97BB4175}" id="{52804565-8BCB-44D7-9A34-0C218E05D1E0}">
    <text>5 wells per cassette on pippen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8-20T17:59:37.87" personId="{AE78B2EC-0346-4CEB-9126-914C97BB4175}" id="{68248B3C-6523-4C4D-BBA9-8AFBCE54080E}">
    <text>From supp file s1 of Glenn et al 2019, adapteramaII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6" dT="2023-08-18T21:29:09.33" personId="{AE78B2EC-0346-4CEB-9126-914C97BB4175}" id="{490AEE83-EC2B-4C0F-901C-8C549ACD5018}">
    <text>This is what we base our pricing on in the gcl price list</text>
  </threadedComment>
  <threadedComment ref="H6" dT="2023-08-18T21:29:46.52" personId="{AE78B2EC-0346-4CEB-9126-914C97BB4175}" id="{1ADBB1E9-4280-4868-B0CE-17D5E7CCA3C5}">
    <text>This is how much we charge for tips etc, and this should be added to cost of other extraction kits above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walmart.com/ip/United-Solutions-5-Gallon-Round-Utility-Bucket-Comfort-Handle-Plastic-White-PN0149-1-Each/407475628?athbdg=L110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qiagen.com/us/products/discovery-and-translational-research/dna-rna-purification/dna-purification/genomic-dna/dneasy-blood-and-tissue-kit?catno=69581" TargetMode="External"/><Relationship Id="rId1" Type="http://schemas.openxmlformats.org/officeDocument/2006/relationships/hyperlink" Target="https://www.fishersci.com/shop/products/emd-millipore-sterivex-sterile-pressure-driven-devices-12/SVGP0105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Syringes-Dispensing-Scientific-Watering-Refilling/dp/B07T7MN36N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G1" zoomScaleNormal="100" workbookViewId="0">
      <selection activeCell="F23" sqref="F23"/>
    </sheetView>
  </sheetViews>
  <sheetFormatPr defaultColWidth="8.83984375" defaultRowHeight="14.4" x14ac:dyDescent="0.55000000000000004"/>
  <cols>
    <col min="1" max="1" width="25" style="5" customWidth="1"/>
    <col min="2" max="2" width="25.41796875" style="5" customWidth="1"/>
    <col min="3" max="3" width="75.41796875" style="6" customWidth="1"/>
    <col min="4" max="4" width="51.26171875" style="5" bestFit="1" customWidth="1"/>
    <col min="5" max="5" width="19" style="7" bestFit="1" customWidth="1"/>
    <col min="6" max="6" width="13.26171875" style="7" customWidth="1"/>
    <col min="7" max="7" width="13.26171875" style="8" customWidth="1"/>
    <col min="8" max="8" width="17.68359375" style="8" customWidth="1"/>
    <col min="9" max="9" width="21.68359375" style="5" customWidth="1"/>
    <col min="10" max="16384" width="8.83984375" style="5"/>
  </cols>
  <sheetData>
    <row r="1" spans="1:10" x14ac:dyDescent="0.55000000000000004">
      <c r="A1" s="5" t="s">
        <v>0</v>
      </c>
    </row>
    <row r="2" spans="1:10" x14ac:dyDescent="0.55000000000000004">
      <c r="A2" s="5" t="s">
        <v>1</v>
      </c>
      <c r="B2" s="9">
        <v>30000</v>
      </c>
    </row>
    <row r="3" spans="1:10" x14ac:dyDescent="0.55000000000000004">
      <c r="A3" s="5" t="s">
        <v>2</v>
      </c>
      <c r="B3" s="10">
        <f>SUM(H7:H28)</f>
        <v>30000.000570666671</v>
      </c>
    </row>
    <row r="4" spans="1:10" x14ac:dyDescent="0.55000000000000004">
      <c r="A4" s="5" t="s">
        <v>3</v>
      </c>
      <c r="B4" s="10">
        <f>B2-B3</f>
        <v>-5.7066667068284005E-4</v>
      </c>
    </row>
    <row r="6" spans="1:10" s="15" customFormat="1" x14ac:dyDescent="0.55000000000000004">
      <c r="A6" s="11" t="s">
        <v>4</v>
      </c>
      <c r="B6" s="11" t="s">
        <v>5</v>
      </c>
      <c r="C6" s="12" t="s">
        <v>6</v>
      </c>
      <c r="D6" s="11" t="s">
        <v>7</v>
      </c>
      <c r="E6" s="13" t="s">
        <v>8</v>
      </c>
      <c r="F6" s="13" t="s">
        <v>9</v>
      </c>
      <c r="G6" s="14" t="s">
        <v>10</v>
      </c>
      <c r="H6" s="14" t="s">
        <v>11</v>
      </c>
      <c r="I6" s="11" t="s">
        <v>12</v>
      </c>
    </row>
    <row r="7" spans="1:10" ht="43.2" x14ac:dyDescent="0.55000000000000004">
      <c r="A7" s="5" t="s">
        <v>13</v>
      </c>
      <c r="B7" s="6" t="s">
        <v>14</v>
      </c>
      <c r="C7" s="6" t="s">
        <v>15</v>
      </c>
      <c r="D7" s="5" t="s">
        <v>16</v>
      </c>
      <c r="H7" s="8">
        <v>9000</v>
      </c>
      <c r="I7" s="5" t="s">
        <v>17</v>
      </c>
    </row>
    <row r="8" spans="1:10" x14ac:dyDescent="0.55000000000000004">
      <c r="A8" s="5" t="s">
        <v>13</v>
      </c>
      <c r="B8" s="6" t="s">
        <v>18</v>
      </c>
      <c r="D8" s="5" t="s">
        <v>19</v>
      </c>
      <c r="H8" s="8">
        <v>3591</v>
      </c>
      <c r="I8" s="5" t="s">
        <v>17</v>
      </c>
    </row>
    <row r="9" spans="1:10" ht="28.8" x14ac:dyDescent="0.55000000000000004">
      <c r="A9" s="5" t="s">
        <v>13</v>
      </c>
      <c r="B9" s="6" t="s">
        <v>20</v>
      </c>
      <c r="C9" s="6" t="s">
        <v>21</v>
      </c>
      <c r="D9" s="5" t="s">
        <v>16</v>
      </c>
      <c r="H9" s="8">
        <v>2241</v>
      </c>
      <c r="I9" s="5" t="s">
        <v>17</v>
      </c>
    </row>
    <row r="10" spans="1:10" x14ac:dyDescent="0.55000000000000004">
      <c r="A10" s="5" t="s">
        <v>22</v>
      </c>
      <c r="B10" s="6" t="s">
        <v>23</v>
      </c>
      <c r="C10" s="6" t="s">
        <v>24</v>
      </c>
      <c r="D10" s="5" t="s">
        <v>25</v>
      </c>
      <c r="E10" s="7" t="s">
        <v>26</v>
      </c>
      <c r="F10" s="7">
        <v>12</v>
      </c>
      <c r="G10" s="8">
        <v>12.12</v>
      </c>
      <c r="H10" s="8">
        <f t="shared" ref="H10:H22" si="0">G10*F10</f>
        <v>145.44</v>
      </c>
      <c r="I10" s="20" t="s">
        <v>27</v>
      </c>
    </row>
    <row r="11" spans="1:10" ht="28.8" x14ac:dyDescent="0.55000000000000004">
      <c r="A11" s="5" t="s">
        <v>22</v>
      </c>
      <c r="B11" s="6" t="s">
        <v>28</v>
      </c>
      <c r="C11" s="6" t="s">
        <v>29</v>
      </c>
      <c r="D11" s="5" t="s">
        <v>30</v>
      </c>
      <c r="E11" s="7" t="s">
        <v>31</v>
      </c>
      <c r="F11" s="7">
        <v>4</v>
      </c>
      <c r="G11" s="8">
        <f>3.78+1.98</f>
        <v>5.76</v>
      </c>
      <c r="H11" s="8">
        <f t="shared" si="0"/>
        <v>23.04</v>
      </c>
      <c r="I11" s="20" t="s">
        <v>32</v>
      </c>
    </row>
    <row r="12" spans="1:10" ht="43.2" x14ac:dyDescent="0.55000000000000004">
      <c r="A12" s="5" t="s">
        <v>22</v>
      </c>
      <c r="B12" s="16" t="s">
        <v>33</v>
      </c>
      <c r="C12" s="6" t="s">
        <v>34</v>
      </c>
      <c r="D12" s="5" t="s">
        <v>35</v>
      </c>
      <c r="E12" s="17" t="s">
        <v>36</v>
      </c>
      <c r="F12" s="18">
        <v>4</v>
      </c>
      <c r="G12" s="19">
        <v>294.22000000000003</v>
      </c>
      <c r="H12" s="8">
        <f t="shared" si="0"/>
        <v>1176.8800000000001</v>
      </c>
      <c r="I12" s="5" t="s">
        <v>37</v>
      </c>
      <c r="J12" s="10">
        <f>G12/50</f>
        <v>5.8844000000000003</v>
      </c>
    </row>
    <row r="13" spans="1:10" ht="43.2" x14ac:dyDescent="0.55000000000000004">
      <c r="A13" s="5" t="s">
        <v>22</v>
      </c>
      <c r="B13" s="16" t="s">
        <v>38</v>
      </c>
      <c r="C13" s="6" t="s">
        <v>34</v>
      </c>
      <c r="D13" s="5" t="s">
        <v>35</v>
      </c>
      <c r="E13" s="17" t="s">
        <v>36</v>
      </c>
      <c r="F13" s="18">
        <v>4</v>
      </c>
      <c r="G13" s="19">
        <v>293.61</v>
      </c>
      <c r="H13" s="8">
        <f t="shared" si="0"/>
        <v>1174.44</v>
      </c>
      <c r="I13" s="20" t="s">
        <v>39</v>
      </c>
      <c r="J13" s="10">
        <f>G13/50</f>
        <v>5.8722000000000003</v>
      </c>
    </row>
    <row r="14" spans="1:10" x14ac:dyDescent="0.55000000000000004">
      <c r="A14" s="5" t="s">
        <v>22</v>
      </c>
      <c r="B14" s="6" t="s">
        <v>40</v>
      </c>
      <c r="C14" s="6" t="s">
        <v>41</v>
      </c>
      <c r="D14" s="5" t="s">
        <v>42</v>
      </c>
      <c r="E14" s="7" t="s">
        <v>43</v>
      </c>
      <c r="F14" s="7">
        <v>1</v>
      </c>
      <c r="G14" s="8">
        <v>13.99</v>
      </c>
      <c r="H14" s="8">
        <f t="shared" si="0"/>
        <v>13.99</v>
      </c>
      <c r="I14" s="5" t="s">
        <v>44</v>
      </c>
    </row>
    <row r="15" spans="1:10" ht="28.8" x14ac:dyDescent="0.55000000000000004">
      <c r="A15" s="5" t="s">
        <v>22</v>
      </c>
      <c r="B15" s="6" t="s">
        <v>45</v>
      </c>
      <c r="C15" s="6" t="s">
        <v>46</v>
      </c>
      <c r="D15" s="5" t="s">
        <v>47</v>
      </c>
      <c r="E15" s="7" t="s">
        <v>43</v>
      </c>
      <c r="F15" s="7">
        <v>4</v>
      </c>
      <c r="G15" s="8">
        <v>19.989999999999998</v>
      </c>
      <c r="H15" s="8">
        <f t="shared" si="0"/>
        <v>79.959999999999994</v>
      </c>
      <c r="I15" s="5" t="s">
        <v>48</v>
      </c>
    </row>
    <row r="16" spans="1:10" ht="28.8" x14ac:dyDescent="0.55000000000000004">
      <c r="A16" s="5" t="s">
        <v>22</v>
      </c>
      <c r="B16" s="6" t="s">
        <v>49</v>
      </c>
      <c r="C16" s="6" t="s">
        <v>50</v>
      </c>
      <c r="D16" s="5" t="s">
        <v>51</v>
      </c>
      <c r="E16" s="7" t="s">
        <v>52</v>
      </c>
      <c r="F16" s="7">
        <v>1</v>
      </c>
      <c r="G16" s="8">
        <v>53.76</v>
      </c>
      <c r="H16" s="8">
        <f t="shared" si="0"/>
        <v>53.76</v>
      </c>
      <c r="I16" s="5" t="s">
        <v>53</v>
      </c>
    </row>
    <row r="17" spans="1:9" ht="28.8" x14ac:dyDescent="0.55000000000000004">
      <c r="A17" s="5" t="s">
        <v>22</v>
      </c>
      <c r="B17" s="6" t="s">
        <v>54</v>
      </c>
      <c r="C17" s="6" t="s">
        <v>55</v>
      </c>
      <c r="D17" s="5" t="s">
        <v>56</v>
      </c>
      <c r="E17" s="7" t="s">
        <v>57</v>
      </c>
      <c r="F17" s="7">
        <v>48</v>
      </c>
      <c r="G17" s="8">
        <v>5.5</v>
      </c>
      <c r="H17" s="8">
        <f t="shared" si="0"/>
        <v>264</v>
      </c>
      <c r="I17" s="5" t="s">
        <v>58</v>
      </c>
    </row>
    <row r="18" spans="1:9" ht="28.8" x14ac:dyDescent="0.55000000000000004">
      <c r="A18" s="5" t="s">
        <v>59</v>
      </c>
      <c r="B18" s="6" t="s">
        <v>60</v>
      </c>
      <c r="C18" s="6" t="s">
        <v>61</v>
      </c>
      <c r="D18" s="5" t="s">
        <v>62</v>
      </c>
      <c r="E18" s="7" t="s">
        <v>26</v>
      </c>
      <c r="F18" s="7">
        <v>1</v>
      </c>
      <c r="G18" s="8">
        <v>25.98</v>
      </c>
      <c r="H18" s="8">
        <f t="shared" si="0"/>
        <v>25.98</v>
      </c>
      <c r="I18" s="5" t="s">
        <v>63</v>
      </c>
    </row>
    <row r="19" spans="1:9" ht="28.8" x14ac:dyDescent="0.55000000000000004">
      <c r="A19" s="5" t="s">
        <v>59</v>
      </c>
      <c r="B19" s="6" t="s">
        <v>64</v>
      </c>
      <c r="C19" s="6" t="s">
        <v>65</v>
      </c>
      <c r="D19" s="5" t="s">
        <v>51</v>
      </c>
      <c r="E19" s="7" t="s">
        <v>66</v>
      </c>
      <c r="F19" s="7">
        <v>40</v>
      </c>
      <c r="G19" s="8">
        <v>5.35</v>
      </c>
      <c r="H19" s="8">
        <f t="shared" si="0"/>
        <v>214</v>
      </c>
      <c r="I19" s="5" t="s">
        <v>67</v>
      </c>
    </row>
    <row r="20" spans="1:9" x14ac:dyDescent="0.55000000000000004">
      <c r="A20" s="5" t="s">
        <v>59</v>
      </c>
      <c r="B20" t="s">
        <v>68</v>
      </c>
      <c r="C20" s="6" t="s">
        <v>69</v>
      </c>
      <c r="D20" s="5" t="s">
        <v>70</v>
      </c>
      <c r="E20" s="7" t="s">
        <v>71</v>
      </c>
      <c r="F20" s="7">
        <v>1</v>
      </c>
      <c r="G20" s="27">
        <f>1690+384*1.14</f>
        <v>2127.7600000000002</v>
      </c>
      <c r="H20" s="27">
        <f t="shared" si="0"/>
        <v>2127.7600000000002</v>
      </c>
      <c r="I20" s="28" t="s">
        <v>72</v>
      </c>
    </row>
    <row r="21" spans="1:9" x14ac:dyDescent="0.55000000000000004">
      <c r="A21" s="5" t="s">
        <v>59</v>
      </c>
      <c r="B21" s="6" t="s">
        <v>73</v>
      </c>
      <c r="C21" s="6" t="s">
        <v>74</v>
      </c>
      <c r="D21" s="5" t="s">
        <v>70</v>
      </c>
      <c r="E21" s="7" t="s">
        <v>75</v>
      </c>
      <c r="F21" s="7">
        <v>1</v>
      </c>
      <c r="G21" s="27">
        <f>1479+1.14*384</f>
        <v>1916.76</v>
      </c>
      <c r="H21" s="27">
        <f t="shared" si="0"/>
        <v>1916.76</v>
      </c>
      <c r="I21" s="5" t="s">
        <v>76</v>
      </c>
    </row>
    <row r="22" spans="1:9" x14ac:dyDescent="0.55000000000000004">
      <c r="A22" s="5" t="s">
        <v>59</v>
      </c>
      <c r="B22" s="6" t="s">
        <v>77</v>
      </c>
      <c r="C22" s="6" t="s">
        <v>78</v>
      </c>
      <c r="E22" s="7" t="s">
        <v>79</v>
      </c>
      <c r="F22" s="7">
        <v>1</v>
      </c>
      <c r="G22" s="8">
        <v>557.33000000000004</v>
      </c>
      <c r="H22" s="8">
        <f t="shared" si="0"/>
        <v>557.33000000000004</v>
      </c>
    </row>
    <row r="23" spans="1:9" ht="43.2" x14ac:dyDescent="0.55000000000000004">
      <c r="A23" s="5" t="s">
        <v>59</v>
      </c>
      <c r="B23" s="6" t="s">
        <v>80</v>
      </c>
      <c r="C23" s="6" t="s">
        <v>81</v>
      </c>
      <c r="D23" s="5" t="s">
        <v>82</v>
      </c>
      <c r="E23" s="7" t="s">
        <v>83</v>
      </c>
      <c r="F23" s="7">
        <f>156*4</f>
        <v>624</v>
      </c>
      <c r="G23" s="8">
        <v>6.4813791196581194</v>
      </c>
      <c r="H23" s="8">
        <f>F23*G23</f>
        <v>4044.3805706666667</v>
      </c>
    </row>
    <row r="24" spans="1:9" ht="43.2" x14ac:dyDescent="0.55000000000000004">
      <c r="A24" s="5" t="s">
        <v>59</v>
      </c>
      <c r="B24" s="6" t="s">
        <v>84</v>
      </c>
      <c r="C24" s="6" t="s">
        <v>85</v>
      </c>
    </row>
    <row r="25" spans="1:9" ht="28.8" x14ac:dyDescent="0.55000000000000004">
      <c r="A25" s="5" t="s">
        <v>86</v>
      </c>
      <c r="B25" s="6" t="s">
        <v>87</v>
      </c>
      <c r="C25" s="6" t="s">
        <v>88</v>
      </c>
      <c r="D25" s="5" t="s">
        <v>89</v>
      </c>
      <c r="E25" s="7" t="s">
        <v>90</v>
      </c>
      <c r="F25" s="7">
        <f>130/400</f>
        <v>0.32500000000000001</v>
      </c>
      <c r="G25" s="21">
        <v>5500</v>
      </c>
      <c r="H25" s="8">
        <f>F25*G25</f>
        <v>1787.5</v>
      </c>
    </row>
    <row r="26" spans="1:9" ht="28.8" x14ac:dyDescent="0.55000000000000004">
      <c r="A26" s="5" t="s">
        <v>86</v>
      </c>
      <c r="B26" s="6" t="s">
        <v>91</v>
      </c>
      <c r="C26" s="6" t="s">
        <v>92</v>
      </c>
      <c r="D26" s="22" t="s">
        <v>93</v>
      </c>
      <c r="F26" s="7">
        <v>4</v>
      </c>
      <c r="G26" s="8">
        <f>164.12*0.5</f>
        <v>82.06</v>
      </c>
      <c r="H26" s="8">
        <f>F26*G26</f>
        <v>328.24</v>
      </c>
      <c r="I26" s="5" t="s">
        <v>94</v>
      </c>
    </row>
    <row r="27" spans="1:9" ht="28.8" x14ac:dyDescent="0.55000000000000004">
      <c r="A27" s="5" t="s">
        <v>86</v>
      </c>
      <c r="B27" s="6" t="s">
        <v>95</v>
      </c>
      <c r="C27" s="6" t="s">
        <v>96</v>
      </c>
      <c r="D27" s="5" t="s">
        <v>93</v>
      </c>
      <c r="F27" s="7">
        <v>4</v>
      </c>
      <c r="G27" s="8">
        <f>425.69*0.5</f>
        <v>212.845</v>
      </c>
      <c r="H27" s="8">
        <f>F27*G27</f>
        <v>851.38</v>
      </c>
      <c r="I27" s="5" t="s">
        <v>94</v>
      </c>
    </row>
    <row r="28" spans="1:9" ht="28.8" x14ac:dyDescent="0.55000000000000004">
      <c r="A28" s="23" t="s">
        <v>86</v>
      </c>
      <c r="B28" s="24" t="s">
        <v>97</v>
      </c>
      <c r="C28" s="24" t="s">
        <v>98</v>
      </c>
      <c r="D28" s="23" t="s">
        <v>99</v>
      </c>
      <c r="E28" s="25"/>
      <c r="F28" s="25">
        <v>4</v>
      </c>
      <c r="G28" s="26">
        <v>95.79</v>
      </c>
      <c r="H28" s="26">
        <f>F28*G28</f>
        <v>383.16</v>
      </c>
      <c r="I28" s="23" t="s">
        <v>94</v>
      </c>
    </row>
    <row r="35" spans="10:10" x14ac:dyDescent="0.55000000000000004">
      <c r="J35" s="5">
        <f>300/50</f>
        <v>6</v>
      </c>
    </row>
  </sheetData>
  <hyperlinks>
    <hyperlink ref="I13" r:id="rId1" xr:uid="{B22582FC-C20B-4445-9C1A-B05DAC4B22E9}"/>
    <hyperlink ref="I20" r:id="rId2" xr:uid="{90B5299A-FF40-4D1D-BF2A-CBD8959A0A77}"/>
    <hyperlink ref="I11" r:id="rId3" xr:uid="{CEAE7288-DABF-4CF9-8C96-5BE2B332B044}"/>
    <hyperlink ref="I10" r:id="rId4" xr:uid="{80017879-BA89-45E6-9D1B-D9E2E0B3BCE6}"/>
  </hyperlinks>
  <pageMargins left="0.7" right="0.7" top="0.75" bottom="0.75" header="0.3" footer="0.3"/>
  <pageSetup orientation="portrait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52C3-9F5E-4DA8-84F8-672FCA9BB345}">
  <dimension ref="A1:H30"/>
  <sheetViews>
    <sheetView topLeftCell="A11" workbookViewId="0">
      <selection activeCell="G28" sqref="G28"/>
    </sheetView>
  </sheetViews>
  <sheetFormatPr defaultRowHeight="14.4" x14ac:dyDescent="0.55000000000000004"/>
  <cols>
    <col min="1" max="1" width="13.578125" bestFit="1" customWidth="1"/>
    <col min="7" max="7" width="14.578125" customWidth="1"/>
  </cols>
  <sheetData>
    <row r="1" spans="1:7" x14ac:dyDescent="0.55000000000000004">
      <c r="A1" t="s">
        <v>100</v>
      </c>
      <c r="E1" t="s">
        <v>101</v>
      </c>
      <c r="F1" t="s">
        <v>102</v>
      </c>
      <c r="G1" t="s">
        <v>103</v>
      </c>
    </row>
    <row r="2" spans="1:7" x14ac:dyDescent="0.55000000000000004">
      <c r="A2" t="s">
        <v>104</v>
      </c>
      <c r="E2">
        <f>40/96</f>
        <v>0.41666666666666669</v>
      </c>
      <c r="F2">
        <f>7*96</f>
        <v>672</v>
      </c>
      <c r="G2" s="1">
        <f>F2*E2</f>
        <v>280</v>
      </c>
    </row>
    <row r="3" spans="1:7" x14ac:dyDescent="0.55000000000000004">
      <c r="G3" s="1"/>
    </row>
    <row r="8" spans="1:7" x14ac:dyDescent="0.55000000000000004">
      <c r="A8" t="s">
        <v>105</v>
      </c>
    </row>
    <row r="9" spans="1:7" x14ac:dyDescent="0.55000000000000004">
      <c r="A9" t="s">
        <v>106</v>
      </c>
      <c r="B9" t="s">
        <v>107</v>
      </c>
      <c r="C9" t="s">
        <v>108</v>
      </c>
      <c r="D9" t="s">
        <v>103</v>
      </c>
    </row>
    <row r="10" spans="1:7" x14ac:dyDescent="0.55000000000000004">
      <c r="A10" t="s">
        <v>109</v>
      </c>
      <c r="B10">
        <v>7.5</v>
      </c>
      <c r="C10">
        <v>1000</v>
      </c>
      <c r="D10">
        <v>1565.83</v>
      </c>
      <c r="E10">
        <f>D10/(1000*(25/B10))</f>
        <v>0.46974899999999997</v>
      </c>
      <c r="F10">
        <f>7*96*3</f>
        <v>2016</v>
      </c>
      <c r="G10" s="1">
        <f>F10*E10</f>
        <v>947.01398399999994</v>
      </c>
    </row>
    <row r="11" spans="1:7" x14ac:dyDescent="0.55000000000000004">
      <c r="A11" t="s">
        <v>110</v>
      </c>
      <c r="E11">
        <v>0.59</v>
      </c>
      <c r="F11">
        <f>8*96*3</f>
        <v>2304</v>
      </c>
      <c r="G11" s="1">
        <f>F11*E11</f>
        <v>1359.36</v>
      </c>
    </row>
    <row r="12" spans="1:7" x14ac:dyDescent="0.55000000000000004">
      <c r="A12" t="s">
        <v>111</v>
      </c>
      <c r="E12">
        <v>0.06</v>
      </c>
      <c r="F12">
        <f t="shared" ref="F12" si="0">7*96*3</f>
        <v>2016</v>
      </c>
      <c r="G12" s="1">
        <f t="shared" ref="G12:G13" si="1">F12*E12</f>
        <v>120.96</v>
      </c>
    </row>
    <row r="13" spans="1:7" x14ac:dyDescent="0.55000000000000004">
      <c r="A13" t="s">
        <v>112</v>
      </c>
      <c r="E13">
        <f>1.25/2</f>
        <v>0.625</v>
      </c>
      <c r="F13">
        <v>0</v>
      </c>
      <c r="G13" s="1">
        <f t="shared" si="1"/>
        <v>0</v>
      </c>
    </row>
    <row r="14" spans="1:7" x14ac:dyDescent="0.55000000000000004">
      <c r="A14" t="s">
        <v>113</v>
      </c>
      <c r="E14">
        <f>3.67/2</f>
        <v>1.835</v>
      </c>
      <c r="F14">
        <f>7*96</f>
        <v>672</v>
      </c>
      <c r="G14" s="1">
        <f t="shared" ref="G14" si="2">F14*E14</f>
        <v>1233.1199999999999</v>
      </c>
    </row>
    <row r="15" spans="1:7" x14ac:dyDescent="0.55000000000000004">
      <c r="E15">
        <f>SUM(E10:E13)</f>
        <v>1.7447490000000001</v>
      </c>
    </row>
    <row r="16" spans="1:7" x14ac:dyDescent="0.55000000000000004">
      <c r="G16" s="2">
        <f>SUM(G10:G14)</f>
        <v>3660.4539839999998</v>
      </c>
    </row>
    <row r="18" spans="1:8" x14ac:dyDescent="0.55000000000000004">
      <c r="A18" t="s">
        <v>114</v>
      </c>
    </row>
    <row r="19" spans="1:8" x14ac:dyDescent="0.55000000000000004">
      <c r="A19" t="s">
        <v>109</v>
      </c>
      <c r="B19">
        <v>25</v>
      </c>
      <c r="C19">
        <v>1000</v>
      </c>
      <c r="D19">
        <v>1565.83</v>
      </c>
      <c r="E19">
        <f>D19/(1000*(25/B19))</f>
        <v>1.5658299999999998</v>
      </c>
      <c r="F19">
        <f>8*3</f>
        <v>24</v>
      </c>
      <c r="G19" s="1">
        <f>F19*E19</f>
        <v>37.579919999999994</v>
      </c>
    </row>
    <row r="20" spans="1:8" x14ac:dyDescent="0.55000000000000004">
      <c r="A20" t="s">
        <v>110</v>
      </c>
      <c r="E20">
        <v>0.59</v>
      </c>
      <c r="F20">
        <f t="shared" ref="F20" si="3">8*3</f>
        <v>24</v>
      </c>
      <c r="G20" s="1">
        <f>F20*E20</f>
        <v>14.16</v>
      </c>
    </row>
    <row r="21" spans="1:8" x14ac:dyDescent="0.55000000000000004">
      <c r="A21" t="s">
        <v>112</v>
      </c>
      <c r="E21">
        <f>(50/15)*1.25/2</f>
        <v>2.0833333333333335</v>
      </c>
      <c r="F21">
        <v>16</v>
      </c>
      <c r="G21" s="1">
        <f t="shared" ref="G21" si="4">F21*E21</f>
        <v>33.333333333333336</v>
      </c>
    </row>
    <row r="22" spans="1:8" x14ac:dyDescent="0.55000000000000004">
      <c r="A22" t="s">
        <v>111</v>
      </c>
      <c r="E22">
        <v>0.06</v>
      </c>
      <c r="F22">
        <v>8</v>
      </c>
      <c r="G22" s="1">
        <f>F22*E22</f>
        <v>0.48</v>
      </c>
    </row>
    <row r="23" spans="1:8" x14ac:dyDescent="0.55000000000000004">
      <c r="A23" t="s">
        <v>115</v>
      </c>
      <c r="E23">
        <v>11.9</v>
      </c>
      <c r="F23">
        <v>10</v>
      </c>
      <c r="G23" s="1">
        <f>F23*E23</f>
        <v>119</v>
      </c>
    </row>
    <row r="24" spans="1:8" x14ac:dyDescent="0.55000000000000004">
      <c r="A24" t="s">
        <v>104</v>
      </c>
      <c r="E24">
        <f>40/96</f>
        <v>0.41666666666666669</v>
      </c>
      <c r="F24">
        <v>8</v>
      </c>
      <c r="G24" s="1">
        <f>F24*E24</f>
        <v>3.3333333333333335</v>
      </c>
    </row>
    <row r="25" spans="1:8" x14ac:dyDescent="0.55000000000000004">
      <c r="A25" t="s">
        <v>116</v>
      </c>
      <c r="E25">
        <v>3.13</v>
      </c>
      <c r="F25">
        <v>8</v>
      </c>
      <c r="G25" s="1">
        <f>F25*E25</f>
        <v>25.04</v>
      </c>
    </row>
    <row r="26" spans="1:8" x14ac:dyDescent="0.55000000000000004">
      <c r="A26" t="s">
        <v>117</v>
      </c>
      <c r="E26">
        <v>151</v>
      </c>
      <c r="F26">
        <v>1</v>
      </c>
      <c r="G26" s="1">
        <f>F26*E26</f>
        <v>151</v>
      </c>
    </row>
    <row r="27" spans="1:8" x14ac:dyDescent="0.55000000000000004">
      <c r="G27" s="2">
        <f>SUM(G19:G26)</f>
        <v>383.92658666666665</v>
      </c>
    </row>
    <row r="30" spans="1:8" x14ac:dyDescent="0.55000000000000004">
      <c r="F30" t="s">
        <v>118</v>
      </c>
      <c r="G30" s="2">
        <f>SUM(G16,G27)</f>
        <v>4044.3805706666662</v>
      </c>
      <c r="H30" s="2">
        <f>G30/(156*4)</f>
        <v>6.4813791196581194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0EC0-D25E-403D-8DCC-F2B4E81DDCC4}">
  <dimension ref="A1:I12"/>
  <sheetViews>
    <sheetView workbookViewId="0">
      <selection activeCell="G5" sqref="G5"/>
    </sheetView>
  </sheetViews>
  <sheetFormatPr defaultRowHeight="14.4" x14ac:dyDescent="0.55000000000000004"/>
  <cols>
    <col min="1" max="1" width="47.578125" bestFit="1" customWidth="1"/>
  </cols>
  <sheetData>
    <row r="1" spans="1:9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103</v>
      </c>
      <c r="G1" t="s">
        <v>118</v>
      </c>
    </row>
    <row r="2" spans="1:9" x14ac:dyDescent="0.55000000000000004">
      <c r="A2" t="s">
        <v>124</v>
      </c>
      <c r="B2">
        <v>12</v>
      </c>
      <c r="D2">
        <v>1</v>
      </c>
      <c r="E2">
        <v>21.5</v>
      </c>
      <c r="F2">
        <f>B2*E2*D2</f>
        <v>258</v>
      </c>
    </row>
    <row r="3" spans="1:9" x14ac:dyDescent="0.55000000000000004">
      <c r="A3" t="s">
        <v>125</v>
      </c>
      <c r="B3">
        <v>8</v>
      </c>
      <c r="D3">
        <v>1</v>
      </c>
      <c r="E3">
        <v>23.68</v>
      </c>
      <c r="F3">
        <f>B3*E3*D3</f>
        <v>189.44</v>
      </c>
      <c r="I3">
        <f>SUM(F2:F3)/20</f>
        <v>22.372</v>
      </c>
    </row>
    <row r="4" spans="1:9" x14ac:dyDescent="0.55000000000000004">
      <c r="A4" t="s">
        <v>126</v>
      </c>
      <c r="B4">
        <v>1</v>
      </c>
      <c r="D4" s="3">
        <v>3</v>
      </c>
      <c r="E4">
        <v>19.239999999999998</v>
      </c>
      <c r="F4">
        <f t="shared" ref="F4:F5" si="0">B4*E4*D4</f>
        <v>57.72</v>
      </c>
    </row>
    <row r="5" spans="1:9" x14ac:dyDescent="0.55000000000000004">
      <c r="A5" t="s">
        <v>127</v>
      </c>
      <c r="B5">
        <v>1</v>
      </c>
      <c r="D5" s="3">
        <v>3</v>
      </c>
      <c r="E5">
        <v>17.39</v>
      </c>
      <c r="F5">
        <f t="shared" si="0"/>
        <v>52.17</v>
      </c>
      <c r="G5">
        <f>SUM(F2:F5)</f>
        <v>557.32999999999993</v>
      </c>
    </row>
    <row r="12" spans="1:9" x14ac:dyDescent="0.55000000000000004">
      <c r="D12">
        <f>13*48</f>
        <v>624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05B2-E3CB-493F-9143-629D71738B81}">
  <dimension ref="A1:J6"/>
  <sheetViews>
    <sheetView workbookViewId="0">
      <selection activeCell="E6" sqref="E6"/>
    </sheetView>
  </sheetViews>
  <sheetFormatPr defaultRowHeight="14.4" x14ac:dyDescent="0.55000000000000004"/>
  <cols>
    <col min="1" max="1" width="23.41796875" bestFit="1" customWidth="1"/>
  </cols>
  <sheetData>
    <row r="1" spans="1:10" x14ac:dyDescent="0.55000000000000004">
      <c r="B1" t="s">
        <v>120</v>
      </c>
      <c r="C1" t="s">
        <v>103</v>
      </c>
      <c r="D1" t="s">
        <v>118</v>
      </c>
      <c r="E1" t="s">
        <v>128</v>
      </c>
    </row>
    <row r="2" spans="1:10" x14ac:dyDescent="0.55000000000000004">
      <c r="A2" t="s">
        <v>129</v>
      </c>
      <c r="B2">
        <v>1</v>
      </c>
      <c r="C2">
        <v>100</v>
      </c>
      <c r="D2" s="1">
        <f>B2*C2</f>
        <v>100</v>
      </c>
      <c r="E2">
        <f>12*13*B2</f>
        <v>156</v>
      </c>
      <c r="J2" t="s">
        <v>130</v>
      </c>
    </row>
    <row r="3" spans="1:10" x14ac:dyDescent="0.55000000000000004">
      <c r="A3" t="s">
        <v>131</v>
      </c>
      <c r="B3">
        <v>20</v>
      </c>
      <c r="C3">
        <v>4</v>
      </c>
      <c r="D3" s="1">
        <f>B3*C3</f>
        <v>80</v>
      </c>
      <c r="E3">
        <f>2*B3</f>
        <v>40</v>
      </c>
    </row>
    <row r="4" spans="1:10" x14ac:dyDescent="0.55000000000000004">
      <c r="A4" t="s">
        <v>132</v>
      </c>
      <c r="B4">
        <v>1</v>
      </c>
      <c r="C4">
        <v>40</v>
      </c>
      <c r="D4" s="1">
        <f>B4*C4</f>
        <v>40</v>
      </c>
      <c r="E4">
        <f>40*B4</f>
        <v>40</v>
      </c>
    </row>
    <row r="6" spans="1:10" x14ac:dyDescent="0.55000000000000004">
      <c r="E6" s="2">
        <f>SUM(D2:D4)/40</f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82A8-C2A2-46DF-9844-86E410D460A7}">
  <dimension ref="C4:H5"/>
  <sheetViews>
    <sheetView workbookViewId="0">
      <selection activeCell="D79" sqref="D79"/>
    </sheetView>
  </sheetViews>
  <sheetFormatPr defaultRowHeight="14.4" x14ac:dyDescent="0.55000000000000004"/>
  <sheetData>
    <row r="4" spans="3:8" x14ac:dyDescent="0.55000000000000004">
      <c r="C4" t="s">
        <v>133</v>
      </c>
      <c r="D4" t="s">
        <v>134</v>
      </c>
      <c r="E4" t="s">
        <v>135</v>
      </c>
      <c r="F4" t="s">
        <v>136</v>
      </c>
      <c r="G4" t="s">
        <v>137</v>
      </c>
      <c r="H4" t="s">
        <v>138</v>
      </c>
    </row>
    <row r="5" spans="3:8" x14ac:dyDescent="0.55000000000000004">
      <c r="C5">
        <v>4</v>
      </c>
      <c r="D5">
        <v>312</v>
      </c>
      <c r="E5">
        <f>100/400</f>
        <v>0.25</v>
      </c>
      <c r="F5">
        <f>(400000000*E5)/PRODUCT(C5:D5)</f>
        <v>80128.205128205125</v>
      </c>
      <c r="H5">
        <f>15000000/PRODUCT(C5:D5)</f>
        <v>12019.23076923077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6E2B-FDA5-4E25-AE7F-2A8BCDD1688E}">
  <dimension ref="A1:H10"/>
  <sheetViews>
    <sheetView workbookViewId="0">
      <selection activeCell="G3" sqref="G3:G9"/>
    </sheetView>
  </sheetViews>
  <sheetFormatPr defaultRowHeight="14.4" x14ac:dyDescent="0.55000000000000004"/>
  <cols>
    <col min="1" max="1" width="50" bestFit="1" customWidth="1"/>
    <col min="7" max="7" width="25.68359375" bestFit="1" customWidth="1"/>
  </cols>
  <sheetData>
    <row r="1" spans="1:8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139</v>
      </c>
      <c r="G1" t="s">
        <v>140</v>
      </c>
    </row>
    <row r="2" spans="1:8" x14ac:dyDescent="0.55000000000000004">
      <c r="A2" t="s">
        <v>141</v>
      </c>
    </row>
    <row r="3" spans="1:8" x14ac:dyDescent="0.55000000000000004">
      <c r="A3" t="s">
        <v>142</v>
      </c>
      <c r="B3">
        <v>1</v>
      </c>
      <c r="C3" t="s">
        <v>143</v>
      </c>
      <c r="D3">
        <v>384</v>
      </c>
      <c r="E3">
        <v>3063</v>
      </c>
      <c r="F3" s="2">
        <f t="shared" ref="F3:F9" si="0">E3/D3</f>
        <v>7.9765625</v>
      </c>
      <c r="G3" s="1">
        <f>2*F3+$H$6</f>
        <v>17.199652777777779</v>
      </c>
    </row>
    <row r="4" spans="1:8" x14ac:dyDescent="0.55000000000000004">
      <c r="A4" t="s">
        <v>144</v>
      </c>
      <c r="B4">
        <v>1</v>
      </c>
      <c r="C4" t="s">
        <v>143</v>
      </c>
      <c r="D4">
        <v>384</v>
      </c>
      <c r="E4">
        <v>2681</v>
      </c>
      <c r="F4" s="2">
        <f t="shared" si="0"/>
        <v>6.981770833333333</v>
      </c>
      <c r="G4" s="1">
        <f>2*F4+$H$6</f>
        <v>15.210069444444443</v>
      </c>
    </row>
    <row r="5" spans="1:8" ht="15.6" x14ac:dyDescent="0.6">
      <c r="A5" s="4" t="s">
        <v>145</v>
      </c>
      <c r="B5">
        <v>1</v>
      </c>
      <c r="C5" t="s">
        <v>146</v>
      </c>
      <c r="D5">
        <v>384</v>
      </c>
      <c r="E5">
        <v>1438.3</v>
      </c>
      <c r="F5" s="2">
        <f t="shared" si="0"/>
        <v>3.7455729166666667</v>
      </c>
      <c r="G5" s="1">
        <f>2*F5+$H$6</f>
        <v>8.7376736111111111</v>
      </c>
    </row>
    <row r="6" spans="1:8" x14ac:dyDescent="0.55000000000000004">
      <c r="A6" t="s">
        <v>147</v>
      </c>
      <c r="B6">
        <v>1</v>
      </c>
      <c r="C6" t="s">
        <v>148</v>
      </c>
      <c r="D6">
        <f>96*24</f>
        <v>2304</v>
      </c>
      <c r="E6">
        <v>4900</v>
      </c>
      <c r="F6" s="2">
        <f t="shared" si="0"/>
        <v>2.1267361111111112</v>
      </c>
      <c r="G6" s="1">
        <v>5.5</v>
      </c>
      <c r="H6" s="2">
        <f>G6-2*F6</f>
        <v>1.2465277777777777</v>
      </c>
    </row>
    <row r="7" spans="1:8" x14ac:dyDescent="0.55000000000000004">
      <c r="A7" t="s">
        <v>149</v>
      </c>
      <c r="B7">
        <v>1</v>
      </c>
      <c r="C7" t="s">
        <v>143</v>
      </c>
      <c r="D7">
        <v>384</v>
      </c>
      <c r="E7">
        <v>1690</v>
      </c>
      <c r="F7" s="2">
        <f t="shared" si="0"/>
        <v>4.401041666666667</v>
      </c>
      <c r="G7" s="1">
        <f>2*F7+$H$6</f>
        <v>10.048611111111111</v>
      </c>
      <c r="H7" s="2"/>
    </row>
    <row r="8" spans="1:8" x14ac:dyDescent="0.55000000000000004">
      <c r="A8" t="s">
        <v>149</v>
      </c>
      <c r="B8">
        <v>1</v>
      </c>
      <c r="C8" t="s">
        <v>150</v>
      </c>
      <c r="D8">
        <f>12*96</f>
        <v>1152</v>
      </c>
      <c r="E8">
        <v>4775</v>
      </c>
      <c r="F8" s="2">
        <f t="shared" si="0"/>
        <v>4.1449652777777777</v>
      </c>
      <c r="G8" s="1">
        <f>2*F8+$H$6</f>
        <v>9.5364583333333321</v>
      </c>
      <c r="H8" s="2"/>
    </row>
    <row r="9" spans="1:8" x14ac:dyDescent="0.55000000000000004">
      <c r="A9" t="s">
        <v>151</v>
      </c>
      <c r="B9">
        <v>1</v>
      </c>
      <c r="C9" t="s">
        <v>143</v>
      </c>
      <c r="D9">
        <v>384</v>
      </c>
      <c r="E9">
        <v>967.3</v>
      </c>
      <c r="F9" s="2">
        <f t="shared" si="0"/>
        <v>2.5190104166666667</v>
      </c>
      <c r="G9" s="1">
        <f>2*F9+$H$6</f>
        <v>6.2845486111111111</v>
      </c>
      <c r="H9" s="2"/>
    </row>
    <row r="10" spans="1:8" x14ac:dyDescent="0.55000000000000004">
      <c r="F10" s="2"/>
      <c r="G10" s="1"/>
      <c r="H10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C478-A49F-4C05-B941-030BCFF95EC2}">
  <dimension ref="A2:H13"/>
  <sheetViews>
    <sheetView showGridLines="0" tabSelected="1" topLeftCell="B1" workbookViewId="0">
      <selection activeCell="F7" sqref="D2:F7"/>
    </sheetView>
  </sheetViews>
  <sheetFormatPr defaultRowHeight="14.4" x14ac:dyDescent="0.55000000000000004"/>
  <cols>
    <col min="1" max="1" width="18.578125" bestFit="1" customWidth="1"/>
    <col min="2" max="2" width="24.41796875" bestFit="1" customWidth="1"/>
    <col min="4" max="4" width="19.83984375" customWidth="1"/>
    <col min="5" max="5" width="37.26171875" customWidth="1"/>
    <col min="6" max="6" width="18.68359375" style="31" customWidth="1"/>
    <col min="8" max="8" width="12.83984375" customWidth="1"/>
  </cols>
  <sheetData>
    <row r="2" spans="1:8" x14ac:dyDescent="0.55000000000000004">
      <c r="A2" s="29" t="s">
        <v>4</v>
      </c>
      <c r="B2" t="s">
        <v>152</v>
      </c>
      <c r="D2" s="32" t="s">
        <v>153</v>
      </c>
      <c r="E2" s="32" t="s">
        <v>163</v>
      </c>
      <c r="F2" s="33" t="s">
        <v>164</v>
      </c>
    </row>
    <row r="3" spans="1:8" ht="28.8" x14ac:dyDescent="0.55000000000000004">
      <c r="A3" t="s">
        <v>22</v>
      </c>
      <c r="B3" s="30">
        <v>2931.51</v>
      </c>
      <c r="D3" s="35" t="s">
        <v>154</v>
      </c>
      <c r="E3" s="35" t="s">
        <v>155</v>
      </c>
      <c r="F3" s="36">
        <f>9000+963+1265+3591</f>
        <v>14819</v>
      </c>
    </row>
    <row r="4" spans="1:8" ht="28.8" x14ac:dyDescent="0.55000000000000004">
      <c r="A4" t="s">
        <v>86</v>
      </c>
      <c r="B4" s="30">
        <v>3350.2799999999997</v>
      </c>
      <c r="D4" s="37" t="s">
        <v>165</v>
      </c>
      <c r="E4" s="37" t="s">
        <v>156</v>
      </c>
      <c r="F4" s="38">
        <f>B3</f>
        <v>2931.51</v>
      </c>
      <c r="H4" s="2"/>
    </row>
    <row r="5" spans="1:8" ht="43.2" x14ac:dyDescent="0.55000000000000004">
      <c r="A5" t="s">
        <v>59</v>
      </c>
      <c r="B5" s="30">
        <v>8886.2105706666662</v>
      </c>
      <c r="D5" s="37" t="s">
        <v>157</v>
      </c>
      <c r="E5" s="37" t="s">
        <v>158</v>
      </c>
      <c r="F5" s="38">
        <f>B5</f>
        <v>8886.2105706666662</v>
      </c>
    </row>
    <row r="6" spans="1:8" ht="43.2" x14ac:dyDescent="0.55000000000000004">
      <c r="A6" t="s">
        <v>13</v>
      </c>
      <c r="B6" s="30">
        <v>14832</v>
      </c>
      <c r="D6" s="39" t="s">
        <v>159</v>
      </c>
      <c r="E6" s="39" t="s">
        <v>160</v>
      </c>
      <c r="F6" s="40">
        <f>B4</f>
        <v>3350.2799999999997</v>
      </c>
    </row>
    <row r="7" spans="1:8" x14ac:dyDescent="0.55000000000000004">
      <c r="A7" t="s">
        <v>161</v>
      </c>
      <c r="B7" s="30">
        <v>30000.000570666667</v>
      </c>
      <c r="D7" s="34" t="s">
        <v>162</v>
      </c>
      <c r="E7" s="34"/>
      <c r="F7" s="45">
        <f>SUM(F3:F6)</f>
        <v>29987.000570666667</v>
      </c>
    </row>
    <row r="13" spans="1:8" x14ac:dyDescent="0.55000000000000004">
      <c r="E13">
        <f>0.107*9000</f>
        <v>963</v>
      </c>
    </row>
  </sheetData>
  <mergeCells count="1">
    <mergeCell ref="D7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86E6-B394-4E29-A8D9-53920932306A}">
  <dimension ref="A1:C6"/>
  <sheetViews>
    <sheetView showGridLines="0" workbookViewId="0">
      <selection sqref="A1:C6"/>
    </sheetView>
  </sheetViews>
  <sheetFormatPr defaultRowHeight="14.4" x14ac:dyDescent="0.55000000000000004"/>
  <cols>
    <col min="1" max="1" width="16.89453125" style="41" bestFit="1" customWidth="1"/>
    <col min="2" max="2" width="46.47265625" style="41" customWidth="1"/>
    <col min="3" max="3" width="10.7890625" style="41" bestFit="1" customWidth="1"/>
    <col min="4" max="16384" width="8.83984375" style="41"/>
  </cols>
  <sheetData>
    <row r="1" spans="1:3" x14ac:dyDescent="0.55000000000000004">
      <c r="A1" s="12" t="s">
        <v>166</v>
      </c>
      <c r="B1" s="12" t="s">
        <v>163</v>
      </c>
      <c r="C1" s="12" t="s">
        <v>164</v>
      </c>
    </row>
    <row r="2" spans="1:3" ht="28.8" x14ac:dyDescent="0.55000000000000004">
      <c r="A2" s="6" t="s">
        <v>154</v>
      </c>
      <c r="B2" s="6" t="s">
        <v>155</v>
      </c>
      <c r="C2" s="42">
        <v>14832</v>
      </c>
    </row>
    <row r="3" spans="1:3" ht="28.8" x14ac:dyDescent="0.55000000000000004">
      <c r="A3" s="6" t="s">
        <v>165</v>
      </c>
      <c r="B3" s="6" t="s">
        <v>156</v>
      </c>
      <c r="C3" s="42">
        <v>2931.51</v>
      </c>
    </row>
    <row r="4" spans="1:3" ht="28.8" x14ac:dyDescent="0.55000000000000004">
      <c r="A4" s="6" t="s">
        <v>157</v>
      </c>
      <c r="B4" s="6" t="s">
        <v>158</v>
      </c>
      <c r="C4" s="42">
        <v>8886.2105706666662</v>
      </c>
    </row>
    <row r="5" spans="1:3" ht="28.8" x14ac:dyDescent="0.55000000000000004">
      <c r="A5" s="6" t="s">
        <v>159</v>
      </c>
      <c r="B5" s="6" t="s">
        <v>160</v>
      </c>
      <c r="C5" s="42">
        <v>3350.2799999999997</v>
      </c>
    </row>
    <row r="6" spans="1:3" x14ac:dyDescent="0.55000000000000004">
      <c r="A6" s="43" t="s">
        <v>162</v>
      </c>
      <c r="B6" s="43"/>
      <c r="C6" s="44">
        <v>30000.000570666667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 kevin get paid</vt:lpstr>
      <vt:lpstr>taggimatrix-itru</vt:lpstr>
      <vt:lpstr>oligos</vt:lpstr>
      <vt:lpstr>sieve</vt:lpstr>
      <vt:lpstr>Sheet2</vt:lpstr>
      <vt:lpstr>extractions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Labrador</dc:creator>
  <cp:keywords/>
  <dc:description/>
  <cp:lastModifiedBy>Christopher Bird</cp:lastModifiedBy>
  <cp:revision/>
  <dcterms:created xsi:type="dcterms:W3CDTF">2015-06-05T18:17:20Z</dcterms:created>
  <dcterms:modified xsi:type="dcterms:W3CDTF">2023-09-01T13:40:18Z</dcterms:modified>
  <cp:category/>
  <cp:contentStatus/>
</cp:coreProperties>
</file>