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  <sheet state="visible" name="properage data" sheetId="2" r:id="rId5"/>
    <sheet state="visible" name="precise data" sheetId="3" r:id="rId6"/>
    <sheet state="visible" name="vaccination" sheetId="4" r:id="rId7"/>
    <sheet state="visible" name="centres" sheetId="5" r:id="rId8"/>
    <sheet state="visible" name="age group" sheetId="6" r:id="rId9"/>
    <sheet state="visible" name="GEN" sheetId="7" r:id="rId10"/>
    <sheet state="visible" name="vda" sheetId="8" r:id="rId11"/>
  </sheets>
  <definedNames/>
  <calcPr/>
</workbook>
</file>

<file path=xl/sharedStrings.xml><?xml version="1.0" encoding="utf-8"?>
<sst xmlns="http://schemas.openxmlformats.org/spreadsheetml/2006/main" count="82" uniqueCount="82">
  <si>
    <t>Age</t>
  </si>
  <si>
    <t>Male</t>
  </si>
  <si>
    <t>Female</t>
  </si>
  <si>
    <t>0–4 years</t>
  </si>
  <si>
    <t>5–17 years</t>
  </si>
  <si>
    <t>18–35 years</t>
  </si>
  <si>
    <t>36–55 years</t>
  </si>
  <si>
    <t>56 years &amp; above</t>
  </si>
  <si>
    <t>State/UT</t>
  </si>
  <si>
    <t>Confirmed Cases</t>
  </si>
  <si>
    <t>Active Cases</t>
  </si>
  <si>
    <t>Cured/Discharged</t>
  </si>
  <si>
    <t>Death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</si>
  <si>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</si>
  <si>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</si>
  <si>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</si>
  <si>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</si>
  <si>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</si>
  <si>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</si>
  <si>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</si>
  <si>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</si>
  <si>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</si>
  <si>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</si>
  <si>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</si>
  <si>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</si>
  <si>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</si>
  <si>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</si>
  <si>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</si>
  <si>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</si>
  <si>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</si>
  <si>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</si>
  <si>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</si>
  <si>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</si>
  <si>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</si>
  <si>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</si>
  <si>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</si>
  <si>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</si>
  <si>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</si>
  <si>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</si>
  <si>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</si>
  <si>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</si>
  <si>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</si>
  <si>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</si>
  <si>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</si>
  <si>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</si>
  <si>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</si>
  <si>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</si>
  <si>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</si>
  <si>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</si>
  <si>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centres</t>
  </si>
  <si>
    <t>count</t>
  </si>
  <si>
    <t>total centres</t>
  </si>
  <si>
    <t>govt centres</t>
  </si>
  <si>
    <t>private centres</t>
  </si>
  <si>
    <t>Age Group</t>
  </si>
  <si>
    <t>No. Cases</t>
  </si>
  <si>
    <t>Percent Cases</t>
  </si>
  <si>
    <t>No. Deaths</t>
  </si>
  <si>
    <t>Percent Deaths</t>
  </si>
  <si>
    <t>Percent CA Population</t>
  </si>
  <si>
    <t>&lt;5​​</t>
  </si>
  <si>
    <t>5–17</t>
  </si>
  <si>
    <t>18–34</t>
  </si>
  <si>
    <t>35–49</t>
  </si>
  <si>
    <t>50–59</t>
  </si>
  <si>
    <t>60–64</t>
  </si>
  <si>
    <t>65–69</t>
  </si>
  <si>
    <t>70–74</t>
  </si>
  <si>
    <t>75–79</t>
  </si>
  <si>
    <t>80+</t>
  </si>
  <si>
    <t>missing</t>
  </si>
  <si>
    <t>Total</t>
  </si>
  <si>
    <t>GENDER</t>
  </si>
  <si>
    <t>COUNT</t>
  </si>
  <si>
    <t>MALE</t>
  </si>
  <si>
    <t>1,00,61,58,755</t>
  </si>
  <si>
    <t>FEMALE</t>
  </si>
  <si>
    <t>96,74,83,070</t>
  </si>
  <si>
    <t>OTHERS</t>
  </si>
  <si>
    <t>4,80,923</t>
  </si>
  <si>
    <t>Vaccination</t>
  </si>
  <si>
    <t>2,20,67,38,461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</si>
</sst>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2E2E2E"/>
      <name val="Arial"/>
    </font>
    <font>
      <b/>
      <sz val="11.0"/>
      <color rgb="FF2E2E2E"/>
      <name val="ElsevierGulliver"/>
    </font>
    <font>
      <sz val="11.0"/>
      <color rgb="FF2E2E2E"/>
      <name val="ElsevierGulliver"/>
    </font>
    <font>
      <sz val="11.0"/>
      <color rgb="FF2E2E2E"/>
      <name val="Arial"/>
    </font>
    <font>
      <color theme="1"/>
      <name val="Arial"/>
    </font>
    <font>
      <b/>
      <sz val="14.0"/>
      <color rgb="FFFFFFFF"/>
      <name val="&quot;Source Sans Pro&quot;"/>
    </font>
    <font>
      <sz val="14.0"/>
      <color rgb="FF202020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005594"/>
        <bgColor rgb="FF005594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EBEBEB"/>
      </top>
      <bottom style="thin">
        <color rgb="FFEBEBEB"/>
      </bottom>
    </border>
    <border>
      <top style="thin">
        <color rgb="FFEBEBEB"/>
      </top>
    </border>
    <border>
      <left style="thin">
        <color rgb="FF005594"/>
      </left>
      <right style="thin">
        <color rgb="FF005594"/>
      </right>
      <top style="thin">
        <color rgb="FF005594"/>
      </top>
      <bottom style="thin">
        <color rgb="FF005594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/>
    </xf>
    <xf borderId="0" fillId="0" fontId="1" numFmtId="3" xfId="0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3" fillId="2" fontId="7" numFmtId="0" xfId="0" applyAlignment="1" applyBorder="1" applyFill="1" applyFont="1">
      <alignment horizontal="left" readingOrder="0" vertical="top"/>
    </xf>
    <xf borderId="3" fillId="3" fontId="8" numFmtId="0" xfId="0" applyAlignment="1" applyBorder="1" applyFill="1" applyFont="1">
      <alignment readingOrder="0" vertical="top"/>
    </xf>
    <xf borderId="3" fillId="3" fontId="8" numFmtId="3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IFERROR(__xludf.DUMMYFUNCTION("IMPORTHTML(""https://prsindia.org/covid-19/cases"",""table"",1)"),"#")</f>
        <v>#</v>
      </c>
      <c r="B1" s="1" t="str">
        <f>IFERROR(__xludf.DUMMYFUNCTION("""COMPUTED_VALUE"""),"State/UT")</f>
        <v>State/UT</v>
      </c>
      <c r="C1" s="1" t="str">
        <f>IFERROR(__xludf.DUMMYFUNCTION("""COMPUTED_VALUE"""),"Confirmed Cases")</f>
        <v>Confirmed Cases</v>
      </c>
      <c r="D1" s="1" t="str">
        <f>IFERROR(__xludf.DUMMYFUNCTION("""COMPUTED_VALUE"""),"Active Cases")</f>
        <v>Active Cases</v>
      </c>
      <c r="E1" s="1" t="str">
        <f>IFERROR(__xludf.DUMMYFUNCTION("""COMPUTED_VALUE"""),"Cured/Discharged")</f>
        <v>Cured/Discharged</v>
      </c>
      <c r="F1" s="1" t="str">
        <f>IFERROR(__xludf.DUMMYFUNCTION("""COMPUTED_VALUE"""),"Death")</f>
        <v>Death</v>
      </c>
    </row>
    <row r="2">
      <c r="A2" s="1">
        <f>IFERROR(__xludf.DUMMYFUNCTION("""COMPUTED_VALUE"""),1.0)</f>
        <v>1</v>
      </c>
      <c r="B2" s="1" t="str">
        <f>IFERROR(__xludf.DUMMYFUNCTION("""COMPUTED_VALUE"""),"Andaman and Nicobar Islands")</f>
        <v>Andaman and Nicobar Islands</v>
      </c>
      <c r="C2" s="1">
        <f>IFERROR(__xludf.DUMMYFUNCTION("""COMPUTED_VALUE"""),10157.0)</f>
        <v>10157</v>
      </c>
      <c r="D2" s="1">
        <f>IFERROR(__xludf.DUMMYFUNCTION("""COMPUTED_VALUE"""),42.0)</f>
        <v>42</v>
      </c>
      <c r="E2" s="1">
        <f>IFERROR(__xludf.DUMMYFUNCTION("""COMPUTED_VALUE"""),9986.0)</f>
        <v>9986</v>
      </c>
      <c r="F2" s="1">
        <f>IFERROR(__xludf.DUMMYFUNCTION("""COMPUTED_VALUE"""),129.0)</f>
        <v>129</v>
      </c>
    </row>
    <row r="3">
      <c r="A3" s="1">
        <f>IFERROR(__xludf.DUMMYFUNCTION("""COMPUTED_VALUE"""),2.0)</f>
        <v>2</v>
      </c>
      <c r="B3" s="1" t="str">
        <f>IFERROR(__xludf.DUMMYFUNCTION("""COMPUTED_VALUE"""),"Andhra Pradesh")</f>
        <v>Andhra Pradesh</v>
      </c>
      <c r="C3" s="1">
        <f>IFERROR(__xludf.DUMMYFUNCTION("""COMPUTED_VALUE"""),2321379.0)</f>
        <v>2321379</v>
      </c>
      <c r="D3" s="1">
        <f>IFERROR(__xludf.DUMMYFUNCTION("""COMPUTED_VALUE"""),755.0)</f>
        <v>755</v>
      </c>
      <c r="E3" s="1">
        <f>IFERROR(__xludf.DUMMYFUNCTION("""COMPUTED_VALUE"""),2305893.0)</f>
        <v>2305893</v>
      </c>
      <c r="F3" s="1">
        <f>IFERROR(__xludf.DUMMYFUNCTION("""COMPUTED_VALUE"""),14731.0)</f>
        <v>14731</v>
      </c>
    </row>
    <row r="4">
      <c r="A4" s="1">
        <f>IFERROR(__xludf.DUMMYFUNCTION("""COMPUTED_VALUE"""),3.0)</f>
        <v>3</v>
      </c>
      <c r="B4" s="1" t="str">
        <f>IFERROR(__xludf.DUMMYFUNCTION("""COMPUTED_VALUE"""),"Arunachal Pradesh")</f>
        <v>Arunachal Pradesh</v>
      </c>
      <c r="C4" s="1">
        <f>IFERROR(__xludf.DUMMYFUNCTION("""COMPUTED_VALUE"""),64518.0)</f>
        <v>64518</v>
      </c>
      <c r="D4" s="1">
        <f>IFERROR(__xludf.DUMMYFUNCTION("""COMPUTED_VALUE"""),4.0)</f>
        <v>4</v>
      </c>
      <c r="E4" s="1">
        <f>IFERROR(__xludf.DUMMYFUNCTION("""COMPUTED_VALUE"""),64218.0)</f>
        <v>64218</v>
      </c>
      <c r="F4" s="1">
        <f>IFERROR(__xludf.DUMMYFUNCTION("""COMPUTED_VALUE"""),296.0)</f>
        <v>296</v>
      </c>
    </row>
    <row r="5">
      <c r="A5" s="1">
        <f>IFERROR(__xludf.DUMMYFUNCTION("""COMPUTED_VALUE"""),4.0)</f>
        <v>4</v>
      </c>
      <c r="B5" s="1" t="str">
        <f>IFERROR(__xludf.DUMMYFUNCTION("""COMPUTED_VALUE"""),"Assam")</f>
        <v>Assam</v>
      </c>
      <c r="C5" s="1">
        <f>IFERROR(__xludf.DUMMYFUNCTION("""COMPUTED_VALUE"""),724788.0)</f>
        <v>724788</v>
      </c>
      <c r="D5" s="1">
        <f>IFERROR(__xludf.DUMMYFUNCTION("""COMPUTED_VALUE"""),395.0)</f>
        <v>395</v>
      </c>
      <c r="E5" s="1">
        <f>IFERROR(__xludf.DUMMYFUNCTION("""COMPUTED_VALUE"""),716405.0)</f>
        <v>716405</v>
      </c>
      <c r="F5" s="1">
        <f>IFERROR(__xludf.DUMMYFUNCTION("""COMPUTED_VALUE"""),7988.0)</f>
        <v>7988</v>
      </c>
    </row>
    <row r="6">
      <c r="A6" s="1">
        <f>IFERROR(__xludf.DUMMYFUNCTION("""COMPUTED_VALUE"""),5.0)</f>
        <v>5</v>
      </c>
      <c r="B6" s="1" t="str">
        <f>IFERROR(__xludf.DUMMYFUNCTION("""COMPUTED_VALUE"""),"Bihar")</f>
        <v>Bihar</v>
      </c>
      <c r="C6" s="1">
        <f>IFERROR(__xludf.DUMMYFUNCTION("""COMPUTED_VALUE"""),832581.0)</f>
        <v>832581</v>
      </c>
      <c r="D6" s="1">
        <f>IFERROR(__xludf.DUMMYFUNCTION("""COMPUTED_VALUE"""),934.0)</f>
        <v>934</v>
      </c>
      <c r="E6" s="1">
        <f>IFERROR(__xludf.DUMMYFUNCTION("""COMPUTED_VALUE"""),819388.0)</f>
        <v>819388</v>
      </c>
      <c r="F6" s="1">
        <f>IFERROR(__xludf.DUMMYFUNCTION("""COMPUTED_VALUE"""),12259.0)</f>
        <v>12259</v>
      </c>
    </row>
    <row r="7">
      <c r="A7" s="1">
        <f>IFERROR(__xludf.DUMMYFUNCTION("""COMPUTED_VALUE"""),6.0)</f>
        <v>6</v>
      </c>
      <c r="B7" s="1" t="str">
        <f>IFERROR(__xludf.DUMMYFUNCTION("""COMPUTED_VALUE"""),"Chandigarh")</f>
        <v>Chandigarh</v>
      </c>
      <c r="C7" s="1">
        <f>IFERROR(__xludf.DUMMYFUNCTION("""COMPUTED_VALUE"""),93785.0)</f>
        <v>93785</v>
      </c>
      <c r="D7" s="1">
        <f>IFERROR(__xludf.DUMMYFUNCTION("""COMPUTED_VALUE"""),568.0)</f>
        <v>568</v>
      </c>
      <c r="E7" s="1">
        <f>IFERROR(__xludf.DUMMYFUNCTION("""COMPUTED_VALUE"""),92052.0)</f>
        <v>92052</v>
      </c>
      <c r="F7" s="1">
        <f>IFERROR(__xludf.DUMMYFUNCTION("""COMPUTED_VALUE"""),1165.0)</f>
        <v>1165</v>
      </c>
    </row>
    <row r="8">
      <c r="A8" s="1">
        <f>IFERROR(__xludf.DUMMYFUNCTION("""COMPUTED_VALUE"""),7.0)</f>
        <v>7</v>
      </c>
      <c r="B8" s="1" t="str">
        <f>IFERROR(__xludf.DUMMYFUNCTION("""COMPUTED_VALUE"""),"Chhattisgarh")</f>
        <v>Chhattisgarh</v>
      </c>
      <c r="C8" s="1">
        <f>IFERROR(__xludf.DUMMYFUNCTION("""COMPUTED_VALUE"""),1154179.0)</f>
        <v>1154179</v>
      </c>
      <c r="D8" s="1">
        <f>IFERROR(__xludf.DUMMYFUNCTION("""COMPUTED_VALUE"""),861.0)</f>
        <v>861</v>
      </c>
      <c r="E8" s="1">
        <f>IFERROR(__xludf.DUMMYFUNCTION("""COMPUTED_VALUE"""),1139282.0)</f>
        <v>1139282</v>
      </c>
      <c r="F8" s="1">
        <f>IFERROR(__xludf.DUMMYFUNCTION("""COMPUTED_VALUE"""),14036.0)</f>
        <v>14036</v>
      </c>
    </row>
    <row r="9">
      <c r="A9" s="1">
        <f>IFERROR(__xludf.DUMMYFUNCTION("""COMPUTED_VALUE"""),8.0)</f>
        <v>8</v>
      </c>
      <c r="B9" s="1" t="str">
        <f>IFERROR(__xludf.DUMMYFUNCTION("""COMPUTED_VALUE"""),"Dadra and Nagar Haveli and Daman and Diu")</f>
        <v>Dadra and Nagar Haveli and Daman and Diu</v>
      </c>
      <c r="C9" s="1">
        <f>IFERROR(__xludf.DUMMYFUNCTION("""COMPUTED_VALUE"""),11474.0)</f>
        <v>11474</v>
      </c>
      <c r="D9" s="1">
        <f>IFERROR(__xludf.DUMMYFUNCTION("""COMPUTED_VALUE"""),14.0)</f>
        <v>14</v>
      </c>
      <c r="E9" s="1">
        <f>IFERROR(__xludf.DUMMYFUNCTION("""COMPUTED_VALUE"""),11456.0)</f>
        <v>11456</v>
      </c>
      <c r="F9" s="1">
        <f>IFERROR(__xludf.DUMMYFUNCTION("""COMPUTED_VALUE"""),4.0)</f>
        <v>4</v>
      </c>
    </row>
    <row r="10">
      <c r="A10" s="1">
        <f>IFERROR(__xludf.DUMMYFUNCTION("""COMPUTED_VALUE"""),9.0)</f>
        <v>9</v>
      </c>
      <c r="B10" s="1" t="str">
        <f>IFERROR(__xludf.DUMMYFUNCTION("""COMPUTED_VALUE"""),"Delhi")</f>
        <v>Delhi</v>
      </c>
      <c r="C10" s="1">
        <f>IFERROR(__xludf.DUMMYFUNCTION("""COMPUTED_VALUE"""),1934009.0)</f>
        <v>1934009</v>
      </c>
      <c r="D10" s="1">
        <f>IFERROR(__xludf.DUMMYFUNCTION("""COMPUTED_VALUE"""),4325.0)</f>
        <v>4325</v>
      </c>
      <c r="E10" s="1">
        <f>IFERROR(__xludf.DUMMYFUNCTION("""COMPUTED_VALUE"""),1903423.0)</f>
        <v>1903423</v>
      </c>
      <c r="F10" s="1">
        <f>IFERROR(__xludf.DUMMYFUNCTION("""COMPUTED_VALUE"""),26261.0)</f>
        <v>26261</v>
      </c>
    </row>
    <row r="11">
      <c r="A11" s="1">
        <f>IFERROR(__xludf.DUMMYFUNCTION("""COMPUTED_VALUE"""),10.0)</f>
        <v>10</v>
      </c>
      <c r="B11" s="1" t="str">
        <f>IFERROR(__xludf.DUMMYFUNCTION("""COMPUTED_VALUE"""),"Goa")</f>
        <v>Goa</v>
      </c>
      <c r="C11" s="1">
        <f>IFERROR(__xludf.DUMMYFUNCTION("""COMPUTED_VALUE"""),248540.0)</f>
        <v>248540</v>
      </c>
      <c r="D11" s="1">
        <f>IFERROR(__xludf.DUMMYFUNCTION("""COMPUTED_VALUE"""),982.0)</f>
        <v>982</v>
      </c>
      <c r="E11" s="1">
        <f>IFERROR(__xludf.DUMMYFUNCTION("""COMPUTED_VALUE"""),243720.0)</f>
        <v>243720</v>
      </c>
      <c r="F11" s="1">
        <f>IFERROR(__xludf.DUMMYFUNCTION("""COMPUTED_VALUE"""),3838.0)</f>
        <v>3838</v>
      </c>
    </row>
    <row r="12">
      <c r="A12" s="1">
        <f>IFERROR(__xludf.DUMMYFUNCTION("""COMPUTED_VALUE"""),11.0)</f>
        <v>11</v>
      </c>
      <c r="B12" s="1" t="str">
        <f>IFERROR(__xludf.DUMMYFUNCTION("""COMPUTED_VALUE"""),"Gujarat")</f>
        <v>Gujarat</v>
      </c>
      <c r="C12" s="1">
        <f>IFERROR(__xludf.DUMMYFUNCTION("""COMPUTED_VALUE"""),1231483.0)</f>
        <v>1231483</v>
      </c>
      <c r="D12" s="1">
        <f>IFERROR(__xludf.DUMMYFUNCTION("""COMPUTED_VALUE"""),2914.0)</f>
        <v>2914</v>
      </c>
      <c r="E12" s="1">
        <f>IFERROR(__xludf.DUMMYFUNCTION("""COMPUTED_VALUE"""),1217623.0)</f>
        <v>1217623</v>
      </c>
      <c r="F12" s="1">
        <f>IFERROR(__xludf.DUMMYFUNCTION("""COMPUTED_VALUE"""),10946.0)</f>
        <v>10946</v>
      </c>
    </row>
    <row r="13">
      <c r="A13" s="1">
        <f>IFERROR(__xludf.DUMMYFUNCTION("""COMPUTED_VALUE"""),12.0)</f>
        <v>12</v>
      </c>
      <c r="B13" s="1" t="str">
        <f>IFERROR(__xludf.DUMMYFUNCTION("""COMPUTED_VALUE"""),"Haryana")</f>
        <v>Haryana</v>
      </c>
      <c r="C13" s="1">
        <f>IFERROR(__xludf.DUMMYFUNCTION("""COMPUTED_VALUE"""),1015501.0)</f>
        <v>1015501</v>
      </c>
      <c r="D13" s="1">
        <f>IFERROR(__xludf.DUMMYFUNCTION("""COMPUTED_VALUE"""),2655.0)</f>
        <v>2655</v>
      </c>
      <c r="E13" s="1">
        <f>IFERROR(__xludf.DUMMYFUNCTION("""COMPUTED_VALUE"""),1002222.0)</f>
        <v>1002222</v>
      </c>
      <c r="F13" s="1">
        <f>IFERROR(__xludf.DUMMYFUNCTION("""COMPUTED_VALUE"""),10624.0)</f>
        <v>10624</v>
      </c>
    </row>
    <row r="14">
      <c r="A14" s="1">
        <f>IFERROR(__xludf.DUMMYFUNCTION("""COMPUTED_VALUE"""),13.0)</f>
        <v>13</v>
      </c>
      <c r="B14" s="1" t="str">
        <f>IFERROR(__xludf.DUMMYFUNCTION("""COMPUTED_VALUE"""),"Himachal Pradesh")</f>
        <v>Himachal Pradesh</v>
      </c>
      <c r="C14" s="1">
        <f>IFERROR(__xludf.DUMMYFUNCTION("""COMPUTED_VALUE"""),286061.0)</f>
        <v>286061</v>
      </c>
      <c r="D14" s="1">
        <f>IFERROR(__xludf.DUMMYFUNCTION("""COMPUTED_VALUE"""),507.0)</f>
        <v>507</v>
      </c>
      <c r="E14" s="1">
        <f>IFERROR(__xludf.DUMMYFUNCTION("""COMPUTED_VALUE"""),281413.0)</f>
        <v>281413</v>
      </c>
      <c r="F14" s="1">
        <f>IFERROR(__xludf.DUMMYFUNCTION("""COMPUTED_VALUE"""),4141.0)</f>
        <v>4141</v>
      </c>
    </row>
    <row r="15">
      <c r="A15" s="1">
        <f>IFERROR(__xludf.DUMMYFUNCTION("""COMPUTED_VALUE"""),14.0)</f>
        <v>14</v>
      </c>
      <c r="B15" s="1" t="str">
        <f>IFERROR(__xludf.DUMMYFUNCTION("""COMPUTED_VALUE"""),"Jammu and Kashmir")</f>
        <v>Jammu and Kashmir</v>
      </c>
      <c r="C15" s="1">
        <f>IFERROR(__xludf.DUMMYFUNCTION("""COMPUTED_VALUE"""),455006.0)</f>
        <v>455006</v>
      </c>
      <c r="D15" s="1">
        <f>IFERROR(__xludf.DUMMYFUNCTION("""COMPUTED_VALUE"""),447.0)</f>
        <v>447</v>
      </c>
      <c r="E15" s="1">
        <f>IFERROR(__xludf.DUMMYFUNCTION("""COMPUTED_VALUE"""),449803.0)</f>
        <v>449803</v>
      </c>
      <c r="F15" s="1">
        <f>IFERROR(__xludf.DUMMYFUNCTION("""COMPUTED_VALUE"""),4756.0)</f>
        <v>4756</v>
      </c>
    </row>
    <row r="16">
      <c r="A16" s="1">
        <f>IFERROR(__xludf.DUMMYFUNCTION("""COMPUTED_VALUE"""),15.0)</f>
        <v>15</v>
      </c>
      <c r="B16" s="1" t="str">
        <f>IFERROR(__xludf.DUMMYFUNCTION("""COMPUTED_VALUE"""),"Jharkhand")</f>
        <v>Jharkhand</v>
      </c>
      <c r="C16" s="1">
        <f>IFERROR(__xludf.DUMMYFUNCTION("""COMPUTED_VALUE"""),435858.0)</f>
        <v>435858</v>
      </c>
      <c r="D16" s="1">
        <f>IFERROR(__xludf.DUMMYFUNCTION("""COMPUTED_VALUE"""),284.0)</f>
        <v>284</v>
      </c>
      <c r="E16" s="1">
        <f>IFERROR(__xludf.DUMMYFUNCTION("""COMPUTED_VALUE"""),430254.0)</f>
        <v>430254</v>
      </c>
      <c r="F16" s="1">
        <f>IFERROR(__xludf.DUMMYFUNCTION("""COMPUTED_VALUE"""),5320.0)</f>
        <v>5320</v>
      </c>
    </row>
    <row r="17">
      <c r="A17" s="1">
        <f>IFERROR(__xludf.DUMMYFUNCTION("""COMPUTED_VALUE"""),16.0)</f>
        <v>16</v>
      </c>
      <c r="B17" s="1" t="str">
        <f>IFERROR(__xludf.DUMMYFUNCTION("""COMPUTED_VALUE"""),"Karnataka")</f>
        <v>Karnataka</v>
      </c>
      <c r="C17" s="1">
        <f>IFERROR(__xludf.DUMMYFUNCTION("""COMPUTED_VALUE"""),3968365.0)</f>
        <v>3968365</v>
      </c>
      <c r="D17" s="1">
        <f>IFERROR(__xludf.DUMMYFUNCTION("""COMPUTED_VALUE"""),5707.0)</f>
        <v>5707</v>
      </c>
      <c r="E17" s="1">
        <f>IFERROR(__xludf.DUMMYFUNCTION("""COMPUTED_VALUE"""),3922541.0)</f>
        <v>3922541</v>
      </c>
      <c r="F17" s="1">
        <f>IFERROR(__xludf.DUMMYFUNCTION("""COMPUTED_VALUE"""),40117.0)</f>
        <v>40117</v>
      </c>
    </row>
    <row r="18">
      <c r="A18" s="1">
        <f>IFERROR(__xludf.DUMMYFUNCTION("""COMPUTED_VALUE"""),17.0)</f>
        <v>17</v>
      </c>
      <c r="B18" s="1" t="str">
        <f>IFERROR(__xludf.DUMMYFUNCTION("""COMPUTED_VALUE"""),"Kerala")</f>
        <v>Kerala</v>
      </c>
      <c r="C18" s="1">
        <f>IFERROR(__xludf.DUMMYFUNCTION("""COMPUTED_VALUE"""),6634722.0)</f>
        <v>6634722</v>
      </c>
      <c r="D18" s="1">
        <f>IFERROR(__xludf.DUMMYFUNCTION("""COMPUTED_VALUE"""),28860.0)</f>
        <v>28860</v>
      </c>
      <c r="E18" s="1">
        <f>IFERROR(__xludf.DUMMYFUNCTION("""COMPUTED_VALUE"""),6535869.0)</f>
        <v>6535869</v>
      </c>
      <c r="F18" s="1">
        <f>IFERROR(__xludf.DUMMYFUNCTION("""COMPUTED_VALUE"""),69993.0)</f>
        <v>69993</v>
      </c>
    </row>
    <row r="19">
      <c r="A19" s="1">
        <f>IFERROR(__xludf.DUMMYFUNCTION("""COMPUTED_VALUE"""),18.0)</f>
        <v>18</v>
      </c>
      <c r="B19" s="1" t="str">
        <f>IFERROR(__xludf.DUMMYFUNCTION("""COMPUTED_VALUE"""),"Ladakh")</f>
        <v>Ladakh</v>
      </c>
      <c r="C19" s="1">
        <f>IFERROR(__xludf.DUMMYFUNCTION("""COMPUTED_VALUE"""),28411.0)</f>
        <v>28411</v>
      </c>
      <c r="D19" s="1">
        <f>IFERROR(__xludf.DUMMYFUNCTION("""COMPUTED_VALUE"""),78.0)</f>
        <v>78</v>
      </c>
      <c r="E19" s="1">
        <f>IFERROR(__xludf.DUMMYFUNCTION("""COMPUTED_VALUE"""),28105.0)</f>
        <v>28105</v>
      </c>
      <c r="F19" s="1">
        <f>IFERROR(__xludf.DUMMYFUNCTION("""COMPUTED_VALUE"""),228.0)</f>
        <v>228</v>
      </c>
    </row>
    <row r="20">
      <c r="A20" s="1">
        <f>IFERROR(__xludf.DUMMYFUNCTION("""COMPUTED_VALUE"""),19.0)</f>
        <v>19</v>
      </c>
      <c r="B20" s="1" t="str">
        <f>IFERROR(__xludf.DUMMYFUNCTION("""COMPUTED_VALUE"""),"Lakshadweep")</f>
        <v>Lakshadweep</v>
      </c>
      <c r="C20" s="1">
        <f>IFERROR(__xludf.DUMMYFUNCTION("""COMPUTED_VALUE"""),11408.0)</f>
        <v>11408</v>
      </c>
      <c r="D20" s="1">
        <f>IFERROR(__xludf.DUMMYFUNCTION("""COMPUTED_VALUE"""),3.0)</f>
        <v>3</v>
      </c>
      <c r="E20" s="1">
        <f>IFERROR(__xludf.DUMMYFUNCTION("""COMPUTED_VALUE"""),11353.0)</f>
        <v>11353</v>
      </c>
      <c r="F20" s="1">
        <f>IFERROR(__xludf.DUMMYFUNCTION("""COMPUTED_VALUE"""),52.0)</f>
        <v>52</v>
      </c>
    </row>
    <row r="21">
      <c r="A21" s="1">
        <f>IFERROR(__xludf.DUMMYFUNCTION("""COMPUTED_VALUE"""),20.0)</f>
        <v>20</v>
      </c>
      <c r="B21" s="1" t="str">
        <f>IFERROR(__xludf.DUMMYFUNCTION("""COMPUTED_VALUE"""),"Madhya Pradesh")</f>
        <v>Madhya Pradesh</v>
      </c>
      <c r="C21" s="1">
        <f>IFERROR(__xludf.DUMMYFUNCTION("""COMPUTED_VALUE"""),1044243.0)</f>
        <v>1044243</v>
      </c>
      <c r="D21" s="1">
        <f>IFERROR(__xludf.DUMMYFUNCTION("""COMPUTED_VALUE"""),490.0)</f>
        <v>490</v>
      </c>
      <c r="E21" s="1">
        <f>IFERROR(__xludf.DUMMYFUNCTION("""COMPUTED_VALUE"""),1033012.0)</f>
        <v>1033012</v>
      </c>
      <c r="F21" s="1">
        <f>IFERROR(__xludf.DUMMYFUNCTION("""COMPUTED_VALUE"""),10741.0)</f>
        <v>10741</v>
      </c>
    </row>
    <row r="22">
      <c r="A22" s="1">
        <f>IFERROR(__xludf.DUMMYFUNCTION("""COMPUTED_VALUE"""),21.0)</f>
        <v>21</v>
      </c>
      <c r="B22" s="1" t="str">
        <f>IFERROR(__xludf.DUMMYFUNCTION("""COMPUTED_VALUE"""),"Maharashtra")</f>
        <v>Maharashtra</v>
      </c>
      <c r="C22" s="1">
        <f>IFERROR(__xludf.DUMMYFUNCTION("""COMPUTED_VALUE"""),7972474.0)</f>
        <v>7972474</v>
      </c>
      <c r="D22" s="1">
        <f>IFERROR(__xludf.DUMMYFUNCTION("""COMPUTED_VALUE"""),25735.0)</f>
        <v>25735</v>
      </c>
      <c r="E22" s="1">
        <f>IFERROR(__xludf.DUMMYFUNCTION("""COMPUTED_VALUE"""),7798817.0)</f>
        <v>7798817</v>
      </c>
      <c r="F22" s="1">
        <f>IFERROR(__xludf.DUMMYFUNCTION("""COMPUTED_VALUE"""),147922.0)</f>
        <v>147922</v>
      </c>
    </row>
    <row r="23">
      <c r="A23" s="1">
        <f>IFERROR(__xludf.DUMMYFUNCTION("""COMPUTED_VALUE"""),22.0)</f>
        <v>22</v>
      </c>
      <c r="B23" s="1" t="str">
        <f>IFERROR(__xludf.DUMMYFUNCTION("""COMPUTED_VALUE"""),"Manipur")</f>
        <v>Manipur</v>
      </c>
      <c r="C23" s="1">
        <f>IFERROR(__xludf.DUMMYFUNCTION("""COMPUTED_VALUE"""),137266.0)</f>
        <v>137266</v>
      </c>
      <c r="D23" s="1">
        <f>IFERROR(__xludf.DUMMYFUNCTION("""COMPUTED_VALUE"""),18.0)</f>
        <v>18</v>
      </c>
      <c r="E23" s="1">
        <f>IFERROR(__xludf.DUMMYFUNCTION("""COMPUTED_VALUE"""),135128.0)</f>
        <v>135128</v>
      </c>
      <c r="F23" s="1">
        <f>IFERROR(__xludf.DUMMYFUNCTION("""COMPUTED_VALUE"""),2120.0)</f>
        <v>2120</v>
      </c>
    </row>
    <row r="24">
      <c r="A24" s="1">
        <f>IFERROR(__xludf.DUMMYFUNCTION("""COMPUTED_VALUE"""),23.0)</f>
        <v>23</v>
      </c>
      <c r="B24" s="1" t="str">
        <f>IFERROR(__xludf.DUMMYFUNCTION("""COMPUTED_VALUE"""),"Meghalaya")</f>
        <v>Meghalaya</v>
      </c>
      <c r="C24" s="1">
        <f>IFERROR(__xludf.DUMMYFUNCTION("""COMPUTED_VALUE"""),93947.0)</f>
        <v>93947</v>
      </c>
      <c r="D24" s="1">
        <f>IFERROR(__xludf.DUMMYFUNCTION("""COMPUTED_VALUE"""),65.0)</f>
        <v>65</v>
      </c>
      <c r="E24" s="1">
        <f>IFERROR(__xludf.DUMMYFUNCTION("""COMPUTED_VALUE"""),92288.0)</f>
        <v>92288</v>
      </c>
      <c r="F24" s="1">
        <f>IFERROR(__xludf.DUMMYFUNCTION("""COMPUTED_VALUE"""),1594.0)</f>
        <v>1594</v>
      </c>
    </row>
    <row r="25">
      <c r="A25" s="1">
        <f>IFERROR(__xludf.DUMMYFUNCTION("""COMPUTED_VALUE"""),24.0)</f>
        <v>24</v>
      </c>
      <c r="B25" s="1" t="str">
        <f>IFERROR(__xludf.DUMMYFUNCTION("""COMPUTED_VALUE"""),"Mizoram")</f>
        <v>Mizoram</v>
      </c>
      <c r="C25" s="1">
        <f>IFERROR(__xludf.DUMMYFUNCTION("""COMPUTED_VALUE"""),229048.0)</f>
        <v>229048</v>
      </c>
      <c r="D25" s="1">
        <f>IFERROR(__xludf.DUMMYFUNCTION("""COMPUTED_VALUE"""),261.0)</f>
        <v>261</v>
      </c>
      <c r="E25" s="1">
        <f>IFERROR(__xludf.DUMMYFUNCTION("""COMPUTED_VALUE"""),228084.0)</f>
        <v>228084</v>
      </c>
      <c r="F25" s="1">
        <f>IFERROR(__xludf.DUMMYFUNCTION("""COMPUTED_VALUE"""),703.0)</f>
        <v>703</v>
      </c>
    </row>
    <row r="26">
      <c r="A26" s="1">
        <f>IFERROR(__xludf.DUMMYFUNCTION("""COMPUTED_VALUE"""),25.0)</f>
        <v>25</v>
      </c>
      <c r="B26" s="1" t="str">
        <f>IFERROR(__xludf.DUMMYFUNCTION("""COMPUTED_VALUE"""),"Nagaland")</f>
        <v>Nagaland</v>
      </c>
      <c r="C26" s="1">
        <f>IFERROR(__xludf.DUMMYFUNCTION("""COMPUTED_VALUE"""),35507.0)</f>
        <v>35507</v>
      </c>
      <c r="D26" s="1">
        <f>IFERROR(__xludf.DUMMYFUNCTION("""COMPUTED_VALUE"""),2.0)</f>
        <v>2</v>
      </c>
      <c r="E26" s="1">
        <f>IFERROR(__xludf.DUMMYFUNCTION("""COMPUTED_VALUE"""),34744.0)</f>
        <v>34744</v>
      </c>
      <c r="F26" s="1">
        <f>IFERROR(__xludf.DUMMYFUNCTION("""COMPUTED_VALUE"""),761.0)</f>
        <v>761</v>
      </c>
    </row>
    <row r="27">
      <c r="A27" s="1">
        <f>IFERROR(__xludf.DUMMYFUNCTION("""COMPUTED_VALUE"""),26.0)</f>
        <v>26</v>
      </c>
      <c r="B27" s="1" t="str">
        <f>IFERROR(__xludf.DUMMYFUNCTION("""COMPUTED_VALUE"""),"Odisha")</f>
        <v>Odisha</v>
      </c>
      <c r="C27" s="1">
        <f>IFERROR(__xludf.DUMMYFUNCTION("""COMPUTED_VALUE"""),1289602.0)</f>
        <v>1289602</v>
      </c>
      <c r="D27" s="1">
        <f>IFERROR(__xludf.DUMMYFUNCTION("""COMPUTED_VALUE"""),627.0)</f>
        <v>627</v>
      </c>
      <c r="E27" s="1">
        <f>IFERROR(__xludf.DUMMYFUNCTION("""COMPUTED_VALUE"""),1279849.0)</f>
        <v>1279849</v>
      </c>
      <c r="F27" s="1">
        <f>IFERROR(__xludf.DUMMYFUNCTION("""COMPUTED_VALUE"""),9126.0)</f>
        <v>9126</v>
      </c>
    </row>
    <row r="28">
      <c r="A28" s="1">
        <f>IFERROR(__xludf.DUMMYFUNCTION("""COMPUTED_VALUE"""),27.0)</f>
        <v>27</v>
      </c>
      <c r="B28" s="1" t="str">
        <f>IFERROR(__xludf.DUMMYFUNCTION("""COMPUTED_VALUE"""),"Puducherry")</f>
        <v>Puducherry</v>
      </c>
      <c r="C28" s="1">
        <f>IFERROR(__xludf.DUMMYFUNCTION("""COMPUTED_VALUE"""),166438.0)</f>
        <v>166438</v>
      </c>
      <c r="D28" s="1">
        <f>IFERROR(__xludf.DUMMYFUNCTION("""COMPUTED_VALUE"""),304.0)</f>
        <v>304</v>
      </c>
      <c r="E28" s="1">
        <f>IFERROR(__xludf.DUMMYFUNCTION("""COMPUTED_VALUE"""),164172.0)</f>
        <v>164172</v>
      </c>
      <c r="F28" s="1">
        <f>IFERROR(__xludf.DUMMYFUNCTION("""COMPUTED_VALUE"""),1962.0)</f>
        <v>1962</v>
      </c>
    </row>
    <row r="29">
      <c r="A29" s="1">
        <f>IFERROR(__xludf.DUMMYFUNCTION("""COMPUTED_VALUE"""),28.0)</f>
        <v>28</v>
      </c>
      <c r="B29" s="1" t="str">
        <f>IFERROR(__xludf.DUMMYFUNCTION("""COMPUTED_VALUE"""),"Punjab")</f>
        <v>Punjab</v>
      </c>
      <c r="C29" s="1">
        <f>IFERROR(__xludf.DUMMYFUNCTION("""COMPUTED_VALUE"""),762755.0)</f>
        <v>762755</v>
      </c>
      <c r="D29" s="1">
        <f>IFERROR(__xludf.DUMMYFUNCTION("""COMPUTED_VALUE"""),1079.0)</f>
        <v>1079</v>
      </c>
      <c r="E29" s="1">
        <f>IFERROR(__xludf.DUMMYFUNCTION("""COMPUTED_VALUE"""),743903.0)</f>
        <v>743903</v>
      </c>
      <c r="F29" s="1">
        <f>IFERROR(__xludf.DUMMYFUNCTION("""COMPUTED_VALUE"""),17773.0)</f>
        <v>17773</v>
      </c>
    </row>
    <row r="30">
      <c r="A30" s="1">
        <f>IFERROR(__xludf.DUMMYFUNCTION("""COMPUTED_VALUE"""),29.0)</f>
        <v>29</v>
      </c>
      <c r="B30" s="1" t="str">
        <f>IFERROR(__xludf.DUMMYFUNCTION("""COMPUTED_VALUE"""),"Rajasthan")</f>
        <v>Rajasthan</v>
      </c>
      <c r="C30" s="1">
        <f>IFERROR(__xludf.DUMMYFUNCTION("""COMPUTED_VALUE"""),1288328.0)</f>
        <v>1288328</v>
      </c>
      <c r="D30" s="1">
        <f>IFERROR(__xludf.DUMMYFUNCTION("""COMPUTED_VALUE"""),939.0)</f>
        <v>939</v>
      </c>
      <c r="E30" s="1">
        <f>IFERROR(__xludf.DUMMYFUNCTION("""COMPUTED_VALUE"""),1277825.0)</f>
        <v>1277825</v>
      </c>
      <c r="F30" s="1">
        <f>IFERROR(__xludf.DUMMYFUNCTION("""COMPUTED_VALUE"""),9564.0)</f>
        <v>9564</v>
      </c>
    </row>
    <row r="31">
      <c r="A31" s="1">
        <f>IFERROR(__xludf.DUMMYFUNCTION("""COMPUTED_VALUE"""),30.0)</f>
        <v>30</v>
      </c>
      <c r="B31" s="1" t="str">
        <f>IFERROR(__xludf.DUMMYFUNCTION("""COMPUTED_VALUE"""),"Sikkim")</f>
        <v>Sikkim</v>
      </c>
      <c r="C31" s="1">
        <f>IFERROR(__xludf.DUMMYFUNCTION("""COMPUTED_VALUE"""),39224.0)</f>
        <v>39224</v>
      </c>
      <c r="D31" s="1">
        <f>IFERROR(__xludf.DUMMYFUNCTION("""COMPUTED_VALUE"""),26.0)</f>
        <v>26</v>
      </c>
      <c r="E31" s="1">
        <f>IFERROR(__xludf.DUMMYFUNCTION("""COMPUTED_VALUE"""),38744.0)</f>
        <v>38744</v>
      </c>
      <c r="F31" s="1">
        <f>IFERROR(__xludf.DUMMYFUNCTION("""COMPUTED_VALUE"""),454.0)</f>
        <v>454</v>
      </c>
    </row>
    <row r="32">
      <c r="A32" s="1">
        <f>IFERROR(__xludf.DUMMYFUNCTION("""COMPUTED_VALUE"""),31.0)</f>
        <v>31</v>
      </c>
      <c r="B32" s="1" t="str">
        <f>IFERROR(__xludf.DUMMYFUNCTION("""COMPUTED_VALUE"""),"Tamil Nadu")</f>
        <v>Tamil Nadu</v>
      </c>
      <c r="C32" s="1">
        <f>IFERROR(__xludf.DUMMYFUNCTION("""COMPUTED_VALUE"""),3473116.0)</f>
        <v>3473116</v>
      </c>
      <c r="D32" s="1">
        <f>IFERROR(__xludf.DUMMYFUNCTION("""COMPUTED_VALUE"""),10033.0)</f>
        <v>10033</v>
      </c>
      <c r="E32" s="1">
        <f>IFERROR(__xludf.DUMMYFUNCTION("""COMPUTED_VALUE"""),3425057.0)</f>
        <v>3425057</v>
      </c>
      <c r="F32" s="1">
        <f>IFERROR(__xludf.DUMMYFUNCTION("""COMPUTED_VALUE"""),38026.0)</f>
        <v>38026</v>
      </c>
    </row>
    <row r="33">
      <c r="A33" s="1">
        <f>IFERROR(__xludf.DUMMYFUNCTION("""COMPUTED_VALUE"""),32.0)</f>
        <v>32</v>
      </c>
      <c r="B33" s="1" t="str">
        <f>IFERROR(__xludf.DUMMYFUNCTION("""COMPUTED_VALUE"""),"Telangana")</f>
        <v>Telangana</v>
      </c>
      <c r="C33" s="1">
        <f>IFERROR(__xludf.DUMMYFUNCTION("""COMPUTED_VALUE"""),800476.0)</f>
        <v>800476</v>
      </c>
      <c r="D33" s="1">
        <f>IFERROR(__xludf.DUMMYFUNCTION("""COMPUTED_VALUE"""),4421.0)</f>
        <v>4421</v>
      </c>
      <c r="E33" s="1">
        <f>IFERROR(__xludf.DUMMYFUNCTION("""COMPUTED_VALUE"""),791944.0)</f>
        <v>791944</v>
      </c>
      <c r="F33" s="1">
        <f>IFERROR(__xludf.DUMMYFUNCTION("""COMPUTED_VALUE"""),4111.0)</f>
        <v>4111</v>
      </c>
    </row>
    <row r="34">
      <c r="A34" s="1">
        <f>IFERROR(__xludf.DUMMYFUNCTION("""COMPUTED_VALUE"""),33.0)</f>
        <v>33</v>
      </c>
      <c r="B34" s="1" t="str">
        <f>IFERROR(__xludf.DUMMYFUNCTION("""COMPUTED_VALUE"""),"Tripura")</f>
        <v>Tripura</v>
      </c>
      <c r="C34" s="1">
        <f>IFERROR(__xludf.DUMMYFUNCTION("""COMPUTED_VALUE"""),100901.0)</f>
        <v>100901</v>
      </c>
      <c r="D34" s="1">
        <f>IFERROR(__xludf.DUMMYFUNCTION("""COMPUTED_VALUE"""),7.0)</f>
        <v>7</v>
      </c>
      <c r="E34" s="1">
        <f>IFERROR(__xludf.DUMMYFUNCTION("""COMPUTED_VALUE"""),99971.0)</f>
        <v>99971</v>
      </c>
      <c r="F34" s="1">
        <f>IFERROR(__xludf.DUMMYFUNCTION("""COMPUTED_VALUE"""),923.0)</f>
        <v>923</v>
      </c>
    </row>
    <row r="35">
      <c r="A35" s="1">
        <f>IFERROR(__xludf.DUMMYFUNCTION("""COMPUTED_VALUE"""),34.0)</f>
        <v>34</v>
      </c>
      <c r="B35" s="1" t="str">
        <f>IFERROR(__xludf.DUMMYFUNCTION("""COMPUTED_VALUE"""),"Uttar Pradesh")</f>
        <v>Uttar Pradesh</v>
      </c>
      <c r="C35" s="1">
        <f>IFERROR(__xludf.DUMMYFUNCTION("""COMPUTED_VALUE"""),2090050.0)</f>
        <v>2090050</v>
      </c>
      <c r="D35" s="1">
        <f>IFERROR(__xludf.DUMMYFUNCTION("""COMPUTED_VALUE"""),3541.0)</f>
        <v>3541</v>
      </c>
      <c r="E35" s="1">
        <f>IFERROR(__xludf.DUMMYFUNCTION("""COMPUTED_VALUE"""),2062971.0)</f>
        <v>2062971</v>
      </c>
      <c r="F35" s="1">
        <f>IFERROR(__xludf.DUMMYFUNCTION("""COMPUTED_VALUE"""),23538.0)</f>
        <v>23538</v>
      </c>
    </row>
    <row r="36">
      <c r="A36" s="1">
        <f>IFERROR(__xludf.DUMMYFUNCTION("""COMPUTED_VALUE"""),35.0)</f>
        <v>35</v>
      </c>
      <c r="B36" s="1" t="str">
        <f>IFERROR(__xludf.DUMMYFUNCTION("""COMPUTED_VALUE"""),"Uttarakhand")</f>
        <v>Uttarakhand</v>
      </c>
      <c r="C36" s="1">
        <f>IFERROR(__xludf.DUMMYFUNCTION("""COMPUTED_VALUE"""),438663.0)</f>
        <v>438663</v>
      </c>
      <c r="D36" s="1">
        <f>IFERROR(__xludf.DUMMYFUNCTION("""COMPUTED_VALUE"""),787.0)</f>
        <v>787</v>
      </c>
      <c r="E36" s="1">
        <f>IFERROR(__xludf.DUMMYFUNCTION("""COMPUTED_VALUE"""),430180.0)</f>
        <v>430180</v>
      </c>
      <c r="F36" s="1">
        <f>IFERROR(__xludf.DUMMYFUNCTION("""COMPUTED_VALUE"""),7696.0)</f>
        <v>7696</v>
      </c>
    </row>
    <row r="37">
      <c r="A37" s="1">
        <f>IFERROR(__xludf.DUMMYFUNCTION("""COMPUTED_VALUE"""),36.0)</f>
        <v>36</v>
      </c>
      <c r="B37" s="1" t="str">
        <f>IFERROR(__xludf.DUMMYFUNCTION("""COMPUTED_VALUE"""),"West Bengal")</f>
        <v>West Bengal</v>
      </c>
      <c r="C37" s="1">
        <f>IFERROR(__xludf.DUMMYFUNCTION("""COMPUTED_VALUE"""),2027901.0)</f>
        <v>2027901</v>
      </c>
      <c r="D37" s="1">
        <f>IFERROR(__xludf.DUMMYFUNCTION("""COMPUTED_VALUE"""),5885.0)</f>
        <v>5885</v>
      </c>
      <c r="E37" s="1">
        <f>IFERROR(__xludf.DUMMYFUNCTION("""COMPUTED_VALUE"""),2000798.0)</f>
        <v>2000798</v>
      </c>
      <c r="F37" s="1">
        <f>IFERROR(__xludf.DUMMYFUNCTION("""COMPUTED_VALUE"""),21218.0)</f>
        <v>21218</v>
      </c>
    </row>
    <row r="38">
      <c r="A38" s="1"/>
      <c r="B38" s="1" t="str">
        <f>IFERROR(__xludf.DUMMYFUNCTION("""COMPUTED_VALUE"""),"India")</f>
        <v>India</v>
      </c>
      <c r="C38" s="1">
        <f>IFERROR(__xludf.DUMMYFUNCTION("""COMPUTED_VALUE"""),4.3452164E7)</f>
        <v>43452164</v>
      </c>
      <c r="D38" s="1">
        <f>IFERROR(__xludf.DUMMYFUNCTION("""COMPUTED_VALUE"""),104555.0)</f>
        <v>104555</v>
      </c>
      <c r="E38" s="1">
        <f>IFERROR(__xludf.DUMMYFUNCTION("""COMPUTED_VALUE"""),4.2822493E7)</f>
        <v>42822493</v>
      </c>
      <c r="F38" s="1">
        <f>IFERROR(__xludf.DUMMYFUNCTION("""COMPUTED_VALUE"""),525116.0)</f>
        <v>525116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3" t="s">
        <v>1</v>
      </c>
      <c r="C1" s="3" t="s">
        <v>2</v>
      </c>
    </row>
    <row r="2">
      <c r="A2" s="4" t="s">
        <v>3</v>
      </c>
      <c r="B2" s="5">
        <v>946.0</v>
      </c>
      <c r="C2" s="5">
        <v>855.0</v>
      </c>
    </row>
    <row r="3">
      <c r="A3" s="4" t="s">
        <v>4</v>
      </c>
      <c r="B3" s="5">
        <v>4457.0</v>
      </c>
      <c r="C3" s="5">
        <v>3365.0</v>
      </c>
    </row>
    <row r="4">
      <c r="A4" s="4" t="s">
        <v>5</v>
      </c>
      <c r="B4" s="5">
        <v>27459.0</v>
      </c>
      <c r="C4" s="5">
        <v>14841.0</v>
      </c>
    </row>
    <row r="5">
      <c r="A5" s="4" t="s">
        <v>6</v>
      </c>
      <c r="B5" s="5">
        <v>26545.0</v>
      </c>
      <c r="C5" s="5">
        <v>12454.0</v>
      </c>
    </row>
    <row r="6">
      <c r="A6" s="4" t="s">
        <v>7</v>
      </c>
      <c r="B6" s="5">
        <v>14390.0</v>
      </c>
      <c r="C6" s="5">
        <v>7548.0</v>
      </c>
    </row>
    <row r="7">
      <c r="A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13</v>
      </c>
      <c r="B2" s="1">
        <v>10157.0</v>
      </c>
      <c r="C2" s="1">
        <v>42.0</v>
      </c>
      <c r="D2" s="1">
        <v>9986.0</v>
      </c>
      <c r="E2" s="1">
        <v>129.0</v>
      </c>
    </row>
    <row r="3">
      <c r="A3" s="1" t="s">
        <v>14</v>
      </c>
      <c r="B3" s="1">
        <v>2321379.0</v>
      </c>
      <c r="C3" s="1">
        <v>755.0</v>
      </c>
      <c r="D3" s="1">
        <v>2305893.0</v>
      </c>
      <c r="E3" s="1">
        <v>14731.0</v>
      </c>
    </row>
    <row r="4">
      <c r="A4" s="1" t="s">
        <v>15</v>
      </c>
      <c r="B4" s="1">
        <v>64518.0</v>
      </c>
      <c r="C4" s="1">
        <v>4.0</v>
      </c>
      <c r="D4" s="1">
        <v>64218.0</v>
      </c>
      <c r="E4" s="1">
        <v>296.0</v>
      </c>
    </row>
    <row r="5">
      <c r="A5" s="1" t="s">
        <v>16</v>
      </c>
      <c r="B5" s="1">
        <v>724788.0</v>
      </c>
      <c r="C5" s="1">
        <v>395.0</v>
      </c>
      <c r="D5" s="1">
        <v>716405.0</v>
      </c>
      <c r="E5" s="1">
        <v>7988.0</v>
      </c>
    </row>
    <row r="6">
      <c r="A6" s="1" t="s">
        <v>17</v>
      </c>
      <c r="B6" s="1">
        <v>832581.0</v>
      </c>
      <c r="C6" s="1">
        <v>934.0</v>
      </c>
      <c r="D6" s="1">
        <v>819388.0</v>
      </c>
      <c r="E6" s="1">
        <v>12259.0</v>
      </c>
    </row>
    <row r="7">
      <c r="A7" s="1" t="s">
        <v>18</v>
      </c>
      <c r="B7" s="1">
        <v>93785.0</v>
      </c>
      <c r="C7" s="1">
        <v>568.0</v>
      </c>
      <c r="D7" s="1">
        <v>92052.0</v>
      </c>
      <c r="E7" s="1">
        <v>1165.0</v>
      </c>
    </row>
    <row r="8">
      <c r="A8" s="1" t="s">
        <v>19</v>
      </c>
      <c r="B8" s="1">
        <v>1154179.0</v>
      </c>
      <c r="C8" s="1">
        <v>861.0</v>
      </c>
      <c r="D8" s="1">
        <v>1139282.0</v>
      </c>
      <c r="E8" s="1">
        <v>14036.0</v>
      </c>
    </row>
    <row r="9">
      <c r="A9" s="1" t="s">
        <v>20</v>
      </c>
      <c r="B9" s="1">
        <v>11474.0</v>
      </c>
      <c r="C9" s="1">
        <v>14.0</v>
      </c>
      <c r="D9" s="1">
        <v>11456.0</v>
      </c>
      <c r="E9" s="1">
        <v>4.0</v>
      </c>
    </row>
    <row r="10">
      <c r="A10" s="1" t="s">
        <v>21</v>
      </c>
      <c r="B10" s="1">
        <v>1934009.0</v>
      </c>
      <c r="C10" s="1">
        <v>4325.0</v>
      </c>
      <c r="D10" s="1">
        <v>1903423.0</v>
      </c>
      <c r="E10" s="1">
        <v>26261.0</v>
      </c>
    </row>
    <row r="11">
      <c r="A11" s="1" t="s">
        <v>22</v>
      </c>
      <c r="B11" s="1">
        <v>248540.0</v>
      </c>
      <c r="C11" s="1">
        <v>982.0</v>
      </c>
      <c r="D11" s="1">
        <v>243720.0</v>
      </c>
      <c r="E11" s="1">
        <v>3838.0</v>
      </c>
    </row>
    <row r="12">
      <c r="A12" s="1" t="s">
        <v>23</v>
      </c>
      <c r="B12" s="1">
        <v>1231483.0</v>
      </c>
      <c r="C12" s="1">
        <v>2914.0</v>
      </c>
      <c r="D12" s="1">
        <v>1217623.0</v>
      </c>
      <c r="E12" s="1">
        <v>10946.0</v>
      </c>
    </row>
    <row r="13">
      <c r="A13" s="1" t="s">
        <v>24</v>
      </c>
      <c r="B13" s="1">
        <v>1015501.0</v>
      </c>
      <c r="C13" s="1">
        <v>2655.0</v>
      </c>
      <c r="D13" s="1">
        <v>1002222.0</v>
      </c>
      <c r="E13" s="1">
        <v>10624.0</v>
      </c>
    </row>
    <row r="14">
      <c r="A14" s="1" t="s">
        <v>25</v>
      </c>
      <c r="B14" s="1">
        <v>286061.0</v>
      </c>
      <c r="C14" s="1">
        <v>507.0</v>
      </c>
      <c r="D14" s="1">
        <v>281413.0</v>
      </c>
      <c r="E14" s="1">
        <v>4141.0</v>
      </c>
    </row>
    <row r="15">
      <c r="A15" s="1" t="s">
        <v>26</v>
      </c>
      <c r="B15" s="1">
        <v>455006.0</v>
      </c>
      <c r="C15" s="1">
        <v>447.0</v>
      </c>
      <c r="D15" s="1">
        <v>449803.0</v>
      </c>
      <c r="E15" s="1">
        <v>4756.0</v>
      </c>
    </row>
    <row r="16">
      <c r="A16" s="1" t="s">
        <v>27</v>
      </c>
      <c r="B16" s="1">
        <v>435858.0</v>
      </c>
      <c r="C16" s="1">
        <v>284.0</v>
      </c>
      <c r="D16" s="1">
        <v>430254.0</v>
      </c>
      <c r="E16" s="1">
        <v>5320.0</v>
      </c>
    </row>
    <row r="17">
      <c r="A17" s="1" t="s">
        <v>28</v>
      </c>
      <c r="B17" s="1">
        <v>3968365.0</v>
      </c>
      <c r="C17" s="1">
        <v>5707.0</v>
      </c>
      <c r="D17" s="1">
        <v>3922541.0</v>
      </c>
      <c r="E17" s="1">
        <v>40117.0</v>
      </c>
    </row>
    <row r="18">
      <c r="A18" s="1" t="s">
        <v>29</v>
      </c>
      <c r="B18" s="1">
        <v>6634722.0</v>
      </c>
      <c r="C18" s="1">
        <v>28860.0</v>
      </c>
      <c r="D18" s="1">
        <v>6535869.0</v>
      </c>
      <c r="E18" s="1">
        <v>69993.0</v>
      </c>
    </row>
    <row r="19">
      <c r="A19" s="1" t="s">
        <v>30</v>
      </c>
      <c r="B19" s="1">
        <v>28411.0</v>
      </c>
      <c r="C19" s="1">
        <v>78.0</v>
      </c>
      <c r="D19" s="1">
        <v>28105.0</v>
      </c>
      <c r="E19" s="1">
        <v>228.0</v>
      </c>
    </row>
    <row r="20">
      <c r="A20" s="1" t="s">
        <v>31</v>
      </c>
      <c r="B20" s="1">
        <v>11408.0</v>
      </c>
      <c r="C20" s="1">
        <v>3.0</v>
      </c>
      <c r="D20" s="1">
        <v>11353.0</v>
      </c>
      <c r="E20" s="1">
        <v>52.0</v>
      </c>
    </row>
    <row r="21">
      <c r="A21" s="1" t="s">
        <v>32</v>
      </c>
      <c r="B21" s="1">
        <v>1044243.0</v>
      </c>
      <c r="C21" s="1">
        <v>490.0</v>
      </c>
      <c r="D21" s="1">
        <v>1033012.0</v>
      </c>
      <c r="E21" s="1">
        <v>10741.0</v>
      </c>
    </row>
    <row r="22">
      <c r="A22" s="1" t="s">
        <v>33</v>
      </c>
      <c r="B22" s="1">
        <v>7972474.0</v>
      </c>
      <c r="C22" s="1">
        <v>25735.0</v>
      </c>
      <c r="D22" s="1">
        <v>7798817.0</v>
      </c>
      <c r="E22" s="1">
        <v>147922.0</v>
      </c>
    </row>
    <row r="23">
      <c r="A23" s="1" t="s">
        <v>34</v>
      </c>
      <c r="B23" s="1">
        <v>137266.0</v>
      </c>
      <c r="C23" s="1">
        <v>18.0</v>
      </c>
      <c r="D23" s="1">
        <v>135128.0</v>
      </c>
      <c r="E23" s="1">
        <v>2120.0</v>
      </c>
    </row>
    <row r="24">
      <c r="A24" s="1" t="s">
        <v>35</v>
      </c>
      <c r="B24" s="1">
        <v>93947.0</v>
      </c>
      <c r="C24" s="1">
        <v>65.0</v>
      </c>
      <c r="D24" s="1">
        <v>92288.0</v>
      </c>
      <c r="E24" s="1">
        <v>1594.0</v>
      </c>
    </row>
    <row r="25">
      <c r="A25" s="1" t="s">
        <v>36</v>
      </c>
      <c r="B25" s="1">
        <v>229048.0</v>
      </c>
      <c r="C25" s="1">
        <v>261.0</v>
      </c>
      <c r="D25" s="1">
        <v>228084.0</v>
      </c>
      <c r="E25" s="1">
        <v>703.0</v>
      </c>
    </row>
    <row r="26">
      <c r="A26" s="1" t="s">
        <v>37</v>
      </c>
      <c r="B26" s="1">
        <v>35507.0</v>
      </c>
      <c r="C26" s="1">
        <v>2.0</v>
      </c>
      <c r="D26" s="1">
        <v>34744.0</v>
      </c>
      <c r="E26" s="1">
        <v>761.0</v>
      </c>
    </row>
    <row r="27">
      <c r="A27" s="1" t="s">
        <v>38</v>
      </c>
      <c r="B27" s="1">
        <v>1289602.0</v>
      </c>
      <c r="C27" s="1">
        <v>627.0</v>
      </c>
      <c r="D27" s="1">
        <v>1279849.0</v>
      </c>
      <c r="E27" s="1">
        <v>9126.0</v>
      </c>
    </row>
    <row r="28">
      <c r="A28" s="1" t="s">
        <v>39</v>
      </c>
      <c r="B28" s="1">
        <v>166438.0</v>
      </c>
      <c r="C28" s="1">
        <v>304.0</v>
      </c>
      <c r="D28" s="1">
        <v>164172.0</v>
      </c>
      <c r="E28" s="1">
        <v>1962.0</v>
      </c>
    </row>
    <row r="29">
      <c r="A29" s="1" t="s">
        <v>40</v>
      </c>
      <c r="B29" s="1">
        <v>762755.0</v>
      </c>
      <c r="C29" s="1">
        <v>1079.0</v>
      </c>
      <c r="D29" s="1">
        <v>743903.0</v>
      </c>
      <c r="E29" s="1">
        <v>17773.0</v>
      </c>
    </row>
    <row r="30">
      <c r="A30" s="1" t="s">
        <v>41</v>
      </c>
      <c r="B30" s="1">
        <v>1288328.0</v>
      </c>
      <c r="C30" s="1">
        <v>939.0</v>
      </c>
      <c r="D30" s="1">
        <v>1277825.0</v>
      </c>
      <c r="E30" s="1">
        <v>9564.0</v>
      </c>
    </row>
    <row r="31">
      <c r="A31" s="1" t="s">
        <v>42</v>
      </c>
      <c r="B31" s="1">
        <v>39224.0</v>
      </c>
      <c r="C31" s="1">
        <v>26.0</v>
      </c>
      <c r="D31" s="1">
        <v>38744.0</v>
      </c>
      <c r="E31" s="1">
        <v>454.0</v>
      </c>
    </row>
    <row r="32">
      <c r="A32" s="1" t="s">
        <v>43</v>
      </c>
      <c r="B32" s="1">
        <v>3473116.0</v>
      </c>
      <c r="C32" s="1">
        <v>10033.0</v>
      </c>
      <c r="D32" s="1">
        <v>3425057.0</v>
      </c>
      <c r="E32" s="1">
        <v>38026.0</v>
      </c>
    </row>
    <row r="33">
      <c r="A33" s="1" t="s">
        <v>44</v>
      </c>
      <c r="B33" s="1">
        <v>800476.0</v>
      </c>
      <c r="C33" s="1">
        <v>4421.0</v>
      </c>
      <c r="D33" s="1">
        <v>791944.0</v>
      </c>
      <c r="E33" s="1">
        <v>4111.0</v>
      </c>
    </row>
    <row r="34">
      <c r="A34" s="1" t="s">
        <v>45</v>
      </c>
      <c r="B34" s="1">
        <v>100901.0</v>
      </c>
      <c r="C34" s="1">
        <v>7.0</v>
      </c>
      <c r="D34" s="1">
        <v>99971.0</v>
      </c>
      <c r="E34" s="1">
        <v>923.0</v>
      </c>
    </row>
    <row r="35">
      <c r="A35" s="1" t="s">
        <v>46</v>
      </c>
      <c r="B35" s="1">
        <v>2090050.0</v>
      </c>
      <c r="C35" s="1">
        <v>3541.0</v>
      </c>
      <c r="D35" s="1">
        <v>2062971.0</v>
      </c>
      <c r="E35" s="1">
        <v>23538.0</v>
      </c>
    </row>
    <row r="36">
      <c r="A36" s="1" t="s">
        <v>47</v>
      </c>
      <c r="B36" s="1">
        <v>438663.0</v>
      </c>
      <c r="C36" s="1">
        <v>787.0</v>
      </c>
      <c r="D36" s="1">
        <v>430180.0</v>
      </c>
      <c r="E36" s="1">
        <v>7696.0</v>
      </c>
    </row>
    <row r="37">
      <c r="A37" s="1" t="s">
        <v>48</v>
      </c>
      <c r="B37" s="1">
        <v>2027901.0</v>
      </c>
      <c r="C37" s="1">
        <v>5885.0</v>
      </c>
      <c r="D37" s="1">
        <v>2000798.0</v>
      </c>
      <c r="E37" s="1">
        <v>21218.0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5" width="12.63"/>
  </cols>
  <sheetData>
    <row r="1">
      <c r="A1" s="1" t="str">
        <f>IFERROR(__xludf.DUMMYFUNCTION("IMPORTHTML(""https://www.oneindia.com/covid-19-vaccine-tracker.html"",""table"",1)"),"State/UTs")</f>
        <v>State/UTs</v>
      </c>
      <c r="B1" s="1" t="str">
        <f>IFERROR(__xludf.DUMMYFUNCTION("""COMPUTED_VALUE"""),"DOSE 1")</f>
        <v>DOSE 1</v>
      </c>
      <c r="C1" s="1" t="str">
        <f>IFERROR(__xludf.DUMMYFUNCTION("""COMPUTED_VALUE"""),"DOSE 2")</f>
        <v>DOSE 2</v>
      </c>
      <c r="D1" s="1" t="str">
        <f>IFERROR(__xludf.DUMMYFUNCTION("""COMPUTED_VALUE"""),"TOTAL VACCINATION")</f>
        <v>TOTAL VACCINATION</v>
      </c>
      <c r="E1" s="1" t="str">
        <f>IFERROR(__xludf.DUMMYFUNCTION("""COMPUTED_VALUE"""),"TOTAL VACCINATED DAY BEFORE")</f>
        <v>TOTAL VACCINATED DAY BEFORE</v>
      </c>
    </row>
    <row r="2">
      <c r="A2" s="1" t="str">
        <f>IFERROR(__xludf.DUMMYFUNCTION("""COMPUTED_VALUE"""),"Andaman and Nicobar Islands")</f>
        <v>Andaman and Nicobar Islands</v>
      </c>
      <c r="B2" s="1" t="str">
        <f>IFERROR(__xludf.DUMMYFUNCTION("""COMPUTED_VALUE"""),"3,09,43666")</f>
        <v>3,09,43666</v>
      </c>
      <c r="C2" s="1" t="str">
        <f>IFERROR(__xludf.DUMMYFUNCTION("""COMPUTED_VALUE"""),"3,04,081659")</f>
        <v>3,04,081659</v>
      </c>
      <c r="D2" s="1" t="str">
        <f>IFERROR(__xludf.DUMMYFUNCTION("""COMPUTED_VALUE"""),"6,49,2152,165")</f>
        <v>6,49,2152,165</v>
      </c>
      <c r="E2" s="1" t="str">
        <f>IFERROR(__xludf.DUMMYFUNCTION("""COMPUTED_VALUE"""),"6,47,050")</f>
        <v>6,47,050</v>
      </c>
    </row>
    <row r="3">
      <c r="A3" s="1" t="str">
        <f>IFERROR(__xludf.DUMMYFUNCTION("""COMPUTED_VALUE"""),"Andhra Pradesh")</f>
        <v>Andhra Pradesh</v>
      </c>
      <c r="B3" s="1" t="str">
        <f>IFERROR(__xludf.DUMMYFUNCTION("""COMPUTED_VALUE"""),"4,04,64,8556,526")</f>
        <v>4,04,64,8556,526</v>
      </c>
      <c r="C3" s="1" t="str">
        <f>IFERROR(__xludf.DUMMYFUNCTION("""COMPUTED_VALUE"""),"3,75,80,6901,19,341")</f>
        <v>3,75,80,6901,19,341</v>
      </c>
      <c r="D3" s="1" t="str">
        <f>IFERROR(__xludf.DUMMYFUNCTION("""COMPUTED_VALUE"""),"8,24,46,8722,32,812")</f>
        <v>8,24,46,8722,32,812</v>
      </c>
      <c r="E3" s="1" t="str">
        <f>IFERROR(__xludf.DUMMYFUNCTION("""COMPUTED_VALUE"""),"8,22,14,060")</f>
        <v>8,22,14,060</v>
      </c>
    </row>
    <row r="4">
      <c r="A4" s="1" t="str">
        <f>IFERROR(__xludf.DUMMYFUNCTION("""COMPUTED_VALUE"""),"Arunachal Pradesh")</f>
        <v>Arunachal Pradesh</v>
      </c>
      <c r="B4" s="1" t="str">
        <f>IFERROR(__xludf.DUMMYFUNCTION("""COMPUTED_VALUE"""),"8,42,096413")</f>
        <v>8,42,096413</v>
      </c>
      <c r="C4" s="1" t="str">
        <f>IFERROR(__xludf.DUMMYFUNCTION("""COMPUTED_VALUE"""),"6,87,7151,678")</f>
        <v>6,87,7151,678</v>
      </c>
      <c r="D4" s="1" t="str">
        <f>IFERROR(__xludf.DUMMYFUNCTION("""COMPUTED_VALUE"""),"15,93,5023,209")</f>
        <v>15,93,5023,209</v>
      </c>
      <c r="E4" s="1" t="str">
        <f>IFERROR(__xludf.DUMMYFUNCTION("""COMPUTED_VALUE"""),"15,90,293")</f>
        <v>15,90,293</v>
      </c>
    </row>
    <row r="5">
      <c r="A5" s="1" t="str">
        <f>IFERROR(__xludf.DUMMYFUNCTION("""COMPUTED_VALUE"""),"Assam")</f>
        <v>Assam</v>
      </c>
      <c r="B5" s="1" t="str">
        <f>IFERROR(__xludf.DUMMYFUNCTION("""COMPUTED_VALUE"""),"2,23,33,9916,881")</f>
        <v>2,23,33,9916,881</v>
      </c>
      <c r="C5" s="1" t="str">
        <f>IFERROR(__xludf.DUMMYFUNCTION("""COMPUTED_VALUE"""),"1,84,21,07069,781")</f>
        <v>1,84,21,07069,781</v>
      </c>
      <c r="D5" s="1" t="str">
        <f>IFERROR(__xludf.DUMMYFUNCTION("""COMPUTED_VALUE"""),"4,20,68,9371,55,485")</f>
        <v>4,20,68,9371,55,485</v>
      </c>
      <c r="E5" s="1" t="str">
        <f>IFERROR(__xludf.DUMMYFUNCTION("""COMPUTED_VALUE"""),"4,19,13,452")</f>
        <v>4,19,13,452</v>
      </c>
    </row>
    <row r="6">
      <c r="A6" s="1" t="str">
        <f>IFERROR(__xludf.DUMMYFUNCTION("""COMPUTED_VALUE"""),"Bihar")</f>
        <v>Bihar</v>
      </c>
      <c r="B6" s="1" t="str">
        <f>IFERROR(__xludf.DUMMYFUNCTION("""COMPUTED_VALUE"""),"6,07,68,84648,607")</f>
        <v>6,07,68,84648,607</v>
      </c>
      <c r="C6" s="1" t="str">
        <f>IFERROR(__xludf.DUMMYFUNCTION("""COMPUTED_VALUE"""),"4,86,40,7531,83,456")</f>
        <v>4,86,40,7531,83,456</v>
      </c>
      <c r="D6" s="1" t="str">
        <f>IFERROR(__xludf.DUMMYFUNCTION("""COMPUTED_VALUE"""),"11,48,76,8874,15,218")</f>
        <v>11,48,76,8874,15,218</v>
      </c>
      <c r="E6" s="1" t="str">
        <f>IFERROR(__xludf.DUMMYFUNCTION("""COMPUTED_VALUE"""),"11,44,61,669")</f>
        <v>11,44,61,669</v>
      </c>
    </row>
    <row r="7">
      <c r="A7" s="1" t="str">
        <f>IFERROR(__xludf.DUMMYFUNCTION("""COMPUTED_VALUE"""),"Chandigarh")</f>
        <v>Chandigarh</v>
      </c>
      <c r="B7" s="1" t="str">
        <f>IFERROR(__xludf.DUMMYFUNCTION("""COMPUTED_VALUE"""),"10,77,291455")</f>
        <v>10,77,291455</v>
      </c>
      <c r="C7" s="1" t="str">
        <f>IFERROR(__xludf.DUMMYFUNCTION("""COMPUTED_VALUE"""),"8,55,4311,819")</f>
        <v>8,55,4311,819</v>
      </c>
      <c r="D7" s="1" t="str">
        <f>IFERROR(__xludf.DUMMYFUNCTION("""COMPUTED_VALUE"""),"19,98,0733,750")</f>
        <v>19,98,0733,750</v>
      </c>
      <c r="E7" s="1" t="str">
        <f>IFERROR(__xludf.DUMMYFUNCTION("""COMPUTED_VALUE"""),"19,94,323")</f>
        <v>19,94,323</v>
      </c>
    </row>
    <row r="8">
      <c r="A8" s="1" t="str">
        <f>IFERROR(__xludf.DUMMYFUNCTION("""COMPUTED_VALUE"""),"Chhattisgarh")</f>
        <v>Chhattisgarh</v>
      </c>
      <c r="B8" s="1" t="str">
        <f>IFERROR(__xludf.DUMMYFUNCTION("""COMPUTED_VALUE"""),"1,84,10,22011,528")</f>
        <v>1,84,10,22011,528</v>
      </c>
      <c r="C8" s="1" t="str">
        <f>IFERROR(__xludf.DUMMYFUNCTION("""COMPUTED_VALUE"""),"1,49,22,60392,143")</f>
        <v>1,49,22,60392,143</v>
      </c>
      <c r="D8" s="1" t="str">
        <f>IFERROR(__xludf.DUMMYFUNCTION("""COMPUTED_VALUE"""),"3,49,96,2431,47,527")</f>
        <v>3,49,96,2431,47,527</v>
      </c>
      <c r="E8" s="1" t="str">
        <f>IFERROR(__xludf.DUMMYFUNCTION("""COMPUTED_VALUE"""),"3,48,48,716")</f>
        <v>3,48,48,716</v>
      </c>
    </row>
    <row r="9">
      <c r="A9" s="1" t="str">
        <f>IFERROR(__xludf.DUMMYFUNCTION("""COMPUTED_VALUE"""),"Dadar Nagar Haveli")</f>
        <v>Dadar Nagar Haveli</v>
      </c>
      <c r="B9" s="1" t="str">
        <f>IFERROR(__xludf.DUMMYFUNCTION("""COMPUTED_VALUE"""),"7,22,082149")</f>
        <v>7,22,082149</v>
      </c>
      <c r="C9" s="1" t="str">
        <f>IFERROR(__xludf.DUMMYFUNCTION("""COMPUTED_VALUE"""),"5,69,8781,010")</f>
        <v>5,69,8781,010</v>
      </c>
      <c r="D9" s="1" t="str">
        <f>IFERROR(__xludf.DUMMYFUNCTION("""COMPUTED_VALUE"""),"13,46,8372,416")</f>
        <v>13,46,8372,416</v>
      </c>
      <c r="E9" s="1" t="str">
        <f>IFERROR(__xludf.DUMMYFUNCTION("""COMPUTED_VALUE"""),"13,44,421")</f>
        <v>13,44,421</v>
      </c>
    </row>
    <row r="10">
      <c r="A10" s="1" t="str">
        <f>IFERROR(__xludf.DUMMYFUNCTION("""COMPUTED_VALUE"""),"Delhi")</f>
        <v>Delhi</v>
      </c>
      <c r="B10" s="1" t="str">
        <f>IFERROR(__xludf.DUMMYFUNCTION("""COMPUTED_VALUE"""),"1,62,60,43111,055")</f>
        <v>1,62,60,43111,055</v>
      </c>
      <c r="C10" s="1" t="str">
        <f>IFERROR(__xludf.DUMMYFUNCTION("""COMPUTED_VALUE"""),"1,25,84,76050,845")</f>
        <v>1,25,84,76050,845</v>
      </c>
      <c r="D10" s="1" t="str">
        <f>IFERROR(__xludf.DUMMYFUNCTION("""COMPUTED_VALUE"""),"3,01,87,3991,07,652")</f>
        <v>3,01,87,3991,07,652</v>
      </c>
      <c r="E10" s="1" t="str">
        <f>IFERROR(__xludf.DUMMYFUNCTION("""COMPUTED_VALUE"""),"3,00,79,747")</f>
        <v>3,00,79,747</v>
      </c>
    </row>
    <row r="11">
      <c r="A11" s="1" t="str">
        <f>IFERROR(__xludf.DUMMYFUNCTION("""COMPUTED_VALUE"""),"Goa")</f>
        <v>Goa</v>
      </c>
      <c r="B11" s="1" t="str">
        <f>IFERROR(__xludf.DUMMYFUNCTION("""COMPUTED_VALUE"""),"13,40,774306")</f>
        <v>13,40,774306</v>
      </c>
      <c r="C11" s="1" t="str">
        <f>IFERROR(__xludf.DUMMYFUNCTION("""COMPUTED_VALUE"""),"11,74,5212,429")</f>
        <v>11,74,5212,429</v>
      </c>
      <c r="D11" s="1" t="str">
        <f>IFERROR(__xludf.DUMMYFUNCTION("""COMPUTED_VALUE"""),"26,17,8804,774")</f>
        <v>26,17,8804,774</v>
      </c>
      <c r="E11" s="1" t="str">
        <f>IFERROR(__xludf.DUMMYFUNCTION("""COMPUTED_VALUE"""),"26,13,106")</f>
        <v>26,13,106</v>
      </c>
    </row>
    <row r="12">
      <c r="A12" s="1" t="str">
        <f>IFERROR(__xludf.DUMMYFUNCTION("""COMPUTED_VALUE"""),"Gujarat")</f>
        <v>Gujarat</v>
      </c>
      <c r="B12" s="1" t="str">
        <f>IFERROR(__xludf.DUMMYFUNCTION("""COMPUTED_VALUE"""),"4,87,21,58421,867")</f>
        <v>4,87,21,58421,867</v>
      </c>
      <c r="C12" s="1" t="str">
        <f>IFERROR(__xludf.DUMMYFUNCTION("""COMPUTED_VALUE"""),"4,59,63,3871,40,342")</f>
        <v>4,59,63,3871,40,342</v>
      </c>
      <c r="D12" s="1" t="str">
        <f>IFERROR(__xludf.DUMMYFUNCTION("""COMPUTED_VALUE"""),"10,02,19,2233,21,410")</f>
        <v>10,02,19,2233,21,410</v>
      </c>
      <c r="E12" s="1" t="str">
        <f>IFERROR(__xludf.DUMMYFUNCTION("""COMPUTED_VALUE"""),"9,98,97,813")</f>
        <v>9,98,97,813</v>
      </c>
    </row>
    <row r="13">
      <c r="A13" s="1" t="str">
        <f>IFERROR(__xludf.DUMMYFUNCTION("""COMPUTED_VALUE"""),"Haryana")</f>
        <v>Haryana</v>
      </c>
      <c r="B13" s="1" t="str">
        <f>IFERROR(__xludf.DUMMYFUNCTION("""COMPUTED_VALUE"""),"2,16,53,96915,506")</f>
        <v>2,16,53,96915,506</v>
      </c>
      <c r="C13" s="1" t="str">
        <f>IFERROR(__xludf.DUMMYFUNCTION("""COMPUTED_VALUE"""),"1,69,84,46665,029")</f>
        <v>1,69,84,46665,029</v>
      </c>
      <c r="D13" s="1" t="str">
        <f>IFERROR(__xludf.DUMMYFUNCTION("""COMPUTED_VALUE"""),"3,99,70,5061,35,722")</f>
        <v>3,99,70,5061,35,722</v>
      </c>
      <c r="E13" s="1" t="str">
        <f>IFERROR(__xludf.DUMMYFUNCTION("""COMPUTED_VALUE"""),"3,98,34,784")</f>
        <v>3,98,34,784</v>
      </c>
    </row>
    <row r="14">
      <c r="A14" s="1" t="str">
        <f>IFERROR(__xludf.DUMMYFUNCTION("""COMPUTED_VALUE"""),"Himachal Pradesh")</f>
        <v>Himachal Pradesh</v>
      </c>
      <c r="B14" s="1" t="str">
        <f>IFERROR(__xludf.DUMMYFUNCTION("""COMPUTED_VALUE"""),"59,90,7931,403")</f>
        <v>59,90,7931,403</v>
      </c>
      <c r="C14" s="1" t="str">
        <f>IFERROR(__xludf.DUMMYFUNCTION("""COMPUTED_VALUE"""),"56,05,34012,032")</f>
        <v>56,05,34012,032</v>
      </c>
      <c r="D14" s="1" t="str">
        <f>IFERROR(__xludf.DUMMYFUNCTION("""COMPUTED_VALUE"""),"1,22,18,67246,584")</f>
        <v>1,22,18,67246,584</v>
      </c>
      <c r="E14" s="1" t="str">
        <f>IFERROR(__xludf.DUMMYFUNCTION("""COMPUTED_VALUE"""),"1,21,72,088")</f>
        <v>1,21,72,088</v>
      </c>
    </row>
    <row r="15">
      <c r="A15" s="1" t="str">
        <f>IFERROR(__xludf.DUMMYFUNCTION("""COMPUTED_VALUE"""),"Jammu and Kashmir")</f>
        <v>Jammu and Kashmir</v>
      </c>
      <c r="B15" s="1" t="str">
        <f>IFERROR(__xludf.DUMMYFUNCTION("""COMPUTED_VALUE"""),"98,74,1553,321")</f>
        <v>98,74,1553,321</v>
      </c>
      <c r="C15" s="1" t="str">
        <f>IFERROR(__xludf.DUMMYFUNCTION("""COMPUTED_VALUE"""),"99,34,61219,383")</f>
        <v>99,34,61219,383</v>
      </c>
      <c r="D15" s="1" t="str">
        <f>IFERROR(__xludf.DUMMYFUNCTION("""COMPUTED_VALUE"""),"2,08,92,35167,772")</f>
        <v>2,08,92,35167,772</v>
      </c>
      <c r="E15" s="1" t="str">
        <f>IFERROR(__xludf.DUMMYFUNCTION("""COMPUTED_VALUE"""),"2,08,24,579")</f>
        <v>2,08,24,579</v>
      </c>
    </row>
    <row r="16">
      <c r="A16" s="1" t="str">
        <f>IFERROR(__xludf.DUMMYFUNCTION("""COMPUTED_VALUE"""),"Jharkhand")</f>
        <v>Jharkhand</v>
      </c>
      <c r="B16" s="1" t="str">
        <f>IFERROR(__xludf.DUMMYFUNCTION("""COMPUTED_VALUE"""),"2,07,09,75120,981")</f>
        <v>2,07,09,75120,981</v>
      </c>
      <c r="C16" s="1" t="str">
        <f>IFERROR(__xludf.DUMMYFUNCTION("""COMPUTED_VALUE"""),"1,32,77,31150,054")</f>
        <v>1,32,77,31150,054</v>
      </c>
      <c r="D16" s="1" t="str">
        <f>IFERROR(__xludf.DUMMYFUNCTION("""COMPUTED_VALUE"""),"3,53,55,3731,08,226")</f>
        <v>3,53,55,3731,08,226</v>
      </c>
      <c r="E16" s="1" t="str">
        <f>IFERROR(__xludf.DUMMYFUNCTION("""COMPUTED_VALUE"""),"3,52,47,147")</f>
        <v>3,52,47,147</v>
      </c>
    </row>
    <row r="17">
      <c r="A17" s="1" t="str">
        <f>IFERROR(__xludf.DUMMYFUNCTION("""COMPUTED_VALUE"""),"Karnataka")</f>
        <v>Karnataka</v>
      </c>
      <c r="B17" s="1" t="str">
        <f>IFERROR(__xludf.DUMMYFUNCTION("""COMPUTED_VALUE"""),"4,95,45,35911,545")</f>
        <v>4,95,45,35911,545</v>
      </c>
      <c r="C17" s="1" t="str">
        <f>IFERROR(__xludf.DUMMYFUNCTION("""COMPUTED_VALUE"""),"4,41,54,9711,47,939")</f>
        <v>4,41,54,9711,47,939</v>
      </c>
      <c r="D17" s="1" t="str">
        <f>IFERROR(__xludf.DUMMYFUNCTION("""COMPUTED_VALUE"""),"9,76,74,8852,36,671")</f>
        <v>9,76,74,8852,36,671</v>
      </c>
      <c r="E17" s="1" t="str">
        <f>IFERROR(__xludf.DUMMYFUNCTION("""COMPUTED_VALUE"""),"9,74,38,214")</f>
        <v>9,74,38,214</v>
      </c>
    </row>
    <row r="18">
      <c r="A18" s="1" t="str">
        <f>IFERROR(__xludf.DUMMYFUNCTION("""COMPUTED_VALUE"""),"Kerala")</f>
        <v>Kerala</v>
      </c>
      <c r="B18" s="1" t="str">
        <f>IFERROR(__xludf.DUMMYFUNCTION("""COMPUTED_VALUE"""),"2,68,54,4785,057")</f>
        <v>2,68,54,4785,057</v>
      </c>
      <c r="C18" s="1" t="str">
        <f>IFERROR(__xludf.DUMMYFUNCTION("""COMPUTED_VALUE"""),"2,27,32,89565,711")</f>
        <v>2,27,32,89565,711</v>
      </c>
      <c r="D18" s="1" t="str">
        <f>IFERROR(__xludf.DUMMYFUNCTION("""COMPUTED_VALUE"""),"5,15,89,0331,36,745")</f>
        <v>5,15,89,0331,36,745</v>
      </c>
      <c r="E18" s="1" t="str">
        <f>IFERROR(__xludf.DUMMYFUNCTION("""COMPUTED_VALUE"""),"5,14,52,288")</f>
        <v>5,14,52,288</v>
      </c>
    </row>
    <row r="19">
      <c r="A19" s="1" t="str">
        <f>IFERROR(__xludf.DUMMYFUNCTION("""COMPUTED_VALUE"""),"Ladakh")</f>
        <v>Ladakh</v>
      </c>
      <c r="B19" s="1" t="str">
        <f>IFERROR(__xludf.DUMMYFUNCTION("""COMPUTED_VALUE"""),"2,17,86746")</f>
        <v>2,17,86746</v>
      </c>
      <c r="C19" s="1" t="str">
        <f>IFERROR(__xludf.DUMMYFUNCTION("""COMPUTED_VALUE"""),"1,80,1331,501")</f>
        <v>1,80,1331,501</v>
      </c>
      <c r="D19" s="1" t="str">
        <f>IFERROR(__xludf.DUMMYFUNCTION("""COMPUTED_VALUE"""),"4,31,6771,970")</f>
        <v>4,31,6771,970</v>
      </c>
      <c r="E19" s="1" t="str">
        <f>IFERROR(__xludf.DUMMYFUNCTION("""COMPUTED_VALUE"""),"4,29,707")</f>
        <v>4,29,707</v>
      </c>
    </row>
    <row r="20">
      <c r="A20" s="1" t="str">
        <f>IFERROR(__xludf.DUMMYFUNCTION("""COMPUTED_VALUE"""),"Lakshadweep")</f>
        <v>Lakshadweep</v>
      </c>
      <c r="B20" s="7">
        <f>IFERROR(__xludf.DUMMYFUNCTION("""COMPUTED_VALUE"""),565976.0)</f>
        <v>565976</v>
      </c>
      <c r="C20" s="7">
        <f>IFERROR(__xludf.DUMMYFUNCTION("""COMPUTED_VALUE"""),5.4047234E7)</f>
        <v>54047234</v>
      </c>
      <c r="D20" s="1" t="str">
        <f>IFERROR(__xludf.DUMMYFUNCTION("""COMPUTED_VALUE"""),"1,16,489501")</f>
        <v>1,16,489501</v>
      </c>
      <c r="E20" s="1" t="str">
        <f>IFERROR(__xludf.DUMMYFUNCTION("""COMPUTED_VALUE"""),"1,15,988")</f>
        <v>1,15,988</v>
      </c>
    </row>
    <row r="21">
      <c r="A21" s="1" t="str">
        <f>IFERROR(__xludf.DUMMYFUNCTION("""COMPUTED_VALUE"""),"Madhya Pradesh")</f>
        <v>Madhya Pradesh</v>
      </c>
      <c r="B21" s="1" t="str">
        <f>IFERROR(__xludf.DUMMYFUNCTION("""COMPUTED_VALUE"""),"5,37,33,92311,401")</f>
        <v>5,37,33,92311,401</v>
      </c>
      <c r="C21" s="1" t="str">
        <f>IFERROR(__xludf.DUMMYFUNCTION("""COMPUTED_VALUE"""),"5,18,00,11168,594")</f>
        <v>5,18,00,11168,594</v>
      </c>
      <c r="D21" s="1" t="str">
        <f>IFERROR(__xludf.DUMMYFUNCTION("""COMPUTED_VALUE"""),"11,13,78,8151,75,160")</f>
        <v>11,13,78,8151,75,160</v>
      </c>
      <c r="E21" s="1" t="str">
        <f>IFERROR(__xludf.DUMMYFUNCTION("""COMPUTED_VALUE"""),"11,12,03,655")</f>
        <v>11,12,03,655</v>
      </c>
    </row>
    <row r="22">
      <c r="A22" s="1" t="str">
        <f>IFERROR(__xludf.DUMMYFUNCTION("""COMPUTED_VALUE"""),"Maharashtra")</f>
        <v>Maharashtra</v>
      </c>
      <c r="B22" s="1" t="str">
        <f>IFERROR(__xludf.DUMMYFUNCTION("""COMPUTED_VALUE"""),"8,33,51,25235,952")</f>
        <v>8,33,51,25235,952</v>
      </c>
      <c r="C22" s="1" t="str">
        <f>IFERROR(__xludf.DUMMYFUNCTION("""COMPUTED_VALUE"""),"6,24,39,3712,73,910")</f>
        <v>6,24,39,3712,73,910</v>
      </c>
      <c r="D22" s="1" t="str">
        <f>IFERROR(__xludf.DUMMYFUNCTION("""COMPUTED_VALUE"""),"15,06,82,7914,65,357")</f>
        <v>15,06,82,7914,65,357</v>
      </c>
      <c r="E22" s="1" t="str">
        <f>IFERROR(__xludf.DUMMYFUNCTION("""COMPUTED_VALUE"""),"15,02,17,434")</f>
        <v>15,02,17,434</v>
      </c>
    </row>
    <row r="23">
      <c r="A23" s="1" t="str">
        <f>IFERROR(__xludf.DUMMYFUNCTION("""COMPUTED_VALUE"""),"Manipur")</f>
        <v>Manipur</v>
      </c>
      <c r="B23" s="1" t="str">
        <f>IFERROR(__xludf.DUMMYFUNCTION("""COMPUTED_VALUE"""),"13,99,8723,002")</f>
        <v>13,99,8723,002</v>
      </c>
      <c r="C23" s="1" t="str">
        <f>IFERROR(__xludf.DUMMYFUNCTION("""COMPUTED_VALUE"""),"10,83,7287,045")</f>
        <v>10,83,7287,045</v>
      </c>
      <c r="D23" s="1" t="str">
        <f>IFERROR(__xludf.DUMMYFUNCTION("""COMPUTED_VALUE"""),"25,98,62913,501")</f>
        <v>25,98,62913,501</v>
      </c>
      <c r="E23" s="1" t="str">
        <f>IFERROR(__xludf.DUMMYFUNCTION("""COMPUTED_VALUE"""),"25,85,128")</f>
        <v>25,85,128</v>
      </c>
    </row>
    <row r="24">
      <c r="A24" s="1" t="str">
        <f>IFERROR(__xludf.DUMMYFUNCTION("""COMPUTED_VALUE"""),"Meghalaya")</f>
        <v>Meghalaya</v>
      </c>
      <c r="B24" s="1" t="str">
        <f>IFERROR(__xludf.DUMMYFUNCTION("""COMPUTED_VALUE"""),"13,04,535741")</f>
        <v>13,04,535741</v>
      </c>
      <c r="C24" s="1" t="str">
        <f>IFERROR(__xludf.DUMMYFUNCTION("""COMPUTED_VALUE"""),"9,38,8961,839")</f>
        <v>9,38,8961,839</v>
      </c>
      <c r="D24" s="1" t="str">
        <f>IFERROR(__xludf.DUMMYFUNCTION("""COMPUTED_VALUE"""),"23,09,0303,292")</f>
        <v>23,09,0303,292</v>
      </c>
      <c r="E24" s="1" t="str">
        <f>IFERROR(__xludf.DUMMYFUNCTION("""COMPUTED_VALUE"""),"23,05,738")</f>
        <v>23,05,738</v>
      </c>
    </row>
    <row r="25">
      <c r="A25" s="1" t="str">
        <f>IFERROR(__xludf.DUMMYFUNCTION("""COMPUTED_VALUE"""),"Mizoram")</f>
        <v>Mizoram</v>
      </c>
      <c r="B25" s="1" t="str">
        <f>IFERROR(__xludf.DUMMYFUNCTION("""COMPUTED_VALUE"""),"7,69,735395")</f>
        <v>7,69,735395</v>
      </c>
      <c r="C25" s="1" t="str">
        <f>IFERROR(__xludf.DUMMYFUNCTION("""COMPUTED_VALUE"""),"6,16,5921,368")</f>
        <v>6,16,5921,368</v>
      </c>
      <c r="D25" s="1" t="str">
        <f>IFERROR(__xludf.DUMMYFUNCTION("""COMPUTED_VALUE"""),"14,55,4704,356")</f>
        <v>14,55,4704,356</v>
      </c>
      <c r="E25" s="1" t="str">
        <f>IFERROR(__xludf.DUMMYFUNCTION("""COMPUTED_VALUE"""),"14,51,114")</f>
        <v>14,51,114</v>
      </c>
    </row>
    <row r="26">
      <c r="A26" s="1" t="str">
        <f>IFERROR(__xludf.DUMMYFUNCTION("""COMPUTED_VALUE"""),"Nagaland")</f>
        <v>Nagaland</v>
      </c>
      <c r="B26" s="1" t="str">
        <f>IFERROR(__xludf.DUMMYFUNCTION("""COMPUTED_VALUE"""),"8,15,798826")</f>
        <v>8,15,798826</v>
      </c>
      <c r="C26" s="1" t="str">
        <f>IFERROR(__xludf.DUMMYFUNCTION("""COMPUTED_VALUE"""),"6,17,4141,716")</f>
        <v>6,17,4141,716</v>
      </c>
      <c r="D26" s="1" t="str">
        <f>IFERROR(__xludf.DUMMYFUNCTION("""COMPUTED_VALUE"""),"14,88,6343,860")</f>
        <v>14,88,6343,860</v>
      </c>
      <c r="E26" s="1" t="str">
        <f>IFERROR(__xludf.DUMMYFUNCTION("""COMPUTED_VALUE"""),"14,84,774")</f>
        <v>14,84,774</v>
      </c>
    </row>
    <row r="27">
      <c r="A27" s="1" t="str">
        <f>IFERROR(__xludf.DUMMYFUNCTION("""COMPUTED_VALUE"""),"Odisha")</f>
        <v>Odisha</v>
      </c>
      <c r="B27" s="1" t="str">
        <f>IFERROR(__xludf.DUMMYFUNCTION("""COMPUTED_VALUE"""),"3,07,04,55017,719")</f>
        <v>3,07,04,55017,719</v>
      </c>
      <c r="C27" s="1" t="str">
        <f>IFERROR(__xludf.DUMMYFUNCTION("""COMPUTED_VALUE"""),"2,53,33,2611,55,170")</f>
        <v>2,53,33,2611,55,170</v>
      </c>
      <c r="D27" s="1" t="str">
        <f>IFERROR(__xludf.DUMMYFUNCTION("""COMPUTED_VALUE"""),"5,85,65,0582,58,569")</f>
        <v>5,85,65,0582,58,569</v>
      </c>
      <c r="E27" s="1" t="str">
        <f>IFERROR(__xludf.DUMMYFUNCTION("""COMPUTED_VALUE"""),"5,83,06,489")</f>
        <v>5,83,06,489</v>
      </c>
    </row>
    <row r="28">
      <c r="A28" s="1" t="str">
        <f>IFERROR(__xludf.DUMMYFUNCTION("""COMPUTED_VALUE"""),"Puducherry")</f>
        <v>Puducherry</v>
      </c>
      <c r="B28" s="1" t="str">
        <f>IFERROR(__xludf.DUMMYFUNCTION("""COMPUTED_VALUE"""),"8,83,942288")</f>
        <v>8,83,942288</v>
      </c>
      <c r="C28" s="1" t="str">
        <f>IFERROR(__xludf.DUMMYFUNCTION("""COMPUTED_VALUE"""),"6,11,2061,274")</f>
        <v>6,11,2061,274</v>
      </c>
      <c r="D28" s="1" t="str">
        <f>IFERROR(__xludf.DUMMYFUNCTION("""COMPUTED_VALUE"""),"15,50,0972,861")</f>
        <v>15,50,0972,861</v>
      </c>
      <c r="E28" s="1" t="str">
        <f>IFERROR(__xludf.DUMMYFUNCTION("""COMPUTED_VALUE"""),"15,47,236")</f>
        <v>15,47,236</v>
      </c>
    </row>
    <row r="29">
      <c r="A29" s="1" t="str">
        <f>IFERROR(__xludf.DUMMYFUNCTION("""COMPUTED_VALUE"""),"Punjab")</f>
        <v>Punjab</v>
      </c>
      <c r="B29" s="1" t="str">
        <f>IFERROR(__xludf.DUMMYFUNCTION("""COMPUTED_VALUE"""),"2,03,92,2461,34,539")</f>
        <v>2,03,92,2461,34,539</v>
      </c>
      <c r="C29" s="1" t="str">
        <f>IFERROR(__xludf.DUMMYFUNCTION("""COMPUTED_VALUE"""),"1,46,57,6291,62,526")</f>
        <v>1,46,57,6291,62,526</v>
      </c>
      <c r="D29" s="1" t="str">
        <f>IFERROR(__xludf.DUMMYFUNCTION("""COMPUTED_VALUE"""),"3,59,83,1003,34,693")</f>
        <v>3,59,83,1003,34,693</v>
      </c>
      <c r="E29" s="1" t="str">
        <f>IFERROR(__xludf.DUMMYFUNCTION("""COMPUTED_VALUE"""),"3,56,48,407")</f>
        <v>3,56,48,407</v>
      </c>
    </row>
    <row r="30">
      <c r="A30" s="1" t="str">
        <f>IFERROR(__xludf.DUMMYFUNCTION("""COMPUTED_VALUE"""),"Rajasthan")</f>
        <v>Rajasthan</v>
      </c>
      <c r="B30" s="1" t="str">
        <f>IFERROR(__xludf.DUMMYFUNCTION("""COMPUTED_VALUE"""),"4,99,97,78238,648")</f>
        <v>4,99,97,78238,648</v>
      </c>
      <c r="C30" s="1" t="str">
        <f>IFERROR(__xludf.DUMMYFUNCTION("""COMPUTED_VALUE"""),"4,09,05,3401,56,099")</f>
        <v>4,09,05,3401,56,099</v>
      </c>
      <c r="D30" s="1" t="str">
        <f>IFERROR(__xludf.DUMMYFUNCTION("""COMPUTED_VALUE"""),"9,55,51,2223,66,142")</f>
        <v>9,55,51,2223,66,142</v>
      </c>
      <c r="E30" s="1" t="str">
        <f>IFERROR(__xludf.DUMMYFUNCTION("""COMPUTED_VALUE"""),"9,51,85,080")</f>
        <v>9,51,85,080</v>
      </c>
    </row>
    <row r="31">
      <c r="A31" s="1" t="str">
        <f>IFERROR(__xludf.DUMMYFUNCTION("""COMPUTED_VALUE"""),"Sikkim")</f>
        <v>Sikkim</v>
      </c>
      <c r="B31" s="1" t="str">
        <f>IFERROR(__xludf.DUMMYFUNCTION("""COMPUTED_VALUE"""),"5,36,58792")</f>
        <v>5,36,58792</v>
      </c>
      <c r="C31" s="1" t="str">
        <f>IFERROR(__xludf.DUMMYFUNCTION("""COMPUTED_VALUE"""),"4,94,3731,621")</f>
        <v>4,94,3731,621</v>
      </c>
      <c r="D31" s="1" t="str">
        <f>IFERROR(__xludf.DUMMYFUNCTION("""COMPUTED_VALUE"""),"10,83,7133,775")</f>
        <v>10,83,7133,775</v>
      </c>
      <c r="E31" s="1" t="str">
        <f>IFERROR(__xludf.DUMMYFUNCTION("""COMPUTED_VALUE"""),"10,79,938")</f>
        <v>10,79,938</v>
      </c>
    </row>
    <row r="32">
      <c r="A32" s="1" t="str">
        <f>IFERROR(__xludf.DUMMYFUNCTION("""COMPUTED_VALUE"""),"Tamil Nadu")</f>
        <v>Tamil Nadu</v>
      </c>
      <c r="B32" s="1" t="str">
        <f>IFERROR(__xludf.DUMMYFUNCTION("""COMPUTED_VALUE"""),"5,29,56,83236,707")</f>
        <v>5,29,56,83236,707</v>
      </c>
      <c r="C32" s="1" t="str">
        <f>IFERROR(__xludf.DUMMYFUNCTION("""COMPUTED_VALUE"""),"3,97,05,36493,081")</f>
        <v>3,97,05,36493,081</v>
      </c>
      <c r="D32" s="1" t="str">
        <f>IFERROR(__xludf.DUMMYFUNCTION("""COMPUTED_VALUE"""),"9,58,01,3972,27,821")</f>
        <v>9,58,01,3972,27,821</v>
      </c>
      <c r="E32" s="1" t="str">
        <f>IFERROR(__xludf.DUMMYFUNCTION("""COMPUTED_VALUE"""),"9,55,73,576")</f>
        <v>9,55,73,576</v>
      </c>
    </row>
    <row r="33">
      <c r="A33" s="1" t="str">
        <f>IFERROR(__xludf.DUMMYFUNCTION("""COMPUTED_VALUE"""),"Telangana")</f>
        <v>Telangana</v>
      </c>
      <c r="B33" s="1" t="str">
        <f>IFERROR(__xludf.DUMMYFUNCTION("""COMPUTED_VALUE"""),"2,91,59,64417,148")</f>
        <v>2,91,59,64417,148</v>
      </c>
      <c r="C33" s="1" t="str">
        <f>IFERROR(__xludf.DUMMYFUNCTION("""COMPUTED_VALUE"""),"2,45,34,8201,24,992")</f>
        <v>2,45,34,8201,24,992</v>
      </c>
      <c r="D33" s="1" t="str">
        <f>IFERROR(__xludf.DUMMYFUNCTION("""COMPUTED_VALUE"""),"5,57,55,6442,59,790")</f>
        <v>5,57,55,6442,59,790</v>
      </c>
      <c r="E33" s="1" t="str">
        <f>IFERROR(__xludf.DUMMYFUNCTION("""COMPUTED_VALUE"""),"5,54,95,854")</f>
        <v>5,54,95,854</v>
      </c>
    </row>
    <row r="34">
      <c r="A34" s="1" t="str">
        <f>IFERROR(__xludf.DUMMYFUNCTION("""COMPUTED_VALUE"""),"Tripura")</f>
        <v>Tripura</v>
      </c>
      <c r="B34" s="1" t="str">
        <f>IFERROR(__xludf.DUMMYFUNCTION("""COMPUTED_VALUE"""),"26,31,520521")</f>
        <v>26,31,520521</v>
      </c>
      <c r="C34" s="1" t="str">
        <f>IFERROR(__xludf.DUMMYFUNCTION("""COMPUTED_VALUE"""),"21,85,2156,164")</f>
        <v>21,85,2156,164</v>
      </c>
      <c r="D34" s="1" t="str">
        <f>IFERROR(__xludf.DUMMYFUNCTION("""COMPUTED_VALUE"""),"50,31,83016,187")</f>
        <v>50,31,83016,187</v>
      </c>
      <c r="E34" s="1" t="str">
        <f>IFERROR(__xludf.DUMMYFUNCTION("""COMPUTED_VALUE"""),"50,15,643")</f>
        <v>50,15,643</v>
      </c>
    </row>
    <row r="35">
      <c r="A35" s="1" t="str">
        <f>IFERROR(__xludf.DUMMYFUNCTION("""COMPUTED_VALUE"""),"Uttar Pradesh")</f>
        <v>Uttar Pradesh</v>
      </c>
      <c r="B35" s="1" t="str">
        <f>IFERROR(__xludf.DUMMYFUNCTION("""COMPUTED_VALUE"""),"15,00,05,6672,57,781")</f>
        <v>15,00,05,6672,57,781</v>
      </c>
      <c r="C35" s="1" t="str">
        <f>IFERROR(__xludf.DUMMYFUNCTION("""COMPUTED_VALUE"""),"10,82,75,5677,23,536")</f>
        <v>10,82,75,5677,23,536</v>
      </c>
      <c r="D35" s="1" t="str">
        <f>IFERROR(__xludf.DUMMYFUNCTION("""COMPUTED_VALUE"""),"27,20,84,07614,56,582")</f>
        <v>27,20,84,07614,56,582</v>
      </c>
      <c r="E35" s="1" t="str">
        <f>IFERROR(__xludf.DUMMYFUNCTION("""COMPUTED_VALUE"""),"27,06,27,494")</f>
        <v>27,06,27,494</v>
      </c>
    </row>
    <row r="36">
      <c r="A36" s="1" t="str">
        <f>IFERROR(__xludf.DUMMYFUNCTION("""COMPUTED_VALUE"""),"Uttarakhand")</f>
        <v>Uttarakhand</v>
      </c>
      <c r="B36" s="1" t="str">
        <f>IFERROR(__xludf.DUMMYFUNCTION("""COMPUTED_VALUE"""),"80,83,5273,033")</f>
        <v>80,83,5273,033</v>
      </c>
      <c r="C36" s="1" t="str">
        <f>IFERROR(__xludf.DUMMYFUNCTION("""COMPUTED_VALUE"""),"75,89,12738,495")</f>
        <v>75,89,12738,495</v>
      </c>
      <c r="D36" s="1" t="str">
        <f>IFERROR(__xludf.DUMMYFUNCTION("""COMPUTED_VALUE"""),"1,65,65,26777,929")</f>
        <v>1,65,65,26777,929</v>
      </c>
      <c r="E36" s="1" t="str">
        <f>IFERROR(__xludf.DUMMYFUNCTION("""COMPUTED_VALUE"""),"1,64,87,338")</f>
        <v>1,64,87,338</v>
      </c>
    </row>
    <row r="37">
      <c r="A37" s="1" t="str">
        <f>IFERROR(__xludf.DUMMYFUNCTION("""COMPUTED_VALUE"""),"West Bengal")</f>
        <v>West Bengal</v>
      </c>
      <c r="B37" s="1" t="str">
        <f>IFERROR(__xludf.DUMMYFUNCTION("""COMPUTED_VALUE"""),"6,65,48,98921,933")</f>
        <v>6,65,48,98921,933</v>
      </c>
      <c r="C37" s="1" t="str">
        <f>IFERROR(__xludf.DUMMYFUNCTION("""COMPUTED_VALUE"""),"5,36,14,6904,18,892")</f>
        <v>5,36,14,6904,18,892</v>
      </c>
      <c r="D37" s="1" t="str">
        <f>IFERROR(__xludf.DUMMYFUNCTION("""COMPUTED_VALUE"""),"12,50,01,5967,13,204")</f>
        <v>12,50,01,5967,13,204</v>
      </c>
      <c r="E37" s="1" t="str">
        <f>IFERROR(__xludf.DUMMYFUNCTION("""COMPUTED_VALUE"""),"12,42,88,392")</f>
        <v>12,42,88,392</v>
      </c>
    </row>
    <row r="38" hidden="1">
      <c r="A38" s="1" t="str">
        <f>IFERROR(__xludf.DUMMYFUNCTION("""COMPUTED_VALUE"""),"Miscellaneous")</f>
        <v>Miscellaneous</v>
      </c>
      <c r="B38" s="1" t="str">
        <f>IFERROR(__xludf.DUMMYFUNCTION("""COMPUTED_VALUE"""),"22,39,67670")</f>
        <v>22,39,67670</v>
      </c>
      <c r="C38" s="1" t="str">
        <f>IFERROR(__xludf.DUMMYFUNCTION("""COMPUTED_VALUE"""),"15,74,42895")</f>
        <v>15,74,42895</v>
      </c>
      <c r="D38" s="1" t="str">
        <f>IFERROR(__xludf.DUMMYFUNCTION("""COMPUTED_VALUE"""),"45,70,28220,402")</f>
        <v>45,70,28220,402</v>
      </c>
      <c r="E38" s="1" t="str">
        <f>IFERROR(__xludf.DUMMYFUNCTION("""COMPUTED_VALUE"""),"45,49,880")</f>
        <v>45,49,880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49</v>
      </c>
      <c r="B1" s="8" t="s">
        <v>50</v>
      </c>
    </row>
    <row r="2">
      <c r="A2" s="9" t="s">
        <v>51</v>
      </c>
      <c r="B2" s="10">
        <v>281.0</v>
      </c>
    </row>
    <row r="3">
      <c r="A3" s="9" t="s">
        <v>52</v>
      </c>
      <c r="B3" s="10">
        <v>200.0</v>
      </c>
    </row>
    <row r="4">
      <c r="A4" s="9" t="s">
        <v>53</v>
      </c>
      <c r="B4" s="10">
        <v>81.0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  <col hidden="1" min="5" max="6" width="12.63"/>
  </cols>
  <sheetData>
    <row r="1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</row>
    <row r="2">
      <c r="A2" s="12" t="s">
        <v>60</v>
      </c>
      <c r="B2" s="13">
        <v>385725.0</v>
      </c>
      <c r="C2" s="12">
        <v>3.4</v>
      </c>
      <c r="D2" s="12">
        <v>41.0</v>
      </c>
      <c r="E2" s="12">
        <v>0.0</v>
      </c>
      <c r="F2" s="12">
        <v>5.8</v>
      </c>
    </row>
    <row r="3">
      <c r="A3" s="12" t="s">
        <v>61</v>
      </c>
      <c r="B3" s="13">
        <v>1582829.0</v>
      </c>
      <c r="C3" s="12">
        <v>14.1</v>
      </c>
      <c r="D3" s="12">
        <v>63.0</v>
      </c>
      <c r="E3" s="12">
        <v>0.1</v>
      </c>
      <c r="F3" s="12">
        <v>16.7</v>
      </c>
    </row>
    <row r="4">
      <c r="A4" s="12" t="s">
        <v>62</v>
      </c>
      <c r="B4" s="13">
        <v>3492454.0</v>
      </c>
      <c r="C4" s="12">
        <v>31.0</v>
      </c>
      <c r="D4" s="13">
        <v>1696.0</v>
      </c>
      <c r="E4" s="12">
        <v>1.7</v>
      </c>
      <c r="F4" s="12">
        <v>24.3</v>
      </c>
    </row>
    <row r="5">
      <c r="A5" s="12" t="s">
        <v>63</v>
      </c>
      <c r="B5" s="13">
        <v>2597669.0</v>
      </c>
      <c r="C5" s="12">
        <v>23.1</v>
      </c>
      <c r="D5" s="13">
        <v>6263.0</v>
      </c>
      <c r="E5" s="12">
        <v>6.1</v>
      </c>
      <c r="F5" s="12">
        <v>19.3</v>
      </c>
    </row>
    <row r="6">
      <c r="A6" s="12" t="s">
        <v>64</v>
      </c>
      <c r="B6" s="13">
        <v>1422987.0</v>
      </c>
      <c r="C6" s="12">
        <v>12.6</v>
      </c>
      <c r="D6" s="13">
        <v>11107.0</v>
      </c>
      <c r="E6" s="12">
        <v>10.9</v>
      </c>
      <c r="F6" s="12">
        <v>12.5</v>
      </c>
    </row>
    <row r="7">
      <c r="A7" s="12" t="s">
        <v>65</v>
      </c>
      <c r="B7" s="13">
        <v>556419.0</v>
      </c>
      <c r="C7" s="12">
        <v>4.9</v>
      </c>
      <c r="D7" s="13">
        <v>9247.0</v>
      </c>
      <c r="E7" s="12">
        <v>9.1</v>
      </c>
      <c r="F7" s="12">
        <v>5.9</v>
      </c>
    </row>
    <row r="8">
      <c r="A8" s="12" t="s">
        <v>66</v>
      </c>
      <c r="B8" s="13">
        <v>401016.0</v>
      </c>
      <c r="C8" s="12">
        <v>3.6</v>
      </c>
      <c r="D8" s="13">
        <v>10692.0</v>
      </c>
      <c r="E8" s="12">
        <v>10.5</v>
      </c>
      <c r="F8" s="12">
        <v>5.0</v>
      </c>
    </row>
    <row r="9">
      <c r="A9" s="12" t="s">
        <v>67</v>
      </c>
      <c r="B9" s="13">
        <v>288509.0</v>
      </c>
      <c r="C9" s="12">
        <v>2.6</v>
      </c>
      <c r="D9" s="13">
        <v>11676.0</v>
      </c>
      <c r="E9" s="12">
        <v>11.5</v>
      </c>
      <c r="F9" s="12">
        <v>4.1</v>
      </c>
    </row>
    <row r="10">
      <c r="A10" s="12" t="s">
        <v>68</v>
      </c>
      <c r="B10" s="13">
        <v>200442.0</v>
      </c>
      <c r="C10" s="12">
        <v>1.8</v>
      </c>
      <c r="D10" s="13">
        <v>11984.0</v>
      </c>
      <c r="E10" s="12">
        <v>11.8</v>
      </c>
      <c r="F10" s="12">
        <v>2.7</v>
      </c>
    </row>
    <row r="11">
      <c r="A11" s="12" t="s">
        <v>69</v>
      </c>
      <c r="B11" s="13">
        <v>318343.0</v>
      </c>
      <c r="C11" s="12">
        <v>2.8</v>
      </c>
      <c r="D11" s="13">
        <v>39111.0</v>
      </c>
      <c r="E11" s="12">
        <v>38.4</v>
      </c>
      <c r="F11" s="12">
        <v>3.9</v>
      </c>
    </row>
    <row r="12" hidden="1">
      <c r="A12" s="12" t="s">
        <v>70</v>
      </c>
      <c r="B12" s="13">
        <v>6659.0</v>
      </c>
      <c r="C12" s="12">
        <v>0.1</v>
      </c>
      <c r="D12" s="12">
        <v>6.0</v>
      </c>
      <c r="E12" s="12">
        <v>0.0</v>
      </c>
      <c r="F12" s="12">
        <v>0.0</v>
      </c>
    </row>
    <row r="13" hidden="1">
      <c r="A13" s="12" t="s">
        <v>71</v>
      </c>
      <c r="B13" s="13">
        <v>1.1253052E7</v>
      </c>
      <c r="C13" s="12">
        <v>100.0</v>
      </c>
      <c r="D13" s="13">
        <v>101886.0</v>
      </c>
      <c r="E13" s="12">
        <v>100.0</v>
      </c>
      <c r="F13" s="12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72</v>
      </c>
      <c r="B1" s="8" t="s">
        <v>73</v>
      </c>
    </row>
    <row r="2">
      <c r="A2" s="8" t="s">
        <v>74</v>
      </c>
      <c r="B2" s="8" t="s">
        <v>75</v>
      </c>
    </row>
    <row r="3">
      <c r="A3" s="8" t="s">
        <v>76</v>
      </c>
      <c r="B3" s="8" t="s">
        <v>77</v>
      </c>
    </row>
    <row r="4">
      <c r="A4" s="8" t="s">
        <v>78</v>
      </c>
      <c r="B4" s="8" t="s">
        <v>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80</v>
      </c>
    </row>
    <row r="2">
      <c r="A2" s="8" t="s">
        <v>81</v>
      </c>
    </row>
  </sheetData>
  <drawing r:id="rId1"/>
</worksheet>
</file>