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45" activeTab="4"/>
  </bookViews>
  <sheets>
    <sheet name="exp1" sheetId="1" r:id="rId1"/>
    <sheet name="exp2" sheetId="2" r:id="rId2"/>
    <sheet name="exp3" sheetId="3" r:id="rId3"/>
    <sheet name="exp4" sheetId="4" r:id="rId4"/>
    <sheet name="Codes" sheetId="10" r:id="rId5"/>
    <sheet name="Summary" sheetId="1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" i="13" l="1"/>
  <c r="AL6" i="13"/>
  <c r="AM5" i="13"/>
  <c r="AL5" i="13"/>
  <c r="AM4" i="13"/>
  <c r="AL4" i="13"/>
  <c r="AM3" i="13"/>
  <c r="AL3" i="13"/>
  <c r="F145" i="4"/>
  <c r="F144" i="4"/>
  <c r="G144" i="4" s="1"/>
  <c r="G145" i="4" s="1"/>
  <c r="G142" i="4"/>
  <c r="G143" i="4" s="1"/>
  <c r="C139" i="4"/>
  <c r="B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39" i="4" s="1"/>
  <c r="F145" i="3"/>
  <c r="F144" i="3"/>
  <c r="G144" i="3" s="1"/>
  <c r="G145" i="3" s="1"/>
  <c r="G142" i="3"/>
  <c r="G143" i="3" s="1"/>
  <c r="C139" i="3"/>
  <c r="B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39" i="3" s="1"/>
  <c r="F144" i="2"/>
  <c r="F143" i="2"/>
  <c r="G143" i="2" s="1"/>
  <c r="G144" i="2" s="1"/>
  <c r="G141" i="2"/>
  <c r="G142" i="2" s="1"/>
  <c r="C138" i="2"/>
  <c r="B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38" i="2" s="1"/>
  <c r="F144" i="1"/>
  <c r="F143" i="1"/>
  <c r="G143" i="1" s="1"/>
  <c r="G144" i="1" s="1"/>
  <c r="G141" i="1"/>
  <c r="G142" i="1" s="1"/>
  <c r="C138" i="1"/>
  <c r="B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38" i="1" s="1"/>
  <c r="AE7" i="13" l="1"/>
  <c r="AE4" i="13"/>
  <c r="AE5" i="13"/>
  <c r="AE6" i="13"/>
  <c r="AE8" i="13"/>
  <c r="AE9" i="13"/>
  <c r="AE10" i="13"/>
  <c r="F120" i="4"/>
  <c r="F119" i="4"/>
  <c r="D106" i="4"/>
  <c r="D95" i="4"/>
  <c r="D93" i="4"/>
  <c r="D94" i="4"/>
  <c r="D92" i="4"/>
  <c r="F87" i="4"/>
  <c r="F86" i="4"/>
  <c r="D76" i="4"/>
  <c r="D68" i="4"/>
  <c r="D69" i="4"/>
  <c r="D70" i="4"/>
  <c r="D71" i="4"/>
  <c r="D72" i="4"/>
  <c r="D73" i="4"/>
  <c r="D74" i="4"/>
  <c r="D75" i="4"/>
  <c r="D65" i="4"/>
  <c r="D62" i="4"/>
  <c r="D63" i="4"/>
  <c r="D64" i="4"/>
  <c r="D67" i="4"/>
  <c r="D61" i="4"/>
  <c r="F120" i="3"/>
  <c r="F119" i="3"/>
  <c r="D106" i="3"/>
  <c r="D98" i="3"/>
  <c r="D99" i="3"/>
  <c r="D100" i="3"/>
  <c r="D101" i="3"/>
  <c r="D102" i="3"/>
  <c r="D103" i="3"/>
  <c r="D104" i="3"/>
  <c r="D105" i="3"/>
  <c r="D95" i="3"/>
  <c r="D93" i="3"/>
  <c r="D94" i="3"/>
  <c r="D97" i="3"/>
  <c r="D92" i="3"/>
  <c r="F87" i="3"/>
  <c r="F86" i="3"/>
  <c r="D76" i="3"/>
  <c r="D68" i="3"/>
  <c r="D69" i="3"/>
  <c r="D70" i="3"/>
  <c r="D71" i="3"/>
  <c r="D72" i="3"/>
  <c r="D73" i="3"/>
  <c r="D74" i="3"/>
  <c r="D75" i="3"/>
  <c r="D65" i="3"/>
  <c r="D62" i="3"/>
  <c r="D63" i="3"/>
  <c r="D64" i="3"/>
  <c r="D67" i="3"/>
  <c r="D61" i="3"/>
  <c r="B95" i="4" l="1"/>
  <c r="F56" i="4" l="1"/>
  <c r="F55" i="4"/>
  <c r="D48" i="4"/>
  <c r="D39" i="4"/>
  <c r="D40" i="4"/>
  <c r="D41" i="4"/>
  <c r="D42" i="4"/>
  <c r="D43" i="4"/>
  <c r="D44" i="4"/>
  <c r="D45" i="4"/>
  <c r="D46" i="4"/>
  <c r="D47" i="4"/>
  <c r="D38" i="4"/>
  <c r="F27" i="4"/>
  <c r="F26" i="4"/>
  <c r="D22" i="4"/>
  <c r="D12" i="4"/>
  <c r="D13" i="4"/>
  <c r="D14" i="4"/>
  <c r="D15" i="4"/>
  <c r="D16" i="4"/>
  <c r="D17" i="4"/>
  <c r="D18" i="4"/>
  <c r="D19" i="4"/>
  <c r="D20" i="4"/>
  <c r="D21" i="4"/>
  <c r="D11" i="4"/>
  <c r="D35" i="4"/>
  <c r="D34" i="4"/>
  <c r="D33" i="4"/>
  <c r="D32" i="4"/>
  <c r="D9" i="4"/>
  <c r="D6" i="4"/>
  <c r="D7" i="4"/>
  <c r="D8" i="4"/>
  <c r="D5" i="4"/>
  <c r="B65" i="4"/>
  <c r="B48" i="4"/>
  <c r="B36" i="4"/>
  <c r="F56" i="3"/>
  <c r="F55" i="3"/>
  <c r="D48" i="3"/>
  <c r="D39" i="3"/>
  <c r="D40" i="3"/>
  <c r="D41" i="3"/>
  <c r="D42" i="3"/>
  <c r="D43" i="3"/>
  <c r="D44" i="3"/>
  <c r="D45" i="3"/>
  <c r="D46" i="3"/>
  <c r="D47" i="3"/>
  <c r="D38" i="3"/>
  <c r="D36" i="4" l="1"/>
  <c r="F27" i="3" l="1"/>
  <c r="D35" i="3"/>
  <c r="D34" i="3"/>
  <c r="D33" i="3"/>
  <c r="D32" i="3"/>
  <c r="D36" i="3" l="1"/>
  <c r="F26" i="3" l="1"/>
  <c r="D22" i="3"/>
  <c r="D12" i="3"/>
  <c r="D13" i="3"/>
  <c r="D14" i="3"/>
  <c r="D15" i="3"/>
  <c r="D16" i="3"/>
  <c r="D17" i="3"/>
  <c r="D18" i="3"/>
  <c r="D19" i="3"/>
  <c r="D20" i="3"/>
  <c r="D21" i="3"/>
  <c r="D11" i="3"/>
  <c r="D9" i="3"/>
  <c r="D6" i="3"/>
  <c r="D7" i="3"/>
  <c r="D8" i="3"/>
  <c r="D5" i="3"/>
  <c r="B22" i="3" l="1"/>
  <c r="B9" i="3"/>
  <c r="F119" i="2"/>
  <c r="F120" i="1"/>
  <c r="F119" i="1"/>
  <c r="F117" i="1"/>
  <c r="F118" i="1"/>
  <c r="C104" i="1"/>
  <c r="D103" i="1"/>
  <c r="D102" i="1"/>
  <c r="D101" i="1"/>
  <c r="D100" i="1"/>
  <c r="D99" i="1"/>
  <c r="D98" i="1"/>
  <c r="D97" i="1"/>
  <c r="D96" i="1"/>
  <c r="D95" i="1"/>
  <c r="D94" i="1"/>
  <c r="D104" i="1" s="1"/>
  <c r="D103" i="2"/>
  <c r="D102" i="2"/>
  <c r="D101" i="2"/>
  <c r="D100" i="2"/>
  <c r="D99" i="2"/>
  <c r="D98" i="2"/>
  <c r="D97" i="2"/>
  <c r="D96" i="2"/>
  <c r="D95" i="2"/>
  <c r="D94" i="2"/>
  <c r="D104" i="2" s="1"/>
  <c r="D106" i="2"/>
  <c r="AI6" i="13" l="1"/>
  <c r="AI8" i="13"/>
  <c r="AI9" i="13"/>
  <c r="AI10" i="13"/>
  <c r="AH4" i="13"/>
  <c r="AH5" i="13"/>
  <c r="AH6" i="13"/>
  <c r="AH7" i="13"/>
  <c r="AH8" i="13"/>
  <c r="AH9" i="13"/>
  <c r="AH10" i="13"/>
  <c r="AG8" i="13"/>
  <c r="AG9" i="13"/>
  <c r="AG10" i="13"/>
  <c r="AF4" i="13"/>
  <c r="AF5" i="13"/>
  <c r="AF6" i="13"/>
  <c r="AF7" i="13"/>
  <c r="AF8" i="13"/>
  <c r="AF9" i="13"/>
  <c r="AF10" i="13"/>
  <c r="AH3" i="13"/>
  <c r="AF3" i="13"/>
  <c r="AA4" i="13"/>
  <c r="AA8" i="13"/>
  <c r="AA9" i="13"/>
  <c r="AA10" i="13"/>
  <c r="Z4" i="13"/>
  <c r="Z5" i="13"/>
  <c r="Z6" i="13"/>
  <c r="Z7" i="13"/>
  <c r="Z8" i="13"/>
  <c r="Z9" i="13"/>
  <c r="Z10" i="13"/>
  <c r="Y4" i="13"/>
  <c r="Y5" i="13"/>
  <c r="Y8" i="13"/>
  <c r="Y9" i="13"/>
  <c r="Y10" i="13"/>
  <c r="X4" i="13"/>
  <c r="X5" i="13"/>
  <c r="X6" i="13"/>
  <c r="X7" i="13"/>
  <c r="X8" i="13"/>
  <c r="X9" i="13"/>
  <c r="X10" i="13"/>
  <c r="AA3" i="13"/>
  <c r="Z3" i="13"/>
  <c r="Y3" i="13"/>
  <c r="X3" i="13"/>
  <c r="K4" i="13"/>
  <c r="K7" i="13"/>
  <c r="K8" i="13"/>
  <c r="K9" i="13"/>
  <c r="K10" i="13"/>
  <c r="J4" i="13"/>
  <c r="J5" i="13"/>
  <c r="J6" i="13"/>
  <c r="J7" i="13"/>
  <c r="J8" i="13"/>
  <c r="J9" i="13"/>
  <c r="J10" i="13"/>
  <c r="I4" i="13"/>
  <c r="I5" i="13"/>
  <c r="I8" i="13"/>
  <c r="I9" i="13"/>
  <c r="I10" i="13"/>
  <c r="H4" i="13"/>
  <c r="H5" i="13"/>
  <c r="H6" i="13"/>
  <c r="H7" i="13"/>
  <c r="H8" i="13"/>
  <c r="H9" i="13"/>
  <c r="H10" i="13"/>
  <c r="K3" i="13"/>
  <c r="J3" i="13"/>
  <c r="I3" i="13"/>
  <c r="H3" i="13"/>
  <c r="AI4" i="13"/>
  <c r="AI5" i="13"/>
  <c r="AI7" i="13"/>
  <c r="AE3" i="13"/>
  <c r="AI3" i="13" s="1"/>
  <c r="AC4" i="13"/>
  <c r="AG4" i="13" s="1"/>
  <c r="AC5" i="13"/>
  <c r="AG5" i="13" s="1"/>
  <c r="AC6" i="13"/>
  <c r="AG6" i="13" s="1"/>
  <c r="AC7" i="13"/>
  <c r="AG7" i="13" s="1"/>
  <c r="AC8" i="13"/>
  <c r="AC9" i="13"/>
  <c r="AC10" i="13"/>
  <c r="AC3" i="13"/>
  <c r="AG3" i="13" s="1"/>
  <c r="W4" i="13"/>
  <c r="W5" i="13"/>
  <c r="AA5" i="13" s="1"/>
  <c r="W6" i="13"/>
  <c r="AA6" i="13" s="1"/>
  <c r="W7" i="13"/>
  <c r="AA7" i="13" s="1"/>
  <c r="W8" i="13"/>
  <c r="W9" i="13"/>
  <c r="W10" i="13"/>
  <c r="W3" i="13"/>
  <c r="U4" i="13"/>
  <c r="U5" i="13"/>
  <c r="U6" i="13"/>
  <c r="Y6" i="13" s="1"/>
  <c r="U7" i="13"/>
  <c r="Y7" i="13" s="1"/>
  <c r="U8" i="13"/>
  <c r="U9" i="13"/>
  <c r="U10" i="13"/>
  <c r="U3" i="13"/>
  <c r="G4" i="13"/>
  <c r="G5" i="13"/>
  <c r="K5" i="13" s="1"/>
  <c r="G6" i="13"/>
  <c r="K6" i="13" s="1"/>
  <c r="G7" i="13"/>
  <c r="G8" i="13"/>
  <c r="G9" i="13"/>
  <c r="G10" i="13"/>
  <c r="G3" i="13"/>
  <c r="E4" i="13"/>
  <c r="E5" i="13"/>
  <c r="E6" i="13"/>
  <c r="I6" i="13" s="1"/>
  <c r="E7" i="13"/>
  <c r="I7" i="13" s="1"/>
  <c r="E8" i="13"/>
  <c r="E9" i="13"/>
  <c r="E10" i="13"/>
  <c r="E3" i="13"/>
  <c r="O10" i="13"/>
  <c r="S10" i="13" s="1"/>
  <c r="R10" i="13"/>
  <c r="M10" i="13"/>
  <c r="Q10" i="13" s="1"/>
  <c r="P10" i="13"/>
  <c r="O9" i="13"/>
  <c r="S9" i="13"/>
  <c r="R9" i="13"/>
  <c r="M9" i="13"/>
  <c r="Q9" i="13" s="1"/>
  <c r="P9" i="13"/>
  <c r="O8" i="13"/>
  <c r="S8" i="13"/>
  <c r="R8" i="13"/>
  <c r="M8" i="13"/>
  <c r="Q8" i="13" s="1"/>
  <c r="P8" i="13"/>
  <c r="O7" i="13"/>
  <c r="S7" i="13" s="1"/>
  <c r="R7" i="13"/>
  <c r="M7" i="13"/>
  <c r="Q7" i="13"/>
  <c r="P7" i="13"/>
  <c r="S4" i="13"/>
  <c r="R4" i="13"/>
  <c r="R5" i="13"/>
  <c r="R6" i="13"/>
  <c r="Q4" i="13"/>
  <c r="Q5" i="13"/>
  <c r="P4" i="13"/>
  <c r="P5" i="13"/>
  <c r="P6" i="13"/>
  <c r="O4" i="13"/>
  <c r="O5" i="13"/>
  <c r="S5" i="13" s="1"/>
  <c r="O6" i="13"/>
  <c r="S6" i="13" s="1"/>
  <c r="M4" i="13"/>
  <c r="M5" i="13"/>
  <c r="M6" i="13"/>
  <c r="Q6" i="13" s="1"/>
  <c r="S3" i="13"/>
  <c r="R3" i="13"/>
  <c r="Q3" i="13"/>
  <c r="P3" i="13"/>
  <c r="O3" i="13"/>
  <c r="M3" i="13"/>
  <c r="F3" i="13"/>
  <c r="D3" i="13"/>
  <c r="F118" i="4" l="1"/>
  <c r="F85" i="4"/>
  <c r="F54" i="4"/>
  <c r="F118" i="3"/>
  <c r="F85" i="3"/>
  <c r="F54" i="3"/>
  <c r="F117" i="2"/>
  <c r="F87" i="2"/>
  <c r="F85" i="2"/>
  <c r="F86" i="2"/>
  <c r="F57" i="2"/>
  <c r="F56" i="2"/>
  <c r="F55" i="2"/>
  <c r="C52" i="2"/>
  <c r="C48" i="2"/>
  <c r="C36" i="2"/>
  <c r="F28" i="2"/>
  <c r="F26" i="2"/>
  <c r="F27" i="2"/>
  <c r="C9" i="2"/>
  <c r="C23" i="2"/>
  <c r="F88" i="1" l="1"/>
  <c r="F87" i="1"/>
  <c r="F86" i="1"/>
  <c r="F85" i="1"/>
  <c r="F29" i="1"/>
  <c r="F58" i="1" l="1"/>
  <c r="F57" i="1"/>
  <c r="F56" i="1"/>
  <c r="F55" i="1"/>
  <c r="C52" i="1" l="1"/>
  <c r="D50" i="1"/>
  <c r="F28" i="1"/>
  <c r="G28" i="1" l="1"/>
  <c r="G29" i="1" s="1"/>
  <c r="G27" i="1"/>
  <c r="G26" i="1"/>
  <c r="F27" i="1"/>
  <c r="F26" i="1"/>
  <c r="D62" i="2" l="1"/>
  <c r="D77" i="2"/>
  <c r="D66" i="2"/>
  <c r="D67" i="2"/>
  <c r="D68" i="2"/>
  <c r="D69" i="2"/>
  <c r="D70" i="2"/>
  <c r="D71" i="2"/>
  <c r="D72" i="2"/>
  <c r="D73" i="2"/>
  <c r="D74" i="2"/>
  <c r="D65" i="2"/>
  <c r="D75" i="2" s="1"/>
  <c r="D50" i="2"/>
  <c r="D36" i="2"/>
  <c r="D34" i="2"/>
  <c r="D35" i="2"/>
  <c r="D38" i="2"/>
  <c r="D39" i="2"/>
  <c r="D40" i="2"/>
  <c r="D41" i="2"/>
  <c r="D42" i="2"/>
  <c r="D43" i="2"/>
  <c r="D44" i="2"/>
  <c r="D45" i="2"/>
  <c r="D46" i="2"/>
  <c r="D47" i="2"/>
  <c r="D33" i="2"/>
  <c r="D9" i="2"/>
  <c r="D12" i="2"/>
  <c r="D13" i="2"/>
  <c r="D14" i="2"/>
  <c r="D15" i="2"/>
  <c r="D16" i="2"/>
  <c r="D17" i="2"/>
  <c r="D18" i="2"/>
  <c r="D19" i="2"/>
  <c r="D20" i="2"/>
  <c r="D21" i="2"/>
  <c r="D22" i="2"/>
  <c r="D11" i="2"/>
  <c r="D23" i="2" s="1"/>
  <c r="D8" i="2"/>
  <c r="D7" i="2"/>
  <c r="C108" i="1"/>
  <c r="D106" i="1"/>
  <c r="C79" i="1"/>
  <c r="D77" i="1"/>
  <c r="C75" i="1"/>
  <c r="D66" i="1"/>
  <c r="D67" i="1"/>
  <c r="D68" i="1"/>
  <c r="D69" i="1"/>
  <c r="D70" i="1"/>
  <c r="D71" i="1"/>
  <c r="D72" i="1"/>
  <c r="D73" i="1"/>
  <c r="D74" i="1"/>
  <c r="D65" i="1"/>
  <c r="C63" i="1"/>
  <c r="D62" i="1"/>
  <c r="C48" i="1"/>
  <c r="D39" i="1"/>
  <c r="D40" i="1"/>
  <c r="D41" i="1"/>
  <c r="D42" i="1"/>
  <c r="D43" i="1"/>
  <c r="D44" i="1"/>
  <c r="D45" i="1"/>
  <c r="D46" i="1"/>
  <c r="D47" i="1"/>
  <c r="D38" i="1"/>
  <c r="C36" i="1"/>
  <c r="D36" i="1"/>
  <c r="D35" i="1"/>
  <c r="D34" i="1"/>
  <c r="C23" i="1"/>
  <c r="C9" i="1"/>
  <c r="D12" i="1"/>
  <c r="D13" i="1"/>
  <c r="D14" i="1"/>
  <c r="D15" i="1"/>
  <c r="D16" i="1"/>
  <c r="D17" i="1"/>
  <c r="D18" i="1"/>
  <c r="D19" i="1"/>
  <c r="D20" i="1"/>
  <c r="D21" i="1"/>
  <c r="D22" i="1"/>
  <c r="D11" i="1"/>
  <c r="D8" i="1"/>
  <c r="D7" i="1"/>
  <c r="D9" i="1" s="1"/>
  <c r="D48" i="2" l="1"/>
  <c r="D75" i="1"/>
  <c r="D48" i="1"/>
  <c r="D23" i="1"/>
  <c r="G55" i="2"/>
  <c r="G56" i="2" s="1"/>
  <c r="G118" i="4" l="1"/>
  <c r="G119" i="4" s="1"/>
  <c r="G85" i="4"/>
  <c r="G86" i="4" s="1"/>
  <c r="G54" i="4"/>
  <c r="G119" i="3"/>
  <c r="G118" i="3"/>
  <c r="F88" i="3"/>
  <c r="G85" i="3"/>
  <c r="G86" i="3" s="1"/>
  <c r="F57" i="3"/>
  <c r="G54" i="3"/>
  <c r="G55" i="3" s="1"/>
  <c r="F121" i="3" l="1"/>
  <c r="F88" i="4"/>
  <c r="G87" i="4"/>
  <c r="G88" i="4" s="1"/>
  <c r="F57" i="4"/>
  <c r="G56" i="4"/>
  <c r="G57" i="4" s="1"/>
  <c r="F121" i="4"/>
  <c r="G120" i="4"/>
  <c r="G121" i="4" s="1"/>
  <c r="G55" i="4"/>
  <c r="G56" i="3"/>
  <c r="G57" i="3" s="1"/>
  <c r="G87" i="3"/>
  <c r="G88" i="3" s="1"/>
  <c r="G119" i="2"/>
  <c r="G120" i="2" s="1"/>
  <c r="G117" i="2"/>
  <c r="G118" i="2" s="1"/>
  <c r="G85" i="2"/>
  <c r="G86" i="2" s="1"/>
  <c r="G26" i="2"/>
  <c r="G27" i="2" s="1"/>
  <c r="F25" i="2"/>
  <c r="G120" i="3" l="1"/>
  <c r="G121" i="3" s="1"/>
  <c r="G28" i="2"/>
  <c r="G29" i="2" s="1"/>
  <c r="F29" i="2"/>
  <c r="G57" i="2"/>
  <c r="G58" i="2" s="1"/>
  <c r="F58" i="2"/>
  <c r="G87" i="2"/>
  <c r="G88" i="2" s="1"/>
  <c r="F88" i="2"/>
  <c r="F120" i="2"/>
  <c r="B22" i="4" l="1"/>
  <c r="B9" i="4"/>
  <c r="F24" i="4" s="1"/>
  <c r="F25" i="4" l="1"/>
  <c r="G25" i="4" s="1"/>
  <c r="G26" i="4" s="1"/>
  <c r="F28" i="4"/>
  <c r="G27" i="4"/>
  <c r="G28" i="4" s="1"/>
  <c r="B36" i="2"/>
  <c r="B23" i="2"/>
  <c r="B9" i="2"/>
  <c r="B36" i="1" l="1"/>
  <c r="F24" i="3" l="1"/>
  <c r="F25" i="3" l="1"/>
  <c r="G25" i="3" s="1"/>
  <c r="G26" i="3"/>
  <c r="F28" i="3"/>
  <c r="G27" i="3"/>
  <c r="G28" i="3" s="1"/>
  <c r="B23" i="1"/>
  <c r="B9" i="1"/>
</calcChain>
</file>

<file path=xl/sharedStrings.xml><?xml version="1.0" encoding="utf-8"?>
<sst xmlns="http://schemas.openxmlformats.org/spreadsheetml/2006/main" count="350" uniqueCount="48">
  <si>
    <t>Mote ID</t>
  </si>
  <si>
    <t>Lost Packets</t>
  </si>
  <si>
    <t>Overhead</t>
  </si>
  <si>
    <t>Cluster 1</t>
  </si>
  <si>
    <t>Sum:</t>
  </si>
  <si>
    <t>Cluster 2</t>
  </si>
  <si>
    <t>%</t>
  </si>
  <si>
    <t>K = 2</t>
  </si>
  <si>
    <t>K = 3</t>
  </si>
  <si>
    <t>Cluster 3</t>
  </si>
  <si>
    <t>K = 4</t>
  </si>
  <si>
    <t>Cluster 4</t>
  </si>
  <si>
    <t>K = 5</t>
  </si>
  <si>
    <t>Cluster 5</t>
  </si>
  <si>
    <t>Color Code</t>
  </si>
  <si>
    <t>No of clusters</t>
  </si>
  <si>
    <t>Cluster ID</t>
  </si>
  <si>
    <t>Cluster head</t>
  </si>
  <si>
    <t>k = 2</t>
  </si>
  <si>
    <t>k = 3</t>
  </si>
  <si>
    <t>k = 4</t>
  </si>
  <si>
    <t>k = 5</t>
  </si>
  <si>
    <t>S.no</t>
  </si>
  <si>
    <t>Lost</t>
  </si>
  <si>
    <t>Distance</t>
  </si>
  <si>
    <t>20G</t>
  </si>
  <si>
    <t>25G</t>
  </si>
  <si>
    <t>30R</t>
  </si>
  <si>
    <t>35R</t>
  </si>
  <si>
    <t>Main Results</t>
  </si>
  <si>
    <t>Correct RTx</t>
  </si>
  <si>
    <t>Total Lost Packets</t>
  </si>
  <si>
    <t>Total Overhead</t>
  </si>
  <si>
    <t>Total NACK sent</t>
  </si>
  <si>
    <t>Total NACK saved</t>
  </si>
  <si>
    <t>Total Correct RTx</t>
  </si>
  <si>
    <t>% Total Correct RTx</t>
  </si>
  <si>
    <t>% Total Overhead</t>
  </si>
  <si>
    <t>% Total NACK sent</t>
  </si>
  <si>
    <t xml:space="preserve">Total     NACK saved </t>
  </si>
  <si>
    <t>Total   NACK sent</t>
  </si>
  <si>
    <t>% Total2 NACK saved</t>
  </si>
  <si>
    <t>% Total3 NACK saved</t>
  </si>
  <si>
    <t>% Total4 NACK saved</t>
  </si>
  <si>
    <t>% Total5 NACK saved</t>
  </si>
  <si>
    <t>K = 1</t>
  </si>
  <si>
    <t>k = 1</t>
  </si>
  <si>
    <t>% Total1 NACK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</si>
</sst>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NumberFormat="1" applyFill="1"/>
    <xf numFmtId="0" fontId="0" fillId="5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4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0" xfId="0" applyNumberFormat="1" applyFill="1"/>
    <xf numFmtId="0" fontId="0" fillId="2" borderId="0" xfId="0" applyFill="1" applyAlignment="1"/>
    <xf numFmtId="0" fontId="0" fillId="0" borderId="0" xfId="0" applyFill="1" applyAlignment="1"/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6" workbookViewId="0">
      <selection activeCell="J117" sqref="J117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8" width="9.7109375" customWidth="1"/>
    <col min="9" max="9" width="9.7109375" bestFit="1" customWidth="1"/>
    <col min="10" max="10" width="9.7109375" customWidth="1"/>
  </cols>
  <sheetData>
    <row r="3" spans="1:8" x14ac:dyDescent="0.25">
      <c r="A3" s="22" t="s">
        <v>7</v>
      </c>
      <c r="B3" s="22"/>
      <c r="C3" s="22"/>
      <c r="D3" s="22"/>
      <c r="E3" s="22"/>
      <c r="F3" s="22"/>
      <c r="G3" s="22"/>
      <c r="H3" s="22"/>
    </row>
    <row r="4" spans="1:8" x14ac:dyDescent="0.25">
      <c r="A4" s="23" t="s">
        <v>3</v>
      </c>
      <c r="B4" s="23"/>
      <c r="C4" s="23"/>
      <c r="D4" s="23"/>
      <c r="E4" s="23"/>
    </row>
    <row r="5" spans="1:8" x14ac:dyDescent="0.25">
      <c r="A5" t="s">
        <v>0</v>
      </c>
      <c r="B5" t="s">
        <v>1</v>
      </c>
      <c r="C5" t="s">
        <v>30</v>
      </c>
      <c r="D5" t="s">
        <v>2</v>
      </c>
    </row>
    <row r="6" spans="1:8" x14ac:dyDescent="0.25">
      <c r="A6" s="2">
        <v>4</v>
      </c>
      <c r="B6" s="2">
        <v>1811</v>
      </c>
      <c r="C6" s="1">
        <v>1811</v>
      </c>
      <c r="D6" s="1">
        <v>0</v>
      </c>
      <c r="E6" s="1"/>
    </row>
    <row r="7" spans="1:8" x14ac:dyDescent="0.25">
      <c r="A7">
        <v>5</v>
      </c>
      <c r="B7">
        <v>379</v>
      </c>
      <c r="C7">
        <v>338</v>
      </c>
      <c r="D7">
        <f>379-338</f>
        <v>41</v>
      </c>
    </row>
    <row r="8" spans="1:8" x14ac:dyDescent="0.25">
      <c r="A8">
        <v>1</v>
      </c>
      <c r="B8">
        <v>176</v>
      </c>
      <c r="C8">
        <v>139</v>
      </c>
      <c r="D8">
        <f>176-139</f>
        <v>37</v>
      </c>
    </row>
    <row r="9" spans="1:8" x14ac:dyDescent="0.25">
      <c r="A9" t="s">
        <v>4</v>
      </c>
      <c r="B9">
        <f>SUM(B6:B8)</f>
        <v>2366</v>
      </c>
      <c r="C9">
        <f>SUM(C6:C8)</f>
        <v>2288</v>
      </c>
      <c r="D9">
        <f>SUM(D6:D8)</f>
        <v>78</v>
      </c>
    </row>
    <row r="10" spans="1:8" x14ac:dyDescent="0.25">
      <c r="A10" s="23" t="s">
        <v>5</v>
      </c>
      <c r="B10" s="23"/>
      <c r="C10" s="23"/>
      <c r="D10" s="23"/>
      <c r="E10" s="23"/>
    </row>
    <row r="11" spans="1:8" x14ac:dyDescent="0.25">
      <c r="A11">
        <v>3</v>
      </c>
      <c r="B11">
        <v>0</v>
      </c>
      <c r="C11">
        <v>0</v>
      </c>
      <c r="D11">
        <f t="shared" ref="D11:D22" si="0">B11-C11</f>
        <v>0</v>
      </c>
    </row>
    <row r="12" spans="1:8" x14ac:dyDescent="0.25">
      <c r="A12" s="1">
        <v>2</v>
      </c>
      <c r="B12">
        <v>336</v>
      </c>
      <c r="C12">
        <v>283</v>
      </c>
      <c r="D12">
        <f t="shared" si="0"/>
        <v>53</v>
      </c>
    </row>
    <row r="13" spans="1:8" x14ac:dyDescent="0.25">
      <c r="A13" s="3">
        <v>12</v>
      </c>
      <c r="B13">
        <v>15</v>
      </c>
      <c r="C13">
        <v>15</v>
      </c>
      <c r="D13">
        <f t="shared" si="0"/>
        <v>0</v>
      </c>
    </row>
    <row r="14" spans="1:8" x14ac:dyDescent="0.25">
      <c r="A14">
        <v>8</v>
      </c>
      <c r="B14">
        <v>27</v>
      </c>
      <c r="C14">
        <v>27</v>
      </c>
      <c r="D14">
        <f t="shared" si="0"/>
        <v>0</v>
      </c>
    </row>
    <row r="15" spans="1:8" x14ac:dyDescent="0.25">
      <c r="A15">
        <v>11</v>
      </c>
      <c r="B15">
        <v>521</v>
      </c>
      <c r="C15">
        <v>483</v>
      </c>
      <c r="D15">
        <f t="shared" si="0"/>
        <v>38</v>
      </c>
    </row>
    <row r="16" spans="1:8" x14ac:dyDescent="0.25">
      <c r="A16">
        <v>6</v>
      </c>
      <c r="B16">
        <v>349</v>
      </c>
      <c r="C16">
        <v>308</v>
      </c>
      <c r="D16">
        <f t="shared" si="0"/>
        <v>41</v>
      </c>
    </row>
    <row r="17" spans="1:8" x14ac:dyDescent="0.25">
      <c r="A17">
        <v>15</v>
      </c>
      <c r="B17">
        <v>277</v>
      </c>
      <c r="C17">
        <v>200</v>
      </c>
      <c r="D17">
        <f t="shared" si="0"/>
        <v>77</v>
      </c>
    </row>
    <row r="18" spans="1:8" x14ac:dyDescent="0.25">
      <c r="A18">
        <v>14</v>
      </c>
      <c r="B18">
        <v>763</v>
      </c>
      <c r="C18">
        <v>675</v>
      </c>
      <c r="D18">
        <f t="shared" si="0"/>
        <v>88</v>
      </c>
    </row>
    <row r="19" spans="1:8" x14ac:dyDescent="0.25">
      <c r="A19" s="1">
        <v>13</v>
      </c>
      <c r="B19">
        <v>427</v>
      </c>
      <c r="C19">
        <v>402</v>
      </c>
      <c r="D19">
        <f t="shared" si="0"/>
        <v>25</v>
      </c>
    </row>
    <row r="20" spans="1:8" x14ac:dyDescent="0.25">
      <c r="A20" s="2">
        <v>10</v>
      </c>
      <c r="B20" s="2">
        <v>1860</v>
      </c>
      <c r="C20" s="1">
        <v>1860</v>
      </c>
      <c r="D20" s="1">
        <f t="shared" si="0"/>
        <v>0</v>
      </c>
      <c r="E20" s="1"/>
    </row>
    <row r="21" spans="1:8" x14ac:dyDescent="0.25">
      <c r="A21">
        <v>7</v>
      </c>
      <c r="B21">
        <v>466</v>
      </c>
      <c r="C21">
        <v>459</v>
      </c>
      <c r="D21">
        <f t="shared" si="0"/>
        <v>7</v>
      </c>
    </row>
    <row r="22" spans="1:8" x14ac:dyDescent="0.25">
      <c r="A22">
        <v>9</v>
      </c>
      <c r="B22">
        <v>1087</v>
      </c>
      <c r="C22">
        <v>1043</v>
      </c>
      <c r="D22">
        <f t="shared" si="0"/>
        <v>44</v>
      </c>
    </row>
    <row r="23" spans="1:8" x14ac:dyDescent="0.25">
      <c r="A23" t="s">
        <v>4</v>
      </c>
      <c r="B23">
        <f>SUM(B11:B22)</f>
        <v>6128</v>
      </c>
      <c r="C23">
        <f>SUM(C11:C22)</f>
        <v>5755</v>
      </c>
      <c r="D23">
        <f>SUM(D11:D22)</f>
        <v>373</v>
      </c>
    </row>
    <row r="24" spans="1:8" x14ac:dyDescent="0.25">
      <c r="E24" s="24" t="s">
        <v>29</v>
      </c>
      <c r="F24" s="24"/>
    </row>
    <row r="25" spans="1:8" x14ac:dyDescent="0.25">
      <c r="E25" t="s">
        <v>31</v>
      </c>
      <c r="F25">
        <v>8494</v>
      </c>
      <c r="G25" t="s">
        <v>6</v>
      </c>
    </row>
    <row r="26" spans="1:8" x14ac:dyDescent="0.25">
      <c r="E26" t="s">
        <v>35</v>
      </c>
      <c r="F26">
        <f>2288+5755</f>
        <v>8043</v>
      </c>
      <c r="G26">
        <f>(F26/F25)*100</f>
        <v>94.690369672710148</v>
      </c>
    </row>
    <row r="27" spans="1:8" x14ac:dyDescent="0.25">
      <c r="E27" t="s">
        <v>32</v>
      </c>
      <c r="F27">
        <f>373+78</f>
        <v>451</v>
      </c>
      <c r="G27">
        <f>100-G26</f>
        <v>5.3096303272898524</v>
      </c>
    </row>
    <row r="28" spans="1:8" x14ac:dyDescent="0.25">
      <c r="E28" t="s">
        <v>33</v>
      </c>
      <c r="F28">
        <f>1860+1811+451</f>
        <v>4122</v>
      </c>
      <c r="G28">
        <f>(F28/F25)*100</f>
        <v>48.528372969154695</v>
      </c>
    </row>
    <row r="29" spans="1:8" x14ac:dyDescent="0.25">
      <c r="E29" t="s">
        <v>34</v>
      </c>
      <c r="F29">
        <f>8494-4122</f>
        <v>4372</v>
      </c>
      <c r="G29">
        <f>100-G28</f>
        <v>51.471627030845305</v>
      </c>
    </row>
    <row r="31" spans="1:8" x14ac:dyDescent="0.25">
      <c r="A31" s="22" t="s">
        <v>8</v>
      </c>
      <c r="B31" s="22"/>
      <c r="C31" s="22"/>
      <c r="D31" s="22"/>
      <c r="E31" s="22"/>
      <c r="F31" s="22"/>
      <c r="G31" s="22"/>
      <c r="H31" s="22"/>
    </row>
    <row r="32" spans="1:8" x14ac:dyDescent="0.25">
      <c r="A32" s="23" t="s">
        <v>3</v>
      </c>
      <c r="B32" s="23"/>
      <c r="C32" s="23"/>
      <c r="D32" s="23"/>
      <c r="E32" s="23"/>
    </row>
    <row r="33" spans="1:5" x14ac:dyDescent="0.25">
      <c r="A33" s="2">
        <v>4</v>
      </c>
      <c r="B33" s="2">
        <v>1811</v>
      </c>
      <c r="C33" s="1">
        <v>1811</v>
      </c>
      <c r="D33" s="1">
        <v>0</v>
      </c>
      <c r="E33" s="1"/>
    </row>
    <row r="34" spans="1:5" x14ac:dyDescent="0.25">
      <c r="A34">
        <v>5</v>
      </c>
      <c r="B34">
        <v>379</v>
      </c>
      <c r="C34">
        <v>340</v>
      </c>
      <c r="D34">
        <f>379-340</f>
        <v>39</v>
      </c>
    </row>
    <row r="35" spans="1:5" x14ac:dyDescent="0.25">
      <c r="A35">
        <v>1</v>
      </c>
      <c r="B35">
        <v>176</v>
      </c>
      <c r="C35">
        <v>139</v>
      </c>
      <c r="D35">
        <f>176-139</f>
        <v>37</v>
      </c>
    </row>
    <row r="36" spans="1:5" x14ac:dyDescent="0.25">
      <c r="A36" t="s">
        <v>4</v>
      </c>
      <c r="B36">
        <f>SUM(B33:B35)</f>
        <v>2366</v>
      </c>
      <c r="C36">
        <f>1811+340+139</f>
        <v>2290</v>
      </c>
      <c r="D36">
        <f>39+37</f>
        <v>76</v>
      </c>
    </row>
    <row r="37" spans="1:5" x14ac:dyDescent="0.25">
      <c r="A37" s="23" t="s">
        <v>5</v>
      </c>
      <c r="B37" s="23"/>
      <c r="C37" s="23"/>
      <c r="D37" s="23"/>
      <c r="E37" s="23"/>
    </row>
    <row r="38" spans="1:5" x14ac:dyDescent="0.25">
      <c r="A38">
        <v>3</v>
      </c>
      <c r="B38">
        <v>0</v>
      </c>
      <c r="C38">
        <v>0</v>
      </c>
      <c r="D38">
        <f t="shared" ref="D38:D47" si="1">B38-C38</f>
        <v>0</v>
      </c>
    </row>
    <row r="39" spans="1:5" x14ac:dyDescent="0.25">
      <c r="A39" s="1">
        <v>2</v>
      </c>
      <c r="B39">
        <v>336</v>
      </c>
      <c r="C39">
        <v>296</v>
      </c>
      <c r="D39">
        <f t="shared" si="1"/>
        <v>40</v>
      </c>
    </row>
    <row r="40" spans="1:5" x14ac:dyDescent="0.25">
      <c r="A40" s="3">
        <v>12</v>
      </c>
      <c r="B40">
        <v>15</v>
      </c>
      <c r="C40">
        <v>15</v>
      </c>
      <c r="D40">
        <f t="shared" si="1"/>
        <v>0</v>
      </c>
    </row>
    <row r="41" spans="1:5" x14ac:dyDescent="0.25">
      <c r="A41">
        <v>8</v>
      </c>
      <c r="B41">
        <v>27</v>
      </c>
      <c r="C41">
        <v>27</v>
      </c>
      <c r="D41">
        <f t="shared" si="1"/>
        <v>0</v>
      </c>
    </row>
    <row r="42" spans="1:5" x14ac:dyDescent="0.25">
      <c r="A42">
        <v>11</v>
      </c>
      <c r="B42">
        <v>521</v>
      </c>
      <c r="C42">
        <v>514</v>
      </c>
      <c r="D42">
        <f t="shared" si="1"/>
        <v>7</v>
      </c>
    </row>
    <row r="43" spans="1:5" x14ac:dyDescent="0.25">
      <c r="A43">
        <v>6</v>
      </c>
      <c r="B43">
        <v>349</v>
      </c>
      <c r="C43">
        <v>316</v>
      </c>
      <c r="D43">
        <f t="shared" si="1"/>
        <v>33</v>
      </c>
    </row>
    <row r="44" spans="1:5" x14ac:dyDescent="0.25">
      <c r="A44">
        <v>15</v>
      </c>
      <c r="B44">
        <v>277</v>
      </c>
      <c r="C44">
        <v>232</v>
      </c>
      <c r="D44">
        <f t="shared" si="1"/>
        <v>45</v>
      </c>
    </row>
    <row r="45" spans="1:5" x14ac:dyDescent="0.25">
      <c r="A45" s="2">
        <v>14</v>
      </c>
      <c r="B45" s="2">
        <v>763</v>
      </c>
      <c r="C45">
        <v>763</v>
      </c>
      <c r="D45">
        <f t="shared" si="1"/>
        <v>0</v>
      </c>
    </row>
    <row r="46" spans="1:5" x14ac:dyDescent="0.25">
      <c r="A46" s="1">
        <v>13</v>
      </c>
      <c r="B46">
        <v>427</v>
      </c>
      <c r="C46">
        <v>406</v>
      </c>
      <c r="D46">
        <f t="shared" si="1"/>
        <v>21</v>
      </c>
    </row>
    <row r="47" spans="1:5" x14ac:dyDescent="0.25">
      <c r="A47" s="1">
        <v>7</v>
      </c>
      <c r="B47">
        <v>466</v>
      </c>
      <c r="C47">
        <v>463</v>
      </c>
      <c r="D47">
        <f t="shared" si="1"/>
        <v>3</v>
      </c>
    </row>
    <row r="48" spans="1:5" x14ac:dyDescent="0.25">
      <c r="A48" t="s">
        <v>4</v>
      </c>
      <c r="C48">
        <f>SUM(C38:C47)</f>
        <v>3032</v>
      </c>
      <c r="D48">
        <f>SUM(D38:D47)</f>
        <v>149</v>
      </c>
    </row>
    <row r="49" spans="1:8" x14ac:dyDescent="0.25">
      <c r="A49" s="23" t="s">
        <v>9</v>
      </c>
      <c r="B49" s="23"/>
      <c r="C49" s="23"/>
      <c r="D49" s="23"/>
      <c r="E49" s="23"/>
    </row>
    <row r="50" spans="1:8" x14ac:dyDescent="0.25">
      <c r="A50">
        <v>9</v>
      </c>
      <c r="B50">
        <v>1087</v>
      </c>
      <c r="C50">
        <v>1050</v>
      </c>
      <c r="D50">
        <f>1087-1050</f>
        <v>37</v>
      </c>
    </row>
    <row r="51" spans="1:8" x14ac:dyDescent="0.25">
      <c r="A51" s="2">
        <v>10</v>
      </c>
      <c r="B51" s="2">
        <v>1860</v>
      </c>
      <c r="C51">
        <v>1860</v>
      </c>
      <c r="D51">
        <v>0</v>
      </c>
    </row>
    <row r="52" spans="1:8" x14ac:dyDescent="0.25">
      <c r="A52" t="s">
        <v>4</v>
      </c>
      <c r="C52">
        <f>1050+1860</f>
        <v>2910</v>
      </c>
      <c r="D52">
        <v>37</v>
      </c>
    </row>
    <row r="53" spans="1:8" x14ac:dyDescent="0.25">
      <c r="E53" s="24" t="s">
        <v>29</v>
      </c>
      <c r="F53" s="24"/>
    </row>
    <row r="54" spans="1:8" x14ac:dyDescent="0.25">
      <c r="E54" t="s">
        <v>31</v>
      </c>
      <c r="F54">
        <v>8494</v>
      </c>
      <c r="G54" t="s">
        <v>6</v>
      </c>
    </row>
    <row r="55" spans="1:8" x14ac:dyDescent="0.25">
      <c r="E55" t="s">
        <v>35</v>
      </c>
      <c r="F55">
        <f>2290+3032+2910</f>
        <v>8232</v>
      </c>
      <c r="G55">
        <v>96.915469743348254</v>
      </c>
    </row>
    <row r="56" spans="1:8" x14ac:dyDescent="0.25">
      <c r="E56" t="s">
        <v>32</v>
      </c>
      <c r="F56">
        <f>37+76+149</f>
        <v>262</v>
      </c>
      <c r="G56">
        <v>3.0845302566517461</v>
      </c>
    </row>
    <row r="57" spans="1:8" x14ac:dyDescent="0.25">
      <c r="E57" t="s">
        <v>33</v>
      </c>
      <c r="F57">
        <f>1811+1860+763+262</f>
        <v>4696</v>
      </c>
      <c r="G57">
        <v>55.286084294796325</v>
      </c>
    </row>
    <row r="58" spans="1:8" x14ac:dyDescent="0.25">
      <c r="E58" t="s">
        <v>34</v>
      </c>
      <c r="F58">
        <f>8494-4696</f>
        <v>3798</v>
      </c>
      <c r="G58">
        <v>44.713915705203675</v>
      </c>
    </row>
    <row r="59" spans="1:8" x14ac:dyDescent="0.25">
      <c r="A59" s="22" t="s">
        <v>10</v>
      </c>
      <c r="B59" s="22"/>
      <c r="C59" s="22"/>
      <c r="D59" s="22"/>
      <c r="E59" s="22"/>
      <c r="F59" s="22"/>
      <c r="G59" s="22"/>
      <c r="H59" s="22"/>
    </row>
    <row r="60" spans="1:8" x14ac:dyDescent="0.25">
      <c r="A60" s="23" t="s">
        <v>3</v>
      </c>
      <c r="B60" s="23"/>
      <c r="C60" s="23"/>
      <c r="D60" s="23"/>
      <c r="E60" s="23"/>
    </row>
    <row r="61" spans="1:8" x14ac:dyDescent="0.25">
      <c r="A61" s="2">
        <v>4</v>
      </c>
      <c r="B61" s="2">
        <v>1811</v>
      </c>
      <c r="C61" s="1">
        <v>1811</v>
      </c>
      <c r="D61" s="1">
        <v>0</v>
      </c>
      <c r="E61" s="1"/>
    </row>
    <row r="62" spans="1:8" x14ac:dyDescent="0.25">
      <c r="A62">
        <v>1</v>
      </c>
      <c r="B62">
        <v>176</v>
      </c>
      <c r="C62">
        <v>167</v>
      </c>
      <c r="D62">
        <f>176-167</f>
        <v>9</v>
      </c>
    </row>
    <row r="63" spans="1:8" x14ac:dyDescent="0.25">
      <c r="A63" t="s">
        <v>4</v>
      </c>
      <c r="C63">
        <f>167+1811</f>
        <v>1978</v>
      </c>
      <c r="D63">
        <v>9</v>
      </c>
    </row>
    <row r="64" spans="1:8" x14ac:dyDescent="0.25">
      <c r="A64" s="23" t="s">
        <v>5</v>
      </c>
      <c r="B64" s="23"/>
      <c r="C64" s="23"/>
      <c r="D64" s="23"/>
      <c r="E64" s="23"/>
    </row>
    <row r="65" spans="1:5" x14ac:dyDescent="0.25">
      <c r="A65">
        <v>3</v>
      </c>
      <c r="B65">
        <v>0</v>
      </c>
      <c r="C65">
        <v>0</v>
      </c>
      <c r="D65">
        <f t="shared" ref="D65:D74" si="2">B65-C65</f>
        <v>0</v>
      </c>
    </row>
    <row r="66" spans="1:5" x14ac:dyDescent="0.25">
      <c r="A66" s="1">
        <v>2</v>
      </c>
      <c r="B66">
        <v>336</v>
      </c>
      <c r="C66">
        <v>296</v>
      </c>
      <c r="D66">
        <f t="shared" si="2"/>
        <v>40</v>
      </c>
    </row>
    <row r="67" spans="1:5" x14ac:dyDescent="0.25">
      <c r="A67" s="3">
        <v>12</v>
      </c>
      <c r="B67">
        <v>15</v>
      </c>
      <c r="C67">
        <v>15</v>
      </c>
      <c r="D67">
        <f t="shared" si="2"/>
        <v>0</v>
      </c>
    </row>
    <row r="68" spans="1:5" x14ac:dyDescent="0.25">
      <c r="A68">
        <v>8</v>
      </c>
      <c r="B68">
        <v>27</v>
      </c>
      <c r="C68">
        <v>27</v>
      </c>
      <c r="D68">
        <f t="shared" si="2"/>
        <v>0</v>
      </c>
    </row>
    <row r="69" spans="1:5" x14ac:dyDescent="0.25">
      <c r="A69">
        <v>11</v>
      </c>
      <c r="B69">
        <v>521</v>
      </c>
      <c r="C69">
        <v>514</v>
      </c>
      <c r="D69">
        <f t="shared" si="2"/>
        <v>7</v>
      </c>
    </row>
    <row r="70" spans="1:5" x14ac:dyDescent="0.25">
      <c r="A70">
        <v>6</v>
      </c>
      <c r="B70">
        <v>349</v>
      </c>
      <c r="C70">
        <v>316</v>
      </c>
      <c r="D70">
        <f t="shared" si="2"/>
        <v>33</v>
      </c>
    </row>
    <row r="71" spans="1:5" x14ac:dyDescent="0.25">
      <c r="A71">
        <v>15</v>
      </c>
      <c r="B71">
        <v>277</v>
      </c>
      <c r="C71">
        <v>232</v>
      </c>
      <c r="D71">
        <f t="shared" si="2"/>
        <v>45</v>
      </c>
    </row>
    <row r="72" spans="1:5" x14ac:dyDescent="0.25">
      <c r="A72" s="2">
        <v>14</v>
      </c>
      <c r="B72" s="2">
        <v>763</v>
      </c>
      <c r="C72">
        <v>763</v>
      </c>
      <c r="D72">
        <f t="shared" si="2"/>
        <v>0</v>
      </c>
    </row>
    <row r="73" spans="1:5" x14ac:dyDescent="0.25">
      <c r="A73" s="1">
        <v>13</v>
      </c>
      <c r="B73">
        <v>427</v>
      </c>
      <c r="C73">
        <v>406</v>
      </c>
      <c r="D73">
        <f t="shared" si="2"/>
        <v>21</v>
      </c>
    </row>
    <row r="74" spans="1:5" x14ac:dyDescent="0.25">
      <c r="A74" s="1">
        <v>7</v>
      </c>
      <c r="B74">
        <v>466</v>
      </c>
      <c r="C74">
        <v>463</v>
      </c>
      <c r="D74">
        <f t="shared" si="2"/>
        <v>3</v>
      </c>
    </row>
    <row r="75" spans="1:5" x14ac:dyDescent="0.25">
      <c r="A75" t="s">
        <v>4</v>
      </c>
      <c r="C75">
        <f>SUM(C65:C74)</f>
        <v>3032</v>
      </c>
      <c r="D75">
        <f>SUM(D65:D74)</f>
        <v>149</v>
      </c>
    </row>
    <row r="76" spans="1:5" x14ac:dyDescent="0.25">
      <c r="A76" s="23" t="s">
        <v>9</v>
      </c>
      <c r="B76" s="23"/>
      <c r="C76" s="23"/>
      <c r="D76" s="23"/>
      <c r="E76" s="23"/>
    </row>
    <row r="77" spans="1:5" x14ac:dyDescent="0.25">
      <c r="A77">
        <v>9</v>
      </c>
      <c r="B77">
        <v>1087</v>
      </c>
      <c r="C77">
        <v>1050</v>
      </c>
      <c r="D77">
        <f>1087-1050</f>
        <v>37</v>
      </c>
    </row>
    <row r="78" spans="1:5" x14ac:dyDescent="0.25">
      <c r="A78" s="2">
        <v>10</v>
      </c>
      <c r="B78" s="2">
        <v>1860</v>
      </c>
      <c r="C78">
        <v>1860</v>
      </c>
      <c r="D78">
        <v>0</v>
      </c>
    </row>
    <row r="79" spans="1:5" x14ac:dyDescent="0.25">
      <c r="A79" t="s">
        <v>4</v>
      </c>
      <c r="C79">
        <f>1050+1860</f>
        <v>2910</v>
      </c>
      <c r="D79">
        <v>37</v>
      </c>
    </row>
    <row r="80" spans="1:5" x14ac:dyDescent="0.25">
      <c r="A80" s="23" t="s">
        <v>11</v>
      </c>
      <c r="B80" s="23"/>
      <c r="C80" s="23"/>
      <c r="D80" s="23"/>
      <c r="E80" s="23"/>
    </row>
    <row r="81" spans="1:8" x14ac:dyDescent="0.25">
      <c r="A81" s="2">
        <v>5</v>
      </c>
      <c r="B81" s="7">
        <v>379</v>
      </c>
      <c r="C81">
        <v>379</v>
      </c>
      <c r="D81">
        <v>0</v>
      </c>
    </row>
    <row r="82" spans="1:8" x14ac:dyDescent="0.25">
      <c r="A82" t="s">
        <v>4</v>
      </c>
    </row>
    <row r="83" spans="1:8" x14ac:dyDescent="0.25">
      <c r="E83" s="24" t="s">
        <v>29</v>
      </c>
      <c r="F83" s="24"/>
      <c r="G83" t="s">
        <v>6</v>
      </c>
    </row>
    <row r="84" spans="1:8" x14ac:dyDescent="0.25">
      <c r="E84" t="s">
        <v>31</v>
      </c>
      <c r="F84">
        <v>8494</v>
      </c>
    </row>
    <row r="85" spans="1:8" x14ac:dyDescent="0.25">
      <c r="E85" t="s">
        <v>35</v>
      </c>
      <c r="F85">
        <f>1978+3032+2910+379</f>
        <v>8299</v>
      </c>
      <c r="G85">
        <v>97.704261831881325</v>
      </c>
    </row>
    <row r="86" spans="1:8" x14ac:dyDescent="0.25">
      <c r="E86" t="s">
        <v>32</v>
      </c>
      <c r="F86">
        <f>37+149+9</f>
        <v>195</v>
      </c>
      <c r="G86">
        <v>2.2957381681186746</v>
      </c>
    </row>
    <row r="87" spans="1:8" x14ac:dyDescent="0.25">
      <c r="E87" t="s">
        <v>33</v>
      </c>
      <c r="F87">
        <f>1860+763+379+1811</f>
        <v>4813</v>
      </c>
      <c r="G87">
        <v>56.663527195667527</v>
      </c>
    </row>
    <row r="88" spans="1:8" x14ac:dyDescent="0.25">
      <c r="E88" t="s">
        <v>34</v>
      </c>
      <c r="F88">
        <f>8494-4813</f>
        <v>3681</v>
      </c>
      <c r="G88">
        <v>43.336472804332473</v>
      </c>
    </row>
    <row r="89" spans="1:8" x14ac:dyDescent="0.25">
      <c r="A89" s="22" t="s">
        <v>12</v>
      </c>
      <c r="B89" s="22"/>
      <c r="C89" s="22"/>
      <c r="D89" s="22"/>
      <c r="E89" s="22"/>
      <c r="F89" s="22"/>
      <c r="G89" s="22"/>
      <c r="H89" s="22"/>
    </row>
    <row r="90" spans="1:8" x14ac:dyDescent="0.25">
      <c r="A90" s="23" t="s">
        <v>3</v>
      </c>
      <c r="B90" s="23"/>
      <c r="C90" s="23"/>
      <c r="D90" s="23"/>
      <c r="E90" s="23"/>
    </row>
    <row r="91" spans="1:8" x14ac:dyDescent="0.25">
      <c r="A91" s="2">
        <v>4</v>
      </c>
      <c r="B91" s="2">
        <v>1811</v>
      </c>
      <c r="C91" s="1">
        <v>1811</v>
      </c>
      <c r="D91" s="1">
        <v>0</v>
      </c>
      <c r="E91" s="1"/>
    </row>
    <row r="92" spans="1:8" x14ac:dyDescent="0.25">
      <c r="A92" t="s">
        <v>4</v>
      </c>
    </row>
    <row r="93" spans="1:8" x14ac:dyDescent="0.25">
      <c r="A93" s="23" t="s">
        <v>5</v>
      </c>
      <c r="B93" s="23"/>
      <c r="C93" s="23"/>
      <c r="D93" s="23"/>
      <c r="E93" s="23"/>
    </row>
    <row r="94" spans="1:8" x14ac:dyDescent="0.25">
      <c r="A94" s="1">
        <v>3</v>
      </c>
      <c r="B94">
        <v>0</v>
      </c>
      <c r="C94">
        <v>0</v>
      </c>
      <c r="D94">
        <f t="shared" ref="D94:D103" si="3">B94-C94</f>
        <v>0</v>
      </c>
    </row>
    <row r="95" spans="1:8" x14ac:dyDescent="0.25">
      <c r="A95" s="1">
        <v>2</v>
      </c>
      <c r="B95">
        <v>336</v>
      </c>
      <c r="C95">
        <v>296</v>
      </c>
      <c r="D95">
        <f t="shared" si="3"/>
        <v>40</v>
      </c>
    </row>
    <row r="96" spans="1:8" x14ac:dyDescent="0.25">
      <c r="A96" s="19">
        <v>12</v>
      </c>
      <c r="B96">
        <v>15</v>
      </c>
      <c r="C96">
        <v>15</v>
      </c>
      <c r="D96">
        <f t="shared" si="3"/>
        <v>0</v>
      </c>
    </row>
    <row r="97" spans="1:5" x14ac:dyDescent="0.25">
      <c r="A97" s="1">
        <v>8</v>
      </c>
      <c r="B97">
        <v>27</v>
      </c>
      <c r="C97">
        <v>27</v>
      </c>
      <c r="D97">
        <f t="shared" si="3"/>
        <v>0</v>
      </c>
    </row>
    <row r="98" spans="1:5" x14ac:dyDescent="0.25">
      <c r="A98" s="1">
        <v>11</v>
      </c>
      <c r="B98" s="1">
        <v>521</v>
      </c>
      <c r="C98">
        <v>514</v>
      </c>
      <c r="D98">
        <f t="shared" si="3"/>
        <v>7</v>
      </c>
    </row>
    <row r="99" spans="1:5" x14ac:dyDescent="0.25">
      <c r="A99">
        <v>6</v>
      </c>
      <c r="B99">
        <v>349</v>
      </c>
      <c r="C99">
        <v>316</v>
      </c>
      <c r="D99">
        <f t="shared" si="3"/>
        <v>33</v>
      </c>
    </row>
    <row r="100" spans="1:5" x14ac:dyDescent="0.25">
      <c r="A100">
        <v>15</v>
      </c>
      <c r="B100">
        <v>277</v>
      </c>
      <c r="C100">
        <v>232</v>
      </c>
      <c r="D100">
        <f t="shared" si="3"/>
        <v>45</v>
      </c>
    </row>
    <row r="101" spans="1:5" x14ac:dyDescent="0.25">
      <c r="A101" s="2">
        <v>14</v>
      </c>
      <c r="B101" s="2">
        <v>763</v>
      </c>
      <c r="C101">
        <v>763</v>
      </c>
      <c r="D101">
        <f t="shared" si="3"/>
        <v>0</v>
      </c>
    </row>
    <row r="102" spans="1:5" x14ac:dyDescent="0.25">
      <c r="A102" s="1">
        <v>13</v>
      </c>
      <c r="B102">
        <v>427</v>
      </c>
      <c r="C102">
        <v>406</v>
      </c>
      <c r="D102">
        <f t="shared" si="3"/>
        <v>21</v>
      </c>
    </row>
    <row r="103" spans="1:5" x14ac:dyDescent="0.25">
      <c r="A103" s="1">
        <v>7</v>
      </c>
      <c r="B103">
        <v>466</v>
      </c>
      <c r="C103">
        <v>463</v>
      </c>
      <c r="D103">
        <f t="shared" si="3"/>
        <v>3</v>
      </c>
    </row>
    <row r="104" spans="1:5" x14ac:dyDescent="0.25">
      <c r="A104" t="s">
        <v>4</v>
      </c>
      <c r="C104">
        <f>SUM(C94:C103)</f>
        <v>3032</v>
      </c>
      <c r="D104">
        <f>SUM(D94:D103)</f>
        <v>149</v>
      </c>
    </row>
    <row r="105" spans="1:5" x14ac:dyDescent="0.25">
      <c r="A105" s="23" t="s">
        <v>9</v>
      </c>
      <c r="B105" s="23"/>
      <c r="C105" s="23"/>
      <c r="D105" s="23"/>
      <c r="E105" s="23"/>
    </row>
    <row r="106" spans="1:5" x14ac:dyDescent="0.25">
      <c r="A106">
        <v>9</v>
      </c>
      <c r="B106">
        <v>1087</v>
      </c>
      <c r="C106">
        <v>1053</v>
      </c>
      <c r="D106">
        <f>1087-1053</f>
        <v>34</v>
      </c>
    </row>
    <row r="107" spans="1:5" x14ac:dyDescent="0.25">
      <c r="A107" s="2">
        <v>10</v>
      </c>
      <c r="B107" s="2">
        <v>1860</v>
      </c>
      <c r="C107">
        <v>1860</v>
      </c>
      <c r="D107">
        <v>0</v>
      </c>
    </row>
    <row r="108" spans="1:5" x14ac:dyDescent="0.25">
      <c r="A108" t="s">
        <v>4</v>
      </c>
      <c r="C108">
        <f>1053+1860</f>
        <v>2913</v>
      </c>
      <c r="D108">
        <v>34</v>
      </c>
    </row>
    <row r="109" spans="1:5" x14ac:dyDescent="0.25">
      <c r="A109" s="23" t="s">
        <v>11</v>
      </c>
      <c r="B109" s="23"/>
      <c r="C109" s="23"/>
      <c r="D109" s="23"/>
      <c r="E109" s="23"/>
    </row>
    <row r="110" spans="1:5" x14ac:dyDescent="0.25">
      <c r="A110" s="2">
        <v>5</v>
      </c>
      <c r="B110" s="2">
        <v>379</v>
      </c>
      <c r="C110" s="1">
        <v>379</v>
      </c>
      <c r="D110" s="1">
        <v>0</v>
      </c>
      <c r="E110" s="1"/>
    </row>
    <row r="111" spans="1:5" x14ac:dyDescent="0.25">
      <c r="A111" t="s">
        <v>4</v>
      </c>
    </row>
    <row r="112" spans="1:5" x14ac:dyDescent="0.25">
      <c r="A112" s="23" t="s">
        <v>13</v>
      </c>
      <c r="B112" s="23"/>
      <c r="C112" s="23"/>
      <c r="D112" s="23"/>
      <c r="E112" s="23"/>
    </row>
    <row r="113" spans="1:8" x14ac:dyDescent="0.25">
      <c r="A113" s="2">
        <v>1</v>
      </c>
      <c r="B113" s="2">
        <v>176</v>
      </c>
      <c r="C113">
        <v>176</v>
      </c>
      <c r="D113">
        <v>0</v>
      </c>
    </row>
    <row r="114" spans="1:8" x14ac:dyDescent="0.25">
      <c r="A114" t="s">
        <v>4</v>
      </c>
    </row>
    <row r="115" spans="1:8" x14ac:dyDescent="0.25">
      <c r="E115" s="24" t="s">
        <v>29</v>
      </c>
      <c r="F115" s="24"/>
      <c r="G115" t="s">
        <v>6</v>
      </c>
    </row>
    <row r="116" spans="1:8" x14ac:dyDescent="0.25">
      <c r="E116" t="s">
        <v>31</v>
      </c>
      <c r="F116">
        <v>8494</v>
      </c>
    </row>
    <row r="117" spans="1:8" x14ac:dyDescent="0.25">
      <c r="E117" t="s">
        <v>35</v>
      </c>
      <c r="F117">
        <f>F116-F118</f>
        <v>8311</v>
      </c>
      <c r="G117">
        <v>97.845538026842476</v>
      </c>
    </row>
    <row r="118" spans="1:8" x14ac:dyDescent="0.25">
      <c r="E118" t="s">
        <v>32</v>
      </c>
      <c r="F118">
        <f>149+34</f>
        <v>183</v>
      </c>
      <c r="G118">
        <v>2.1544619731575239</v>
      </c>
    </row>
    <row r="119" spans="1:8" x14ac:dyDescent="0.25">
      <c r="E119" t="s">
        <v>33</v>
      </c>
      <c r="F119">
        <f>1811+763+1860+379+176</f>
        <v>4989</v>
      </c>
      <c r="G119">
        <v>58.735578055097712</v>
      </c>
    </row>
    <row r="120" spans="1:8" x14ac:dyDescent="0.25">
      <c r="E120" t="s">
        <v>34</v>
      </c>
      <c r="F120">
        <f>F116-F119</f>
        <v>3505</v>
      </c>
      <c r="G120">
        <v>41.264421944902288</v>
      </c>
    </row>
    <row r="121" spans="1:8" x14ac:dyDescent="0.25">
      <c r="A121" s="22" t="s">
        <v>45</v>
      </c>
      <c r="B121" s="22"/>
      <c r="C121" s="22"/>
      <c r="D121" s="22"/>
      <c r="E121" s="22"/>
      <c r="F121" s="22"/>
      <c r="G121" s="22"/>
      <c r="H121" s="22"/>
    </row>
    <row r="122" spans="1:8" x14ac:dyDescent="0.25">
      <c r="A122" s="23" t="s">
        <v>3</v>
      </c>
      <c r="B122" s="23"/>
      <c r="C122" s="23"/>
      <c r="D122" s="23"/>
      <c r="E122" s="23"/>
    </row>
    <row r="123" spans="1:8" x14ac:dyDescent="0.25">
      <c r="A123">
        <v>4</v>
      </c>
      <c r="B123" s="1">
        <v>1811</v>
      </c>
      <c r="C123">
        <v>1066</v>
      </c>
      <c r="D123">
        <f>B123-C123</f>
        <v>745</v>
      </c>
    </row>
    <row r="124" spans="1:8" x14ac:dyDescent="0.25">
      <c r="A124">
        <v>5</v>
      </c>
      <c r="B124" s="1">
        <v>379</v>
      </c>
      <c r="C124">
        <v>192</v>
      </c>
      <c r="D124">
        <f t="shared" ref="D124:D137" si="4">B124-C124</f>
        <v>187</v>
      </c>
    </row>
    <row r="125" spans="1:8" x14ac:dyDescent="0.25">
      <c r="A125">
        <v>1</v>
      </c>
      <c r="B125">
        <v>176</v>
      </c>
      <c r="C125">
        <v>62</v>
      </c>
      <c r="D125">
        <f t="shared" si="4"/>
        <v>114</v>
      </c>
    </row>
    <row r="126" spans="1:8" x14ac:dyDescent="0.25">
      <c r="A126">
        <v>3</v>
      </c>
      <c r="B126">
        <v>0</v>
      </c>
      <c r="C126">
        <v>0</v>
      </c>
      <c r="D126">
        <f t="shared" si="4"/>
        <v>0</v>
      </c>
    </row>
    <row r="127" spans="1:8" x14ac:dyDescent="0.25">
      <c r="A127" s="1">
        <v>2</v>
      </c>
      <c r="B127">
        <v>336</v>
      </c>
      <c r="C127">
        <v>154</v>
      </c>
      <c r="D127">
        <f t="shared" si="4"/>
        <v>182</v>
      </c>
    </row>
    <row r="128" spans="1:8" x14ac:dyDescent="0.25">
      <c r="A128" s="3">
        <v>12</v>
      </c>
      <c r="B128">
        <v>15</v>
      </c>
      <c r="C128">
        <v>15</v>
      </c>
      <c r="D128">
        <f t="shared" si="4"/>
        <v>0</v>
      </c>
    </row>
    <row r="129" spans="1:7" x14ac:dyDescent="0.25">
      <c r="A129">
        <v>8</v>
      </c>
      <c r="B129">
        <v>27</v>
      </c>
      <c r="C129">
        <v>26</v>
      </c>
      <c r="D129">
        <f t="shared" si="4"/>
        <v>1</v>
      </c>
    </row>
    <row r="130" spans="1:7" x14ac:dyDescent="0.25">
      <c r="A130">
        <v>11</v>
      </c>
      <c r="B130">
        <v>521</v>
      </c>
      <c r="C130">
        <v>356</v>
      </c>
      <c r="D130">
        <f t="shared" si="4"/>
        <v>165</v>
      </c>
    </row>
    <row r="131" spans="1:7" x14ac:dyDescent="0.25">
      <c r="A131">
        <v>6</v>
      </c>
      <c r="B131">
        <v>349</v>
      </c>
      <c r="C131">
        <v>189</v>
      </c>
      <c r="D131">
        <f t="shared" si="4"/>
        <v>160</v>
      </c>
    </row>
    <row r="132" spans="1:7" x14ac:dyDescent="0.25">
      <c r="A132">
        <v>15</v>
      </c>
      <c r="B132">
        <v>277</v>
      </c>
      <c r="C132">
        <v>130</v>
      </c>
      <c r="D132">
        <f t="shared" si="4"/>
        <v>147</v>
      </c>
    </row>
    <row r="133" spans="1:7" x14ac:dyDescent="0.25">
      <c r="A133">
        <v>14</v>
      </c>
      <c r="B133">
        <v>763</v>
      </c>
      <c r="C133">
        <v>422</v>
      </c>
      <c r="D133">
        <f t="shared" si="4"/>
        <v>341</v>
      </c>
    </row>
    <row r="134" spans="1:7" x14ac:dyDescent="0.25">
      <c r="A134" s="1">
        <v>13</v>
      </c>
      <c r="B134">
        <v>427</v>
      </c>
      <c r="C134">
        <v>386</v>
      </c>
      <c r="D134">
        <f t="shared" si="4"/>
        <v>41</v>
      </c>
    </row>
    <row r="135" spans="1:7" x14ac:dyDescent="0.25">
      <c r="A135" s="2">
        <v>10</v>
      </c>
      <c r="B135" s="2">
        <v>1860</v>
      </c>
      <c r="C135">
        <v>1860</v>
      </c>
      <c r="D135">
        <f t="shared" si="4"/>
        <v>0</v>
      </c>
    </row>
    <row r="136" spans="1:7" x14ac:dyDescent="0.25">
      <c r="A136" s="1">
        <v>7</v>
      </c>
      <c r="B136">
        <v>466</v>
      </c>
      <c r="C136">
        <v>282</v>
      </c>
      <c r="D136">
        <f t="shared" si="4"/>
        <v>184</v>
      </c>
    </row>
    <row r="137" spans="1:7" x14ac:dyDescent="0.25">
      <c r="A137">
        <v>9</v>
      </c>
      <c r="B137">
        <v>1087</v>
      </c>
      <c r="C137">
        <v>898</v>
      </c>
      <c r="D137">
        <f t="shared" si="4"/>
        <v>189</v>
      </c>
    </row>
    <row r="138" spans="1:7" x14ac:dyDescent="0.25">
      <c r="A138" t="s">
        <v>4</v>
      </c>
      <c r="B138">
        <f>SUM(B123:B137)</f>
        <v>8494</v>
      </c>
      <c r="C138">
        <f>SUM(C123:C137)</f>
        <v>6038</v>
      </c>
      <c r="D138">
        <f>SUM(D123:D137)</f>
        <v>2456</v>
      </c>
    </row>
    <row r="139" spans="1:7" x14ac:dyDescent="0.25">
      <c r="E139" s="24" t="s">
        <v>29</v>
      </c>
      <c r="F139" s="24"/>
      <c r="G139" t="s">
        <v>6</v>
      </c>
    </row>
    <row r="140" spans="1:7" x14ac:dyDescent="0.25">
      <c r="E140" t="s">
        <v>31</v>
      </c>
      <c r="F140">
        <v>8494</v>
      </c>
    </row>
    <row r="141" spans="1:7" x14ac:dyDescent="0.25">
      <c r="E141" t="s">
        <v>35</v>
      </c>
      <c r="F141">
        <v>6038</v>
      </c>
      <c r="G141">
        <f>(F141/F140)*100</f>
        <v>71.085472097951495</v>
      </c>
    </row>
    <row r="142" spans="1:7" x14ac:dyDescent="0.25">
      <c r="E142" t="s">
        <v>32</v>
      </c>
      <c r="F142">
        <v>2456</v>
      </c>
      <c r="G142">
        <f>100-G141</f>
        <v>28.914527902048505</v>
      </c>
    </row>
    <row r="143" spans="1:7" x14ac:dyDescent="0.25">
      <c r="E143" t="s">
        <v>33</v>
      </c>
      <c r="F143">
        <f>1860+2456</f>
        <v>4316</v>
      </c>
      <c r="G143">
        <f>(F143/F140)*100</f>
        <v>50.812338121026613</v>
      </c>
    </row>
    <row r="144" spans="1:7" x14ac:dyDescent="0.25">
      <c r="E144" t="s">
        <v>34</v>
      </c>
      <c r="F144">
        <f>8494-4316</f>
        <v>4178</v>
      </c>
      <c r="G144">
        <f>100-G143</f>
        <v>49.187661878973387</v>
      </c>
    </row>
  </sheetData>
  <mergeCells count="25">
    <mergeCell ref="A121:H121"/>
    <mergeCell ref="A122:E122"/>
    <mergeCell ref="E139:F139"/>
    <mergeCell ref="E115:F115"/>
    <mergeCell ref="A112:E112"/>
    <mergeCell ref="A105:E105"/>
    <mergeCell ref="A109:E109"/>
    <mergeCell ref="A76:E76"/>
    <mergeCell ref="A80:E80"/>
    <mergeCell ref="A89:H89"/>
    <mergeCell ref="A90:E90"/>
    <mergeCell ref="E83:F83"/>
    <mergeCell ref="A93:E93"/>
    <mergeCell ref="A59:H59"/>
    <mergeCell ref="A60:E60"/>
    <mergeCell ref="A64:E64"/>
    <mergeCell ref="A3:H3"/>
    <mergeCell ref="A31:H31"/>
    <mergeCell ref="A32:E32"/>
    <mergeCell ref="A37:E37"/>
    <mergeCell ref="A49:E49"/>
    <mergeCell ref="E53:F53"/>
    <mergeCell ref="A4:E4"/>
    <mergeCell ref="A10:E10"/>
    <mergeCell ref="E24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16" workbookViewId="0">
      <selection activeCell="M128" sqref="M128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8" max="8" width="12.5703125" bestFit="1" customWidth="1"/>
    <col min="10" max="10" width="10.28515625" customWidth="1"/>
  </cols>
  <sheetData>
    <row r="3" spans="1:8" x14ac:dyDescent="0.25">
      <c r="A3" s="22" t="s">
        <v>7</v>
      </c>
      <c r="B3" s="22"/>
      <c r="C3" s="22"/>
      <c r="D3" s="22"/>
      <c r="E3" s="22"/>
      <c r="F3" s="22"/>
      <c r="G3" s="22"/>
      <c r="H3" s="22"/>
    </row>
    <row r="4" spans="1:8" x14ac:dyDescent="0.25">
      <c r="A4" s="23" t="s">
        <v>3</v>
      </c>
      <c r="B4" s="23"/>
      <c r="C4" s="23"/>
      <c r="D4" s="23"/>
      <c r="E4" s="23"/>
    </row>
    <row r="5" spans="1:8" x14ac:dyDescent="0.25">
      <c r="A5" t="s">
        <v>0</v>
      </c>
      <c r="B5" t="s">
        <v>1</v>
      </c>
      <c r="C5" t="s">
        <v>30</v>
      </c>
      <c r="D5" t="s">
        <v>2</v>
      </c>
    </row>
    <row r="6" spans="1:8" x14ac:dyDescent="0.25">
      <c r="A6" s="2">
        <v>4</v>
      </c>
      <c r="B6" s="2">
        <v>2275</v>
      </c>
      <c r="C6" s="1">
        <v>2275</v>
      </c>
      <c r="D6" s="1">
        <v>0</v>
      </c>
      <c r="E6" s="1"/>
    </row>
    <row r="7" spans="1:8" x14ac:dyDescent="0.25">
      <c r="A7" s="1">
        <v>5</v>
      </c>
      <c r="B7">
        <v>1055</v>
      </c>
      <c r="C7" s="1">
        <v>951</v>
      </c>
      <c r="D7">
        <f>1055 - 951</f>
        <v>104</v>
      </c>
      <c r="E7" s="1"/>
    </row>
    <row r="8" spans="1:8" x14ac:dyDescent="0.25">
      <c r="A8" s="1">
        <v>1</v>
      </c>
      <c r="B8">
        <v>2150</v>
      </c>
      <c r="C8" s="1">
        <v>1911</v>
      </c>
      <c r="D8">
        <f>2150 - 1911</f>
        <v>239</v>
      </c>
      <c r="E8" s="1"/>
    </row>
    <row r="9" spans="1:8" x14ac:dyDescent="0.25">
      <c r="A9" s="1" t="s">
        <v>4</v>
      </c>
      <c r="B9">
        <f>SUM(B6:B8)</f>
        <v>5480</v>
      </c>
      <c r="C9">
        <f>SUM(C6:C8)</f>
        <v>5137</v>
      </c>
      <c r="D9">
        <f>104 + 239</f>
        <v>343</v>
      </c>
    </row>
    <row r="10" spans="1:8" x14ac:dyDescent="0.25">
      <c r="A10" s="23" t="s">
        <v>5</v>
      </c>
      <c r="B10" s="23"/>
      <c r="C10" s="23"/>
      <c r="D10" s="23"/>
      <c r="E10" s="23"/>
    </row>
    <row r="11" spans="1:8" x14ac:dyDescent="0.25">
      <c r="A11">
        <v>3</v>
      </c>
      <c r="B11">
        <v>4</v>
      </c>
      <c r="C11">
        <v>4</v>
      </c>
      <c r="D11">
        <f t="shared" ref="D11:D22" si="0">B11-C11</f>
        <v>0</v>
      </c>
    </row>
    <row r="12" spans="1:8" x14ac:dyDescent="0.25">
      <c r="A12">
        <v>2</v>
      </c>
      <c r="B12">
        <v>296</v>
      </c>
      <c r="C12">
        <v>289</v>
      </c>
      <c r="D12">
        <f t="shared" si="0"/>
        <v>7</v>
      </c>
    </row>
    <row r="13" spans="1:8" x14ac:dyDescent="0.25">
      <c r="A13">
        <v>12</v>
      </c>
      <c r="B13">
        <v>0</v>
      </c>
      <c r="C13">
        <v>0</v>
      </c>
      <c r="D13">
        <f t="shared" si="0"/>
        <v>0</v>
      </c>
    </row>
    <row r="14" spans="1:8" x14ac:dyDescent="0.25">
      <c r="A14">
        <v>8</v>
      </c>
      <c r="B14">
        <v>9</v>
      </c>
      <c r="C14">
        <v>9</v>
      </c>
      <c r="D14">
        <f t="shared" si="0"/>
        <v>0</v>
      </c>
    </row>
    <row r="15" spans="1:8" x14ac:dyDescent="0.25">
      <c r="A15">
        <v>11</v>
      </c>
      <c r="B15">
        <v>690</v>
      </c>
      <c r="C15">
        <v>679</v>
      </c>
      <c r="D15">
        <f t="shared" si="0"/>
        <v>11</v>
      </c>
    </row>
    <row r="16" spans="1:8" x14ac:dyDescent="0.25">
      <c r="A16">
        <v>6</v>
      </c>
      <c r="B16">
        <v>632</v>
      </c>
      <c r="C16">
        <v>616</v>
      </c>
      <c r="D16">
        <f t="shared" si="0"/>
        <v>16</v>
      </c>
    </row>
    <row r="17" spans="1:8" x14ac:dyDescent="0.25">
      <c r="A17" s="5">
        <v>15</v>
      </c>
      <c r="B17">
        <v>432</v>
      </c>
      <c r="C17">
        <v>418</v>
      </c>
      <c r="D17">
        <f t="shared" si="0"/>
        <v>14</v>
      </c>
    </row>
    <row r="18" spans="1:8" x14ac:dyDescent="0.25">
      <c r="A18">
        <v>14</v>
      </c>
      <c r="B18">
        <v>392</v>
      </c>
      <c r="C18">
        <v>356</v>
      </c>
      <c r="D18">
        <f t="shared" si="0"/>
        <v>36</v>
      </c>
    </row>
    <row r="19" spans="1:8" x14ac:dyDescent="0.25">
      <c r="A19" s="1">
        <v>13</v>
      </c>
      <c r="B19">
        <v>407</v>
      </c>
      <c r="C19">
        <v>349</v>
      </c>
      <c r="D19">
        <f t="shared" si="0"/>
        <v>58</v>
      </c>
    </row>
    <row r="20" spans="1:8" x14ac:dyDescent="0.25">
      <c r="A20" s="2">
        <v>10</v>
      </c>
      <c r="B20" s="2">
        <v>1963</v>
      </c>
      <c r="C20" s="1">
        <v>1963</v>
      </c>
      <c r="D20">
        <f t="shared" si="0"/>
        <v>0</v>
      </c>
      <c r="E20" s="1"/>
    </row>
    <row r="21" spans="1:8" x14ac:dyDescent="0.25">
      <c r="A21" s="1">
        <v>7</v>
      </c>
      <c r="B21">
        <v>497</v>
      </c>
      <c r="C21">
        <v>449</v>
      </c>
      <c r="D21">
        <f t="shared" si="0"/>
        <v>48</v>
      </c>
    </row>
    <row r="22" spans="1:8" x14ac:dyDescent="0.25">
      <c r="A22" s="1">
        <v>9</v>
      </c>
      <c r="B22">
        <v>1410</v>
      </c>
      <c r="C22">
        <v>1391</v>
      </c>
      <c r="D22">
        <f t="shared" si="0"/>
        <v>19</v>
      </c>
    </row>
    <row r="23" spans="1:8" x14ac:dyDescent="0.25">
      <c r="A23" t="s">
        <v>4</v>
      </c>
      <c r="B23">
        <f>SUM(B11:B22)</f>
        <v>6732</v>
      </c>
      <c r="C23">
        <f>SUM(C11:C22)</f>
        <v>6523</v>
      </c>
      <c r="D23">
        <f>SUM(D11:D22)</f>
        <v>209</v>
      </c>
    </row>
    <row r="24" spans="1:8" x14ac:dyDescent="0.25">
      <c r="E24" s="24" t="s">
        <v>29</v>
      </c>
      <c r="F24" s="24"/>
    </row>
    <row r="25" spans="1:8" x14ac:dyDescent="0.25">
      <c r="E25" t="s">
        <v>31</v>
      </c>
      <c r="F25">
        <f>B23+B9</f>
        <v>12212</v>
      </c>
      <c r="G25" t="s">
        <v>6</v>
      </c>
    </row>
    <row r="26" spans="1:8" x14ac:dyDescent="0.25">
      <c r="E26" t="s">
        <v>35</v>
      </c>
      <c r="F26">
        <f>6523+5137</f>
        <v>11660</v>
      </c>
      <c r="G26">
        <f>(F26/F25)*100</f>
        <v>95.479855879462832</v>
      </c>
    </row>
    <row r="27" spans="1:8" x14ac:dyDescent="0.25">
      <c r="E27" t="s">
        <v>32</v>
      </c>
      <c r="F27">
        <f>209+343</f>
        <v>552</v>
      </c>
      <c r="G27">
        <f>100-G26</f>
        <v>4.520144120537168</v>
      </c>
    </row>
    <row r="28" spans="1:8" x14ac:dyDescent="0.25">
      <c r="E28" t="s">
        <v>33</v>
      </c>
      <c r="F28">
        <f>B6+B20+F27</f>
        <v>4790</v>
      </c>
      <c r="G28">
        <f>(F28/F25)*100</f>
        <v>39.223714379299054</v>
      </c>
    </row>
    <row r="29" spans="1:8" x14ac:dyDescent="0.25">
      <c r="E29" t="s">
        <v>34</v>
      </c>
      <c r="F29">
        <f>F25-F28</f>
        <v>7422</v>
      </c>
      <c r="G29">
        <f>100-G28</f>
        <v>60.776285620700946</v>
      </c>
    </row>
    <row r="31" spans="1:8" x14ac:dyDescent="0.25">
      <c r="A31" s="22" t="s">
        <v>8</v>
      </c>
      <c r="B31" s="22"/>
      <c r="C31" s="22"/>
      <c r="D31" s="22"/>
      <c r="E31" s="22"/>
      <c r="F31" s="22"/>
      <c r="G31" s="22"/>
      <c r="H31" s="22"/>
    </row>
    <row r="32" spans="1:8" x14ac:dyDescent="0.25">
      <c r="A32" s="23" t="s">
        <v>3</v>
      </c>
      <c r="B32" s="23"/>
      <c r="C32" s="23"/>
      <c r="D32" s="23"/>
      <c r="E32" s="23"/>
    </row>
    <row r="33" spans="1:5" x14ac:dyDescent="0.25">
      <c r="A33" s="2">
        <v>4</v>
      </c>
      <c r="B33" s="2">
        <v>2275</v>
      </c>
      <c r="C33" s="1">
        <v>2275</v>
      </c>
      <c r="D33">
        <f>B33-C33</f>
        <v>0</v>
      </c>
      <c r="E33" s="1"/>
    </row>
    <row r="34" spans="1:5" x14ac:dyDescent="0.25">
      <c r="A34">
        <v>5</v>
      </c>
      <c r="B34">
        <v>1055</v>
      </c>
      <c r="C34" s="1">
        <v>957</v>
      </c>
      <c r="D34">
        <f>B34-C34</f>
        <v>98</v>
      </c>
      <c r="E34" s="1"/>
    </row>
    <row r="35" spans="1:5" x14ac:dyDescent="0.25">
      <c r="A35" s="5">
        <v>1</v>
      </c>
      <c r="B35">
        <v>2150</v>
      </c>
      <c r="C35" s="1">
        <v>1920</v>
      </c>
      <c r="D35">
        <f>B35-C35</f>
        <v>230</v>
      </c>
      <c r="E35" s="1"/>
    </row>
    <row r="36" spans="1:5" x14ac:dyDescent="0.25">
      <c r="A36" t="s">
        <v>4</v>
      </c>
      <c r="B36">
        <f>SUM(B33:B35)</f>
        <v>5480</v>
      </c>
      <c r="C36">
        <f>SUM(C33:C35)</f>
        <v>5152</v>
      </c>
      <c r="D36">
        <f>98+230</f>
        <v>328</v>
      </c>
    </row>
    <row r="37" spans="1:5" x14ac:dyDescent="0.25">
      <c r="A37" s="23" t="s">
        <v>5</v>
      </c>
      <c r="B37" s="23"/>
      <c r="C37" s="23"/>
      <c r="D37" s="23"/>
      <c r="E37" s="23"/>
    </row>
    <row r="38" spans="1:5" x14ac:dyDescent="0.25">
      <c r="A38">
        <v>3</v>
      </c>
      <c r="B38">
        <v>4</v>
      </c>
      <c r="C38">
        <v>4</v>
      </c>
      <c r="D38">
        <f t="shared" ref="D38:D47" si="1">B38-C38</f>
        <v>0</v>
      </c>
    </row>
    <row r="39" spans="1:5" x14ac:dyDescent="0.25">
      <c r="A39">
        <v>2</v>
      </c>
      <c r="B39">
        <v>296</v>
      </c>
      <c r="C39">
        <v>289</v>
      </c>
      <c r="D39">
        <f t="shared" si="1"/>
        <v>7</v>
      </c>
    </row>
    <row r="40" spans="1:5" x14ac:dyDescent="0.25">
      <c r="A40">
        <v>12</v>
      </c>
      <c r="B40">
        <v>0</v>
      </c>
      <c r="C40">
        <v>0</v>
      </c>
      <c r="D40">
        <f t="shared" si="1"/>
        <v>0</v>
      </c>
    </row>
    <row r="41" spans="1:5" x14ac:dyDescent="0.25">
      <c r="A41">
        <v>8</v>
      </c>
      <c r="B41">
        <v>9</v>
      </c>
      <c r="C41">
        <v>9</v>
      </c>
      <c r="D41">
        <f t="shared" si="1"/>
        <v>0</v>
      </c>
    </row>
    <row r="42" spans="1:5" x14ac:dyDescent="0.25">
      <c r="A42" s="2">
        <v>11</v>
      </c>
      <c r="B42" s="2">
        <v>690</v>
      </c>
      <c r="C42">
        <v>690</v>
      </c>
      <c r="D42">
        <f t="shared" si="1"/>
        <v>0</v>
      </c>
    </row>
    <row r="43" spans="1:5" x14ac:dyDescent="0.25">
      <c r="A43" s="1">
        <v>6</v>
      </c>
      <c r="B43">
        <v>632</v>
      </c>
      <c r="C43">
        <v>616</v>
      </c>
      <c r="D43">
        <f t="shared" si="1"/>
        <v>16</v>
      </c>
    </row>
    <row r="44" spans="1:5" x14ac:dyDescent="0.25">
      <c r="A44" s="1">
        <v>15</v>
      </c>
      <c r="B44">
        <v>432</v>
      </c>
      <c r="C44">
        <v>428</v>
      </c>
      <c r="D44">
        <f t="shared" si="1"/>
        <v>4</v>
      </c>
    </row>
    <row r="45" spans="1:5" x14ac:dyDescent="0.25">
      <c r="A45" s="1">
        <v>14</v>
      </c>
      <c r="B45">
        <v>392</v>
      </c>
      <c r="C45">
        <v>356</v>
      </c>
      <c r="D45">
        <f t="shared" si="1"/>
        <v>36</v>
      </c>
    </row>
    <row r="46" spans="1:5" x14ac:dyDescent="0.25">
      <c r="A46">
        <v>13</v>
      </c>
      <c r="B46">
        <v>407</v>
      </c>
      <c r="C46">
        <v>351</v>
      </c>
      <c r="D46">
        <f t="shared" si="1"/>
        <v>56</v>
      </c>
    </row>
    <row r="47" spans="1:5" x14ac:dyDescent="0.25">
      <c r="A47" s="1">
        <v>7</v>
      </c>
      <c r="B47">
        <v>497</v>
      </c>
      <c r="C47">
        <v>453</v>
      </c>
      <c r="D47">
        <f t="shared" si="1"/>
        <v>44</v>
      </c>
    </row>
    <row r="48" spans="1:5" x14ac:dyDescent="0.25">
      <c r="A48" t="s">
        <v>4</v>
      </c>
      <c r="C48">
        <f>SUM(C38:C47)</f>
        <v>3196</v>
      </c>
      <c r="D48">
        <f>SUM(D38:D47)</f>
        <v>163</v>
      </c>
    </row>
    <row r="49" spans="1:8" x14ac:dyDescent="0.25">
      <c r="A49" s="23" t="s">
        <v>9</v>
      </c>
      <c r="B49" s="23"/>
      <c r="C49" s="23"/>
      <c r="D49" s="23"/>
      <c r="E49" s="23"/>
    </row>
    <row r="50" spans="1:8" x14ac:dyDescent="0.25">
      <c r="A50">
        <v>9</v>
      </c>
      <c r="B50">
        <v>1410</v>
      </c>
      <c r="C50">
        <v>1395</v>
      </c>
      <c r="D50">
        <f>1410 - 1395</f>
        <v>15</v>
      </c>
    </row>
    <row r="51" spans="1:8" x14ac:dyDescent="0.25">
      <c r="A51" s="2">
        <v>10</v>
      </c>
      <c r="B51" s="2">
        <v>1963</v>
      </c>
      <c r="C51" s="1">
        <v>1963</v>
      </c>
      <c r="D51" s="1">
        <v>0</v>
      </c>
      <c r="E51" s="1"/>
    </row>
    <row r="52" spans="1:8" x14ac:dyDescent="0.25">
      <c r="A52" t="s">
        <v>4</v>
      </c>
      <c r="C52">
        <f>SUM(C50:C51)</f>
        <v>3358</v>
      </c>
      <c r="D52">
        <v>15</v>
      </c>
    </row>
    <row r="53" spans="1:8" x14ac:dyDescent="0.25">
      <c r="E53" s="24" t="s">
        <v>29</v>
      </c>
      <c r="F53" s="24"/>
    </row>
    <row r="54" spans="1:8" x14ac:dyDescent="0.25">
      <c r="E54" t="s">
        <v>31</v>
      </c>
      <c r="F54">
        <v>12212</v>
      </c>
      <c r="G54" t="s">
        <v>6</v>
      </c>
    </row>
    <row r="55" spans="1:8" x14ac:dyDescent="0.25">
      <c r="E55" t="s">
        <v>35</v>
      </c>
      <c r="F55">
        <f>12212-506</f>
        <v>11706</v>
      </c>
      <c r="G55">
        <f>(F55/F54)*100</f>
        <v>95.856534556174253</v>
      </c>
    </row>
    <row r="56" spans="1:8" x14ac:dyDescent="0.25">
      <c r="E56" t="s">
        <v>32</v>
      </c>
      <c r="F56">
        <f>328+163+15</f>
        <v>506</v>
      </c>
      <c r="G56">
        <f>100-G55</f>
        <v>4.1434654438257468</v>
      </c>
    </row>
    <row r="57" spans="1:8" x14ac:dyDescent="0.25">
      <c r="E57" t="s">
        <v>33</v>
      </c>
      <c r="F57">
        <f>B51+B42+B33+F56</f>
        <v>5434</v>
      </c>
      <c r="G57">
        <f>(F57/F54)*100</f>
        <v>44.497215853259085</v>
      </c>
    </row>
    <row r="58" spans="1:8" x14ac:dyDescent="0.25">
      <c r="E58" t="s">
        <v>34</v>
      </c>
      <c r="F58">
        <f>F54-F57</f>
        <v>6778</v>
      </c>
      <c r="G58">
        <f>100-G57</f>
        <v>55.502784146740915</v>
      </c>
    </row>
    <row r="59" spans="1:8" x14ac:dyDescent="0.25">
      <c r="A59" s="22" t="s">
        <v>10</v>
      </c>
      <c r="B59" s="22"/>
      <c r="C59" s="22"/>
      <c r="D59" s="22"/>
      <c r="E59" s="22"/>
      <c r="F59" s="22"/>
      <c r="G59" s="22"/>
      <c r="H59" s="22"/>
    </row>
    <row r="60" spans="1:8" x14ac:dyDescent="0.25">
      <c r="A60" s="23" t="s">
        <v>3</v>
      </c>
      <c r="B60" s="23"/>
      <c r="C60" s="23"/>
      <c r="D60" s="23"/>
      <c r="E60" s="23"/>
    </row>
    <row r="61" spans="1:8" x14ac:dyDescent="0.25">
      <c r="A61" s="2">
        <v>4</v>
      </c>
      <c r="B61" s="2">
        <v>2275</v>
      </c>
      <c r="C61" s="1">
        <v>2275</v>
      </c>
      <c r="D61" s="1">
        <v>0</v>
      </c>
      <c r="E61" s="1"/>
    </row>
    <row r="62" spans="1:8" x14ac:dyDescent="0.25">
      <c r="A62">
        <v>1</v>
      </c>
      <c r="B62">
        <v>2150</v>
      </c>
      <c r="C62" s="1">
        <v>2016</v>
      </c>
      <c r="D62">
        <f>2150-2016</f>
        <v>134</v>
      </c>
      <c r="E62" s="1"/>
    </row>
    <row r="63" spans="1:8" x14ac:dyDescent="0.25">
      <c r="A63" t="s">
        <v>4</v>
      </c>
      <c r="D63">
        <v>134</v>
      </c>
    </row>
    <row r="64" spans="1:8" x14ac:dyDescent="0.25">
      <c r="A64" s="23" t="s">
        <v>5</v>
      </c>
      <c r="B64" s="23"/>
      <c r="C64" s="23"/>
      <c r="D64" s="23"/>
      <c r="E64" s="23"/>
    </row>
    <row r="65" spans="1:5" x14ac:dyDescent="0.25">
      <c r="A65">
        <v>3</v>
      </c>
      <c r="B65">
        <v>4</v>
      </c>
      <c r="C65">
        <v>4</v>
      </c>
      <c r="D65">
        <f t="shared" ref="D65:D74" si="2">B65-C65</f>
        <v>0</v>
      </c>
    </row>
    <row r="66" spans="1:5" x14ac:dyDescent="0.25">
      <c r="A66" s="1">
        <v>2</v>
      </c>
      <c r="B66">
        <v>296</v>
      </c>
      <c r="C66">
        <v>289</v>
      </c>
      <c r="D66">
        <f t="shared" si="2"/>
        <v>7</v>
      </c>
    </row>
    <row r="67" spans="1:5" x14ac:dyDescent="0.25">
      <c r="A67" s="3">
        <v>12</v>
      </c>
      <c r="B67">
        <v>0</v>
      </c>
      <c r="C67">
        <v>0</v>
      </c>
      <c r="D67">
        <f t="shared" si="2"/>
        <v>0</v>
      </c>
    </row>
    <row r="68" spans="1:5" x14ac:dyDescent="0.25">
      <c r="A68">
        <v>8</v>
      </c>
      <c r="B68">
        <v>9</v>
      </c>
      <c r="C68">
        <v>9</v>
      </c>
      <c r="D68">
        <f t="shared" si="2"/>
        <v>0</v>
      </c>
    </row>
    <row r="69" spans="1:5" x14ac:dyDescent="0.25">
      <c r="A69" s="2">
        <v>11</v>
      </c>
      <c r="B69" s="2">
        <v>690</v>
      </c>
      <c r="C69">
        <v>690</v>
      </c>
      <c r="D69">
        <f t="shared" si="2"/>
        <v>0</v>
      </c>
    </row>
    <row r="70" spans="1:5" x14ac:dyDescent="0.25">
      <c r="A70">
        <v>6</v>
      </c>
      <c r="B70">
        <v>632</v>
      </c>
      <c r="C70">
        <v>619</v>
      </c>
      <c r="D70">
        <f t="shared" si="2"/>
        <v>13</v>
      </c>
    </row>
    <row r="71" spans="1:5" x14ac:dyDescent="0.25">
      <c r="A71">
        <v>15</v>
      </c>
      <c r="B71">
        <v>432</v>
      </c>
      <c r="C71">
        <v>428</v>
      </c>
      <c r="D71">
        <f t="shared" si="2"/>
        <v>4</v>
      </c>
    </row>
    <row r="72" spans="1:5" x14ac:dyDescent="0.25">
      <c r="A72">
        <v>14</v>
      </c>
      <c r="B72">
        <v>392</v>
      </c>
      <c r="C72">
        <v>361</v>
      </c>
      <c r="D72">
        <f t="shared" si="2"/>
        <v>31</v>
      </c>
    </row>
    <row r="73" spans="1:5" x14ac:dyDescent="0.25">
      <c r="A73" s="1">
        <v>13</v>
      </c>
      <c r="B73">
        <v>407</v>
      </c>
      <c r="C73">
        <v>384</v>
      </c>
      <c r="D73">
        <f t="shared" si="2"/>
        <v>23</v>
      </c>
    </row>
    <row r="74" spans="1:5" x14ac:dyDescent="0.25">
      <c r="A74" s="1">
        <v>7</v>
      </c>
      <c r="B74">
        <v>497</v>
      </c>
      <c r="C74">
        <v>475</v>
      </c>
      <c r="D74">
        <f t="shared" si="2"/>
        <v>22</v>
      </c>
    </row>
    <row r="75" spans="1:5" x14ac:dyDescent="0.25">
      <c r="A75" t="s">
        <v>4</v>
      </c>
      <c r="D75">
        <f>SUM(D65:D74)</f>
        <v>100</v>
      </c>
    </row>
    <row r="76" spans="1:5" x14ac:dyDescent="0.25">
      <c r="A76" s="23" t="s">
        <v>9</v>
      </c>
      <c r="B76" s="23"/>
      <c r="C76" s="23"/>
      <c r="D76" s="23"/>
      <c r="E76" s="23"/>
    </row>
    <row r="77" spans="1:5" x14ac:dyDescent="0.25">
      <c r="A77">
        <v>9</v>
      </c>
      <c r="B77">
        <v>1410</v>
      </c>
      <c r="C77">
        <v>1395</v>
      </c>
      <c r="D77">
        <f>1410-1395</f>
        <v>15</v>
      </c>
    </row>
    <row r="78" spans="1:5" x14ac:dyDescent="0.25">
      <c r="A78" s="2">
        <v>10</v>
      </c>
      <c r="B78" s="2">
        <v>1963</v>
      </c>
      <c r="C78" s="1">
        <v>1963</v>
      </c>
      <c r="D78" s="1">
        <v>0</v>
      </c>
      <c r="E78" s="1"/>
    </row>
    <row r="79" spans="1:5" x14ac:dyDescent="0.25">
      <c r="A79" t="s">
        <v>4</v>
      </c>
      <c r="D79">
        <v>15</v>
      </c>
    </row>
    <row r="80" spans="1:5" x14ac:dyDescent="0.25">
      <c r="A80" s="23" t="s">
        <v>11</v>
      </c>
      <c r="B80" s="23"/>
      <c r="C80" s="23"/>
      <c r="D80" s="23"/>
      <c r="E80" s="23"/>
    </row>
    <row r="81" spans="1:8" x14ac:dyDescent="0.25">
      <c r="A81" s="2">
        <v>5</v>
      </c>
      <c r="B81" s="2">
        <v>1055</v>
      </c>
      <c r="C81" s="1">
        <v>1055</v>
      </c>
      <c r="D81" s="1">
        <v>0</v>
      </c>
      <c r="E81" s="1"/>
    </row>
    <row r="82" spans="1:8" x14ac:dyDescent="0.25">
      <c r="A82" t="s">
        <v>4</v>
      </c>
    </row>
    <row r="83" spans="1:8" x14ac:dyDescent="0.25">
      <c r="E83" s="24" t="s">
        <v>29</v>
      </c>
      <c r="F83" s="24"/>
    </row>
    <row r="84" spans="1:8" x14ac:dyDescent="0.25">
      <c r="E84" t="s">
        <v>31</v>
      </c>
      <c r="F84">
        <v>12212</v>
      </c>
      <c r="G84" t="s">
        <v>6</v>
      </c>
    </row>
    <row r="85" spans="1:8" x14ac:dyDescent="0.25">
      <c r="E85" t="s">
        <v>35</v>
      </c>
      <c r="F85">
        <f>12212-249</f>
        <v>11963</v>
      </c>
      <c r="G85">
        <f>(F85/F84)*100</f>
        <v>97.961021945627252</v>
      </c>
    </row>
    <row r="86" spans="1:8" x14ac:dyDescent="0.25">
      <c r="E86" t="s">
        <v>32</v>
      </c>
      <c r="F86">
        <f>249</f>
        <v>249</v>
      </c>
      <c r="G86">
        <f>100-G85</f>
        <v>2.0389780543727483</v>
      </c>
    </row>
    <row r="87" spans="1:8" x14ac:dyDescent="0.25">
      <c r="E87" t="s">
        <v>33</v>
      </c>
      <c r="F87">
        <f>B81+B78+B69+B61+F86</f>
        <v>6232</v>
      </c>
      <c r="G87">
        <f>(F87/F84)*100</f>
        <v>51.031772027513924</v>
      </c>
    </row>
    <row r="88" spans="1:8" x14ac:dyDescent="0.25">
      <c r="E88" t="s">
        <v>34</v>
      </c>
      <c r="F88">
        <f>F84-F87</f>
        <v>5980</v>
      </c>
      <c r="G88">
        <f>100-G87</f>
        <v>48.968227972486076</v>
      </c>
    </row>
    <row r="89" spans="1:8" x14ac:dyDescent="0.25">
      <c r="A89" s="22" t="s">
        <v>12</v>
      </c>
      <c r="B89" s="22"/>
      <c r="C89" s="22"/>
      <c r="D89" s="22"/>
      <c r="E89" s="22"/>
      <c r="F89" s="22"/>
      <c r="G89" s="22"/>
      <c r="H89" s="22"/>
    </row>
    <row r="90" spans="1:8" x14ac:dyDescent="0.25">
      <c r="A90" s="23" t="s">
        <v>3</v>
      </c>
      <c r="B90" s="23"/>
      <c r="C90" s="23"/>
      <c r="D90" s="23"/>
      <c r="E90" s="23"/>
    </row>
    <row r="91" spans="1:8" x14ac:dyDescent="0.25">
      <c r="A91" s="2">
        <v>4</v>
      </c>
      <c r="B91" s="2">
        <v>2275</v>
      </c>
      <c r="C91" s="1">
        <v>2275</v>
      </c>
      <c r="D91" s="1">
        <v>0</v>
      </c>
      <c r="E91" s="1"/>
    </row>
    <row r="92" spans="1:8" x14ac:dyDescent="0.25">
      <c r="A92" t="s">
        <v>4</v>
      </c>
    </row>
    <row r="93" spans="1:8" x14ac:dyDescent="0.25">
      <c r="A93" s="23" t="s">
        <v>5</v>
      </c>
      <c r="B93" s="23"/>
      <c r="C93" s="23"/>
      <c r="D93" s="23"/>
      <c r="E93" s="23"/>
    </row>
    <row r="94" spans="1:8" x14ac:dyDescent="0.25">
      <c r="A94" s="1">
        <v>3</v>
      </c>
      <c r="B94">
        <v>4</v>
      </c>
      <c r="C94">
        <v>4</v>
      </c>
      <c r="D94">
        <f t="shared" ref="D94:D103" si="3">B94-C94</f>
        <v>0</v>
      </c>
    </row>
    <row r="95" spans="1:8" x14ac:dyDescent="0.25">
      <c r="A95" s="1">
        <v>2</v>
      </c>
      <c r="B95">
        <v>296</v>
      </c>
      <c r="C95">
        <v>289</v>
      </c>
      <c r="D95">
        <f t="shared" si="3"/>
        <v>7</v>
      </c>
    </row>
    <row r="96" spans="1:8" x14ac:dyDescent="0.25">
      <c r="A96" s="19">
        <v>12</v>
      </c>
      <c r="B96">
        <v>0</v>
      </c>
      <c r="C96">
        <v>0</v>
      </c>
      <c r="D96">
        <f t="shared" si="3"/>
        <v>0</v>
      </c>
    </row>
    <row r="97" spans="1:5" x14ac:dyDescent="0.25">
      <c r="A97" s="1">
        <v>8</v>
      </c>
      <c r="B97">
        <v>9</v>
      </c>
      <c r="C97">
        <v>9</v>
      </c>
      <c r="D97">
        <f t="shared" si="3"/>
        <v>0</v>
      </c>
    </row>
    <row r="98" spans="1:5" x14ac:dyDescent="0.25">
      <c r="A98" s="2">
        <v>11</v>
      </c>
      <c r="B98" s="2">
        <v>690</v>
      </c>
      <c r="C98">
        <v>690</v>
      </c>
      <c r="D98">
        <f t="shared" si="3"/>
        <v>0</v>
      </c>
    </row>
    <row r="99" spans="1:5" x14ac:dyDescent="0.25">
      <c r="A99" s="1">
        <v>6</v>
      </c>
      <c r="B99">
        <v>632</v>
      </c>
      <c r="C99">
        <v>619</v>
      </c>
      <c r="D99">
        <f t="shared" si="3"/>
        <v>13</v>
      </c>
    </row>
    <row r="100" spans="1:5" x14ac:dyDescent="0.25">
      <c r="A100" s="1">
        <v>15</v>
      </c>
      <c r="B100">
        <v>432</v>
      </c>
      <c r="C100">
        <v>428</v>
      </c>
      <c r="D100">
        <f t="shared" si="3"/>
        <v>4</v>
      </c>
    </row>
    <row r="101" spans="1:5" x14ac:dyDescent="0.25">
      <c r="A101" s="1">
        <v>14</v>
      </c>
      <c r="B101">
        <v>392</v>
      </c>
      <c r="C101">
        <v>361</v>
      </c>
      <c r="D101">
        <f t="shared" si="3"/>
        <v>31</v>
      </c>
    </row>
    <row r="102" spans="1:5" x14ac:dyDescent="0.25">
      <c r="A102" s="1">
        <v>13</v>
      </c>
      <c r="B102">
        <v>407</v>
      </c>
      <c r="C102">
        <v>384</v>
      </c>
      <c r="D102">
        <f t="shared" si="3"/>
        <v>23</v>
      </c>
    </row>
    <row r="103" spans="1:5" x14ac:dyDescent="0.25">
      <c r="A103" s="1">
        <v>7</v>
      </c>
      <c r="B103">
        <v>497</v>
      </c>
      <c r="C103">
        <v>475</v>
      </c>
      <c r="D103">
        <f t="shared" si="3"/>
        <v>22</v>
      </c>
    </row>
    <row r="104" spans="1:5" x14ac:dyDescent="0.25">
      <c r="A104" t="s">
        <v>4</v>
      </c>
      <c r="D104">
        <f>SUM(D94:D103)</f>
        <v>100</v>
      </c>
    </row>
    <row r="105" spans="1:5" x14ac:dyDescent="0.25">
      <c r="A105" s="23" t="s">
        <v>9</v>
      </c>
      <c r="B105" s="23"/>
      <c r="C105" s="23"/>
      <c r="D105" s="23"/>
      <c r="E105" s="23"/>
    </row>
    <row r="106" spans="1:5" x14ac:dyDescent="0.25">
      <c r="A106">
        <v>9</v>
      </c>
      <c r="B106">
        <v>1410</v>
      </c>
      <c r="C106">
        <v>1395</v>
      </c>
      <c r="D106">
        <f>1410-1395</f>
        <v>15</v>
      </c>
    </row>
    <row r="107" spans="1:5" x14ac:dyDescent="0.25">
      <c r="A107" s="2">
        <v>10</v>
      </c>
      <c r="B107" s="2">
        <v>1963</v>
      </c>
      <c r="C107" s="1">
        <v>1963</v>
      </c>
      <c r="D107" s="1">
        <v>0</v>
      </c>
      <c r="E107" s="1"/>
    </row>
    <row r="108" spans="1:5" x14ac:dyDescent="0.25">
      <c r="A108" t="s">
        <v>4</v>
      </c>
      <c r="D108">
        <v>15</v>
      </c>
    </row>
    <row r="109" spans="1:5" x14ac:dyDescent="0.25">
      <c r="A109" s="23" t="s">
        <v>11</v>
      </c>
      <c r="B109" s="23"/>
      <c r="C109" s="23"/>
      <c r="D109" s="23"/>
      <c r="E109" s="23"/>
    </row>
    <row r="110" spans="1:5" x14ac:dyDescent="0.25">
      <c r="A110" s="2">
        <v>5</v>
      </c>
      <c r="B110" s="2">
        <v>1055</v>
      </c>
      <c r="C110" s="1">
        <v>1055</v>
      </c>
      <c r="D110" s="1">
        <v>0</v>
      </c>
      <c r="E110" s="1"/>
    </row>
    <row r="111" spans="1:5" x14ac:dyDescent="0.25">
      <c r="A111" t="s">
        <v>4</v>
      </c>
    </row>
    <row r="112" spans="1:5" x14ac:dyDescent="0.25">
      <c r="A112" s="23" t="s">
        <v>13</v>
      </c>
      <c r="B112" s="23"/>
      <c r="C112" s="23"/>
      <c r="D112" s="23"/>
      <c r="E112" s="23"/>
    </row>
    <row r="113" spans="1:8" x14ac:dyDescent="0.25">
      <c r="A113" s="2">
        <v>1</v>
      </c>
      <c r="B113" s="2">
        <v>2150</v>
      </c>
      <c r="C113">
        <v>2150</v>
      </c>
      <c r="D113">
        <v>0</v>
      </c>
    </row>
    <row r="114" spans="1:8" x14ac:dyDescent="0.25">
      <c r="A114" t="s">
        <v>4</v>
      </c>
    </row>
    <row r="115" spans="1:8" x14ac:dyDescent="0.25">
      <c r="E115" s="24" t="s">
        <v>29</v>
      </c>
      <c r="F115" s="24"/>
    </row>
    <row r="116" spans="1:8" x14ac:dyDescent="0.25">
      <c r="E116" t="s">
        <v>31</v>
      </c>
      <c r="F116">
        <v>12212</v>
      </c>
      <c r="G116" t="s">
        <v>6</v>
      </c>
    </row>
    <row r="117" spans="1:8" x14ac:dyDescent="0.25">
      <c r="E117" t="s">
        <v>35</v>
      </c>
      <c r="F117">
        <f>F116-F118</f>
        <v>12097</v>
      </c>
      <c r="G117">
        <f>(F117/F116)*100</f>
        <v>99.058303308221411</v>
      </c>
    </row>
    <row r="118" spans="1:8" x14ac:dyDescent="0.25">
      <c r="E118" t="s">
        <v>32</v>
      </c>
      <c r="F118">
        <v>115</v>
      </c>
      <c r="G118">
        <f>100-G117</f>
        <v>0.9416966917785885</v>
      </c>
    </row>
    <row r="119" spans="1:8" x14ac:dyDescent="0.25">
      <c r="E119" t="s">
        <v>33</v>
      </c>
      <c r="F119">
        <f>2150+1055+1963+690+2275</f>
        <v>8133</v>
      </c>
      <c r="G119">
        <f>(F119/F116)*100</f>
        <v>66.598427775958072</v>
      </c>
    </row>
    <row r="120" spans="1:8" x14ac:dyDescent="0.25">
      <c r="E120" t="s">
        <v>34</v>
      </c>
      <c r="F120">
        <f>F116-F119</f>
        <v>4079</v>
      </c>
      <c r="G120">
        <f>100-G119</f>
        <v>33.401572224041928</v>
      </c>
    </row>
    <row r="121" spans="1:8" x14ac:dyDescent="0.25">
      <c r="A121" s="22" t="s">
        <v>45</v>
      </c>
      <c r="B121" s="22"/>
      <c r="C121" s="22"/>
      <c r="D121" s="22"/>
      <c r="E121" s="22"/>
      <c r="F121" s="22"/>
      <c r="G121" s="22"/>
      <c r="H121" s="22"/>
    </row>
    <row r="122" spans="1:8" x14ac:dyDescent="0.25">
      <c r="A122" s="23" t="s">
        <v>3</v>
      </c>
      <c r="B122" s="23"/>
      <c r="C122" s="23"/>
      <c r="D122" s="23"/>
      <c r="E122" s="23"/>
    </row>
    <row r="123" spans="1:8" x14ac:dyDescent="0.25">
      <c r="A123" s="2">
        <v>4</v>
      </c>
      <c r="B123" s="2">
        <v>2275</v>
      </c>
      <c r="C123">
        <v>2275</v>
      </c>
      <c r="D123">
        <f>B123-C123</f>
        <v>0</v>
      </c>
    </row>
    <row r="124" spans="1:8" x14ac:dyDescent="0.25">
      <c r="A124">
        <v>5</v>
      </c>
      <c r="B124">
        <v>1055</v>
      </c>
      <c r="C124">
        <v>778</v>
      </c>
      <c r="D124">
        <f t="shared" ref="D124:D137" si="4">B124-C124</f>
        <v>277</v>
      </c>
    </row>
    <row r="125" spans="1:8" x14ac:dyDescent="0.25">
      <c r="A125">
        <v>1</v>
      </c>
      <c r="B125">
        <v>2150</v>
      </c>
      <c r="C125">
        <v>1582</v>
      </c>
      <c r="D125">
        <f t="shared" si="4"/>
        <v>568</v>
      </c>
    </row>
    <row r="126" spans="1:8" x14ac:dyDescent="0.25">
      <c r="A126">
        <v>3</v>
      </c>
      <c r="B126">
        <v>4</v>
      </c>
      <c r="C126">
        <v>4</v>
      </c>
      <c r="D126">
        <f t="shared" si="4"/>
        <v>0</v>
      </c>
    </row>
    <row r="127" spans="1:8" x14ac:dyDescent="0.25">
      <c r="A127" s="1">
        <v>2</v>
      </c>
      <c r="B127">
        <v>296</v>
      </c>
      <c r="C127">
        <v>289</v>
      </c>
      <c r="D127">
        <f t="shared" si="4"/>
        <v>7</v>
      </c>
    </row>
    <row r="128" spans="1:8" x14ac:dyDescent="0.25">
      <c r="A128" s="3">
        <v>12</v>
      </c>
      <c r="B128">
        <v>0</v>
      </c>
      <c r="C128">
        <v>0</v>
      </c>
      <c r="D128">
        <f t="shared" si="4"/>
        <v>0</v>
      </c>
    </row>
    <row r="129" spans="1:7" x14ac:dyDescent="0.25">
      <c r="A129">
        <v>8</v>
      </c>
      <c r="B129">
        <v>9</v>
      </c>
      <c r="C129">
        <v>7</v>
      </c>
      <c r="D129">
        <f t="shared" si="4"/>
        <v>2</v>
      </c>
    </row>
    <row r="130" spans="1:7" x14ac:dyDescent="0.25">
      <c r="A130">
        <v>11</v>
      </c>
      <c r="B130">
        <v>690</v>
      </c>
      <c r="C130">
        <v>575</v>
      </c>
      <c r="D130">
        <f t="shared" si="4"/>
        <v>115</v>
      </c>
    </row>
    <row r="131" spans="1:7" x14ac:dyDescent="0.25">
      <c r="A131">
        <v>6</v>
      </c>
      <c r="B131">
        <v>632</v>
      </c>
      <c r="C131">
        <v>616</v>
      </c>
      <c r="D131">
        <f t="shared" si="4"/>
        <v>16</v>
      </c>
    </row>
    <row r="132" spans="1:7" x14ac:dyDescent="0.25">
      <c r="A132">
        <v>15</v>
      </c>
      <c r="B132">
        <v>432</v>
      </c>
      <c r="C132">
        <v>356</v>
      </c>
      <c r="D132">
        <f t="shared" si="4"/>
        <v>76</v>
      </c>
    </row>
    <row r="133" spans="1:7" x14ac:dyDescent="0.25">
      <c r="A133">
        <v>14</v>
      </c>
      <c r="B133">
        <v>392</v>
      </c>
      <c r="C133">
        <v>290</v>
      </c>
      <c r="D133">
        <f t="shared" si="4"/>
        <v>102</v>
      </c>
    </row>
    <row r="134" spans="1:7" x14ac:dyDescent="0.25">
      <c r="A134" s="1">
        <v>13</v>
      </c>
      <c r="B134">
        <v>407</v>
      </c>
      <c r="C134">
        <v>289</v>
      </c>
      <c r="D134">
        <f t="shared" si="4"/>
        <v>118</v>
      </c>
    </row>
    <row r="135" spans="1:7" x14ac:dyDescent="0.25">
      <c r="A135" s="1">
        <v>10</v>
      </c>
      <c r="B135" s="1">
        <v>1963</v>
      </c>
      <c r="C135">
        <v>1539</v>
      </c>
      <c r="D135">
        <f t="shared" si="4"/>
        <v>424</v>
      </c>
    </row>
    <row r="136" spans="1:7" x14ac:dyDescent="0.25">
      <c r="A136" s="1">
        <v>7</v>
      </c>
      <c r="B136">
        <v>497</v>
      </c>
      <c r="C136">
        <v>434</v>
      </c>
      <c r="D136">
        <f t="shared" si="4"/>
        <v>63</v>
      </c>
    </row>
    <row r="137" spans="1:7" x14ac:dyDescent="0.25">
      <c r="A137">
        <v>9</v>
      </c>
      <c r="B137">
        <v>1410</v>
      </c>
      <c r="C137">
        <v>1068</v>
      </c>
      <c r="D137">
        <f t="shared" si="4"/>
        <v>342</v>
      </c>
    </row>
    <row r="138" spans="1:7" x14ac:dyDescent="0.25">
      <c r="A138" t="s">
        <v>4</v>
      </c>
      <c r="B138">
        <f>SUM(B123:B137)</f>
        <v>12212</v>
      </c>
      <c r="C138">
        <f>SUM(C123:C137)</f>
        <v>10102</v>
      </c>
      <c r="D138">
        <f>SUM(D123:D137)</f>
        <v>2110</v>
      </c>
    </row>
    <row r="139" spans="1:7" x14ac:dyDescent="0.25">
      <c r="E139" s="24" t="s">
        <v>29</v>
      </c>
      <c r="F139" s="24"/>
      <c r="G139" t="s">
        <v>6</v>
      </c>
    </row>
    <row r="140" spans="1:7" x14ac:dyDescent="0.25">
      <c r="E140" t="s">
        <v>31</v>
      </c>
      <c r="F140">
        <v>12212</v>
      </c>
    </row>
    <row r="141" spans="1:7" x14ac:dyDescent="0.25">
      <c r="E141" t="s">
        <v>35</v>
      </c>
      <c r="F141">
        <v>10102</v>
      </c>
      <c r="G141">
        <f>(F141/F140)*100</f>
        <v>82.72191287258434</v>
      </c>
    </row>
    <row r="142" spans="1:7" x14ac:dyDescent="0.25">
      <c r="E142" t="s">
        <v>32</v>
      </c>
      <c r="F142">
        <v>2110</v>
      </c>
      <c r="G142">
        <f>100-G141</f>
        <v>17.27808712741566</v>
      </c>
    </row>
    <row r="143" spans="1:7" x14ac:dyDescent="0.25">
      <c r="E143" t="s">
        <v>33</v>
      </c>
      <c r="F143">
        <f>2275+2110</f>
        <v>4385</v>
      </c>
      <c r="G143">
        <f>(F143/F140)*100</f>
        <v>35.907304290861447</v>
      </c>
    </row>
    <row r="144" spans="1:7" x14ac:dyDescent="0.25">
      <c r="E144" t="s">
        <v>34</v>
      </c>
      <c r="F144">
        <f>12212-4385</f>
        <v>7827</v>
      </c>
      <c r="G144">
        <f>100-G143</f>
        <v>64.092695709138553</v>
      </c>
    </row>
  </sheetData>
  <mergeCells count="25">
    <mergeCell ref="A121:H121"/>
    <mergeCell ref="A122:E122"/>
    <mergeCell ref="E139:F139"/>
    <mergeCell ref="E83:F83"/>
    <mergeCell ref="E115:F115"/>
    <mergeCell ref="A105:E105"/>
    <mergeCell ref="A109:E109"/>
    <mergeCell ref="A112:E112"/>
    <mergeCell ref="A76:E76"/>
    <mergeCell ref="A80:E80"/>
    <mergeCell ref="A89:H89"/>
    <mergeCell ref="A90:E90"/>
    <mergeCell ref="A93:E93"/>
    <mergeCell ref="A64:E64"/>
    <mergeCell ref="A3:H3"/>
    <mergeCell ref="A4:E4"/>
    <mergeCell ref="A10:E10"/>
    <mergeCell ref="E24:F24"/>
    <mergeCell ref="A31:H31"/>
    <mergeCell ref="A32:E32"/>
    <mergeCell ref="A37:E37"/>
    <mergeCell ref="A49:E49"/>
    <mergeCell ref="E53:F53"/>
    <mergeCell ref="A59:H59"/>
    <mergeCell ref="A60:E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5"/>
  <sheetViews>
    <sheetView topLeftCell="A130" workbookViewId="0">
      <selection activeCell="A122" sqref="A122:H145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1" max="11" width="10.28515625" customWidth="1"/>
  </cols>
  <sheetData>
    <row r="2" spans="1:8" x14ac:dyDescent="0.25">
      <c r="A2" s="22" t="s">
        <v>7</v>
      </c>
      <c r="B2" s="22"/>
      <c r="C2" s="22"/>
      <c r="D2" s="22"/>
      <c r="E2" s="22"/>
      <c r="F2" s="22"/>
      <c r="G2" s="22"/>
      <c r="H2" s="22"/>
    </row>
    <row r="3" spans="1:8" x14ac:dyDescent="0.25">
      <c r="A3" s="23" t="s">
        <v>3</v>
      </c>
      <c r="B3" s="23"/>
      <c r="C3" s="23"/>
      <c r="D3" s="23"/>
      <c r="E3" s="23"/>
    </row>
    <row r="4" spans="1:8" x14ac:dyDescent="0.25">
      <c r="A4" t="s">
        <v>0</v>
      </c>
      <c r="B4" t="s">
        <v>1</v>
      </c>
      <c r="C4" t="s">
        <v>30</v>
      </c>
      <c r="D4" t="s">
        <v>2</v>
      </c>
    </row>
    <row r="5" spans="1:8" x14ac:dyDescent="0.25">
      <c r="A5" s="2">
        <v>6</v>
      </c>
      <c r="B5" s="2">
        <v>2879</v>
      </c>
      <c r="C5" s="1">
        <v>2879</v>
      </c>
      <c r="D5" s="1">
        <f>B5-C5</f>
        <v>0</v>
      </c>
    </row>
    <row r="6" spans="1:8" x14ac:dyDescent="0.25">
      <c r="A6">
        <v>9</v>
      </c>
      <c r="B6">
        <v>1578</v>
      </c>
      <c r="C6" s="1">
        <v>1562</v>
      </c>
      <c r="D6" s="1">
        <f t="shared" ref="D6:D8" si="0">B6-C6</f>
        <v>16</v>
      </c>
      <c r="E6" s="1"/>
    </row>
    <row r="7" spans="1:8" x14ac:dyDescent="0.25">
      <c r="A7">
        <v>10</v>
      </c>
      <c r="B7">
        <v>1884</v>
      </c>
      <c r="C7" s="1">
        <v>1866</v>
      </c>
      <c r="D7" s="1">
        <f t="shared" si="0"/>
        <v>18</v>
      </c>
    </row>
    <row r="8" spans="1:8" x14ac:dyDescent="0.25">
      <c r="A8">
        <v>11</v>
      </c>
      <c r="B8">
        <v>2704</v>
      </c>
      <c r="C8" s="1">
        <v>2701</v>
      </c>
      <c r="D8" s="1">
        <f t="shared" si="0"/>
        <v>3</v>
      </c>
    </row>
    <row r="9" spans="1:8" x14ac:dyDescent="0.25">
      <c r="A9" t="s">
        <v>4</v>
      </c>
      <c r="B9">
        <f>SUM(B5:B8)</f>
        <v>9045</v>
      </c>
      <c r="C9" s="1"/>
      <c r="D9" s="1">
        <f>SUM(D5:D8)</f>
        <v>37</v>
      </c>
    </row>
    <row r="10" spans="1:8" x14ac:dyDescent="0.25">
      <c r="A10" s="23" t="s">
        <v>5</v>
      </c>
      <c r="B10" s="23"/>
      <c r="C10" s="23"/>
      <c r="D10" s="23"/>
      <c r="E10" s="23"/>
    </row>
    <row r="11" spans="1:8" x14ac:dyDescent="0.25">
      <c r="A11" s="2">
        <v>2</v>
      </c>
      <c r="B11" s="2">
        <v>2497</v>
      </c>
      <c r="C11" s="8">
        <v>2497</v>
      </c>
      <c r="D11" s="1">
        <f>B11-C11</f>
        <v>0</v>
      </c>
      <c r="F11" s="1"/>
      <c r="G11" s="1"/>
    </row>
    <row r="12" spans="1:8" x14ac:dyDescent="0.25">
      <c r="A12">
        <v>15</v>
      </c>
      <c r="B12">
        <v>227</v>
      </c>
      <c r="C12" s="8">
        <v>227</v>
      </c>
      <c r="D12" s="1">
        <f t="shared" ref="D12:D21" si="1">B12-C12</f>
        <v>0</v>
      </c>
    </row>
    <row r="13" spans="1:8" x14ac:dyDescent="0.25">
      <c r="A13">
        <v>3</v>
      </c>
      <c r="B13">
        <v>73</v>
      </c>
      <c r="C13" s="8">
        <v>70</v>
      </c>
      <c r="D13" s="1">
        <f t="shared" si="1"/>
        <v>3</v>
      </c>
    </row>
    <row r="14" spans="1:8" x14ac:dyDescent="0.25">
      <c r="A14">
        <v>12</v>
      </c>
      <c r="B14">
        <v>379</v>
      </c>
      <c r="C14" s="8">
        <v>373</v>
      </c>
      <c r="D14" s="1">
        <f t="shared" si="1"/>
        <v>6</v>
      </c>
    </row>
    <row r="15" spans="1:8" x14ac:dyDescent="0.25">
      <c r="A15">
        <v>7</v>
      </c>
      <c r="B15">
        <v>158</v>
      </c>
      <c r="C15" s="8">
        <v>155</v>
      </c>
      <c r="D15" s="1">
        <f t="shared" si="1"/>
        <v>3</v>
      </c>
    </row>
    <row r="16" spans="1:8" x14ac:dyDescent="0.25">
      <c r="A16" s="1">
        <v>8</v>
      </c>
      <c r="B16" s="1">
        <v>1008</v>
      </c>
      <c r="C16" s="8">
        <v>993</v>
      </c>
      <c r="D16" s="1">
        <f t="shared" si="1"/>
        <v>15</v>
      </c>
      <c r="E16" s="1"/>
    </row>
    <row r="17" spans="1:8" x14ac:dyDescent="0.25">
      <c r="A17">
        <v>13</v>
      </c>
      <c r="B17">
        <v>527</v>
      </c>
      <c r="C17" s="8">
        <v>526</v>
      </c>
      <c r="D17" s="1">
        <f t="shared" si="1"/>
        <v>1</v>
      </c>
    </row>
    <row r="18" spans="1:8" x14ac:dyDescent="0.25">
      <c r="A18">
        <v>1</v>
      </c>
      <c r="B18">
        <v>659</v>
      </c>
      <c r="C18" s="8">
        <v>652</v>
      </c>
      <c r="D18" s="1">
        <f t="shared" si="1"/>
        <v>7</v>
      </c>
    </row>
    <row r="19" spans="1:8" x14ac:dyDescent="0.25">
      <c r="A19">
        <v>14</v>
      </c>
      <c r="B19">
        <v>520</v>
      </c>
      <c r="C19" s="8">
        <v>518</v>
      </c>
      <c r="D19" s="1">
        <f t="shared" si="1"/>
        <v>2</v>
      </c>
    </row>
    <row r="20" spans="1:8" x14ac:dyDescent="0.25">
      <c r="A20">
        <v>4</v>
      </c>
      <c r="B20">
        <v>811</v>
      </c>
      <c r="C20" s="8">
        <v>809</v>
      </c>
      <c r="D20" s="1">
        <f t="shared" si="1"/>
        <v>2</v>
      </c>
    </row>
    <row r="21" spans="1:8" x14ac:dyDescent="0.25">
      <c r="A21">
        <v>5</v>
      </c>
      <c r="B21">
        <v>587</v>
      </c>
      <c r="C21" s="8">
        <v>585</v>
      </c>
      <c r="D21" s="1">
        <f t="shared" si="1"/>
        <v>2</v>
      </c>
    </row>
    <row r="22" spans="1:8" x14ac:dyDescent="0.25">
      <c r="A22" t="s">
        <v>4</v>
      </c>
      <c r="B22">
        <f>SUM(B11:B21)</f>
        <v>7446</v>
      </c>
      <c r="C22" s="1"/>
      <c r="D22" s="1">
        <f>SUM(D11:D21)</f>
        <v>41</v>
      </c>
    </row>
    <row r="23" spans="1:8" x14ac:dyDescent="0.25">
      <c r="A23" s="1"/>
      <c r="B23" s="1"/>
      <c r="C23" s="1"/>
      <c r="D23" s="1"/>
      <c r="E23" s="24" t="s">
        <v>29</v>
      </c>
      <c r="F23" s="24"/>
    </row>
    <row r="24" spans="1:8" x14ac:dyDescent="0.25">
      <c r="A24" s="1"/>
      <c r="B24" s="1"/>
      <c r="C24" s="1"/>
      <c r="D24" s="1"/>
      <c r="E24" t="s">
        <v>31</v>
      </c>
      <c r="F24">
        <f>B22+B9</f>
        <v>16491</v>
      </c>
      <c r="G24" t="s">
        <v>6</v>
      </c>
    </row>
    <row r="25" spans="1:8" x14ac:dyDescent="0.25">
      <c r="A25" s="1"/>
      <c r="B25" s="1"/>
      <c r="C25" s="1"/>
      <c r="D25" s="1"/>
      <c r="E25" t="s">
        <v>35</v>
      </c>
      <c r="F25">
        <f>F24-F26</f>
        <v>16413</v>
      </c>
      <c r="G25">
        <f>(F25/F24)*100</f>
        <v>99.527014735310175</v>
      </c>
    </row>
    <row r="26" spans="1:8" x14ac:dyDescent="0.25">
      <c r="A26" s="1"/>
      <c r="B26" s="1"/>
      <c r="C26" s="1"/>
      <c r="D26" s="1"/>
      <c r="E26" t="s">
        <v>32</v>
      </c>
      <c r="F26">
        <f>41+37</f>
        <v>78</v>
      </c>
      <c r="G26">
        <f>(F26/F24)*100</f>
        <v>0.47298526468983082</v>
      </c>
    </row>
    <row r="27" spans="1:8" x14ac:dyDescent="0.25">
      <c r="A27" s="1"/>
      <c r="B27" s="1"/>
      <c r="C27" s="1"/>
      <c r="D27" s="1"/>
      <c r="E27" t="s">
        <v>33</v>
      </c>
      <c r="F27">
        <f>2497+2879</f>
        <v>5376</v>
      </c>
      <c r="G27">
        <f>(F27/F24)*100</f>
        <v>32.599599781699105</v>
      </c>
    </row>
    <row r="28" spans="1:8" x14ac:dyDescent="0.25">
      <c r="A28" s="1"/>
      <c r="B28" s="1"/>
      <c r="C28" s="1"/>
      <c r="D28" s="1"/>
      <c r="E28" t="s">
        <v>34</v>
      </c>
      <c r="F28">
        <f>F24-F27</f>
        <v>11115</v>
      </c>
      <c r="G28">
        <f>100-G27</f>
        <v>67.400400218300888</v>
      </c>
    </row>
    <row r="29" spans="1:8" x14ac:dyDescent="0.25">
      <c r="A29" s="1"/>
      <c r="B29" s="1"/>
      <c r="C29" s="1"/>
      <c r="D29" s="1"/>
      <c r="E29" s="1"/>
      <c r="F29" s="1"/>
      <c r="G29" s="1"/>
    </row>
    <row r="30" spans="1:8" x14ac:dyDescent="0.25">
      <c r="A30" s="22" t="s">
        <v>8</v>
      </c>
      <c r="B30" s="22"/>
      <c r="C30" s="22"/>
      <c r="D30" s="22"/>
      <c r="E30" s="22"/>
      <c r="F30" s="22"/>
      <c r="G30" s="22"/>
      <c r="H30" s="22"/>
    </row>
    <row r="31" spans="1:8" x14ac:dyDescent="0.25">
      <c r="A31" s="23" t="s">
        <v>3</v>
      </c>
      <c r="B31" s="23"/>
      <c r="C31" s="23"/>
      <c r="D31" s="23"/>
      <c r="E31" s="23"/>
    </row>
    <row r="32" spans="1:8" x14ac:dyDescent="0.25">
      <c r="A32" s="2">
        <v>6</v>
      </c>
      <c r="B32" s="2">
        <v>2879</v>
      </c>
      <c r="C32" s="1">
        <v>2879</v>
      </c>
      <c r="D32" s="1">
        <f>B32-C32</f>
        <v>0</v>
      </c>
      <c r="E32" s="1"/>
    </row>
    <row r="33" spans="1:5" x14ac:dyDescent="0.25">
      <c r="A33">
        <v>9</v>
      </c>
      <c r="B33">
        <v>1578</v>
      </c>
      <c r="C33" s="1">
        <v>1573</v>
      </c>
      <c r="D33" s="1">
        <f t="shared" ref="D33:D35" si="2">B33-C33</f>
        <v>5</v>
      </c>
    </row>
    <row r="34" spans="1:5" x14ac:dyDescent="0.25">
      <c r="A34">
        <v>10</v>
      </c>
      <c r="B34">
        <v>1884</v>
      </c>
      <c r="C34" s="1">
        <v>1875</v>
      </c>
      <c r="D34" s="1">
        <f t="shared" si="2"/>
        <v>9</v>
      </c>
    </row>
    <row r="35" spans="1:5" x14ac:dyDescent="0.25">
      <c r="A35">
        <v>11</v>
      </c>
      <c r="B35">
        <v>2704</v>
      </c>
      <c r="C35" s="1">
        <v>2703</v>
      </c>
      <c r="D35" s="1">
        <f t="shared" si="2"/>
        <v>1</v>
      </c>
    </row>
    <row r="36" spans="1:5" x14ac:dyDescent="0.25">
      <c r="A36" t="s">
        <v>4</v>
      </c>
      <c r="C36" s="1"/>
      <c r="D36" s="1">
        <f>SUM(D32:D35)</f>
        <v>15</v>
      </c>
    </row>
    <row r="37" spans="1:5" x14ac:dyDescent="0.25">
      <c r="A37" s="23" t="s">
        <v>5</v>
      </c>
      <c r="B37" s="23"/>
      <c r="C37" s="23"/>
      <c r="D37" s="23"/>
      <c r="E37" s="23"/>
    </row>
    <row r="38" spans="1:5" x14ac:dyDescent="0.25">
      <c r="A38">
        <v>3</v>
      </c>
      <c r="B38">
        <v>73</v>
      </c>
      <c r="C38" s="8">
        <v>71</v>
      </c>
      <c r="D38" s="8">
        <f>B38-C38</f>
        <v>2</v>
      </c>
    </row>
    <row r="39" spans="1:5" x14ac:dyDescent="0.25">
      <c r="A39">
        <v>7</v>
      </c>
      <c r="B39">
        <v>158</v>
      </c>
      <c r="C39" s="8">
        <v>156</v>
      </c>
      <c r="D39" s="8">
        <f t="shared" ref="D39:D47" si="3">B39-C39</f>
        <v>2</v>
      </c>
    </row>
    <row r="40" spans="1:5" x14ac:dyDescent="0.25">
      <c r="A40" s="2">
        <v>8</v>
      </c>
      <c r="B40" s="2">
        <v>1008</v>
      </c>
      <c r="C40" s="1">
        <v>1008</v>
      </c>
      <c r="D40" s="8">
        <f t="shared" si="3"/>
        <v>0</v>
      </c>
      <c r="E40" s="1"/>
    </row>
    <row r="41" spans="1:5" x14ac:dyDescent="0.25">
      <c r="A41">
        <v>12</v>
      </c>
      <c r="B41">
        <v>379</v>
      </c>
      <c r="C41" s="1">
        <v>376</v>
      </c>
      <c r="D41" s="8">
        <f t="shared" si="3"/>
        <v>3</v>
      </c>
    </row>
    <row r="42" spans="1:5" x14ac:dyDescent="0.25">
      <c r="A42">
        <v>13</v>
      </c>
      <c r="B42">
        <v>527</v>
      </c>
      <c r="C42" s="1">
        <v>526</v>
      </c>
      <c r="D42" s="8">
        <f t="shared" si="3"/>
        <v>1</v>
      </c>
    </row>
    <row r="43" spans="1:5" x14ac:dyDescent="0.25">
      <c r="A43">
        <v>15</v>
      </c>
      <c r="B43">
        <v>227</v>
      </c>
      <c r="C43">
        <v>227</v>
      </c>
      <c r="D43" s="8">
        <f t="shared" si="3"/>
        <v>0</v>
      </c>
    </row>
    <row r="44" spans="1:5" x14ac:dyDescent="0.25">
      <c r="A44">
        <v>14</v>
      </c>
      <c r="B44">
        <v>520</v>
      </c>
      <c r="C44">
        <v>519</v>
      </c>
      <c r="D44" s="8">
        <f t="shared" si="3"/>
        <v>1</v>
      </c>
    </row>
    <row r="45" spans="1:5" x14ac:dyDescent="0.25">
      <c r="A45">
        <v>1</v>
      </c>
      <c r="B45">
        <v>659</v>
      </c>
      <c r="C45">
        <v>653</v>
      </c>
      <c r="D45" s="8">
        <f t="shared" si="3"/>
        <v>6</v>
      </c>
    </row>
    <row r="46" spans="1:5" x14ac:dyDescent="0.25">
      <c r="A46">
        <v>4</v>
      </c>
      <c r="B46">
        <v>811</v>
      </c>
      <c r="C46">
        <v>809</v>
      </c>
      <c r="D46" s="8">
        <f t="shared" si="3"/>
        <v>2</v>
      </c>
    </row>
    <row r="47" spans="1:5" x14ac:dyDescent="0.25">
      <c r="A47">
        <v>5</v>
      </c>
      <c r="B47">
        <v>587</v>
      </c>
      <c r="C47">
        <v>586</v>
      </c>
      <c r="D47" s="8">
        <f t="shared" si="3"/>
        <v>1</v>
      </c>
    </row>
    <row r="48" spans="1:5" x14ac:dyDescent="0.25">
      <c r="A48" t="s">
        <v>4</v>
      </c>
      <c r="B48">
        <v>4949</v>
      </c>
      <c r="D48" s="8">
        <f>SUM(D38:D47)</f>
        <v>18</v>
      </c>
    </row>
    <row r="49" spans="1:8" x14ac:dyDescent="0.25">
      <c r="A49" s="23" t="s">
        <v>9</v>
      </c>
      <c r="B49" s="23"/>
      <c r="C49" s="23"/>
      <c r="D49" s="23"/>
      <c r="E49" s="23"/>
    </row>
    <row r="50" spans="1:8" x14ac:dyDescent="0.25">
      <c r="A50" s="2">
        <v>2</v>
      </c>
      <c r="B50" s="2">
        <v>2497</v>
      </c>
      <c r="C50">
        <v>2497</v>
      </c>
      <c r="D50">
        <v>0</v>
      </c>
    </row>
    <row r="51" spans="1:8" x14ac:dyDescent="0.25">
      <c r="A51" t="s">
        <v>4</v>
      </c>
    </row>
    <row r="52" spans="1:8" x14ac:dyDescent="0.25">
      <c r="E52" s="24" t="s">
        <v>29</v>
      </c>
      <c r="F52" s="24"/>
    </row>
    <row r="53" spans="1:8" x14ac:dyDescent="0.25">
      <c r="E53" t="s">
        <v>31</v>
      </c>
      <c r="F53">
        <v>16491</v>
      </c>
      <c r="G53" t="s">
        <v>6</v>
      </c>
    </row>
    <row r="54" spans="1:8" x14ac:dyDescent="0.25">
      <c r="E54" t="s">
        <v>35</v>
      </c>
      <c r="F54">
        <f>F53-F55</f>
        <v>16458</v>
      </c>
      <c r="G54">
        <f>(F54/F53)*100</f>
        <v>99.799890849554302</v>
      </c>
    </row>
    <row r="55" spans="1:8" x14ac:dyDescent="0.25">
      <c r="E55" t="s">
        <v>32</v>
      </c>
      <c r="F55">
        <f>18+15</f>
        <v>33</v>
      </c>
      <c r="G55">
        <f>100-G54</f>
        <v>0.20010915044569799</v>
      </c>
    </row>
    <row r="56" spans="1:8" x14ac:dyDescent="0.25">
      <c r="E56" t="s">
        <v>33</v>
      </c>
      <c r="F56">
        <f>2497+1008+2879</f>
        <v>6384</v>
      </c>
      <c r="G56">
        <f>(F56/F53)*100</f>
        <v>38.712024740767689</v>
      </c>
    </row>
    <row r="57" spans="1:8" x14ac:dyDescent="0.25">
      <c r="E57" t="s">
        <v>34</v>
      </c>
      <c r="F57">
        <f>F53-F56</f>
        <v>10107</v>
      </c>
      <c r="G57">
        <f>100-G56</f>
        <v>61.287975259232311</v>
      </c>
    </row>
    <row r="59" spans="1:8" x14ac:dyDescent="0.25">
      <c r="A59" s="22" t="s">
        <v>10</v>
      </c>
      <c r="B59" s="22"/>
      <c r="C59" s="22"/>
      <c r="D59" s="22"/>
      <c r="E59" s="22"/>
      <c r="F59" s="22"/>
      <c r="G59" s="22"/>
      <c r="H59" s="22"/>
    </row>
    <row r="60" spans="1:8" x14ac:dyDescent="0.25">
      <c r="A60" s="23" t="s">
        <v>3</v>
      </c>
      <c r="B60" s="23"/>
      <c r="C60" s="23"/>
      <c r="D60" s="23"/>
      <c r="E60" s="23"/>
    </row>
    <row r="61" spans="1:8" x14ac:dyDescent="0.25">
      <c r="A61" s="2">
        <v>6</v>
      </c>
      <c r="B61" s="2">
        <v>2879</v>
      </c>
      <c r="C61" s="1">
        <v>2879</v>
      </c>
      <c r="D61" s="1">
        <f>B61-C61</f>
        <v>0</v>
      </c>
      <c r="E61" s="1"/>
    </row>
    <row r="62" spans="1:8" x14ac:dyDescent="0.25">
      <c r="A62">
        <v>9</v>
      </c>
      <c r="B62">
        <v>1578</v>
      </c>
      <c r="C62" s="1">
        <v>1574</v>
      </c>
      <c r="D62" s="1">
        <f t="shared" ref="D62:D64" si="4">B62-C62</f>
        <v>4</v>
      </c>
    </row>
    <row r="63" spans="1:8" x14ac:dyDescent="0.25">
      <c r="A63">
        <v>10</v>
      </c>
      <c r="B63">
        <v>1884</v>
      </c>
      <c r="C63" s="1">
        <v>1876</v>
      </c>
      <c r="D63" s="1">
        <f t="shared" si="4"/>
        <v>8</v>
      </c>
    </row>
    <row r="64" spans="1:8" x14ac:dyDescent="0.25">
      <c r="A64">
        <v>11</v>
      </c>
      <c r="B64">
        <v>2704</v>
      </c>
      <c r="C64" s="1">
        <v>2703</v>
      </c>
      <c r="D64" s="1">
        <f t="shared" si="4"/>
        <v>1</v>
      </c>
    </row>
    <row r="65" spans="1:11" x14ac:dyDescent="0.25">
      <c r="A65" t="s">
        <v>4</v>
      </c>
      <c r="C65" s="1"/>
      <c r="D65" s="1">
        <f>SUM(D61:D64)</f>
        <v>13</v>
      </c>
    </row>
    <row r="66" spans="1:11" x14ac:dyDescent="0.25">
      <c r="A66" s="23" t="s">
        <v>5</v>
      </c>
      <c r="B66" s="23"/>
      <c r="C66" s="23"/>
      <c r="D66" s="23"/>
      <c r="E66" s="23"/>
    </row>
    <row r="67" spans="1:11" x14ac:dyDescent="0.25">
      <c r="A67">
        <v>3</v>
      </c>
      <c r="B67">
        <v>73</v>
      </c>
      <c r="C67" s="8">
        <v>71</v>
      </c>
      <c r="D67" s="8">
        <f>B67-C67</f>
        <v>2</v>
      </c>
    </row>
    <row r="68" spans="1:11" x14ac:dyDescent="0.25">
      <c r="A68">
        <v>7</v>
      </c>
      <c r="B68">
        <v>158</v>
      </c>
      <c r="C68" s="8">
        <v>156</v>
      </c>
      <c r="D68" s="8">
        <f t="shared" ref="D68:D75" si="5">B68-C68</f>
        <v>2</v>
      </c>
    </row>
    <row r="69" spans="1:11" x14ac:dyDescent="0.25">
      <c r="A69" s="2">
        <v>8</v>
      </c>
      <c r="B69" s="2">
        <v>1008</v>
      </c>
      <c r="C69" s="8">
        <v>1008</v>
      </c>
      <c r="D69" s="8">
        <f t="shared" si="5"/>
        <v>0</v>
      </c>
      <c r="E69" s="1"/>
    </row>
    <row r="70" spans="1:11" x14ac:dyDescent="0.25">
      <c r="A70">
        <v>12</v>
      </c>
      <c r="B70">
        <v>379</v>
      </c>
      <c r="C70" s="8">
        <v>376</v>
      </c>
      <c r="D70" s="8">
        <f t="shared" si="5"/>
        <v>3</v>
      </c>
    </row>
    <row r="71" spans="1:11" x14ac:dyDescent="0.25">
      <c r="A71">
        <v>13</v>
      </c>
      <c r="B71">
        <v>527</v>
      </c>
      <c r="C71" s="8">
        <v>526</v>
      </c>
      <c r="D71" s="8">
        <f t="shared" si="5"/>
        <v>1</v>
      </c>
    </row>
    <row r="72" spans="1:11" x14ac:dyDescent="0.25">
      <c r="A72">
        <v>15</v>
      </c>
      <c r="B72">
        <v>227</v>
      </c>
      <c r="C72" s="8">
        <v>227</v>
      </c>
      <c r="D72" s="8">
        <f t="shared" si="5"/>
        <v>0</v>
      </c>
    </row>
    <row r="73" spans="1:11" x14ac:dyDescent="0.25">
      <c r="A73">
        <v>14</v>
      </c>
      <c r="B73">
        <v>520</v>
      </c>
      <c r="C73" s="8">
        <v>519</v>
      </c>
      <c r="D73" s="8">
        <f t="shared" si="5"/>
        <v>1</v>
      </c>
    </row>
    <row r="74" spans="1:11" x14ac:dyDescent="0.25">
      <c r="A74">
        <v>1</v>
      </c>
      <c r="B74">
        <v>659</v>
      </c>
      <c r="C74" s="8">
        <v>653</v>
      </c>
      <c r="D74" s="8">
        <f t="shared" si="5"/>
        <v>6</v>
      </c>
    </row>
    <row r="75" spans="1:11" x14ac:dyDescent="0.25">
      <c r="A75" s="1">
        <v>4</v>
      </c>
      <c r="B75" s="1">
        <v>811</v>
      </c>
      <c r="C75" s="8">
        <v>809</v>
      </c>
      <c r="D75" s="8">
        <f t="shared" si="5"/>
        <v>2</v>
      </c>
    </row>
    <row r="76" spans="1:11" x14ac:dyDescent="0.25">
      <c r="A76" t="s">
        <v>4</v>
      </c>
      <c r="D76" s="8">
        <f>SUM(D67:D75)</f>
        <v>17</v>
      </c>
    </row>
    <row r="77" spans="1:11" x14ac:dyDescent="0.25">
      <c r="A77" s="23" t="s">
        <v>9</v>
      </c>
      <c r="B77" s="23"/>
      <c r="C77" s="23"/>
      <c r="D77" s="23"/>
      <c r="E77" s="23"/>
    </row>
    <row r="78" spans="1:11" x14ac:dyDescent="0.25">
      <c r="A78" s="2">
        <v>2</v>
      </c>
      <c r="B78" s="2">
        <v>2497</v>
      </c>
      <c r="C78">
        <v>2497</v>
      </c>
      <c r="D78">
        <v>0</v>
      </c>
    </row>
    <row r="79" spans="1:11" x14ac:dyDescent="0.25">
      <c r="A79" t="s">
        <v>4</v>
      </c>
    </row>
    <row r="80" spans="1:11" x14ac:dyDescent="0.25">
      <c r="A80" s="23" t="s">
        <v>11</v>
      </c>
      <c r="B80" s="23"/>
      <c r="C80" s="23"/>
      <c r="D80" s="23"/>
      <c r="E80" s="23"/>
      <c r="K80" s="1"/>
    </row>
    <row r="81" spans="1:11" x14ac:dyDescent="0.25">
      <c r="A81" s="2">
        <v>5</v>
      </c>
      <c r="B81" s="2">
        <v>587</v>
      </c>
      <c r="C81">
        <v>587</v>
      </c>
      <c r="D81" s="8">
        <v>0</v>
      </c>
      <c r="K81" s="1"/>
    </row>
    <row r="82" spans="1:11" x14ac:dyDescent="0.25">
      <c r="A82" s="1" t="s">
        <v>4</v>
      </c>
      <c r="B82" s="1"/>
      <c r="C82" s="1"/>
      <c r="D82" s="1"/>
      <c r="E82" s="1"/>
    </row>
    <row r="83" spans="1:11" x14ac:dyDescent="0.25">
      <c r="E83" s="24" t="s">
        <v>29</v>
      </c>
      <c r="F83" s="24"/>
    </row>
    <row r="84" spans="1:11" x14ac:dyDescent="0.25">
      <c r="E84" t="s">
        <v>31</v>
      </c>
      <c r="F84">
        <v>16491</v>
      </c>
      <c r="G84" t="s">
        <v>6</v>
      </c>
    </row>
    <row r="85" spans="1:11" x14ac:dyDescent="0.25">
      <c r="E85" t="s">
        <v>35</v>
      </c>
      <c r="F85">
        <f>F84-F86</f>
        <v>16461</v>
      </c>
      <c r="G85">
        <f>(F85/F84)*100</f>
        <v>99.818082590503906</v>
      </c>
    </row>
    <row r="86" spans="1:11" x14ac:dyDescent="0.25">
      <c r="E86" t="s">
        <v>32</v>
      </c>
      <c r="F86">
        <f>13+17</f>
        <v>30</v>
      </c>
      <c r="G86">
        <f>100-G85</f>
        <v>0.18191740949609425</v>
      </c>
    </row>
    <row r="87" spans="1:11" x14ac:dyDescent="0.25">
      <c r="E87" t="s">
        <v>33</v>
      </c>
      <c r="F87">
        <f>2879+1008+2497+587+30</f>
        <v>7001</v>
      </c>
      <c r="G87">
        <f>(F87/F84)*100</f>
        <v>42.45345946273725</v>
      </c>
    </row>
    <row r="88" spans="1:11" x14ac:dyDescent="0.25">
      <c r="E88" t="s">
        <v>34</v>
      </c>
      <c r="F88">
        <f>F84-F87</f>
        <v>9490</v>
      </c>
      <c r="G88">
        <f>100-G87</f>
        <v>57.54654053726275</v>
      </c>
    </row>
    <row r="90" spans="1:11" x14ac:dyDescent="0.25">
      <c r="A90" s="22" t="s">
        <v>12</v>
      </c>
      <c r="B90" s="22"/>
      <c r="C90" s="22"/>
      <c r="D90" s="22"/>
      <c r="E90" s="22"/>
      <c r="F90" s="22"/>
      <c r="G90" s="22"/>
      <c r="H90" s="22"/>
    </row>
    <row r="91" spans="1:11" x14ac:dyDescent="0.25">
      <c r="A91" s="23" t="s">
        <v>3</v>
      </c>
      <c r="B91" s="23"/>
      <c r="C91" s="23"/>
      <c r="D91" s="23"/>
      <c r="E91" s="23"/>
    </row>
    <row r="92" spans="1:11" x14ac:dyDescent="0.25">
      <c r="A92" s="2">
        <v>6</v>
      </c>
      <c r="B92" s="2">
        <v>2879</v>
      </c>
      <c r="C92" s="1">
        <v>2879</v>
      </c>
      <c r="D92" s="1">
        <f>B92-C92</f>
        <v>0</v>
      </c>
      <c r="E92" s="1"/>
    </row>
    <row r="93" spans="1:11" x14ac:dyDescent="0.25">
      <c r="A93">
        <v>9</v>
      </c>
      <c r="B93">
        <v>1578</v>
      </c>
      <c r="C93" s="1">
        <v>1575</v>
      </c>
      <c r="D93" s="1">
        <f t="shared" ref="D93:D94" si="6">B93-C93</f>
        <v>3</v>
      </c>
    </row>
    <row r="94" spans="1:11" x14ac:dyDescent="0.25">
      <c r="A94">
        <v>10</v>
      </c>
      <c r="B94">
        <v>1884</v>
      </c>
      <c r="C94" s="1">
        <v>1877</v>
      </c>
      <c r="D94" s="1">
        <f t="shared" si="6"/>
        <v>7</v>
      </c>
    </row>
    <row r="95" spans="1:11" x14ac:dyDescent="0.25">
      <c r="A95" s="1" t="s">
        <v>4</v>
      </c>
      <c r="B95" s="1"/>
      <c r="C95" s="1"/>
      <c r="D95" s="1">
        <f>SUM(D92:D94)</f>
        <v>10</v>
      </c>
      <c r="E95" s="1"/>
    </row>
    <row r="96" spans="1:11" x14ac:dyDescent="0.25">
      <c r="A96" s="23" t="s">
        <v>5</v>
      </c>
      <c r="B96" s="23"/>
      <c r="C96" s="23"/>
      <c r="D96" s="23"/>
      <c r="E96" s="23"/>
    </row>
    <row r="97" spans="1:5" x14ac:dyDescent="0.25">
      <c r="A97">
        <v>3</v>
      </c>
      <c r="B97">
        <v>73</v>
      </c>
      <c r="C97" s="8">
        <v>72</v>
      </c>
      <c r="D97" s="8">
        <f>B97-C97</f>
        <v>1</v>
      </c>
    </row>
    <row r="98" spans="1:5" x14ac:dyDescent="0.25">
      <c r="A98">
        <v>7</v>
      </c>
      <c r="B98">
        <v>158</v>
      </c>
      <c r="C98" s="8">
        <v>156</v>
      </c>
      <c r="D98" s="8">
        <f t="shared" ref="D98:D105" si="7">B98-C98</f>
        <v>2</v>
      </c>
    </row>
    <row r="99" spans="1:5" x14ac:dyDescent="0.25">
      <c r="A99" s="2">
        <v>8</v>
      </c>
      <c r="B99" s="2">
        <v>1008</v>
      </c>
      <c r="C99" s="8">
        <v>1008</v>
      </c>
      <c r="D99" s="8">
        <f t="shared" si="7"/>
        <v>0</v>
      </c>
      <c r="E99" s="1"/>
    </row>
    <row r="100" spans="1:5" x14ac:dyDescent="0.25">
      <c r="A100">
        <v>12</v>
      </c>
      <c r="B100">
        <v>379</v>
      </c>
      <c r="C100" s="8">
        <v>376</v>
      </c>
      <c r="D100" s="8">
        <f t="shared" si="7"/>
        <v>3</v>
      </c>
    </row>
    <row r="101" spans="1:5" x14ac:dyDescent="0.25">
      <c r="A101">
        <v>13</v>
      </c>
      <c r="B101">
        <v>527</v>
      </c>
      <c r="C101" s="8">
        <v>526</v>
      </c>
      <c r="D101" s="8">
        <f t="shared" si="7"/>
        <v>1</v>
      </c>
    </row>
    <row r="102" spans="1:5" x14ac:dyDescent="0.25">
      <c r="A102">
        <v>15</v>
      </c>
      <c r="B102">
        <v>227</v>
      </c>
      <c r="C102" s="8">
        <v>227</v>
      </c>
      <c r="D102" s="8">
        <f t="shared" si="7"/>
        <v>0</v>
      </c>
    </row>
    <row r="103" spans="1:5" x14ac:dyDescent="0.25">
      <c r="A103">
        <v>14</v>
      </c>
      <c r="B103">
        <v>520</v>
      </c>
      <c r="C103" s="8">
        <v>519</v>
      </c>
      <c r="D103" s="8">
        <f t="shared" si="7"/>
        <v>1</v>
      </c>
    </row>
    <row r="104" spans="1:5" x14ac:dyDescent="0.25">
      <c r="A104">
        <v>1</v>
      </c>
      <c r="B104">
        <v>659</v>
      </c>
      <c r="C104" s="8">
        <v>654</v>
      </c>
      <c r="D104" s="8">
        <f t="shared" si="7"/>
        <v>5</v>
      </c>
    </row>
    <row r="105" spans="1:5" x14ac:dyDescent="0.25">
      <c r="A105" s="1">
        <v>4</v>
      </c>
      <c r="B105" s="1">
        <v>811</v>
      </c>
      <c r="C105" s="8">
        <v>810</v>
      </c>
      <c r="D105" s="8">
        <f t="shared" si="7"/>
        <v>1</v>
      </c>
    </row>
    <row r="106" spans="1:5" x14ac:dyDescent="0.25">
      <c r="A106" t="s">
        <v>4</v>
      </c>
      <c r="D106" s="8">
        <f>SUM(D97:D105)</f>
        <v>14</v>
      </c>
    </row>
    <row r="107" spans="1:5" x14ac:dyDescent="0.25">
      <c r="A107" s="23" t="s">
        <v>9</v>
      </c>
      <c r="B107" s="23"/>
      <c r="C107" s="23"/>
      <c r="D107" s="23"/>
      <c r="E107" s="23"/>
    </row>
    <row r="108" spans="1:5" x14ac:dyDescent="0.25">
      <c r="A108" s="2">
        <v>2</v>
      </c>
      <c r="B108" s="2">
        <v>2497</v>
      </c>
      <c r="C108">
        <v>2497</v>
      </c>
      <c r="D108">
        <v>0</v>
      </c>
    </row>
    <row r="109" spans="1:5" x14ac:dyDescent="0.25">
      <c r="A109" t="s">
        <v>4</v>
      </c>
    </row>
    <row r="110" spans="1:5" x14ac:dyDescent="0.25">
      <c r="A110" s="23" t="s">
        <v>11</v>
      </c>
      <c r="B110" s="23"/>
      <c r="C110" s="23"/>
      <c r="D110" s="23"/>
      <c r="E110" s="23"/>
    </row>
    <row r="111" spans="1:5" x14ac:dyDescent="0.25">
      <c r="A111" s="2">
        <v>5</v>
      </c>
      <c r="B111" s="2">
        <v>587</v>
      </c>
      <c r="C111">
        <v>587</v>
      </c>
      <c r="D111" s="8">
        <v>0</v>
      </c>
    </row>
    <row r="112" spans="1:5" x14ac:dyDescent="0.25">
      <c r="A112" s="1" t="s">
        <v>4</v>
      </c>
      <c r="B112" s="1"/>
      <c r="C112" s="1"/>
      <c r="D112" s="1"/>
      <c r="E112" s="1"/>
    </row>
    <row r="113" spans="1:8" x14ac:dyDescent="0.25">
      <c r="A113" s="23" t="s">
        <v>13</v>
      </c>
      <c r="B113" s="23"/>
      <c r="C113" s="23"/>
      <c r="D113" s="23"/>
      <c r="E113" s="23"/>
    </row>
    <row r="114" spans="1:8" x14ac:dyDescent="0.25">
      <c r="A114" s="2">
        <v>11</v>
      </c>
      <c r="B114" s="2">
        <v>2704</v>
      </c>
      <c r="C114">
        <v>2704</v>
      </c>
      <c r="D114" s="8">
        <v>0</v>
      </c>
    </row>
    <row r="115" spans="1:8" x14ac:dyDescent="0.25">
      <c r="A115" s="1" t="s">
        <v>4</v>
      </c>
      <c r="B115" s="1"/>
      <c r="C115" s="1"/>
      <c r="D115" s="1"/>
      <c r="E115" s="1"/>
    </row>
    <row r="116" spans="1:8" x14ac:dyDescent="0.25">
      <c r="E116" s="24" t="s">
        <v>29</v>
      </c>
      <c r="F116" s="24"/>
    </row>
    <row r="117" spans="1:8" x14ac:dyDescent="0.25">
      <c r="E117" t="s">
        <v>31</v>
      </c>
      <c r="F117">
        <v>16491</v>
      </c>
      <c r="G117" t="s">
        <v>6</v>
      </c>
    </row>
    <row r="118" spans="1:8" x14ac:dyDescent="0.25">
      <c r="E118" t="s">
        <v>35</v>
      </c>
      <c r="F118">
        <f>F117-F119</f>
        <v>16467</v>
      </c>
      <c r="G118">
        <f>(F118/F117)*100</f>
        <v>99.854466072403127</v>
      </c>
    </row>
    <row r="119" spans="1:8" x14ac:dyDescent="0.25">
      <c r="E119" t="s">
        <v>32</v>
      </c>
      <c r="F119">
        <f>10+14</f>
        <v>24</v>
      </c>
      <c r="G119">
        <f>(F119/F117)*100</f>
        <v>0.14553392759687103</v>
      </c>
    </row>
    <row r="120" spans="1:8" x14ac:dyDescent="0.25">
      <c r="E120" t="s">
        <v>33</v>
      </c>
      <c r="F120">
        <f>2879+1008+2497+587+2704+24</f>
        <v>9699</v>
      </c>
      <c r="G120">
        <f>(F120/F117)*100</f>
        <v>58.813898490085506</v>
      </c>
    </row>
    <row r="121" spans="1:8" x14ac:dyDescent="0.25">
      <c r="E121" t="s">
        <v>34</v>
      </c>
      <c r="F121">
        <f>F117-F120</f>
        <v>6792</v>
      </c>
      <c r="G121">
        <f>100-G120</f>
        <v>41.186101509914494</v>
      </c>
    </row>
    <row r="122" spans="1:8" x14ac:dyDescent="0.25">
      <c r="A122" s="22" t="s">
        <v>45</v>
      </c>
      <c r="B122" s="22"/>
      <c r="C122" s="22"/>
      <c r="D122" s="22"/>
      <c r="E122" s="22"/>
      <c r="F122" s="22"/>
      <c r="G122" s="22"/>
      <c r="H122" s="22"/>
    </row>
    <row r="123" spans="1:8" x14ac:dyDescent="0.25">
      <c r="A123" s="23" t="s">
        <v>3</v>
      </c>
      <c r="B123" s="23"/>
      <c r="C123" s="23"/>
      <c r="D123" s="23"/>
      <c r="E123" s="23"/>
    </row>
    <row r="124" spans="1:8" x14ac:dyDescent="0.25">
      <c r="A124" s="2">
        <v>6</v>
      </c>
      <c r="B124" s="2">
        <v>2879</v>
      </c>
      <c r="C124">
        <v>2879</v>
      </c>
      <c r="D124">
        <f>B124-C124</f>
        <v>0</v>
      </c>
    </row>
    <row r="125" spans="1:8" x14ac:dyDescent="0.25">
      <c r="A125">
        <v>9</v>
      </c>
      <c r="B125">
        <v>1578</v>
      </c>
      <c r="C125">
        <v>1535</v>
      </c>
      <c r="D125">
        <f t="shared" ref="D125:D138" si="8">B125-C125</f>
        <v>43</v>
      </c>
    </row>
    <row r="126" spans="1:8" x14ac:dyDescent="0.25">
      <c r="A126">
        <v>10</v>
      </c>
      <c r="B126">
        <v>1884</v>
      </c>
      <c r="C126">
        <v>1845</v>
      </c>
      <c r="D126">
        <f t="shared" si="8"/>
        <v>39</v>
      </c>
    </row>
    <row r="127" spans="1:8" x14ac:dyDescent="0.25">
      <c r="A127">
        <v>11</v>
      </c>
      <c r="B127">
        <v>2704</v>
      </c>
      <c r="C127">
        <v>2651</v>
      </c>
      <c r="D127">
        <f t="shared" si="8"/>
        <v>53</v>
      </c>
    </row>
    <row r="128" spans="1:8" x14ac:dyDescent="0.25">
      <c r="A128" s="1">
        <v>2</v>
      </c>
      <c r="B128" s="1">
        <v>2497</v>
      </c>
      <c r="C128">
        <v>2418</v>
      </c>
      <c r="D128">
        <f t="shared" si="8"/>
        <v>79</v>
      </c>
    </row>
    <row r="129" spans="1:7" x14ac:dyDescent="0.25">
      <c r="A129">
        <v>15</v>
      </c>
      <c r="B129">
        <v>227</v>
      </c>
      <c r="C129">
        <v>225</v>
      </c>
      <c r="D129">
        <f t="shared" si="8"/>
        <v>2</v>
      </c>
    </row>
    <row r="130" spans="1:7" x14ac:dyDescent="0.25">
      <c r="A130">
        <v>3</v>
      </c>
      <c r="B130">
        <v>73</v>
      </c>
      <c r="C130">
        <v>69</v>
      </c>
      <c r="D130">
        <f t="shared" si="8"/>
        <v>4</v>
      </c>
    </row>
    <row r="131" spans="1:7" x14ac:dyDescent="0.25">
      <c r="A131">
        <v>12</v>
      </c>
      <c r="B131">
        <v>379</v>
      </c>
      <c r="C131">
        <v>364</v>
      </c>
      <c r="D131">
        <f t="shared" si="8"/>
        <v>15</v>
      </c>
    </row>
    <row r="132" spans="1:7" x14ac:dyDescent="0.25">
      <c r="A132">
        <v>7</v>
      </c>
      <c r="B132">
        <v>158</v>
      </c>
      <c r="C132">
        <v>152</v>
      </c>
      <c r="D132">
        <f t="shared" si="8"/>
        <v>6</v>
      </c>
    </row>
    <row r="133" spans="1:7" x14ac:dyDescent="0.25">
      <c r="A133" s="1">
        <v>8</v>
      </c>
      <c r="B133" s="1">
        <v>1008</v>
      </c>
      <c r="C133">
        <v>981</v>
      </c>
      <c r="D133">
        <f t="shared" si="8"/>
        <v>27</v>
      </c>
    </row>
    <row r="134" spans="1:7" x14ac:dyDescent="0.25">
      <c r="A134">
        <v>13</v>
      </c>
      <c r="B134">
        <v>527</v>
      </c>
      <c r="C134">
        <v>511</v>
      </c>
      <c r="D134">
        <f t="shared" si="8"/>
        <v>16</v>
      </c>
    </row>
    <row r="135" spans="1:7" x14ac:dyDescent="0.25">
      <c r="A135">
        <v>1</v>
      </c>
      <c r="B135">
        <v>659</v>
      </c>
      <c r="C135">
        <v>650</v>
      </c>
      <c r="D135">
        <f t="shared" si="8"/>
        <v>9</v>
      </c>
    </row>
    <row r="136" spans="1:7" x14ac:dyDescent="0.25">
      <c r="A136">
        <v>14</v>
      </c>
      <c r="B136">
        <v>520</v>
      </c>
      <c r="C136">
        <v>513</v>
      </c>
      <c r="D136">
        <f t="shared" si="8"/>
        <v>7</v>
      </c>
    </row>
    <row r="137" spans="1:7" x14ac:dyDescent="0.25">
      <c r="A137">
        <v>4</v>
      </c>
      <c r="B137">
        <v>811</v>
      </c>
      <c r="C137">
        <v>801</v>
      </c>
      <c r="D137">
        <f t="shared" si="8"/>
        <v>10</v>
      </c>
    </row>
    <row r="138" spans="1:7" x14ac:dyDescent="0.25">
      <c r="A138">
        <v>5</v>
      </c>
      <c r="B138">
        <v>587</v>
      </c>
      <c r="C138">
        <v>578</v>
      </c>
      <c r="D138">
        <f t="shared" si="8"/>
        <v>9</v>
      </c>
    </row>
    <row r="139" spans="1:7" x14ac:dyDescent="0.25">
      <c r="A139" t="s">
        <v>4</v>
      </c>
      <c r="B139">
        <f>SUM(B124:B138)</f>
        <v>16491</v>
      </c>
      <c r="C139">
        <f>SUM(C124:C138)</f>
        <v>16172</v>
      </c>
      <c r="D139">
        <f>SUM(D124:D138)</f>
        <v>319</v>
      </c>
    </row>
    <row r="140" spans="1:7" x14ac:dyDescent="0.25">
      <c r="E140" s="24" t="s">
        <v>29</v>
      </c>
      <c r="F140" s="24"/>
      <c r="G140" t="s">
        <v>6</v>
      </c>
    </row>
    <row r="141" spans="1:7" x14ac:dyDescent="0.25">
      <c r="E141" t="s">
        <v>31</v>
      </c>
      <c r="F141">
        <v>16491</v>
      </c>
    </row>
    <row r="142" spans="1:7" x14ac:dyDescent="0.25">
      <c r="E142" t="s">
        <v>35</v>
      </c>
      <c r="F142">
        <v>16172</v>
      </c>
      <c r="G142">
        <f>(F142/F141)*100</f>
        <v>98.065611545691596</v>
      </c>
    </row>
    <row r="143" spans="1:7" x14ac:dyDescent="0.25">
      <c r="E143" t="s">
        <v>32</v>
      </c>
      <c r="F143">
        <v>319</v>
      </c>
      <c r="G143">
        <f>100-G142</f>
        <v>1.9343884543084044</v>
      </c>
    </row>
    <row r="144" spans="1:7" x14ac:dyDescent="0.25">
      <c r="E144" t="s">
        <v>33</v>
      </c>
      <c r="F144">
        <f>2879+319</f>
        <v>3198</v>
      </c>
      <c r="G144">
        <f>(F144/F141)*100</f>
        <v>19.392395852283066</v>
      </c>
    </row>
    <row r="145" spans="5:7" x14ac:dyDescent="0.25">
      <c r="E145" t="s">
        <v>34</v>
      </c>
      <c r="F145">
        <f>16491-3198</f>
        <v>13293</v>
      </c>
      <c r="G145">
        <f>100-G144</f>
        <v>80.607604147716927</v>
      </c>
    </row>
  </sheetData>
  <mergeCells count="25">
    <mergeCell ref="A123:E123"/>
    <mergeCell ref="E140:F140"/>
    <mergeCell ref="A113:E113"/>
    <mergeCell ref="E116:F116"/>
    <mergeCell ref="A91:E91"/>
    <mergeCell ref="A80:E80"/>
    <mergeCell ref="A96:E96"/>
    <mergeCell ref="A107:E107"/>
    <mergeCell ref="A122:H122"/>
    <mergeCell ref="A110:E110"/>
    <mergeCell ref="A2:H2"/>
    <mergeCell ref="E83:F83"/>
    <mergeCell ref="A90:H90"/>
    <mergeCell ref="A37:E37"/>
    <mergeCell ref="A49:E49"/>
    <mergeCell ref="E52:F52"/>
    <mergeCell ref="A59:H59"/>
    <mergeCell ref="A60:E60"/>
    <mergeCell ref="A66:E66"/>
    <mergeCell ref="A3:E3"/>
    <mergeCell ref="A10:E10"/>
    <mergeCell ref="A30:H30"/>
    <mergeCell ref="A31:E31"/>
    <mergeCell ref="A77:E77"/>
    <mergeCell ref="E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opLeftCell="A118" workbookViewId="0">
      <selection activeCell="I124" sqref="I124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2" max="12" width="10.28515625" customWidth="1"/>
  </cols>
  <sheetData>
    <row r="2" spans="1:8" x14ac:dyDescent="0.25">
      <c r="A2" s="22" t="s">
        <v>7</v>
      </c>
      <c r="B2" s="22"/>
      <c r="C2" s="22"/>
      <c r="D2" s="22"/>
      <c r="E2" s="22"/>
      <c r="F2" s="22"/>
      <c r="G2" s="22"/>
      <c r="H2" s="22"/>
    </row>
    <row r="3" spans="1:8" x14ac:dyDescent="0.25">
      <c r="A3" s="23" t="s">
        <v>3</v>
      </c>
      <c r="B3" s="23"/>
      <c r="C3" s="23"/>
      <c r="D3" s="23"/>
      <c r="E3" s="23"/>
    </row>
    <row r="4" spans="1:8" x14ac:dyDescent="0.25">
      <c r="A4" t="s">
        <v>0</v>
      </c>
      <c r="B4" t="s">
        <v>1</v>
      </c>
      <c r="C4" t="s">
        <v>30</v>
      </c>
      <c r="D4" t="s">
        <v>2</v>
      </c>
    </row>
    <row r="5" spans="1:8" x14ac:dyDescent="0.25">
      <c r="A5" s="2">
        <v>6</v>
      </c>
      <c r="B5" s="2">
        <v>2699</v>
      </c>
      <c r="C5" s="1">
        <v>2699</v>
      </c>
      <c r="D5" s="1">
        <f>B5-C5</f>
        <v>0</v>
      </c>
    </row>
    <row r="6" spans="1:8" x14ac:dyDescent="0.25">
      <c r="A6">
        <v>9</v>
      </c>
      <c r="B6">
        <v>2079</v>
      </c>
      <c r="C6" s="1">
        <v>1947</v>
      </c>
      <c r="D6" s="1">
        <f t="shared" ref="D6:D8" si="0">B6-C6</f>
        <v>132</v>
      </c>
      <c r="E6" s="1"/>
    </row>
    <row r="7" spans="1:8" x14ac:dyDescent="0.25">
      <c r="A7">
        <v>10</v>
      </c>
      <c r="B7">
        <v>2053</v>
      </c>
      <c r="C7" s="1">
        <v>1928</v>
      </c>
      <c r="D7" s="1">
        <f t="shared" si="0"/>
        <v>125</v>
      </c>
    </row>
    <row r="8" spans="1:8" x14ac:dyDescent="0.25">
      <c r="A8">
        <v>11</v>
      </c>
      <c r="B8">
        <v>1253</v>
      </c>
      <c r="C8" s="1">
        <v>1168</v>
      </c>
      <c r="D8" s="1">
        <f t="shared" si="0"/>
        <v>85</v>
      </c>
    </row>
    <row r="9" spans="1:8" x14ac:dyDescent="0.25">
      <c r="A9" t="s">
        <v>4</v>
      </c>
      <c r="B9">
        <f>SUM(B5:B8)</f>
        <v>8084</v>
      </c>
      <c r="C9" s="1"/>
      <c r="D9" s="1">
        <f>SUM(D5:D8)</f>
        <v>342</v>
      </c>
    </row>
    <row r="10" spans="1:8" x14ac:dyDescent="0.25">
      <c r="A10" s="23" t="s">
        <v>5</v>
      </c>
      <c r="B10" s="23"/>
      <c r="C10" s="23"/>
      <c r="D10" s="23"/>
      <c r="E10" s="23"/>
    </row>
    <row r="11" spans="1:8" x14ac:dyDescent="0.25">
      <c r="A11" s="2">
        <v>2</v>
      </c>
      <c r="B11" s="2">
        <v>1206</v>
      </c>
      <c r="C11" s="8">
        <v>1206</v>
      </c>
      <c r="D11" s="1">
        <f>B11-C11</f>
        <v>0</v>
      </c>
      <c r="F11" s="1"/>
      <c r="G11" s="1"/>
    </row>
    <row r="12" spans="1:8" x14ac:dyDescent="0.25">
      <c r="A12">
        <v>15</v>
      </c>
      <c r="B12">
        <v>605</v>
      </c>
      <c r="C12" s="8">
        <v>600</v>
      </c>
      <c r="D12" s="1">
        <f t="shared" ref="D12:D21" si="1">B12-C12</f>
        <v>5</v>
      </c>
    </row>
    <row r="13" spans="1:8" x14ac:dyDescent="0.25">
      <c r="A13">
        <v>3</v>
      </c>
      <c r="B13">
        <v>24</v>
      </c>
      <c r="C13" s="8">
        <v>21</v>
      </c>
      <c r="D13" s="1">
        <f t="shared" si="1"/>
        <v>3</v>
      </c>
    </row>
    <row r="14" spans="1:8" x14ac:dyDescent="0.25">
      <c r="A14">
        <v>12</v>
      </c>
      <c r="B14">
        <v>224</v>
      </c>
      <c r="C14" s="8">
        <v>224</v>
      </c>
      <c r="D14" s="1">
        <f t="shared" si="1"/>
        <v>0</v>
      </c>
    </row>
    <row r="15" spans="1:8" x14ac:dyDescent="0.25">
      <c r="A15">
        <v>7</v>
      </c>
      <c r="B15">
        <v>62</v>
      </c>
      <c r="C15" s="8">
        <v>59</v>
      </c>
      <c r="D15" s="1">
        <f t="shared" si="1"/>
        <v>3</v>
      </c>
    </row>
    <row r="16" spans="1:8" x14ac:dyDescent="0.25">
      <c r="A16">
        <v>8</v>
      </c>
      <c r="B16">
        <v>332</v>
      </c>
      <c r="C16" s="8">
        <v>327</v>
      </c>
      <c r="D16" s="1">
        <f t="shared" si="1"/>
        <v>5</v>
      </c>
    </row>
    <row r="17" spans="1:8" x14ac:dyDescent="0.25">
      <c r="A17">
        <v>13</v>
      </c>
      <c r="B17">
        <v>456</v>
      </c>
      <c r="C17" s="8">
        <v>443</v>
      </c>
      <c r="D17" s="1">
        <f t="shared" si="1"/>
        <v>13</v>
      </c>
    </row>
    <row r="18" spans="1:8" x14ac:dyDescent="0.25">
      <c r="A18">
        <v>1</v>
      </c>
      <c r="B18">
        <v>668</v>
      </c>
      <c r="C18" s="8">
        <v>602</v>
      </c>
      <c r="D18" s="1">
        <f t="shared" si="1"/>
        <v>66</v>
      </c>
    </row>
    <row r="19" spans="1:8" x14ac:dyDescent="0.25">
      <c r="A19">
        <v>14</v>
      </c>
      <c r="B19">
        <v>790</v>
      </c>
      <c r="C19" s="8">
        <v>757</v>
      </c>
      <c r="D19" s="1">
        <f t="shared" si="1"/>
        <v>33</v>
      </c>
    </row>
    <row r="20" spans="1:8" x14ac:dyDescent="0.25">
      <c r="A20">
        <v>4</v>
      </c>
      <c r="B20">
        <v>1103</v>
      </c>
      <c r="C20" s="8">
        <v>990</v>
      </c>
      <c r="D20" s="1">
        <f t="shared" si="1"/>
        <v>113</v>
      </c>
    </row>
    <row r="21" spans="1:8" x14ac:dyDescent="0.25">
      <c r="A21" s="1">
        <v>5</v>
      </c>
      <c r="B21" s="1">
        <v>1140</v>
      </c>
      <c r="C21" s="8">
        <v>1063</v>
      </c>
      <c r="D21" s="1">
        <f t="shared" si="1"/>
        <v>77</v>
      </c>
      <c r="E21" s="1"/>
    </row>
    <row r="22" spans="1:8" x14ac:dyDescent="0.25">
      <c r="A22" t="s">
        <v>4</v>
      </c>
      <c r="B22">
        <f>SUM(B12:B21)</f>
        <v>5404</v>
      </c>
      <c r="C22" s="1"/>
      <c r="D22" s="1">
        <f>SUM(D11:D21)</f>
        <v>318</v>
      </c>
    </row>
    <row r="23" spans="1:8" x14ac:dyDescent="0.25">
      <c r="A23" s="1"/>
      <c r="B23" s="1"/>
      <c r="C23" s="1"/>
      <c r="D23" s="1"/>
      <c r="E23" s="24" t="s">
        <v>29</v>
      </c>
      <c r="F23" s="24"/>
    </row>
    <row r="24" spans="1:8" x14ac:dyDescent="0.25">
      <c r="A24" s="1"/>
      <c r="B24" s="1"/>
      <c r="C24" s="1"/>
      <c r="D24" s="1"/>
      <c r="E24" t="s">
        <v>31</v>
      </c>
      <c r="F24">
        <f>B22+B9</f>
        <v>13488</v>
      </c>
      <c r="G24" t="s">
        <v>6</v>
      </c>
    </row>
    <row r="25" spans="1:8" x14ac:dyDescent="0.25">
      <c r="A25" s="1"/>
      <c r="B25" s="1"/>
      <c r="C25" s="1"/>
      <c r="D25" s="1"/>
      <c r="E25" t="s">
        <v>35</v>
      </c>
      <c r="F25">
        <f>F24-F26</f>
        <v>12828</v>
      </c>
      <c r="G25">
        <f>(F25/F24)*100</f>
        <v>95.106761565836294</v>
      </c>
    </row>
    <row r="26" spans="1:8" x14ac:dyDescent="0.25">
      <c r="A26" s="1"/>
      <c r="B26" s="1"/>
      <c r="C26" s="1"/>
      <c r="D26" s="1"/>
      <c r="E26" t="s">
        <v>32</v>
      </c>
      <c r="F26">
        <f>342+318</f>
        <v>660</v>
      </c>
      <c r="G26">
        <f>100-G25</f>
        <v>4.8932384341637061</v>
      </c>
    </row>
    <row r="27" spans="1:8" x14ac:dyDescent="0.25">
      <c r="A27" s="1"/>
      <c r="B27" s="1"/>
      <c r="C27" s="1"/>
      <c r="D27" s="1"/>
      <c r="E27" t="s">
        <v>33</v>
      </c>
      <c r="F27">
        <f>1206+2699+660</f>
        <v>4565</v>
      </c>
      <c r="G27">
        <f>(F27/F24)*100</f>
        <v>33.844899169632264</v>
      </c>
    </row>
    <row r="28" spans="1:8" x14ac:dyDescent="0.25">
      <c r="A28" s="1"/>
      <c r="B28" s="1"/>
      <c r="C28" s="1"/>
      <c r="D28" s="1"/>
      <c r="E28" t="s">
        <v>34</v>
      </c>
      <c r="F28">
        <f>F24-F27</f>
        <v>8923</v>
      </c>
      <c r="G28">
        <f>100-G27</f>
        <v>66.155100830367729</v>
      </c>
    </row>
    <row r="30" spans="1:8" x14ac:dyDescent="0.25">
      <c r="A30" s="22" t="s">
        <v>8</v>
      </c>
      <c r="B30" s="22"/>
      <c r="C30" s="22"/>
      <c r="D30" s="22"/>
      <c r="E30" s="22"/>
      <c r="F30" s="22"/>
      <c r="G30" s="22"/>
      <c r="H30" s="22"/>
    </row>
    <row r="31" spans="1:8" x14ac:dyDescent="0.25">
      <c r="A31" s="23" t="s">
        <v>3</v>
      </c>
      <c r="B31" s="23"/>
      <c r="C31" s="23"/>
      <c r="D31" s="23"/>
      <c r="E31" s="23"/>
      <c r="F31" s="1"/>
      <c r="G31" s="1"/>
      <c r="H31" s="1"/>
    </row>
    <row r="32" spans="1:8" x14ac:dyDescent="0.25">
      <c r="A32" s="2">
        <v>6</v>
      </c>
      <c r="B32" s="2">
        <v>2699</v>
      </c>
      <c r="C32" s="1">
        <v>2699</v>
      </c>
      <c r="D32" s="1">
        <f>B32-C32</f>
        <v>0</v>
      </c>
      <c r="F32" s="1"/>
      <c r="G32" s="1"/>
      <c r="H32" s="1"/>
    </row>
    <row r="33" spans="1:8" x14ac:dyDescent="0.25">
      <c r="A33">
        <v>9</v>
      </c>
      <c r="B33">
        <v>2079</v>
      </c>
      <c r="C33" s="1">
        <v>2002</v>
      </c>
      <c r="D33" s="1">
        <f t="shared" ref="D33:D35" si="2">B33-C33</f>
        <v>77</v>
      </c>
      <c r="E33" s="1"/>
      <c r="F33" s="1"/>
      <c r="G33" s="1"/>
      <c r="H33" s="1"/>
    </row>
    <row r="34" spans="1:8" x14ac:dyDescent="0.25">
      <c r="A34">
        <v>10</v>
      </c>
      <c r="B34">
        <v>2053</v>
      </c>
      <c r="C34" s="1">
        <v>1987</v>
      </c>
      <c r="D34" s="1">
        <f t="shared" si="2"/>
        <v>66</v>
      </c>
      <c r="F34" s="1"/>
      <c r="G34" s="1"/>
      <c r="H34" s="1"/>
    </row>
    <row r="35" spans="1:8" x14ac:dyDescent="0.25">
      <c r="A35">
        <v>11</v>
      </c>
      <c r="B35">
        <v>1253</v>
      </c>
      <c r="C35" s="1">
        <v>1204</v>
      </c>
      <c r="D35" s="1">
        <f t="shared" si="2"/>
        <v>49</v>
      </c>
      <c r="F35" s="1"/>
      <c r="G35" s="1"/>
      <c r="H35" s="1"/>
    </row>
    <row r="36" spans="1:8" x14ac:dyDescent="0.25">
      <c r="A36" t="s">
        <v>4</v>
      </c>
      <c r="B36">
        <f>SUM(B32:B35)</f>
        <v>8084</v>
      </c>
      <c r="C36" s="1"/>
      <c r="D36" s="1">
        <f>SUM(D32:D35)</f>
        <v>192</v>
      </c>
      <c r="F36" s="1"/>
      <c r="G36" s="1"/>
      <c r="H36" s="1"/>
    </row>
    <row r="37" spans="1:8" x14ac:dyDescent="0.25">
      <c r="A37" s="23" t="s">
        <v>5</v>
      </c>
      <c r="B37" s="23"/>
      <c r="C37" s="23"/>
      <c r="D37" s="23"/>
      <c r="E37" s="23"/>
      <c r="F37" s="1"/>
      <c r="G37" s="1"/>
      <c r="H37" s="1"/>
    </row>
    <row r="38" spans="1:8" x14ac:dyDescent="0.25">
      <c r="A38">
        <v>15</v>
      </c>
      <c r="B38">
        <v>605</v>
      </c>
      <c r="C38" s="8">
        <v>601</v>
      </c>
      <c r="D38" s="1">
        <f>B38-C38</f>
        <v>4</v>
      </c>
      <c r="F38" s="1"/>
      <c r="G38" s="1"/>
      <c r="H38" s="1"/>
    </row>
    <row r="39" spans="1:8" x14ac:dyDescent="0.25">
      <c r="A39">
        <v>3</v>
      </c>
      <c r="B39">
        <v>24</v>
      </c>
      <c r="C39" s="8">
        <v>23</v>
      </c>
      <c r="D39" s="1">
        <f t="shared" ref="D39:D47" si="3">B39-C39</f>
        <v>1</v>
      </c>
      <c r="F39" s="1"/>
      <c r="G39" s="1"/>
      <c r="H39" s="1"/>
    </row>
    <row r="40" spans="1:8" x14ac:dyDescent="0.25">
      <c r="A40">
        <v>12</v>
      </c>
      <c r="B40">
        <v>224</v>
      </c>
      <c r="C40" s="8">
        <v>224</v>
      </c>
      <c r="D40" s="1">
        <f t="shared" si="3"/>
        <v>0</v>
      </c>
      <c r="F40" s="1"/>
      <c r="G40" s="1"/>
      <c r="H40" s="1"/>
    </row>
    <row r="41" spans="1:8" x14ac:dyDescent="0.25">
      <c r="A41">
        <v>7</v>
      </c>
      <c r="B41">
        <v>62</v>
      </c>
      <c r="C41" s="8">
        <v>59</v>
      </c>
      <c r="D41" s="1">
        <f t="shared" si="3"/>
        <v>3</v>
      </c>
      <c r="F41" s="1"/>
      <c r="G41" s="1"/>
      <c r="H41" s="1"/>
    </row>
    <row r="42" spans="1:8" x14ac:dyDescent="0.25">
      <c r="A42">
        <v>8</v>
      </c>
      <c r="B42">
        <v>332</v>
      </c>
      <c r="C42" s="8">
        <v>329</v>
      </c>
      <c r="D42" s="1">
        <f t="shared" si="3"/>
        <v>3</v>
      </c>
      <c r="F42" s="1"/>
      <c r="G42" s="1"/>
      <c r="H42" s="1"/>
    </row>
    <row r="43" spans="1:8" x14ac:dyDescent="0.25">
      <c r="A43">
        <v>13</v>
      </c>
      <c r="B43">
        <v>456</v>
      </c>
      <c r="C43" s="8">
        <v>449</v>
      </c>
      <c r="D43" s="1">
        <f t="shared" si="3"/>
        <v>7</v>
      </c>
      <c r="F43" s="1"/>
      <c r="G43" s="1"/>
      <c r="H43" s="1"/>
    </row>
    <row r="44" spans="1:8" x14ac:dyDescent="0.25">
      <c r="A44">
        <v>1</v>
      </c>
      <c r="B44">
        <v>668</v>
      </c>
      <c r="C44" s="8">
        <v>624</v>
      </c>
      <c r="D44" s="1">
        <f t="shared" si="3"/>
        <v>44</v>
      </c>
      <c r="F44" s="1"/>
      <c r="G44" s="1"/>
      <c r="H44" s="1"/>
    </row>
    <row r="45" spans="1:8" x14ac:dyDescent="0.25">
      <c r="A45">
        <v>14</v>
      </c>
      <c r="B45">
        <v>790</v>
      </c>
      <c r="C45" s="8">
        <v>775</v>
      </c>
      <c r="D45" s="1">
        <f t="shared" si="3"/>
        <v>15</v>
      </c>
      <c r="F45" s="1"/>
      <c r="G45" s="1"/>
      <c r="H45" s="1"/>
    </row>
    <row r="46" spans="1:8" x14ac:dyDescent="0.25">
      <c r="A46">
        <v>4</v>
      </c>
      <c r="B46">
        <v>1103</v>
      </c>
      <c r="C46" s="8">
        <v>1034</v>
      </c>
      <c r="D46" s="1">
        <f t="shared" si="3"/>
        <v>69</v>
      </c>
      <c r="F46" s="1"/>
      <c r="G46" s="1"/>
      <c r="H46" s="1"/>
    </row>
    <row r="47" spans="1:8" x14ac:dyDescent="0.25">
      <c r="A47" s="2">
        <v>5</v>
      </c>
      <c r="B47" s="2">
        <v>1140</v>
      </c>
      <c r="C47" s="8">
        <v>1140</v>
      </c>
      <c r="D47" s="1">
        <f t="shared" si="3"/>
        <v>0</v>
      </c>
      <c r="F47" s="1"/>
      <c r="G47" s="1"/>
      <c r="H47" s="1"/>
    </row>
    <row r="48" spans="1:8" x14ac:dyDescent="0.25">
      <c r="A48" t="s">
        <v>4</v>
      </c>
      <c r="B48">
        <f>SUM(B38:B47)</f>
        <v>5404</v>
      </c>
      <c r="C48" s="1"/>
      <c r="D48" s="1">
        <f>SUM(D38:D47)</f>
        <v>146</v>
      </c>
      <c r="E48" s="1"/>
      <c r="F48" s="1"/>
      <c r="G48" s="1"/>
      <c r="H48" s="1"/>
    </row>
    <row r="49" spans="1:8" x14ac:dyDescent="0.25">
      <c r="A49" s="23" t="s">
        <v>9</v>
      </c>
      <c r="B49" s="23"/>
      <c r="C49" s="23"/>
      <c r="D49" s="23"/>
      <c r="E49" s="23"/>
      <c r="F49" s="1"/>
      <c r="G49" s="1"/>
      <c r="H49" s="1"/>
    </row>
    <row r="50" spans="1:8" x14ac:dyDescent="0.25">
      <c r="A50" s="2">
        <v>2</v>
      </c>
      <c r="B50" s="2">
        <v>1206</v>
      </c>
      <c r="C50" s="1">
        <v>1206</v>
      </c>
      <c r="D50" s="1">
        <v>0</v>
      </c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E52" s="24" t="s">
        <v>29</v>
      </c>
      <c r="F52" s="24"/>
    </row>
    <row r="53" spans="1:8" x14ac:dyDescent="0.25">
      <c r="E53" t="s">
        <v>31</v>
      </c>
      <c r="F53">
        <v>14694</v>
      </c>
      <c r="G53" t="s">
        <v>6</v>
      </c>
    </row>
    <row r="54" spans="1:8" x14ac:dyDescent="0.25">
      <c r="E54" t="s">
        <v>35</v>
      </c>
      <c r="F54">
        <f>F53-F55</f>
        <v>14356</v>
      </c>
      <c r="G54">
        <f>(F54/F53)*100</f>
        <v>97.699741391043958</v>
      </c>
    </row>
    <row r="55" spans="1:8" x14ac:dyDescent="0.25">
      <c r="E55" t="s">
        <v>32</v>
      </c>
      <c r="F55">
        <f>192+146</f>
        <v>338</v>
      </c>
      <c r="G55">
        <f>(F55/F53)*100</f>
        <v>2.3002586089560366</v>
      </c>
    </row>
    <row r="56" spans="1:8" x14ac:dyDescent="0.25">
      <c r="E56" t="s">
        <v>33</v>
      </c>
      <c r="F56">
        <f>2699+1140+1206+338</f>
        <v>5383</v>
      </c>
      <c r="G56">
        <f>(F56/F53)*100</f>
        <v>36.63400027221995</v>
      </c>
    </row>
    <row r="57" spans="1:8" x14ac:dyDescent="0.25">
      <c r="E57" t="s">
        <v>34</v>
      </c>
      <c r="F57">
        <f>F53-F56</f>
        <v>9311</v>
      </c>
      <c r="G57">
        <f>100-G56</f>
        <v>63.36599972778005</v>
      </c>
    </row>
    <row r="59" spans="1:8" x14ac:dyDescent="0.25">
      <c r="A59" s="22" t="s">
        <v>10</v>
      </c>
      <c r="B59" s="22"/>
      <c r="C59" s="22"/>
      <c r="D59" s="22"/>
      <c r="E59" s="22"/>
      <c r="F59" s="22"/>
      <c r="G59" s="22"/>
      <c r="H59" s="22"/>
    </row>
    <row r="60" spans="1:8" x14ac:dyDescent="0.25">
      <c r="A60" s="23" t="s">
        <v>3</v>
      </c>
      <c r="B60" s="23"/>
      <c r="C60" s="23"/>
      <c r="D60" s="23"/>
      <c r="E60" s="23"/>
      <c r="F60" s="1"/>
      <c r="G60" s="1"/>
      <c r="H60" s="1"/>
    </row>
    <row r="61" spans="1:8" x14ac:dyDescent="0.25">
      <c r="A61" s="2">
        <v>6</v>
      </c>
      <c r="B61" s="2">
        <v>2699</v>
      </c>
      <c r="C61" s="1">
        <v>2699</v>
      </c>
      <c r="D61" s="1">
        <f>B61-C61</f>
        <v>0</v>
      </c>
      <c r="F61" s="1"/>
      <c r="G61" s="1"/>
      <c r="H61" s="1"/>
    </row>
    <row r="62" spans="1:8" x14ac:dyDescent="0.25">
      <c r="A62">
        <v>9</v>
      </c>
      <c r="B62">
        <v>2079</v>
      </c>
      <c r="C62" s="1">
        <v>2037</v>
      </c>
      <c r="D62" s="1">
        <f t="shared" ref="D62:D64" si="4">B62-C62</f>
        <v>42</v>
      </c>
      <c r="E62" s="1"/>
      <c r="F62" s="1"/>
      <c r="G62" s="1"/>
      <c r="H62" s="1"/>
    </row>
    <row r="63" spans="1:8" x14ac:dyDescent="0.25">
      <c r="A63">
        <v>10</v>
      </c>
      <c r="B63">
        <v>2053</v>
      </c>
      <c r="C63" s="1">
        <v>2023</v>
      </c>
      <c r="D63" s="1">
        <f t="shared" si="4"/>
        <v>30</v>
      </c>
      <c r="F63" s="1"/>
      <c r="G63" s="1"/>
      <c r="H63" s="1"/>
    </row>
    <row r="64" spans="1:8" x14ac:dyDescent="0.25">
      <c r="A64">
        <v>11</v>
      </c>
      <c r="B64">
        <v>1253</v>
      </c>
      <c r="C64" s="1">
        <v>1225</v>
      </c>
      <c r="D64" s="1">
        <f t="shared" si="4"/>
        <v>28</v>
      </c>
      <c r="F64" s="1"/>
      <c r="G64" s="1"/>
      <c r="H64" s="1"/>
    </row>
    <row r="65" spans="1:8" x14ac:dyDescent="0.25">
      <c r="A65" t="s">
        <v>4</v>
      </c>
      <c r="B65">
        <f>SUM(B61:B64)</f>
        <v>8084</v>
      </c>
      <c r="C65" s="1"/>
      <c r="D65" s="1">
        <f>SUM(D61:D64)</f>
        <v>100</v>
      </c>
      <c r="F65" s="1"/>
      <c r="G65" s="1"/>
      <c r="H65" s="1"/>
    </row>
    <row r="66" spans="1:8" x14ac:dyDescent="0.25">
      <c r="A66" s="23" t="s">
        <v>5</v>
      </c>
      <c r="B66" s="23"/>
      <c r="C66" s="23"/>
      <c r="D66" s="23"/>
      <c r="E66" s="23"/>
      <c r="F66" s="1"/>
      <c r="G66" s="1"/>
      <c r="H66" s="1"/>
    </row>
    <row r="67" spans="1:8" x14ac:dyDescent="0.25">
      <c r="A67">
        <v>15</v>
      </c>
      <c r="B67">
        <v>605</v>
      </c>
      <c r="C67" s="8">
        <v>603</v>
      </c>
      <c r="D67" s="1">
        <f>B67-C67</f>
        <v>2</v>
      </c>
      <c r="F67" s="1"/>
      <c r="G67" s="1"/>
      <c r="H67" s="1"/>
    </row>
    <row r="68" spans="1:8" x14ac:dyDescent="0.25">
      <c r="A68">
        <v>3</v>
      </c>
      <c r="B68">
        <v>24</v>
      </c>
      <c r="C68" s="8">
        <v>24</v>
      </c>
      <c r="D68" s="1">
        <f t="shared" ref="D68:D75" si="5">B68-C68</f>
        <v>0</v>
      </c>
      <c r="F68" s="1"/>
      <c r="G68" s="1"/>
      <c r="H68" s="1"/>
    </row>
    <row r="69" spans="1:8" x14ac:dyDescent="0.25">
      <c r="A69">
        <v>12</v>
      </c>
      <c r="B69">
        <v>224</v>
      </c>
      <c r="C69" s="8">
        <v>224</v>
      </c>
      <c r="D69" s="1">
        <f t="shared" si="5"/>
        <v>0</v>
      </c>
      <c r="F69" s="1"/>
      <c r="G69" s="1"/>
      <c r="H69" s="1"/>
    </row>
    <row r="70" spans="1:8" x14ac:dyDescent="0.25">
      <c r="A70">
        <v>7</v>
      </c>
      <c r="B70">
        <v>62</v>
      </c>
      <c r="C70" s="8">
        <v>61</v>
      </c>
      <c r="D70" s="1">
        <f t="shared" si="5"/>
        <v>1</v>
      </c>
      <c r="F70" s="1"/>
      <c r="G70" s="1"/>
      <c r="H70" s="1"/>
    </row>
    <row r="71" spans="1:8" x14ac:dyDescent="0.25">
      <c r="A71">
        <v>8</v>
      </c>
      <c r="B71">
        <v>332</v>
      </c>
      <c r="C71" s="8">
        <v>331</v>
      </c>
      <c r="D71" s="1">
        <f t="shared" si="5"/>
        <v>1</v>
      </c>
      <c r="F71" s="1"/>
      <c r="G71" s="1"/>
      <c r="H71" s="1"/>
    </row>
    <row r="72" spans="1:8" x14ac:dyDescent="0.25">
      <c r="A72">
        <v>13</v>
      </c>
      <c r="B72">
        <v>456</v>
      </c>
      <c r="C72" s="8">
        <v>455</v>
      </c>
      <c r="D72" s="1">
        <f t="shared" si="5"/>
        <v>1</v>
      </c>
      <c r="F72" s="1"/>
      <c r="G72" s="1"/>
      <c r="H72" s="1"/>
    </row>
    <row r="73" spans="1:8" x14ac:dyDescent="0.25">
      <c r="A73">
        <v>14</v>
      </c>
      <c r="B73">
        <v>790</v>
      </c>
      <c r="C73" s="8">
        <v>786</v>
      </c>
      <c r="D73" s="1">
        <f t="shared" si="5"/>
        <v>4</v>
      </c>
      <c r="F73" s="1"/>
      <c r="G73" s="1"/>
      <c r="H73" s="1"/>
    </row>
    <row r="74" spans="1:8" x14ac:dyDescent="0.25">
      <c r="A74">
        <v>1</v>
      </c>
      <c r="B74">
        <v>668</v>
      </c>
      <c r="C74" s="8">
        <v>664</v>
      </c>
      <c r="D74" s="1">
        <f t="shared" si="5"/>
        <v>4</v>
      </c>
      <c r="F74" s="1"/>
      <c r="G74" s="1"/>
      <c r="H74" s="1"/>
    </row>
    <row r="75" spans="1:8" x14ac:dyDescent="0.25">
      <c r="A75" s="2">
        <v>4</v>
      </c>
      <c r="B75" s="2">
        <v>1103</v>
      </c>
      <c r="C75" s="1">
        <v>1103</v>
      </c>
      <c r="D75" s="1">
        <f t="shared" si="5"/>
        <v>0</v>
      </c>
      <c r="E75" s="1"/>
      <c r="F75" s="1"/>
      <c r="G75" s="1"/>
      <c r="H75" s="1"/>
    </row>
    <row r="76" spans="1:8" x14ac:dyDescent="0.25">
      <c r="A76" t="s">
        <v>4</v>
      </c>
      <c r="D76" s="1">
        <f>SUM(D67:D75)</f>
        <v>13</v>
      </c>
      <c r="F76" s="1"/>
      <c r="G76" s="1"/>
      <c r="H76" s="1"/>
    </row>
    <row r="77" spans="1:8" x14ac:dyDescent="0.25">
      <c r="A77" s="23" t="s">
        <v>9</v>
      </c>
      <c r="B77" s="23"/>
      <c r="C77" s="23"/>
      <c r="D77" s="23"/>
      <c r="E77" s="23"/>
      <c r="F77" s="1"/>
      <c r="G77" s="1"/>
      <c r="H77" s="1"/>
    </row>
    <row r="78" spans="1:8" x14ac:dyDescent="0.25">
      <c r="A78" s="2">
        <v>2</v>
      </c>
      <c r="B78" s="2">
        <v>1206</v>
      </c>
      <c r="C78" s="8">
        <v>1206</v>
      </c>
      <c r="D78" s="1">
        <v>0</v>
      </c>
      <c r="E78" s="1"/>
      <c r="F78" s="1"/>
    </row>
    <row r="79" spans="1:8" x14ac:dyDescent="0.25">
      <c r="A79" s="23" t="s">
        <v>11</v>
      </c>
      <c r="B79" s="23"/>
      <c r="C79" s="23"/>
      <c r="D79" s="23"/>
      <c r="E79" s="23"/>
      <c r="F79" s="1"/>
    </row>
    <row r="80" spans="1:8" x14ac:dyDescent="0.25">
      <c r="A80" s="2">
        <v>5</v>
      </c>
      <c r="B80" s="2">
        <v>1140</v>
      </c>
      <c r="C80">
        <v>1140</v>
      </c>
      <c r="D80">
        <v>0</v>
      </c>
    </row>
    <row r="81" spans="1:8" x14ac:dyDescent="0.25">
      <c r="A81" s="1"/>
      <c r="B81" s="1"/>
      <c r="C81" s="1"/>
      <c r="D81" s="1"/>
      <c r="E81" s="1"/>
    </row>
    <row r="82" spans="1:8" x14ac:dyDescent="0.25">
      <c r="A82" s="1"/>
      <c r="B82" s="1"/>
      <c r="C82" s="1"/>
      <c r="D82" s="1"/>
      <c r="E82" s="1"/>
    </row>
    <row r="83" spans="1:8" x14ac:dyDescent="0.25">
      <c r="E83" s="24" t="s">
        <v>29</v>
      </c>
      <c r="F83" s="24"/>
    </row>
    <row r="84" spans="1:8" x14ac:dyDescent="0.25">
      <c r="E84" t="s">
        <v>31</v>
      </c>
      <c r="F84">
        <v>14694</v>
      </c>
      <c r="G84" t="s">
        <v>6</v>
      </c>
    </row>
    <row r="85" spans="1:8" x14ac:dyDescent="0.25">
      <c r="E85" t="s">
        <v>35</v>
      </c>
      <c r="F85">
        <f>F84-F86</f>
        <v>14581</v>
      </c>
      <c r="G85">
        <f>(F85/F84)*100</f>
        <v>99.230978630733631</v>
      </c>
    </row>
    <row r="86" spans="1:8" x14ac:dyDescent="0.25">
      <c r="E86" t="s">
        <v>32</v>
      </c>
      <c r="F86">
        <f>100+13</f>
        <v>113</v>
      </c>
      <c r="G86">
        <f>100-G85</f>
        <v>0.76902136926636899</v>
      </c>
    </row>
    <row r="87" spans="1:8" x14ac:dyDescent="0.25">
      <c r="E87" t="s">
        <v>33</v>
      </c>
      <c r="F87">
        <f>2699+1103+1206+1140</f>
        <v>6148</v>
      </c>
      <c r="G87">
        <f>(F87/F84)*100</f>
        <v>41.840206887164825</v>
      </c>
    </row>
    <row r="88" spans="1:8" x14ac:dyDescent="0.25">
      <c r="E88" t="s">
        <v>34</v>
      </c>
      <c r="F88">
        <f>F84-F87</f>
        <v>8546</v>
      </c>
      <c r="G88">
        <f>100-G87</f>
        <v>58.159793112835175</v>
      </c>
    </row>
    <row r="90" spans="1:8" x14ac:dyDescent="0.25">
      <c r="A90" s="22" t="s">
        <v>12</v>
      </c>
      <c r="B90" s="22"/>
      <c r="C90" s="22"/>
      <c r="D90" s="22"/>
      <c r="E90" s="22"/>
      <c r="F90" s="22"/>
      <c r="G90" s="22"/>
      <c r="H90" s="22"/>
    </row>
    <row r="91" spans="1:8" x14ac:dyDescent="0.25">
      <c r="A91" s="23" t="s">
        <v>3</v>
      </c>
      <c r="B91" s="23"/>
      <c r="C91" s="23"/>
      <c r="D91" s="23"/>
      <c r="E91" s="23"/>
    </row>
    <row r="92" spans="1:8" x14ac:dyDescent="0.25">
      <c r="A92" s="2">
        <v>6</v>
      </c>
      <c r="B92" s="2">
        <v>2699</v>
      </c>
      <c r="C92" s="1">
        <v>2699</v>
      </c>
      <c r="D92" s="1">
        <f>B92-C92</f>
        <v>0</v>
      </c>
    </row>
    <row r="93" spans="1:8" x14ac:dyDescent="0.25">
      <c r="A93">
        <v>9</v>
      </c>
      <c r="B93">
        <v>2079</v>
      </c>
      <c r="C93" s="1">
        <v>2063</v>
      </c>
      <c r="D93" s="1">
        <f t="shared" ref="D93:D94" si="6">B93-C93</f>
        <v>16</v>
      </c>
      <c r="E93" s="1"/>
    </row>
    <row r="94" spans="1:8" x14ac:dyDescent="0.25">
      <c r="A94">
        <v>10</v>
      </c>
      <c r="B94">
        <v>2053</v>
      </c>
      <c r="C94" s="1">
        <v>2039</v>
      </c>
      <c r="D94" s="1">
        <f t="shared" si="6"/>
        <v>14</v>
      </c>
    </row>
    <row r="95" spans="1:8" x14ac:dyDescent="0.25">
      <c r="A95" t="s">
        <v>4</v>
      </c>
      <c r="B95">
        <f>SUM(B91:B94)</f>
        <v>6831</v>
      </c>
      <c r="C95" s="1"/>
      <c r="D95" s="1">
        <f>SUM(D92:D94)</f>
        <v>30</v>
      </c>
    </row>
    <row r="96" spans="1:8" x14ac:dyDescent="0.25">
      <c r="A96" s="23" t="s">
        <v>5</v>
      </c>
      <c r="B96" s="23"/>
      <c r="C96" s="23"/>
      <c r="D96" s="23"/>
      <c r="E96" s="23"/>
    </row>
    <row r="97" spans="1:5" x14ac:dyDescent="0.25">
      <c r="A97">
        <v>15</v>
      </c>
      <c r="B97">
        <v>605</v>
      </c>
      <c r="C97" s="8">
        <v>605</v>
      </c>
      <c r="D97" s="8">
        <v>0</v>
      </c>
    </row>
    <row r="98" spans="1:5" x14ac:dyDescent="0.25">
      <c r="A98">
        <v>3</v>
      </c>
      <c r="B98">
        <v>24</v>
      </c>
      <c r="C98" s="8">
        <v>24</v>
      </c>
      <c r="D98" s="8">
        <v>0</v>
      </c>
    </row>
    <row r="99" spans="1:5" x14ac:dyDescent="0.25">
      <c r="A99">
        <v>12</v>
      </c>
      <c r="B99">
        <v>224</v>
      </c>
      <c r="C99" s="8">
        <v>224</v>
      </c>
      <c r="D99" s="8">
        <v>0</v>
      </c>
    </row>
    <row r="100" spans="1:5" x14ac:dyDescent="0.25">
      <c r="A100">
        <v>7</v>
      </c>
      <c r="B100">
        <v>62</v>
      </c>
      <c r="C100" s="8">
        <v>61</v>
      </c>
      <c r="D100" s="8">
        <v>1</v>
      </c>
    </row>
    <row r="101" spans="1:5" x14ac:dyDescent="0.25">
      <c r="A101">
        <v>8</v>
      </c>
      <c r="B101">
        <v>332</v>
      </c>
      <c r="C101" s="8">
        <v>331</v>
      </c>
      <c r="D101" s="8">
        <v>1</v>
      </c>
    </row>
    <row r="102" spans="1:5" x14ac:dyDescent="0.25">
      <c r="A102">
        <v>13</v>
      </c>
      <c r="B102">
        <v>456</v>
      </c>
      <c r="C102" s="8">
        <v>455</v>
      </c>
      <c r="D102" s="8">
        <v>1</v>
      </c>
    </row>
    <row r="103" spans="1:5" x14ac:dyDescent="0.25">
      <c r="A103">
        <v>14</v>
      </c>
      <c r="B103">
        <v>790</v>
      </c>
      <c r="C103" s="8">
        <v>788</v>
      </c>
      <c r="D103" s="8">
        <v>2</v>
      </c>
    </row>
    <row r="104" spans="1:5" x14ac:dyDescent="0.25">
      <c r="A104">
        <v>1</v>
      </c>
      <c r="B104">
        <v>668</v>
      </c>
      <c r="C104" s="8">
        <v>664</v>
      </c>
      <c r="D104" s="8">
        <v>4</v>
      </c>
    </row>
    <row r="105" spans="1:5" x14ac:dyDescent="0.25">
      <c r="A105" s="2">
        <v>4</v>
      </c>
      <c r="B105" s="2">
        <v>1103</v>
      </c>
      <c r="C105" s="1">
        <v>1103</v>
      </c>
      <c r="D105" s="1">
        <v>0</v>
      </c>
      <c r="E105" s="1"/>
    </row>
    <row r="106" spans="1:5" x14ac:dyDescent="0.25">
      <c r="A106" t="s">
        <v>4</v>
      </c>
      <c r="D106">
        <f>SUM(D97:D105)</f>
        <v>9</v>
      </c>
    </row>
    <row r="107" spans="1:5" x14ac:dyDescent="0.25">
      <c r="A107" s="23" t="s">
        <v>9</v>
      </c>
      <c r="B107" s="23"/>
      <c r="C107" s="23"/>
      <c r="D107" s="23"/>
      <c r="E107" s="23"/>
    </row>
    <row r="108" spans="1:5" x14ac:dyDescent="0.25">
      <c r="A108" s="2">
        <v>2</v>
      </c>
      <c r="B108" s="2">
        <v>1206</v>
      </c>
      <c r="C108" s="8">
        <v>1206</v>
      </c>
      <c r="D108" s="1">
        <v>0</v>
      </c>
      <c r="E108" s="1"/>
    </row>
    <row r="109" spans="1:5" x14ac:dyDescent="0.25">
      <c r="A109" s="23" t="s">
        <v>11</v>
      </c>
      <c r="B109" s="23"/>
      <c r="C109" s="23"/>
      <c r="D109" s="23"/>
      <c r="E109" s="23"/>
    </row>
    <row r="110" spans="1:5" x14ac:dyDescent="0.25">
      <c r="A110" s="2">
        <v>5</v>
      </c>
      <c r="B110" s="2">
        <v>1140</v>
      </c>
      <c r="C110">
        <v>1140</v>
      </c>
      <c r="D110">
        <v>0</v>
      </c>
    </row>
    <row r="111" spans="1:5" x14ac:dyDescent="0.25">
      <c r="A111" s="23" t="s">
        <v>13</v>
      </c>
      <c r="B111" s="23"/>
      <c r="C111" s="23"/>
      <c r="D111" s="23"/>
      <c r="E111" s="23"/>
    </row>
    <row r="112" spans="1:5" x14ac:dyDescent="0.25">
      <c r="A112" s="20">
        <v>11</v>
      </c>
      <c r="B112" s="20">
        <v>1253</v>
      </c>
      <c r="C112" s="21">
        <v>1253</v>
      </c>
      <c r="D112" s="21">
        <v>0</v>
      </c>
      <c r="E112" s="21"/>
    </row>
    <row r="113" spans="1:8" x14ac:dyDescent="0.25">
      <c r="A113" s="1"/>
      <c r="B113" s="1"/>
      <c r="C113" s="1"/>
      <c r="D113" s="1"/>
      <c r="E113" s="1"/>
    </row>
    <row r="114" spans="1:8" x14ac:dyDescent="0.25">
      <c r="A114" s="1"/>
      <c r="B114" s="1"/>
      <c r="C114" s="1"/>
      <c r="D114" s="1"/>
      <c r="E114" s="1"/>
    </row>
    <row r="115" spans="1:8" x14ac:dyDescent="0.25">
      <c r="A115" s="1"/>
      <c r="B115" s="1"/>
      <c r="C115" s="1"/>
      <c r="D115" s="1"/>
      <c r="E115" s="1"/>
    </row>
    <row r="116" spans="1:8" x14ac:dyDescent="0.25">
      <c r="E116" s="24" t="s">
        <v>29</v>
      </c>
      <c r="F116" s="24"/>
    </row>
    <row r="117" spans="1:8" x14ac:dyDescent="0.25">
      <c r="E117" t="s">
        <v>31</v>
      </c>
      <c r="F117">
        <v>14694</v>
      </c>
      <c r="G117" t="s">
        <v>6</v>
      </c>
    </row>
    <row r="118" spans="1:8" x14ac:dyDescent="0.25">
      <c r="E118" t="s">
        <v>35</v>
      </c>
      <c r="F118">
        <f>F117-F119</f>
        <v>14655</v>
      </c>
      <c r="G118">
        <f>(F118/F117)*100</f>
        <v>99.734585545120453</v>
      </c>
    </row>
    <row r="119" spans="1:8" x14ac:dyDescent="0.25">
      <c r="E119" t="s">
        <v>32</v>
      </c>
      <c r="F119">
        <f>30+9</f>
        <v>39</v>
      </c>
      <c r="G119">
        <f>100-G118</f>
        <v>0.26541445487954718</v>
      </c>
    </row>
    <row r="120" spans="1:8" x14ac:dyDescent="0.25">
      <c r="E120" t="s">
        <v>33</v>
      </c>
      <c r="F120">
        <f>2699+1103+1206+1140+1253+39</f>
        <v>7440</v>
      </c>
      <c r="G120">
        <f>(F120/F117)*100</f>
        <v>50.632911392405063</v>
      </c>
    </row>
    <row r="121" spans="1:8" x14ac:dyDescent="0.25">
      <c r="E121" t="s">
        <v>34</v>
      </c>
      <c r="F121">
        <f>F117-F120</f>
        <v>7254</v>
      </c>
      <c r="G121">
        <f>100-G120</f>
        <v>49.367088607594937</v>
      </c>
    </row>
    <row r="122" spans="1:8" x14ac:dyDescent="0.25">
      <c r="A122" s="22" t="s">
        <v>45</v>
      </c>
      <c r="B122" s="22"/>
      <c r="C122" s="22"/>
      <c r="D122" s="22"/>
      <c r="E122" s="22"/>
      <c r="F122" s="22"/>
      <c r="G122" s="22"/>
      <c r="H122" s="22"/>
    </row>
    <row r="123" spans="1:8" x14ac:dyDescent="0.25">
      <c r="A123" s="23" t="s">
        <v>3</v>
      </c>
      <c r="B123" s="23"/>
      <c r="C123" s="23"/>
      <c r="D123" s="23"/>
      <c r="E123" s="23"/>
    </row>
    <row r="124" spans="1:8" x14ac:dyDescent="0.25">
      <c r="A124" s="2">
        <v>6</v>
      </c>
      <c r="B124" s="2">
        <v>2699</v>
      </c>
      <c r="C124">
        <v>2699</v>
      </c>
      <c r="D124">
        <f>B124-C124</f>
        <v>0</v>
      </c>
    </row>
    <row r="125" spans="1:8" x14ac:dyDescent="0.25">
      <c r="A125">
        <v>9</v>
      </c>
      <c r="B125">
        <v>2079</v>
      </c>
      <c r="C125">
        <v>1870</v>
      </c>
      <c r="D125">
        <f t="shared" ref="D125:D138" si="7">B125-C125</f>
        <v>209</v>
      </c>
    </row>
    <row r="126" spans="1:8" x14ac:dyDescent="0.25">
      <c r="A126">
        <v>10</v>
      </c>
      <c r="B126">
        <v>2053</v>
      </c>
      <c r="C126">
        <v>1864</v>
      </c>
      <c r="D126">
        <f t="shared" si="7"/>
        <v>189</v>
      </c>
    </row>
    <row r="127" spans="1:8" x14ac:dyDescent="0.25">
      <c r="A127">
        <v>11</v>
      </c>
      <c r="B127">
        <v>1253</v>
      </c>
      <c r="C127">
        <v>1101</v>
      </c>
      <c r="D127">
        <f t="shared" si="7"/>
        <v>152</v>
      </c>
    </row>
    <row r="128" spans="1:8" x14ac:dyDescent="0.25">
      <c r="A128" s="1">
        <v>2</v>
      </c>
      <c r="B128" s="1">
        <v>1206</v>
      </c>
      <c r="C128">
        <v>1110</v>
      </c>
      <c r="D128">
        <f t="shared" si="7"/>
        <v>96</v>
      </c>
    </row>
    <row r="129" spans="1:7" x14ac:dyDescent="0.25">
      <c r="A129">
        <v>15</v>
      </c>
      <c r="B129">
        <v>605</v>
      </c>
      <c r="C129">
        <v>597</v>
      </c>
      <c r="D129">
        <f t="shared" si="7"/>
        <v>8</v>
      </c>
    </row>
    <row r="130" spans="1:7" x14ac:dyDescent="0.25">
      <c r="A130">
        <v>3</v>
      </c>
      <c r="B130">
        <v>24</v>
      </c>
      <c r="C130">
        <v>20</v>
      </c>
      <c r="D130">
        <f t="shared" si="7"/>
        <v>4</v>
      </c>
    </row>
    <row r="131" spans="1:7" x14ac:dyDescent="0.25">
      <c r="A131">
        <v>12</v>
      </c>
      <c r="B131">
        <v>224</v>
      </c>
      <c r="C131">
        <v>221</v>
      </c>
      <c r="D131">
        <f t="shared" si="7"/>
        <v>3</v>
      </c>
    </row>
    <row r="132" spans="1:7" x14ac:dyDescent="0.25">
      <c r="A132">
        <v>7</v>
      </c>
      <c r="B132">
        <v>62</v>
      </c>
      <c r="C132">
        <v>58</v>
      </c>
      <c r="D132">
        <f t="shared" si="7"/>
        <v>4</v>
      </c>
    </row>
    <row r="133" spans="1:7" x14ac:dyDescent="0.25">
      <c r="A133">
        <v>8</v>
      </c>
      <c r="B133">
        <v>332</v>
      </c>
      <c r="C133">
        <v>327</v>
      </c>
      <c r="D133">
        <f t="shared" si="7"/>
        <v>5</v>
      </c>
    </row>
    <row r="134" spans="1:7" x14ac:dyDescent="0.25">
      <c r="A134">
        <v>13</v>
      </c>
      <c r="B134">
        <v>456</v>
      </c>
      <c r="C134">
        <v>438</v>
      </c>
      <c r="D134">
        <f t="shared" si="7"/>
        <v>18</v>
      </c>
    </row>
    <row r="135" spans="1:7" x14ac:dyDescent="0.25">
      <c r="A135">
        <v>1</v>
      </c>
      <c r="B135">
        <v>668</v>
      </c>
      <c r="C135">
        <v>585</v>
      </c>
      <c r="D135">
        <f t="shared" si="7"/>
        <v>83</v>
      </c>
    </row>
    <row r="136" spans="1:7" x14ac:dyDescent="0.25">
      <c r="A136">
        <v>14</v>
      </c>
      <c r="B136">
        <v>790</v>
      </c>
      <c r="C136">
        <v>744</v>
      </c>
      <c r="D136">
        <f t="shared" si="7"/>
        <v>46</v>
      </c>
    </row>
    <row r="137" spans="1:7" x14ac:dyDescent="0.25">
      <c r="A137">
        <v>4</v>
      </c>
      <c r="B137">
        <v>1103</v>
      </c>
      <c r="C137">
        <v>966</v>
      </c>
      <c r="D137">
        <f t="shared" si="7"/>
        <v>137</v>
      </c>
    </row>
    <row r="138" spans="1:7" x14ac:dyDescent="0.25">
      <c r="A138" s="1">
        <v>5</v>
      </c>
      <c r="B138" s="1">
        <v>1140</v>
      </c>
      <c r="C138">
        <v>1052</v>
      </c>
      <c r="D138">
        <f t="shared" si="7"/>
        <v>88</v>
      </c>
    </row>
    <row r="139" spans="1:7" x14ac:dyDescent="0.25">
      <c r="A139" t="s">
        <v>4</v>
      </c>
      <c r="B139">
        <f>SUM(B124:B138)</f>
        <v>14694</v>
      </c>
      <c r="C139">
        <f>SUM(C124:C138)</f>
        <v>13652</v>
      </c>
      <c r="D139">
        <f>SUM(D124:D138)</f>
        <v>1042</v>
      </c>
    </row>
    <row r="140" spans="1:7" x14ac:dyDescent="0.25">
      <c r="E140" s="24" t="s">
        <v>29</v>
      </c>
      <c r="F140" s="24"/>
      <c r="G140" t="s">
        <v>6</v>
      </c>
    </row>
    <row r="141" spans="1:7" x14ac:dyDescent="0.25">
      <c r="E141" t="s">
        <v>31</v>
      </c>
      <c r="F141">
        <v>14694</v>
      </c>
    </row>
    <row r="142" spans="1:7" x14ac:dyDescent="0.25">
      <c r="E142" t="s">
        <v>35</v>
      </c>
      <c r="F142">
        <v>13652</v>
      </c>
      <c r="G142">
        <f>(F142/F141)*100</f>
        <v>92.908670205526064</v>
      </c>
    </row>
    <row r="143" spans="1:7" x14ac:dyDescent="0.25">
      <c r="E143" t="s">
        <v>32</v>
      </c>
      <c r="F143">
        <v>1042</v>
      </c>
      <c r="G143">
        <f>100-G142</f>
        <v>7.0913297944739355</v>
      </c>
    </row>
    <row r="144" spans="1:7" x14ac:dyDescent="0.25">
      <c r="E144" t="s">
        <v>33</v>
      </c>
      <c r="F144">
        <f>2699+1042</f>
        <v>3741</v>
      </c>
      <c r="G144">
        <f>(F144/F141)*100</f>
        <v>25.459371171906902</v>
      </c>
    </row>
    <row r="145" spans="5:7" x14ac:dyDescent="0.25">
      <c r="E145" t="s">
        <v>34</v>
      </c>
      <c r="F145">
        <f>14694-3741</f>
        <v>10953</v>
      </c>
      <c r="G145">
        <f>100-G144</f>
        <v>74.540628828093105</v>
      </c>
    </row>
  </sheetData>
  <mergeCells count="25">
    <mergeCell ref="A122:H122"/>
    <mergeCell ref="A123:E123"/>
    <mergeCell ref="E140:F140"/>
    <mergeCell ref="E116:F116"/>
    <mergeCell ref="E23:F23"/>
    <mergeCell ref="A91:E91"/>
    <mergeCell ref="A96:E96"/>
    <mergeCell ref="A107:E107"/>
    <mergeCell ref="A109:E109"/>
    <mergeCell ref="A111:E111"/>
    <mergeCell ref="A2:H2"/>
    <mergeCell ref="A77:E77"/>
    <mergeCell ref="E83:F83"/>
    <mergeCell ref="A90:H90"/>
    <mergeCell ref="A37:E37"/>
    <mergeCell ref="E52:F52"/>
    <mergeCell ref="A59:H59"/>
    <mergeCell ref="A60:E60"/>
    <mergeCell ref="A66:E66"/>
    <mergeCell ref="A3:E3"/>
    <mergeCell ref="A10:E10"/>
    <mergeCell ref="A30:H30"/>
    <mergeCell ref="A31:E31"/>
    <mergeCell ref="A49:E49"/>
    <mergeCell ref="A79:E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cols>
    <col min="2" max="2" width="13.28515625" bestFit="1" customWidth="1"/>
  </cols>
  <sheetData>
    <row r="1" spans="1:2" x14ac:dyDescent="0.25">
      <c r="A1" s="24" t="s">
        <v>14</v>
      </c>
      <c r="B1" s="24"/>
    </row>
    <row r="2" spans="1:2" x14ac:dyDescent="0.25">
      <c r="A2" s="4"/>
      <c r="B2" t="s">
        <v>15</v>
      </c>
    </row>
    <row r="3" spans="1:2" x14ac:dyDescent="0.25">
      <c r="A3" s="6"/>
      <c r="B3" t="s">
        <v>16</v>
      </c>
    </row>
    <row r="4" spans="1:2" x14ac:dyDescent="0.25">
      <c r="A4" s="7"/>
      <c r="B4" t="s">
        <v>17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opLeftCell="AA1" workbookViewId="0">
      <selection activeCell="AL12" sqref="AL12"/>
    </sheetView>
  </sheetViews>
  <sheetFormatPr defaultRowHeight="15" x14ac:dyDescent="0.25"/>
  <cols>
    <col min="4" max="4" width="11" customWidth="1"/>
    <col min="5" max="5" width="9.7109375" customWidth="1"/>
    <col min="6" max="6" width="10.85546875" customWidth="1"/>
    <col min="7" max="7" width="11.5703125" customWidth="1"/>
    <col min="8" max="8" width="11" customWidth="1"/>
    <col min="9" max="9" width="9.7109375" customWidth="1"/>
    <col min="10" max="10" width="10.85546875" customWidth="1"/>
    <col min="11" max="11" width="11.5703125" customWidth="1"/>
    <col min="12" max="12" width="11" customWidth="1"/>
    <col min="13" max="13" width="9.7109375" customWidth="1"/>
    <col min="14" max="14" width="10.85546875" customWidth="1"/>
    <col min="15" max="15" width="11.5703125" customWidth="1"/>
    <col min="16" max="16" width="11" customWidth="1"/>
    <col min="17" max="17" width="9.7109375" customWidth="1"/>
    <col min="18" max="18" width="10.85546875" customWidth="1"/>
    <col min="19" max="19" width="11.5703125" customWidth="1"/>
    <col min="20" max="20" width="11" customWidth="1"/>
    <col min="21" max="21" width="9.7109375" customWidth="1"/>
    <col min="22" max="22" width="10.85546875" customWidth="1"/>
    <col min="23" max="23" width="11.5703125" customWidth="1"/>
    <col min="24" max="24" width="11" customWidth="1"/>
    <col min="25" max="25" width="9.7109375" customWidth="1"/>
    <col min="26" max="26" width="10.85546875" customWidth="1"/>
    <col min="27" max="27" width="11.5703125" customWidth="1"/>
    <col min="28" max="28" width="11" customWidth="1"/>
    <col min="29" max="29" width="9.7109375" customWidth="1"/>
    <col min="30" max="30" width="10.85546875" customWidth="1"/>
    <col min="31" max="31" width="11.5703125" customWidth="1"/>
    <col min="32" max="32" width="11" customWidth="1"/>
    <col min="33" max="33" width="9.7109375" customWidth="1"/>
    <col min="34" max="34" width="10.85546875" customWidth="1"/>
    <col min="35" max="35" width="11.5703125" customWidth="1"/>
    <col min="36" max="36" width="11" customWidth="1"/>
    <col min="37" max="37" width="9.7109375" customWidth="1"/>
    <col min="38" max="38" width="10.85546875" customWidth="1"/>
    <col min="39" max="39" width="11.5703125" customWidth="1"/>
    <col min="40" max="40" width="11" customWidth="1"/>
    <col min="41" max="41" width="9.7109375" customWidth="1"/>
    <col min="42" max="42" width="10.85546875" customWidth="1"/>
    <col min="43" max="43" width="11.5703125" customWidth="1"/>
  </cols>
  <sheetData>
    <row r="1" spans="1:43" x14ac:dyDescent="0.25">
      <c r="D1" s="25" t="s">
        <v>18</v>
      </c>
      <c r="E1" s="26"/>
      <c r="F1" s="26"/>
      <c r="G1" s="26"/>
      <c r="H1" s="26"/>
      <c r="I1" s="26"/>
      <c r="J1" s="26"/>
      <c r="K1" s="27"/>
      <c r="L1" s="25" t="s">
        <v>19</v>
      </c>
      <c r="M1" s="26"/>
      <c r="N1" s="26"/>
      <c r="O1" s="26"/>
      <c r="P1" s="26"/>
      <c r="Q1" s="26"/>
      <c r="R1" s="26"/>
      <c r="S1" s="27"/>
      <c r="T1" s="25" t="s">
        <v>20</v>
      </c>
      <c r="U1" s="26"/>
      <c r="V1" s="26"/>
      <c r="W1" s="26"/>
      <c r="X1" s="26"/>
      <c r="Y1" s="26"/>
      <c r="Z1" s="26"/>
      <c r="AA1" s="27"/>
      <c r="AB1" s="25" t="s">
        <v>21</v>
      </c>
      <c r="AC1" s="26"/>
      <c r="AD1" s="26"/>
      <c r="AE1" s="26"/>
      <c r="AF1" s="26"/>
      <c r="AG1" s="26"/>
      <c r="AH1" s="26"/>
      <c r="AI1" s="27"/>
      <c r="AJ1" s="25" t="s">
        <v>46</v>
      </c>
      <c r="AK1" s="26"/>
      <c r="AL1" s="26"/>
      <c r="AM1" s="26"/>
      <c r="AN1" s="26"/>
      <c r="AO1" s="26"/>
      <c r="AP1" s="26"/>
      <c r="AQ1" s="27"/>
    </row>
    <row r="2" spans="1:43" ht="30" x14ac:dyDescent="0.25">
      <c r="A2" s="6" t="s">
        <v>22</v>
      </c>
      <c r="B2" s="6" t="s">
        <v>24</v>
      </c>
      <c r="C2" s="6" t="s">
        <v>23</v>
      </c>
      <c r="D2" s="16" t="s">
        <v>35</v>
      </c>
      <c r="E2" s="17" t="s">
        <v>32</v>
      </c>
      <c r="F2" s="17" t="s">
        <v>40</v>
      </c>
      <c r="G2" s="17" t="s">
        <v>39</v>
      </c>
      <c r="H2" s="17" t="s">
        <v>36</v>
      </c>
      <c r="I2" s="17" t="s">
        <v>37</v>
      </c>
      <c r="J2" s="17" t="s">
        <v>38</v>
      </c>
      <c r="K2" s="18" t="s">
        <v>41</v>
      </c>
      <c r="L2" s="16" t="s">
        <v>35</v>
      </c>
      <c r="M2" s="17" t="s">
        <v>32</v>
      </c>
      <c r="N2" s="17" t="s">
        <v>40</v>
      </c>
      <c r="O2" s="17" t="s">
        <v>39</v>
      </c>
      <c r="P2" s="17" t="s">
        <v>36</v>
      </c>
      <c r="Q2" s="17" t="s">
        <v>37</v>
      </c>
      <c r="R2" s="17" t="s">
        <v>38</v>
      </c>
      <c r="S2" s="18" t="s">
        <v>42</v>
      </c>
      <c r="T2" s="16" t="s">
        <v>35</v>
      </c>
      <c r="U2" s="17" t="s">
        <v>32</v>
      </c>
      <c r="V2" s="17" t="s">
        <v>40</v>
      </c>
      <c r="W2" s="17" t="s">
        <v>39</v>
      </c>
      <c r="X2" s="17" t="s">
        <v>36</v>
      </c>
      <c r="Y2" s="17" t="s">
        <v>37</v>
      </c>
      <c r="Z2" s="17" t="s">
        <v>38</v>
      </c>
      <c r="AA2" s="18" t="s">
        <v>43</v>
      </c>
      <c r="AB2" s="16" t="s">
        <v>35</v>
      </c>
      <c r="AC2" s="17" t="s">
        <v>32</v>
      </c>
      <c r="AD2" s="17" t="s">
        <v>40</v>
      </c>
      <c r="AE2" s="17" t="s">
        <v>39</v>
      </c>
      <c r="AF2" s="17" t="s">
        <v>36</v>
      </c>
      <c r="AG2" s="17" t="s">
        <v>37</v>
      </c>
      <c r="AH2" s="17" t="s">
        <v>38</v>
      </c>
      <c r="AI2" s="18" t="s">
        <v>44</v>
      </c>
      <c r="AJ2" s="16" t="s">
        <v>35</v>
      </c>
      <c r="AK2" s="17" t="s">
        <v>32</v>
      </c>
      <c r="AL2" s="17" t="s">
        <v>40</v>
      </c>
      <c r="AM2" s="17" t="s">
        <v>39</v>
      </c>
      <c r="AN2" s="17" t="s">
        <v>36</v>
      </c>
      <c r="AO2" s="17" t="s">
        <v>37</v>
      </c>
      <c r="AP2" s="17" t="s">
        <v>38</v>
      </c>
      <c r="AQ2" s="18" t="s">
        <v>47</v>
      </c>
    </row>
    <row r="3" spans="1:43" x14ac:dyDescent="0.25">
      <c r="A3" s="6">
        <v>1</v>
      </c>
      <c r="B3" s="9" t="s">
        <v>25</v>
      </c>
      <c r="C3">
        <v>8494</v>
      </c>
      <c r="D3" s="10">
        <f>2288+5755</f>
        <v>8043</v>
      </c>
      <c r="E3" s="11">
        <f>C3-D3</f>
        <v>451</v>
      </c>
      <c r="F3" s="11">
        <f>1860+1811+451</f>
        <v>4122</v>
      </c>
      <c r="G3" s="11">
        <f>C3-F3</f>
        <v>4372</v>
      </c>
      <c r="H3" s="11">
        <f>(D3/C3)*100</f>
        <v>94.690369672710148</v>
      </c>
      <c r="I3" s="11">
        <f>(E3/C3*100)</f>
        <v>5.3096303272898515</v>
      </c>
      <c r="J3" s="11">
        <f>(F3/C3)*100</f>
        <v>48.528372969154695</v>
      </c>
      <c r="K3" s="12">
        <f>(G3/C3)*100</f>
        <v>51.471627030845305</v>
      </c>
      <c r="L3" s="10">
        <v>8232</v>
      </c>
      <c r="M3" s="11">
        <f>C3-L3</f>
        <v>262</v>
      </c>
      <c r="N3" s="8">
        <v>4696</v>
      </c>
      <c r="O3" s="11">
        <f>C3-N3</f>
        <v>3798</v>
      </c>
      <c r="P3" s="11">
        <f>(L3/C3)*100</f>
        <v>96.915469743348254</v>
      </c>
      <c r="Q3" s="11">
        <f>(M3/C3)*100</f>
        <v>3.0845302566517541</v>
      </c>
      <c r="R3" s="11">
        <f>(N3/C3)*100</f>
        <v>55.286084294796325</v>
      </c>
      <c r="S3" s="12">
        <f>(O3/C3)*100</f>
        <v>44.713915705203675</v>
      </c>
      <c r="T3" s="10">
        <v>8299</v>
      </c>
      <c r="U3" s="11">
        <f>C3-T3</f>
        <v>195</v>
      </c>
      <c r="V3" s="11">
        <v>4813</v>
      </c>
      <c r="W3" s="11">
        <f>C3-V3</f>
        <v>3681</v>
      </c>
      <c r="X3" s="11">
        <f>(T3/C3)*100</f>
        <v>97.704261831881325</v>
      </c>
      <c r="Y3" s="11">
        <f>(U3/C3)*100</f>
        <v>2.2957381681186719</v>
      </c>
      <c r="Z3" s="11">
        <f>(V3/C3)*100</f>
        <v>56.663527195667527</v>
      </c>
      <c r="AA3" s="12">
        <f>(W3/C3)*100</f>
        <v>43.336472804332473</v>
      </c>
      <c r="AB3" s="10">
        <v>8311</v>
      </c>
      <c r="AC3" s="11">
        <f>C3-AB3</f>
        <v>183</v>
      </c>
      <c r="AD3" s="11">
        <v>4989</v>
      </c>
      <c r="AE3" s="11">
        <f>C3-AD3</f>
        <v>3505</v>
      </c>
      <c r="AF3" s="11">
        <f>(AB3/C3)*100</f>
        <v>97.845538026842476</v>
      </c>
      <c r="AG3" s="11">
        <f>(AC3/C3)*100</f>
        <v>2.154461973157523</v>
      </c>
      <c r="AH3" s="11">
        <f>(AD3/C3)*100</f>
        <v>58.735578055097712</v>
      </c>
      <c r="AI3" s="12">
        <f>(AE3/C3)*100</f>
        <v>41.264421944902288</v>
      </c>
      <c r="AJ3" s="10">
        <v>6038</v>
      </c>
      <c r="AK3" s="11">
        <v>2456</v>
      </c>
      <c r="AL3" s="11">
        <f>1860+2456</f>
        <v>4316</v>
      </c>
      <c r="AM3" s="11">
        <f>8494-4316</f>
        <v>4178</v>
      </c>
      <c r="AN3" s="11">
        <v>71.085472097951495</v>
      </c>
      <c r="AO3" s="11">
        <v>28.914527902048505</v>
      </c>
      <c r="AP3" s="11">
        <v>50.812338121026613</v>
      </c>
      <c r="AQ3" s="12">
        <v>49.187661878973387</v>
      </c>
    </row>
    <row r="4" spans="1:43" x14ac:dyDescent="0.25">
      <c r="A4" s="6">
        <v>2</v>
      </c>
      <c r="B4" s="9" t="s">
        <v>25</v>
      </c>
      <c r="C4">
        <v>12212</v>
      </c>
      <c r="D4" s="10">
        <v>11660</v>
      </c>
      <c r="E4" s="11">
        <f t="shared" ref="E4:E10" si="0">C4-D4</f>
        <v>552</v>
      </c>
      <c r="F4" s="11">
        <v>4790</v>
      </c>
      <c r="G4" s="11">
        <f t="shared" ref="G4:G10" si="1">C4-F4</f>
        <v>7422</v>
      </c>
      <c r="H4" s="11">
        <f t="shared" ref="H4:H10" si="2">(D4/C4)*100</f>
        <v>95.479855879462832</v>
      </c>
      <c r="I4" s="11">
        <f t="shared" ref="I4:I10" si="3">(E4/C4*100)</f>
        <v>4.520144120537176</v>
      </c>
      <c r="J4" s="11">
        <f t="shared" ref="J4:J10" si="4">(F4/C4)*100</f>
        <v>39.223714379299054</v>
      </c>
      <c r="K4" s="12">
        <f t="shared" ref="K4:K10" si="5">(G4/C4)*100</f>
        <v>60.776285620700953</v>
      </c>
      <c r="L4" s="10">
        <v>11706</v>
      </c>
      <c r="M4" s="11">
        <f t="shared" ref="M4:M10" si="6">C4-L4</f>
        <v>506</v>
      </c>
      <c r="N4" s="8">
        <v>5434</v>
      </c>
      <c r="O4" s="11">
        <f t="shared" ref="O4:O10" si="7">C4-N4</f>
        <v>6778</v>
      </c>
      <c r="P4" s="11">
        <f t="shared" ref="P4:P10" si="8">(L4/C4)*100</f>
        <v>95.856534556174253</v>
      </c>
      <c r="Q4" s="11">
        <f t="shared" ref="Q4:Q10" si="9">(M4/C4)*100</f>
        <v>4.143465443825745</v>
      </c>
      <c r="R4" s="11">
        <f t="shared" ref="R4:R10" si="10">(N4/C4)*100</f>
        <v>44.497215853259085</v>
      </c>
      <c r="S4" s="12">
        <f t="shared" ref="S4:S10" si="11">(O4/C4)*100</f>
        <v>55.502784146740915</v>
      </c>
      <c r="T4" s="10">
        <v>11963</v>
      </c>
      <c r="U4" s="11">
        <f t="shared" ref="U4:U10" si="12">C4-T4</f>
        <v>249</v>
      </c>
      <c r="V4" s="11">
        <v>6232</v>
      </c>
      <c r="W4" s="11">
        <f t="shared" ref="W4:W10" si="13">C4-V4</f>
        <v>5980</v>
      </c>
      <c r="X4" s="11">
        <f t="shared" ref="X4:X10" si="14">(T4/C4)*100</f>
        <v>97.961021945627252</v>
      </c>
      <c r="Y4" s="11">
        <f t="shared" ref="Y4:Y10" si="15">(U4/C4)*100</f>
        <v>2.0389780543727483</v>
      </c>
      <c r="Z4" s="11">
        <f t="shared" ref="Z4:Z10" si="16">(V4/C4)*100</f>
        <v>51.031772027513924</v>
      </c>
      <c r="AA4" s="12">
        <f t="shared" ref="AA4:AA10" si="17">(W4/C4)*100</f>
        <v>48.968227972486076</v>
      </c>
      <c r="AB4" s="10">
        <v>12097</v>
      </c>
      <c r="AC4" s="11">
        <f t="shared" ref="AC4:AC10" si="18">C4-AB4</f>
        <v>115</v>
      </c>
      <c r="AD4" s="11">
        <v>8133</v>
      </c>
      <c r="AE4" s="11">
        <f t="shared" ref="AE4:AE10" si="19">C4-AD4</f>
        <v>4079</v>
      </c>
      <c r="AF4" s="11">
        <f t="shared" ref="AF4:AF10" si="20">(AB4/C4)*100</f>
        <v>99.058303308221411</v>
      </c>
      <c r="AG4" s="11">
        <f t="shared" ref="AG4:AG10" si="21">(AC4/C4)*100</f>
        <v>0.9416966917785784</v>
      </c>
      <c r="AH4" s="11">
        <f t="shared" ref="AH4:AH10" si="22">(AD4/C4)*100</f>
        <v>66.598427775958072</v>
      </c>
      <c r="AI4" s="12">
        <f t="shared" ref="AI4:AI10" si="23">(AE4/C4)*100</f>
        <v>33.401572224041928</v>
      </c>
      <c r="AJ4" s="10">
        <v>10102</v>
      </c>
      <c r="AK4" s="11">
        <v>2110</v>
      </c>
      <c r="AL4" s="11">
        <f>2275+2110</f>
        <v>4385</v>
      </c>
      <c r="AM4" s="11">
        <f>12212-4385</f>
        <v>7827</v>
      </c>
      <c r="AN4" s="11">
        <v>82.72191287258434</v>
      </c>
      <c r="AO4" s="11">
        <v>17.27808712741566</v>
      </c>
      <c r="AP4" s="11">
        <v>35.907304290861447</v>
      </c>
      <c r="AQ4" s="12">
        <v>64.092695709138553</v>
      </c>
    </row>
    <row r="5" spans="1:43" x14ac:dyDescent="0.25">
      <c r="A5" s="6">
        <v>3</v>
      </c>
      <c r="B5" s="9" t="s">
        <v>26</v>
      </c>
      <c r="C5">
        <v>16491</v>
      </c>
      <c r="D5" s="10">
        <v>16413</v>
      </c>
      <c r="E5" s="11">
        <f t="shared" si="0"/>
        <v>78</v>
      </c>
      <c r="F5" s="11">
        <v>5376</v>
      </c>
      <c r="G5" s="11">
        <f t="shared" si="1"/>
        <v>11115</v>
      </c>
      <c r="H5" s="11">
        <f t="shared" si="2"/>
        <v>99.527014735310175</v>
      </c>
      <c r="I5" s="11">
        <f t="shared" si="3"/>
        <v>0.47298526468983082</v>
      </c>
      <c r="J5" s="11">
        <f t="shared" si="4"/>
        <v>32.599599781699105</v>
      </c>
      <c r="K5" s="12">
        <f t="shared" si="5"/>
        <v>67.400400218300888</v>
      </c>
      <c r="L5" s="10">
        <v>16458</v>
      </c>
      <c r="M5" s="11">
        <f t="shared" si="6"/>
        <v>33</v>
      </c>
      <c r="N5" s="8">
        <v>6384</v>
      </c>
      <c r="O5" s="11">
        <f t="shared" si="7"/>
        <v>10107</v>
      </c>
      <c r="P5" s="11">
        <f t="shared" si="8"/>
        <v>99.799890849554302</v>
      </c>
      <c r="Q5" s="11">
        <f t="shared" si="9"/>
        <v>0.20010915044569766</v>
      </c>
      <c r="R5" s="11">
        <f t="shared" si="10"/>
        <v>38.712024740767689</v>
      </c>
      <c r="S5" s="12">
        <f t="shared" si="11"/>
        <v>61.287975259232311</v>
      </c>
      <c r="T5" s="10">
        <v>16461</v>
      </c>
      <c r="U5" s="11">
        <f t="shared" si="12"/>
        <v>30</v>
      </c>
      <c r="V5" s="11">
        <v>7001</v>
      </c>
      <c r="W5" s="11">
        <f t="shared" si="13"/>
        <v>9490</v>
      </c>
      <c r="X5" s="11">
        <f t="shared" si="14"/>
        <v>99.818082590503906</v>
      </c>
      <c r="Y5" s="11">
        <f t="shared" si="15"/>
        <v>0.18191740949608876</v>
      </c>
      <c r="Z5" s="11">
        <f t="shared" si="16"/>
        <v>42.45345946273725</v>
      </c>
      <c r="AA5" s="12">
        <f t="shared" si="17"/>
        <v>57.54654053726275</v>
      </c>
      <c r="AB5" s="10">
        <v>16467</v>
      </c>
      <c r="AC5" s="11">
        <f t="shared" si="18"/>
        <v>24</v>
      </c>
      <c r="AD5" s="11">
        <v>9699</v>
      </c>
      <c r="AE5" s="11">
        <f t="shared" si="19"/>
        <v>6792</v>
      </c>
      <c r="AF5" s="11">
        <f t="shared" si="20"/>
        <v>99.854466072403127</v>
      </c>
      <c r="AG5" s="11">
        <f t="shared" si="21"/>
        <v>0.14553392759687103</v>
      </c>
      <c r="AH5" s="11">
        <f t="shared" si="22"/>
        <v>58.813898490085506</v>
      </c>
      <c r="AI5" s="12">
        <f t="shared" si="23"/>
        <v>41.186101509914494</v>
      </c>
      <c r="AJ5" s="10">
        <v>16172</v>
      </c>
      <c r="AK5" s="11">
        <v>319</v>
      </c>
      <c r="AL5" s="11">
        <f>2879+319</f>
        <v>3198</v>
      </c>
      <c r="AM5" s="11">
        <f>16491-3198</f>
        <v>13293</v>
      </c>
      <c r="AN5" s="11">
        <v>98.065611545691596</v>
      </c>
      <c r="AO5" s="11">
        <v>1.9343884543084044</v>
      </c>
      <c r="AP5" s="11">
        <v>19.392395852283066</v>
      </c>
      <c r="AQ5" s="12">
        <v>80.607604147716927</v>
      </c>
    </row>
    <row r="6" spans="1:43" ht="15.75" thickBot="1" x14ac:dyDescent="0.3">
      <c r="A6" s="6">
        <v>4</v>
      </c>
      <c r="B6" s="9" t="s">
        <v>26</v>
      </c>
      <c r="C6">
        <v>14694</v>
      </c>
      <c r="D6" s="10">
        <v>12828</v>
      </c>
      <c r="E6" s="11">
        <f t="shared" si="0"/>
        <v>1866</v>
      </c>
      <c r="F6" s="11">
        <v>4565</v>
      </c>
      <c r="G6" s="11">
        <f t="shared" si="1"/>
        <v>10129</v>
      </c>
      <c r="H6" s="11">
        <f t="shared" si="2"/>
        <v>87.300939158840336</v>
      </c>
      <c r="I6" s="11">
        <f t="shared" si="3"/>
        <v>12.699060841159657</v>
      </c>
      <c r="J6" s="11">
        <f t="shared" si="4"/>
        <v>31.067102218592623</v>
      </c>
      <c r="K6" s="12">
        <f t="shared" si="5"/>
        <v>68.932897781407377</v>
      </c>
      <c r="L6" s="10">
        <v>14356</v>
      </c>
      <c r="M6" s="11">
        <f t="shared" si="6"/>
        <v>338</v>
      </c>
      <c r="N6" s="8">
        <v>5383</v>
      </c>
      <c r="O6" s="11">
        <f t="shared" si="7"/>
        <v>9311</v>
      </c>
      <c r="P6" s="11">
        <f t="shared" si="8"/>
        <v>97.699741391043958</v>
      </c>
      <c r="Q6" s="11">
        <f t="shared" si="9"/>
        <v>2.3002586089560366</v>
      </c>
      <c r="R6" s="11">
        <f t="shared" si="10"/>
        <v>36.63400027221995</v>
      </c>
      <c r="S6" s="12">
        <f t="shared" si="11"/>
        <v>63.365999727780043</v>
      </c>
      <c r="T6" s="10">
        <v>14581</v>
      </c>
      <c r="U6" s="11">
        <f t="shared" si="12"/>
        <v>113</v>
      </c>
      <c r="V6" s="8">
        <v>6148</v>
      </c>
      <c r="W6" s="11">
        <f t="shared" si="13"/>
        <v>8546</v>
      </c>
      <c r="X6" s="11">
        <f t="shared" si="14"/>
        <v>99.230978630733631</v>
      </c>
      <c r="Y6" s="11">
        <f t="shared" si="15"/>
        <v>0.76902136926636722</v>
      </c>
      <c r="Z6" s="11">
        <f t="shared" si="16"/>
        <v>41.840206887164825</v>
      </c>
      <c r="AA6" s="12">
        <f t="shared" si="17"/>
        <v>58.159793112835168</v>
      </c>
      <c r="AB6" s="10">
        <v>14655</v>
      </c>
      <c r="AC6" s="11">
        <f t="shared" si="18"/>
        <v>39</v>
      </c>
      <c r="AD6" s="8">
        <v>7440</v>
      </c>
      <c r="AE6" s="11">
        <f t="shared" si="19"/>
        <v>7254</v>
      </c>
      <c r="AF6" s="11">
        <f t="shared" si="20"/>
        <v>99.734585545120453</v>
      </c>
      <c r="AG6" s="11">
        <f t="shared" si="21"/>
        <v>0.26541445487954268</v>
      </c>
      <c r="AH6" s="11">
        <f t="shared" si="22"/>
        <v>50.632911392405063</v>
      </c>
      <c r="AI6" s="12">
        <f t="shared" si="23"/>
        <v>49.367088607594937</v>
      </c>
      <c r="AJ6" s="13">
        <v>13652</v>
      </c>
      <c r="AK6" s="14">
        <v>1042</v>
      </c>
      <c r="AL6" s="14">
        <f>2699+1042</f>
        <v>3741</v>
      </c>
      <c r="AM6" s="14">
        <f>14694-3741</f>
        <v>10953</v>
      </c>
      <c r="AN6" s="14">
        <v>92.908670205526064</v>
      </c>
      <c r="AO6" s="14">
        <v>7.0913297944739355</v>
      </c>
      <c r="AP6" s="14">
        <v>25.459371171906902</v>
      </c>
      <c r="AQ6" s="15">
        <v>74.540628828093105</v>
      </c>
    </row>
    <row r="7" spans="1:43" x14ac:dyDescent="0.25">
      <c r="A7" s="6">
        <v>5</v>
      </c>
      <c r="B7" s="9" t="s">
        <v>27</v>
      </c>
      <c r="C7">
        <v>17669</v>
      </c>
      <c r="D7" s="10">
        <v>17654</v>
      </c>
      <c r="E7" s="11">
        <f t="shared" si="0"/>
        <v>15</v>
      </c>
      <c r="F7" s="8">
        <v>3033</v>
      </c>
      <c r="G7" s="11">
        <f t="shared" si="1"/>
        <v>14636</v>
      </c>
      <c r="H7" s="11">
        <f t="shared" si="2"/>
        <v>99.91510555209689</v>
      </c>
      <c r="I7" s="11">
        <f t="shared" si="3"/>
        <v>8.4894447903107129E-2</v>
      </c>
      <c r="J7" s="11">
        <f t="shared" si="4"/>
        <v>17.165657366008265</v>
      </c>
      <c r="K7" s="12">
        <f t="shared" si="5"/>
        <v>82.834342633991739</v>
      </c>
      <c r="L7" s="10">
        <v>17669</v>
      </c>
      <c r="M7" s="8">
        <f t="shared" si="6"/>
        <v>0</v>
      </c>
      <c r="N7" s="8">
        <v>5668</v>
      </c>
      <c r="O7" s="8">
        <f t="shared" si="7"/>
        <v>12001</v>
      </c>
      <c r="P7" s="8">
        <f t="shared" si="8"/>
        <v>100</v>
      </c>
      <c r="Q7" s="8">
        <f t="shared" si="9"/>
        <v>0</v>
      </c>
      <c r="R7" s="8">
        <f t="shared" si="10"/>
        <v>32.07878204765408</v>
      </c>
      <c r="S7" s="12">
        <f t="shared" si="11"/>
        <v>67.921217952345913</v>
      </c>
      <c r="T7" s="10">
        <v>17669</v>
      </c>
      <c r="U7" s="11">
        <f t="shared" si="12"/>
        <v>0</v>
      </c>
      <c r="V7" s="8">
        <v>5681</v>
      </c>
      <c r="W7" s="11">
        <f t="shared" si="13"/>
        <v>11988</v>
      </c>
      <c r="X7" s="11">
        <f t="shared" si="14"/>
        <v>100</v>
      </c>
      <c r="Y7" s="11">
        <f t="shared" si="15"/>
        <v>0</v>
      </c>
      <c r="Z7" s="11">
        <f t="shared" si="16"/>
        <v>32.152357235836774</v>
      </c>
      <c r="AA7" s="12">
        <f t="shared" si="17"/>
        <v>67.847642764163226</v>
      </c>
      <c r="AB7" s="10">
        <v>17669</v>
      </c>
      <c r="AC7" s="11">
        <f t="shared" si="18"/>
        <v>0</v>
      </c>
      <c r="AD7" s="8">
        <v>5688</v>
      </c>
      <c r="AE7" s="11">
        <f>C7-AD7</f>
        <v>11981</v>
      </c>
      <c r="AF7" s="11">
        <f t="shared" si="20"/>
        <v>100</v>
      </c>
      <c r="AG7" s="11">
        <f t="shared" si="21"/>
        <v>0</v>
      </c>
      <c r="AH7" s="11">
        <f t="shared" si="22"/>
        <v>32.191974644858227</v>
      </c>
      <c r="AI7" s="12">
        <f t="shared" si="23"/>
        <v>67.80802535514178</v>
      </c>
    </row>
    <row r="8" spans="1:43" x14ac:dyDescent="0.25">
      <c r="A8" s="6">
        <v>6</v>
      </c>
      <c r="B8" s="9" t="s">
        <v>27</v>
      </c>
      <c r="C8">
        <v>18011</v>
      </c>
      <c r="D8" s="10">
        <v>18011</v>
      </c>
      <c r="E8" s="11">
        <f t="shared" si="0"/>
        <v>0</v>
      </c>
      <c r="F8" s="8">
        <v>3123</v>
      </c>
      <c r="G8" s="11">
        <f t="shared" si="1"/>
        <v>14888</v>
      </c>
      <c r="H8" s="11">
        <f t="shared" si="2"/>
        <v>100</v>
      </c>
      <c r="I8" s="11">
        <f t="shared" si="3"/>
        <v>0</v>
      </c>
      <c r="J8" s="11">
        <f t="shared" si="4"/>
        <v>17.33940369774027</v>
      </c>
      <c r="K8" s="12">
        <f t="shared" si="5"/>
        <v>82.660596302259719</v>
      </c>
      <c r="L8" s="10">
        <v>18011</v>
      </c>
      <c r="M8" s="8">
        <f t="shared" si="6"/>
        <v>0</v>
      </c>
      <c r="N8" s="8">
        <v>5891</v>
      </c>
      <c r="O8" s="8">
        <f t="shared" si="7"/>
        <v>12120</v>
      </c>
      <c r="P8" s="8">
        <f t="shared" si="8"/>
        <v>100</v>
      </c>
      <c r="Q8" s="8">
        <f t="shared" si="9"/>
        <v>0</v>
      </c>
      <c r="R8" s="8">
        <f t="shared" si="10"/>
        <v>32.707789684081952</v>
      </c>
      <c r="S8" s="12">
        <f t="shared" si="11"/>
        <v>67.292210315918055</v>
      </c>
      <c r="T8" s="10">
        <v>18011</v>
      </c>
      <c r="U8" s="11">
        <f t="shared" si="12"/>
        <v>0</v>
      </c>
      <c r="V8" s="8">
        <v>5950</v>
      </c>
      <c r="W8" s="11">
        <f t="shared" si="13"/>
        <v>12061</v>
      </c>
      <c r="X8" s="11">
        <f t="shared" si="14"/>
        <v>100</v>
      </c>
      <c r="Y8" s="11">
        <f t="shared" si="15"/>
        <v>0</v>
      </c>
      <c r="Z8" s="11">
        <f t="shared" si="16"/>
        <v>33.035367275553831</v>
      </c>
      <c r="AA8" s="12">
        <f t="shared" si="17"/>
        <v>66.964632724446176</v>
      </c>
      <c r="AB8" s="10">
        <v>18011</v>
      </c>
      <c r="AC8" s="11">
        <f t="shared" si="18"/>
        <v>0</v>
      </c>
      <c r="AD8" s="8">
        <v>5950</v>
      </c>
      <c r="AE8" s="11">
        <f t="shared" si="19"/>
        <v>12061</v>
      </c>
      <c r="AF8" s="11">
        <f t="shared" si="20"/>
        <v>100</v>
      </c>
      <c r="AG8" s="11">
        <f t="shared" si="21"/>
        <v>0</v>
      </c>
      <c r="AH8" s="11">
        <f t="shared" si="22"/>
        <v>33.035367275553831</v>
      </c>
      <c r="AI8" s="12">
        <f t="shared" si="23"/>
        <v>66.964632724446176</v>
      </c>
    </row>
    <row r="9" spans="1:43" x14ac:dyDescent="0.25">
      <c r="A9" s="6">
        <v>7</v>
      </c>
      <c r="B9" s="9" t="s">
        <v>28</v>
      </c>
      <c r="C9">
        <v>19225</v>
      </c>
      <c r="D9" s="10">
        <v>19190</v>
      </c>
      <c r="E9" s="11">
        <f t="shared" si="0"/>
        <v>35</v>
      </c>
      <c r="F9" s="8">
        <v>4612</v>
      </c>
      <c r="G9" s="11">
        <f t="shared" si="1"/>
        <v>14613</v>
      </c>
      <c r="H9" s="11">
        <f t="shared" si="2"/>
        <v>99.817945383615083</v>
      </c>
      <c r="I9" s="11">
        <f t="shared" si="3"/>
        <v>0.18205461638491546</v>
      </c>
      <c r="J9" s="11">
        <f t="shared" si="4"/>
        <v>23.989596879063718</v>
      </c>
      <c r="K9" s="12">
        <f t="shared" si="5"/>
        <v>76.010403120936274</v>
      </c>
      <c r="L9" s="10">
        <v>19190</v>
      </c>
      <c r="M9" s="8">
        <f t="shared" si="6"/>
        <v>35</v>
      </c>
      <c r="N9" s="8">
        <v>4613</v>
      </c>
      <c r="O9" s="8">
        <f t="shared" si="7"/>
        <v>14612</v>
      </c>
      <c r="P9" s="8">
        <f t="shared" si="8"/>
        <v>99.817945383615083</v>
      </c>
      <c r="Q9" s="8">
        <f t="shared" si="9"/>
        <v>0.18205461638491546</v>
      </c>
      <c r="R9" s="8">
        <f t="shared" si="10"/>
        <v>23.994798439531859</v>
      </c>
      <c r="S9" s="12">
        <f t="shared" si="11"/>
        <v>76.005201560468137</v>
      </c>
      <c r="T9" s="10">
        <v>19190</v>
      </c>
      <c r="U9" s="11">
        <f t="shared" si="12"/>
        <v>35</v>
      </c>
      <c r="V9" s="8">
        <v>4615</v>
      </c>
      <c r="W9" s="11">
        <f t="shared" si="13"/>
        <v>14610</v>
      </c>
      <c r="X9" s="11">
        <f t="shared" si="14"/>
        <v>99.817945383615083</v>
      </c>
      <c r="Y9" s="11">
        <f t="shared" si="15"/>
        <v>0.18205461638491546</v>
      </c>
      <c r="Z9" s="11">
        <f t="shared" si="16"/>
        <v>24.005201560468141</v>
      </c>
      <c r="AA9" s="12">
        <f t="shared" si="17"/>
        <v>75.994798439531863</v>
      </c>
      <c r="AB9" s="10">
        <v>19225</v>
      </c>
      <c r="AC9" s="11">
        <f t="shared" si="18"/>
        <v>0</v>
      </c>
      <c r="AD9" s="8">
        <v>7489</v>
      </c>
      <c r="AE9" s="11">
        <f t="shared" si="19"/>
        <v>11736</v>
      </c>
      <c r="AF9" s="11">
        <f t="shared" si="20"/>
        <v>100</v>
      </c>
      <c r="AG9" s="11">
        <f t="shared" si="21"/>
        <v>0</v>
      </c>
      <c r="AH9" s="11">
        <f t="shared" si="22"/>
        <v>38.954486345903774</v>
      </c>
      <c r="AI9" s="12">
        <f t="shared" si="23"/>
        <v>61.045513654096226</v>
      </c>
    </row>
    <row r="10" spans="1:43" ht="15.75" thickBot="1" x14ac:dyDescent="0.3">
      <c r="A10" s="6">
        <v>8</v>
      </c>
      <c r="B10" s="9" t="s">
        <v>28</v>
      </c>
      <c r="C10">
        <v>21249</v>
      </c>
      <c r="D10" s="13">
        <v>21249</v>
      </c>
      <c r="E10" s="14">
        <f t="shared" si="0"/>
        <v>0</v>
      </c>
      <c r="F10" s="14">
        <v>6000</v>
      </c>
      <c r="G10" s="14">
        <f t="shared" si="1"/>
        <v>15249</v>
      </c>
      <c r="H10" s="14">
        <f t="shared" si="2"/>
        <v>100</v>
      </c>
      <c r="I10" s="14">
        <f t="shared" si="3"/>
        <v>0</v>
      </c>
      <c r="J10" s="14">
        <f t="shared" si="4"/>
        <v>28.236622899901171</v>
      </c>
      <c r="K10" s="15">
        <f t="shared" si="5"/>
        <v>71.763377100098822</v>
      </c>
      <c r="L10" s="13">
        <v>21249</v>
      </c>
      <c r="M10" s="14">
        <f t="shared" si="6"/>
        <v>0</v>
      </c>
      <c r="N10" s="14">
        <v>6179</v>
      </c>
      <c r="O10" s="14">
        <f t="shared" si="7"/>
        <v>15070</v>
      </c>
      <c r="P10" s="14">
        <f t="shared" si="8"/>
        <v>100</v>
      </c>
      <c r="Q10" s="14">
        <f t="shared" si="9"/>
        <v>0</v>
      </c>
      <c r="R10" s="14">
        <f t="shared" si="10"/>
        <v>29.079015483081555</v>
      </c>
      <c r="S10" s="15">
        <f t="shared" si="11"/>
        <v>70.920984516918438</v>
      </c>
      <c r="T10" s="13">
        <v>21249</v>
      </c>
      <c r="U10" s="14">
        <f t="shared" si="12"/>
        <v>0</v>
      </c>
      <c r="V10" s="14">
        <v>6302</v>
      </c>
      <c r="W10" s="14">
        <f t="shared" si="13"/>
        <v>14947</v>
      </c>
      <c r="X10" s="14">
        <f t="shared" si="14"/>
        <v>100</v>
      </c>
      <c r="Y10" s="14">
        <f t="shared" si="15"/>
        <v>0</v>
      </c>
      <c r="Z10" s="14">
        <f t="shared" si="16"/>
        <v>29.65786625252953</v>
      </c>
      <c r="AA10" s="15">
        <f t="shared" si="17"/>
        <v>70.34213374747047</v>
      </c>
      <c r="AB10" s="13">
        <v>21249</v>
      </c>
      <c r="AC10" s="14">
        <f t="shared" si="18"/>
        <v>0</v>
      </c>
      <c r="AD10" s="14">
        <v>6302</v>
      </c>
      <c r="AE10" s="14">
        <f t="shared" si="19"/>
        <v>14947</v>
      </c>
      <c r="AF10" s="14">
        <f t="shared" si="20"/>
        <v>100</v>
      </c>
      <c r="AG10" s="14">
        <f t="shared" si="21"/>
        <v>0</v>
      </c>
      <c r="AH10" s="14">
        <f t="shared" si="22"/>
        <v>29.65786625252953</v>
      </c>
      <c r="AI10" s="15">
        <f t="shared" si="23"/>
        <v>70.34213374747047</v>
      </c>
    </row>
  </sheetData>
  <mergeCells count="5">
    <mergeCell ref="AB1:AI1"/>
    <mergeCell ref="D1:K1"/>
    <mergeCell ref="L1:S1"/>
    <mergeCell ref="T1:AA1"/>
    <mergeCell ref="AJ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exp1</vt:lpstr>
      <vt:lpstr>exp2</vt:lpstr>
      <vt:lpstr>exp3</vt:lpstr>
      <vt:lpstr>exp4</vt:lpstr>
      <vt:lpstr>Codes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2018-07-16T07:15:57Z</dcterms:modified>
</cp:coreProperties>
</file>