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ThisWorkbook" defaultThemeVersion="124226"/>
  <mc:AlternateContent xmlns:mc="http://schemas.openxmlformats.org/markup-compatibility/2006">
    <mc:Choice Requires="x15">
      <x15ac:absPath xmlns:x15ac="http://schemas.microsoft.com/office/spreadsheetml/2010/11/ac" url="S:\NEPR-2017-07\Lab Testing\"/>
    </mc:Choice>
  </mc:AlternateContent>
  <xr:revisionPtr revIDLastSave="0" documentId="13_ncr:1_{B34405AA-F0CA-4894-9283-BB7DD574666D}" xr6:coauthVersionLast="45" xr6:coauthVersionMax="45" xr10:uidLastSave="{00000000-0000-0000-0000-000000000000}"/>
  <bookViews>
    <workbookView xWindow="-120" yWindow="-120" windowWidth="29040" windowHeight="15840" tabRatio="649" xr2:uid="{00000000-000D-0000-FFFF-FFFF00000000}"/>
  </bookViews>
  <sheets>
    <sheet name="Materials" sheetId="1" r:id="rId1"/>
    <sheet name="Yarns" sheetId="23" r:id="rId2"/>
    <sheet name="Hook and Loops" sheetId="24" r:id="rId3"/>
    <sheet name="Joints" sheetId="26" r:id="rId4"/>
    <sheet name="Joint testing sheet" sheetId="28" r:id="rId5"/>
    <sheet name="Joints Trends" sheetId="25" r:id="rId6"/>
    <sheet name="Manufacturers" sheetId="9" r:id="rId7"/>
    <sheet name="Mesh Rienforcement (Legacy)" sheetId="3" r:id="rId8"/>
    <sheet name="notes1" sheetId="29" r:id="rId9"/>
    <sheet name="notes2" sheetId="30" r:id="rId10"/>
  </sheets>
  <externalReferences>
    <externalReference r:id="rId11"/>
  </externalReferences>
  <definedNames>
    <definedName name="_xlnm._FilterDatabase" localSheetId="0" hidden="1">Materials!$A$1:$AB$231</definedName>
    <definedName name="_xlnm._FilterDatabase" localSheetId="1" hidden="1">Yarns!$B$1:$R$44</definedName>
    <definedName name="_xlnm.Print_Area" localSheetId="2">'Hook and Loops'!$A$1:$M$27</definedName>
    <definedName name="_xlnm.Print_Area" localSheetId="0">Materials!$A$1:$AB$36</definedName>
    <definedName name="_xlnm.Print_Area" localSheetId="7">'Mesh Rienforcement (Legacy)'!$A$1:$V$46</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30" l="1"/>
  <c r="I17" i="30" s="1"/>
  <c r="G22" i="30"/>
  <c r="I16" i="30" s="1"/>
  <c r="N12" i="30" l="1"/>
  <c r="E12" i="30"/>
  <c r="N11" i="30"/>
  <c r="E11" i="30"/>
  <c r="N10" i="30"/>
  <c r="E10" i="30"/>
  <c r="N9" i="30"/>
  <c r="E9" i="30"/>
  <c r="N8" i="30"/>
  <c r="E8" i="30"/>
  <c r="N7" i="30"/>
  <c r="E7" i="30"/>
  <c r="N6" i="30"/>
  <c r="E6" i="30"/>
  <c r="N5" i="30"/>
  <c r="E5" i="30"/>
  <c r="N4" i="30"/>
  <c r="E4" i="30"/>
  <c r="I230" i="1" l="1"/>
  <c r="K27" i="23" l="1"/>
  <c r="I227" i="1" l="1"/>
  <c r="H227" i="1"/>
  <c r="I224" i="1" l="1"/>
  <c r="I223" i="1"/>
  <c r="I222" i="1"/>
  <c r="T221" i="1" l="1"/>
  <c r="S221" i="1"/>
  <c r="S220" i="1"/>
  <c r="T220" i="1"/>
  <c r="T219" i="1"/>
  <c r="Q219" i="1"/>
  <c r="S219" i="1" s="1"/>
  <c r="N24" i="23" l="1"/>
  <c r="N23" i="23"/>
  <c r="U284" i="1" l="1"/>
  <c r="AA284" i="1"/>
  <c r="U285" i="1"/>
  <c r="AA285" i="1"/>
  <c r="U286" i="1"/>
  <c r="AA286" i="1"/>
  <c r="U287" i="1"/>
  <c r="AA287" i="1"/>
  <c r="U288" i="1"/>
  <c r="AA288" i="1"/>
  <c r="U289" i="1"/>
  <c r="AA289" i="1"/>
  <c r="U290" i="1"/>
  <c r="AA290" i="1"/>
  <c r="U291" i="1"/>
  <c r="AA291" i="1"/>
  <c r="U292" i="1"/>
  <c r="AA292" i="1"/>
  <c r="U293" i="1"/>
  <c r="AA293" i="1"/>
  <c r="U294" i="1"/>
  <c r="AA294" i="1"/>
  <c r="U295" i="1"/>
  <c r="AA295" i="1"/>
  <c r="U296" i="1"/>
  <c r="AA296" i="1"/>
  <c r="U297" i="1"/>
  <c r="AA297" i="1"/>
  <c r="U298" i="1"/>
  <c r="AA298" i="1"/>
  <c r="U299" i="1"/>
  <c r="AA299" i="1"/>
  <c r="U300" i="1"/>
  <c r="AA300" i="1"/>
  <c r="U301" i="1"/>
  <c r="AA301" i="1"/>
  <c r="U302" i="1"/>
  <c r="AA302" i="1"/>
  <c r="U303" i="1"/>
  <c r="AA303" i="1"/>
  <c r="U304" i="1"/>
  <c r="AA304" i="1"/>
  <c r="U305" i="1"/>
  <c r="AA305" i="1"/>
  <c r="U306" i="1"/>
  <c r="AA306" i="1"/>
  <c r="U307" i="1"/>
  <c r="AA307" i="1"/>
  <c r="U308" i="1"/>
  <c r="AA308" i="1"/>
  <c r="U309" i="1"/>
  <c r="AA309" i="1"/>
  <c r="U310" i="1"/>
  <c r="AA310" i="1"/>
  <c r="U311" i="1"/>
  <c r="AA311" i="1"/>
  <c r="U312" i="1"/>
  <c r="AA312" i="1"/>
  <c r="U313" i="1"/>
  <c r="AA313" i="1"/>
  <c r="U314" i="1"/>
  <c r="AA314" i="1"/>
  <c r="U315" i="1"/>
  <c r="AA315" i="1"/>
  <c r="U316" i="1"/>
  <c r="AA316" i="1"/>
  <c r="U317" i="1"/>
  <c r="AA317" i="1"/>
  <c r="U318" i="1"/>
  <c r="AA318" i="1"/>
  <c r="U319" i="1"/>
  <c r="AA319" i="1"/>
  <c r="U320" i="1"/>
  <c r="AA320" i="1"/>
  <c r="U321" i="1"/>
  <c r="AA321" i="1"/>
  <c r="U322" i="1"/>
  <c r="AA322" i="1"/>
  <c r="U323" i="1"/>
  <c r="AA323" i="1"/>
  <c r="U324" i="1"/>
  <c r="AA324" i="1"/>
  <c r="U325" i="1"/>
  <c r="AA325" i="1"/>
  <c r="U326" i="1"/>
  <c r="AA326" i="1"/>
  <c r="U327" i="1"/>
  <c r="AA327" i="1"/>
  <c r="U275" i="1"/>
  <c r="AA275" i="1"/>
  <c r="U276" i="1"/>
  <c r="AA276" i="1"/>
  <c r="U277" i="1"/>
  <c r="AA277" i="1"/>
  <c r="U278" i="1"/>
  <c r="AA278" i="1"/>
  <c r="U279" i="1"/>
  <c r="AA279" i="1"/>
  <c r="U280" i="1"/>
  <c r="AA280" i="1"/>
  <c r="U281" i="1"/>
  <c r="AA281" i="1"/>
  <c r="U282" i="1"/>
  <c r="AA282" i="1"/>
  <c r="U283" i="1"/>
  <c r="AA283" i="1"/>
  <c r="U259" i="1"/>
  <c r="AA259" i="1"/>
  <c r="U260" i="1"/>
  <c r="AA260" i="1"/>
  <c r="U261" i="1"/>
  <c r="AA261" i="1"/>
  <c r="U262" i="1"/>
  <c r="AA262" i="1"/>
  <c r="U263" i="1"/>
  <c r="AA263" i="1"/>
  <c r="U264" i="1"/>
  <c r="AA264" i="1"/>
  <c r="U265" i="1"/>
  <c r="AA265" i="1"/>
  <c r="U266" i="1"/>
  <c r="AA266" i="1"/>
  <c r="U267" i="1"/>
  <c r="AA267" i="1"/>
  <c r="U268" i="1"/>
  <c r="AA268" i="1"/>
  <c r="U269" i="1"/>
  <c r="AA269" i="1"/>
  <c r="U270" i="1"/>
  <c r="AA270" i="1"/>
  <c r="U271" i="1"/>
  <c r="AA271" i="1"/>
  <c r="U272" i="1"/>
  <c r="AA272" i="1"/>
  <c r="U273" i="1"/>
  <c r="AA273" i="1"/>
  <c r="U274" i="1"/>
  <c r="AA274" i="1"/>
  <c r="U253" i="1"/>
  <c r="AA253" i="1"/>
  <c r="U254" i="1"/>
  <c r="AA254" i="1"/>
  <c r="U255" i="1"/>
  <c r="AA255" i="1"/>
  <c r="U256" i="1"/>
  <c r="AA256" i="1"/>
  <c r="U257" i="1"/>
  <c r="AA257" i="1"/>
  <c r="U258" i="1"/>
  <c r="AA258" i="1"/>
  <c r="H25" i="23" l="1"/>
  <c r="J23" i="23" l="1"/>
  <c r="I218" i="1" l="1"/>
  <c r="I217" i="1"/>
  <c r="I216" i="1" l="1"/>
  <c r="I215" i="1"/>
  <c r="I213" i="1"/>
  <c r="I214" i="1"/>
  <c r="I212" i="1"/>
  <c r="I211" i="1" l="1"/>
  <c r="I210" i="1"/>
  <c r="I209" i="1"/>
  <c r="F12" i="29"/>
  <c r="D12" i="29"/>
  <c r="B12" i="29"/>
  <c r="I208" i="1" l="1"/>
  <c r="I207" i="1"/>
  <c r="U183" i="1" l="1"/>
  <c r="U180" i="1" l="1"/>
  <c r="T206" i="1" l="1"/>
  <c r="S206" i="1"/>
  <c r="I206" i="1"/>
  <c r="K18" i="23" l="1"/>
  <c r="K20" i="23" l="1"/>
  <c r="K19" i="23"/>
  <c r="Q17" i="23" l="1"/>
  <c r="P17" i="23"/>
  <c r="L14" i="23" l="1"/>
  <c r="J17" i="23" l="1"/>
  <c r="N16" i="23" l="1"/>
  <c r="N14" i="23" l="1"/>
  <c r="O14" i="23" s="1"/>
  <c r="N15" i="23"/>
  <c r="K10" i="23"/>
  <c r="K9" i="23"/>
  <c r="Q14" i="23" l="1"/>
  <c r="P14" i="23"/>
  <c r="N13" i="23"/>
  <c r="N12" i="23"/>
  <c r="O10" i="23" l="1"/>
  <c r="O11" i="23"/>
  <c r="O12" i="23"/>
  <c r="O13" i="23"/>
  <c r="O15" i="23"/>
  <c r="O16"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9" i="23"/>
  <c r="P18" i="23" l="1"/>
  <c r="Q18" i="23"/>
  <c r="P24" i="23"/>
  <c r="Q24" i="23"/>
  <c r="Q43" i="23"/>
  <c r="P43" i="23"/>
  <c r="P19" i="23"/>
  <c r="Q19" i="23"/>
  <c r="P41" i="23"/>
  <c r="Q41" i="23"/>
  <c r="Q16" i="23"/>
  <c r="P16" i="23"/>
  <c r="Q31" i="23"/>
  <c r="P31" i="23"/>
  <c r="Q13" i="23"/>
  <c r="P13" i="23"/>
  <c r="P26" i="23"/>
  <c r="Q26" i="23"/>
  <c r="Q15" i="23"/>
  <c r="P15" i="23"/>
  <c r="Q22" i="23"/>
  <c r="P22" i="23"/>
  <c r="Q12" i="23"/>
  <c r="P12" i="23"/>
  <c r="P35" i="23"/>
  <c r="Q35" i="23"/>
  <c r="P34" i="23"/>
  <c r="Q34" i="23"/>
  <c r="P33" i="23"/>
  <c r="Q33" i="23"/>
  <c r="Q32" i="23"/>
  <c r="P32" i="23"/>
  <c r="P39" i="23"/>
  <c r="Q39" i="23"/>
  <c r="Q38" i="23"/>
  <c r="P38" i="23"/>
  <c r="Q37" i="23"/>
  <c r="P37" i="23"/>
  <c r="Q29" i="23"/>
  <c r="P29" i="23"/>
  <c r="Q21" i="23"/>
  <c r="P21" i="23"/>
  <c r="P11" i="23"/>
  <c r="Q11" i="23"/>
  <c r="Q27" i="23"/>
  <c r="P27" i="23"/>
  <c r="P42" i="23"/>
  <c r="Q42" i="23"/>
  <c r="P25" i="23"/>
  <c r="Q25" i="23"/>
  <c r="P40" i="23"/>
  <c r="Q40" i="23"/>
  <c r="Q23" i="23"/>
  <c r="P23" i="23"/>
  <c r="Q30" i="23"/>
  <c r="P30" i="23"/>
  <c r="P9" i="23"/>
  <c r="Q9" i="23"/>
  <c r="Q36" i="23"/>
  <c r="P36" i="23"/>
  <c r="Q28" i="23"/>
  <c r="P28" i="23"/>
  <c r="Q20" i="23"/>
  <c r="P20" i="23"/>
  <c r="P10" i="23"/>
  <c r="Q10" i="23"/>
  <c r="E205" i="1"/>
  <c r="E201" i="1" l="1"/>
  <c r="E200" i="1"/>
  <c r="E199" i="1"/>
  <c r="E198" i="1"/>
  <c r="E197" i="1"/>
  <c r="E196" i="1"/>
  <c r="E195" i="1"/>
  <c r="E194" i="1"/>
  <c r="E193" i="1"/>
  <c r="E192" i="1"/>
  <c r="E191" i="1"/>
  <c r="E190" i="1"/>
  <c r="E189" i="1"/>
  <c r="E188" i="1"/>
  <c r="I187" i="1"/>
  <c r="I186" i="1"/>
  <c r="U242" i="1"/>
  <c r="AA242" i="1"/>
  <c r="U243" i="1"/>
  <c r="AA243" i="1"/>
  <c r="U244" i="1"/>
  <c r="AA244" i="1"/>
  <c r="U245" i="1"/>
  <c r="AA245" i="1"/>
  <c r="U246" i="1"/>
  <c r="AA246" i="1"/>
  <c r="U247" i="1"/>
  <c r="AA247" i="1"/>
  <c r="U248" i="1"/>
  <c r="AA248" i="1"/>
  <c r="U249" i="1"/>
  <c r="AA249" i="1"/>
  <c r="U250" i="1"/>
  <c r="AA250" i="1"/>
  <c r="U251" i="1"/>
  <c r="AA251" i="1"/>
  <c r="U252" i="1"/>
  <c r="AA252" i="1"/>
  <c r="U223" i="1"/>
  <c r="AA223" i="1"/>
  <c r="U224" i="1"/>
  <c r="AA224" i="1"/>
  <c r="U225" i="1"/>
  <c r="AA225" i="1"/>
  <c r="U226" i="1"/>
  <c r="AA226" i="1"/>
  <c r="U227" i="1"/>
  <c r="AA227" i="1"/>
  <c r="U228" i="1"/>
  <c r="AA228" i="1"/>
  <c r="U229" i="1"/>
  <c r="AA229" i="1"/>
  <c r="U230" i="1"/>
  <c r="AA230" i="1"/>
  <c r="U231" i="1"/>
  <c r="AA231" i="1"/>
  <c r="U232" i="1"/>
  <c r="AA232" i="1"/>
  <c r="U233" i="1"/>
  <c r="AA233" i="1"/>
  <c r="U234" i="1"/>
  <c r="AA234" i="1"/>
  <c r="U235" i="1"/>
  <c r="AA235" i="1"/>
  <c r="U236" i="1"/>
  <c r="AA236" i="1"/>
  <c r="U237" i="1"/>
  <c r="AA237" i="1"/>
  <c r="U238" i="1"/>
  <c r="AA238" i="1"/>
  <c r="U239" i="1"/>
  <c r="AA239" i="1"/>
  <c r="U240" i="1"/>
  <c r="AA240" i="1"/>
  <c r="U241" i="1"/>
  <c r="AA241" i="1"/>
  <c r="U215" i="1"/>
  <c r="AA215" i="1"/>
  <c r="U216" i="1"/>
  <c r="AA216" i="1"/>
  <c r="U217" i="1"/>
  <c r="AA217" i="1"/>
  <c r="U218" i="1"/>
  <c r="AA218" i="1"/>
  <c r="U219" i="1"/>
  <c r="AA219" i="1"/>
  <c r="U220" i="1"/>
  <c r="AA220" i="1"/>
  <c r="U221" i="1"/>
  <c r="AA221" i="1"/>
  <c r="U222" i="1"/>
  <c r="AA222" i="1"/>
  <c r="U178" i="1" l="1"/>
  <c r="U177" i="1"/>
  <c r="U176" i="1"/>
  <c r="U175" i="1"/>
  <c r="U174" i="1"/>
  <c r="U173" i="1"/>
  <c r="AA178" i="1" l="1"/>
  <c r="E68" i="25" l="1"/>
  <c r="E71" i="25"/>
  <c r="E74" i="25"/>
  <c r="E65" i="25" l="1"/>
  <c r="F65" i="25" s="1"/>
  <c r="K30" i="25" s="1"/>
  <c r="E62" i="25"/>
  <c r="F62" i="25" s="1"/>
  <c r="K29" i="25" s="1"/>
  <c r="E59" i="25"/>
  <c r="F59" i="25" s="1"/>
  <c r="K28" i="25" s="1"/>
  <c r="E56" i="25"/>
  <c r="F56" i="25" s="1"/>
  <c r="K27" i="25" s="1"/>
  <c r="E53" i="25"/>
  <c r="F53" i="25" s="1"/>
  <c r="K26" i="25" s="1"/>
  <c r="E50" i="25"/>
  <c r="F50" i="25" s="1"/>
  <c r="J30" i="25" s="1"/>
  <c r="E47" i="25"/>
  <c r="F47" i="25" s="1"/>
  <c r="J29" i="25" s="1"/>
  <c r="E44" i="25"/>
  <c r="F44" i="25" s="1"/>
  <c r="J28" i="25" s="1"/>
  <c r="E41" i="25"/>
  <c r="F41" i="25" s="1"/>
  <c r="J27" i="25" s="1"/>
  <c r="E38" i="25"/>
  <c r="F38" i="25" s="1"/>
  <c r="J26" i="25" s="1"/>
  <c r="G35" i="25"/>
  <c r="E35" i="25"/>
  <c r="L7" i="25" s="1"/>
  <c r="G32" i="25"/>
  <c r="E32" i="25"/>
  <c r="F32" i="25" s="1"/>
  <c r="L28" i="25" s="1"/>
  <c r="G29" i="25"/>
  <c r="E29" i="25"/>
  <c r="F29" i="25" s="1"/>
  <c r="G26" i="25"/>
  <c r="E26" i="25"/>
  <c r="F26" i="25" s="1"/>
  <c r="L27" i="25" s="1"/>
  <c r="G23" i="25"/>
  <c r="E23" i="25"/>
  <c r="F23" i="25" s="1"/>
  <c r="L26" i="25" s="1"/>
  <c r="E20" i="25"/>
  <c r="F20" i="25" s="1"/>
  <c r="I30" i="25" s="1"/>
  <c r="E17" i="25"/>
  <c r="F17" i="25" s="1"/>
  <c r="I29" i="25" s="1"/>
  <c r="E14" i="25"/>
  <c r="F14" i="25" s="1"/>
  <c r="I28" i="25" s="1"/>
  <c r="E11" i="25"/>
  <c r="F11" i="25" s="1"/>
  <c r="E8" i="25"/>
  <c r="F8" i="25" s="1"/>
  <c r="I27" i="25" s="1"/>
  <c r="K7" i="25"/>
  <c r="J6" i="25"/>
  <c r="J5" i="25"/>
  <c r="E5" i="25"/>
  <c r="F5" i="25" s="1"/>
  <c r="I26" i="25" s="1"/>
  <c r="J3" i="25" l="1"/>
  <c r="I4" i="25"/>
  <c r="K6" i="25"/>
  <c r="I3" i="25"/>
  <c r="F35" i="25"/>
  <c r="L30" i="25" s="1"/>
  <c r="I7" i="25"/>
  <c r="L3" i="25"/>
  <c r="L4" i="25"/>
  <c r="K5" i="25"/>
  <c r="J4" i="25"/>
  <c r="L5" i="25"/>
  <c r="K3" i="25"/>
  <c r="K4" i="25"/>
  <c r="I5" i="25"/>
  <c r="I6" i="25"/>
  <c r="J7" i="25"/>
  <c r="L18" i="24" l="1"/>
  <c r="L15" i="24"/>
  <c r="L14" i="24"/>
  <c r="AA214" i="1" l="1"/>
  <c r="U214" i="1"/>
  <c r="AA213" i="1"/>
  <c r="U213" i="1"/>
  <c r="AA212" i="1"/>
  <c r="U212" i="1"/>
  <c r="AA211" i="1"/>
  <c r="U211" i="1"/>
  <c r="AA210" i="1"/>
  <c r="U210" i="1"/>
  <c r="AA209" i="1"/>
  <c r="U209" i="1"/>
  <c r="AA208" i="1"/>
  <c r="U208" i="1"/>
  <c r="AA207" i="1"/>
  <c r="U207" i="1"/>
  <c r="AA206" i="1"/>
  <c r="U206" i="1"/>
  <c r="AA205" i="1"/>
  <c r="U205" i="1"/>
  <c r="AA204" i="1"/>
  <c r="U204" i="1"/>
  <c r="AA203" i="1"/>
  <c r="U203" i="1"/>
  <c r="AA202" i="1"/>
  <c r="U202" i="1"/>
  <c r="AA201" i="1"/>
  <c r="U201" i="1"/>
  <c r="AA200" i="1"/>
  <c r="U200" i="1"/>
  <c r="AA199" i="1"/>
  <c r="U199" i="1"/>
  <c r="AA198" i="1"/>
  <c r="U198" i="1"/>
  <c r="AA197" i="1"/>
  <c r="U197" i="1"/>
  <c r="AA196" i="1"/>
  <c r="U196" i="1"/>
  <c r="AA195" i="1"/>
  <c r="U195" i="1"/>
  <c r="AA194" i="1"/>
  <c r="U194" i="1"/>
  <c r="AA193" i="1"/>
  <c r="U193" i="1"/>
  <c r="AA192" i="1"/>
  <c r="U192" i="1"/>
  <c r="AA191" i="1"/>
  <c r="U191" i="1"/>
  <c r="AA190" i="1"/>
  <c r="U190" i="1"/>
  <c r="AA189" i="1"/>
  <c r="U189" i="1"/>
  <c r="AA188" i="1"/>
  <c r="U188" i="1"/>
  <c r="AA187" i="1"/>
  <c r="U187" i="1"/>
  <c r="AA186" i="1"/>
  <c r="U186" i="1"/>
  <c r="AA185" i="1"/>
  <c r="U185" i="1"/>
  <c r="AA184" i="1"/>
  <c r="U184" i="1"/>
  <c r="AA182" i="1"/>
  <c r="U182" i="1"/>
  <c r="AA181" i="1"/>
  <c r="U181" i="1"/>
  <c r="AA179" i="1"/>
  <c r="U179" i="1"/>
  <c r="AA177" i="1"/>
  <c r="AA176" i="1"/>
  <c r="AA175" i="1"/>
  <c r="AA174" i="1"/>
  <c r="AA173" i="1"/>
  <c r="AA172" i="1"/>
  <c r="U172" i="1"/>
  <c r="AA171" i="1"/>
  <c r="U171" i="1"/>
  <c r="AA170" i="1"/>
  <c r="U170" i="1"/>
  <c r="AA169" i="1"/>
  <c r="U169" i="1"/>
  <c r="AA168" i="1"/>
  <c r="U168" i="1"/>
  <c r="AA167" i="1"/>
  <c r="U167" i="1"/>
  <c r="E159" i="1" l="1"/>
  <c r="E158" i="1" l="1"/>
  <c r="E154" i="1"/>
  <c r="E153" i="1"/>
  <c r="E149" i="1"/>
  <c r="E148" i="1"/>
  <c r="E147" i="1"/>
  <c r="E146" i="1"/>
  <c r="E145" i="1"/>
  <c r="E144" i="1"/>
  <c r="AA140" i="1"/>
  <c r="E142" i="1"/>
  <c r="E141" i="1"/>
  <c r="E140" i="1"/>
  <c r="E139" i="1"/>
  <c r="E138" i="1"/>
  <c r="E137" i="1"/>
  <c r="E136" i="1"/>
  <c r="E135" i="1"/>
  <c r="E134" i="1"/>
  <c r="AA130" i="1"/>
  <c r="E131" i="1"/>
  <c r="E130" i="1"/>
  <c r="E129" i="1"/>
  <c r="E128" i="1"/>
  <c r="E116" i="1"/>
  <c r="AA10" i="1"/>
  <c r="AA11" i="1"/>
  <c r="AA12" i="1"/>
  <c r="AA13" i="1"/>
  <c r="AA14" i="1"/>
  <c r="AA15" i="1"/>
  <c r="AA16" i="1"/>
  <c r="AA17" i="1"/>
  <c r="AA22" i="1"/>
  <c r="AA23" i="1"/>
  <c r="AA24" i="1"/>
  <c r="AA25" i="1"/>
  <c r="AA26" i="1"/>
  <c r="AA27" i="1"/>
  <c r="AA28"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1" i="1"/>
  <c r="AA134" i="1"/>
  <c r="AA135" i="1"/>
  <c r="AA137" i="1"/>
  <c r="AA138" i="1"/>
  <c r="AA139" i="1"/>
  <c r="AA141" i="1"/>
  <c r="AA142" i="1"/>
  <c r="AA143" i="1"/>
  <c r="AA144" i="1"/>
  <c r="AA145" i="1"/>
  <c r="AA146" i="1"/>
  <c r="AA147" i="1"/>
  <c r="AA148" i="1"/>
  <c r="AA149" i="1"/>
  <c r="AA150" i="1"/>
  <c r="AA151" i="1"/>
  <c r="AA152" i="1"/>
  <c r="AA153" i="1"/>
  <c r="AA154" i="1"/>
  <c r="AA155" i="1"/>
  <c r="AA156" i="1"/>
  <c r="AA157" i="1"/>
  <c r="AA158" i="1"/>
  <c r="AA159" i="1"/>
  <c r="AA161" i="1"/>
  <c r="AA162" i="1"/>
  <c r="AA163" i="1"/>
  <c r="AA164" i="1"/>
  <c r="AA165" i="1"/>
  <c r="AA166" i="1"/>
  <c r="AA9" i="1"/>
  <c r="E127" i="1"/>
  <c r="E126" i="1"/>
  <c r="E125" i="1"/>
  <c r="E124" i="1"/>
  <c r="E123" i="1"/>
  <c r="E122" i="1"/>
  <c r="U117" i="1"/>
  <c r="E118" i="1"/>
  <c r="U96" i="1"/>
  <c r="U97" i="1"/>
  <c r="U98" i="1"/>
  <c r="U99" i="1"/>
  <c r="U100" i="1"/>
  <c r="U101" i="1"/>
  <c r="U102" i="1"/>
  <c r="U103" i="1"/>
  <c r="U104" i="1"/>
  <c r="U105" i="1"/>
  <c r="U106" i="1"/>
  <c r="U107" i="1"/>
  <c r="U108" i="1"/>
  <c r="U109" i="1"/>
  <c r="U110" i="1"/>
  <c r="U111" i="1"/>
  <c r="U112" i="1"/>
  <c r="U113" i="1"/>
  <c r="U114" i="1"/>
  <c r="U115" i="1"/>
  <c r="U116" i="1"/>
  <c r="U118" i="1"/>
  <c r="U119" i="1"/>
  <c r="U120" i="1"/>
  <c r="U121" i="1"/>
  <c r="U122" i="1"/>
  <c r="U123" i="1"/>
  <c r="U124" i="1"/>
  <c r="U125" i="1"/>
  <c r="U126" i="1"/>
  <c r="U127" i="1"/>
  <c r="U128" i="1"/>
  <c r="U129" i="1"/>
  <c r="U130" i="1"/>
  <c r="U131" i="1"/>
  <c r="U134" i="1"/>
  <c r="U135" i="1"/>
  <c r="U136" i="1"/>
  <c r="U137" i="1"/>
  <c r="U138" i="1"/>
  <c r="U139" i="1"/>
  <c r="U140" i="1"/>
  <c r="U141" i="1"/>
  <c r="U142" i="1"/>
  <c r="U143" i="1"/>
  <c r="U144" i="1"/>
  <c r="U147" i="1"/>
  <c r="U148" i="1"/>
  <c r="U149" i="1"/>
  <c r="U150" i="1"/>
  <c r="U151" i="1"/>
  <c r="U152" i="1"/>
  <c r="U153" i="1"/>
  <c r="U154" i="1"/>
  <c r="U155" i="1"/>
  <c r="U156" i="1"/>
  <c r="U157" i="1"/>
  <c r="U158" i="1"/>
  <c r="U159" i="1"/>
  <c r="U161" i="1"/>
  <c r="U162" i="1"/>
  <c r="U163" i="1"/>
  <c r="U164" i="1"/>
  <c r="U165" i="1"/>
  <c r="U166" i="1"/>
  <c r="E117" i="1"/>
  <c r="E115" i="1"/>
  <c r="E114" i="1"/>
  <c r="E113" i="1"/>
  <c r="E112" i="1"/>
  <c r="E111" i="1"/>
  <c r="E110" i="1"/>
  <c r="E109" i="1"/>
  <c r="E108" i="1"/>
  <c r="E107" i="1"/>
  <c r="E106" i="1"/>
  <c r="E105" i="1"/>
  <c r="E104" i="1"/>
  <c r="E102" i="1"/>
  <c r="E101" i="1"/>
  <c r="E100" i="1"/>
  <c r="E99" i="1"/>
  <c r="L71" i="1"/>
  <c r="L19" i="1"/>
  <c r="E98" i="1"/>
  <c r="E97" i="1"/>
  <c r="E96" i="1"/>
  <c r="E95" i="1"/>
  <c r="E63" i="1"/>
  <c r="E62" i="1"/>
  <c r="U10" i="1"/>
  <c r="U11" i="1"/>
  <c r="U12" i="1"/>
  <c r="U13" i="1"/>
  <c r="U14" i="1"/>
  <c r="U15" i="1"/>
  <c r="U16" i="1"/>
  <c r="U17" i="1"/>
  <c r="U18" i="1"/>
  <c r="U19" i="1"/>
  <c r="U20" i="1"/>
  <c r="U29" i="1"/>
  <c r="U21" i="1"/>
  <c r="U22" i="1"/>
  <c r="U23" i="1"/>
  <c r="U24" i="1"/>
  <c r="U25" i="1"/>
  <c r="U26" i="1"/>
  <c r="U27" i="1"/>
  <c r="U28"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 i="1"/>
  <c r="U5" i="1"/>
  <c r="U8" i="1"/>
  <c r="U7" i="1"/>
  <c r="U4" i="1"/>
  <c r="U3" i="1"/>
  <c r="U6" i="1"/>
  <c r="E92" i="1"/>
  <c r="E91" i="1"/>
  <c r="E90" i="1"/>
  <c r="E89" i="1"/>
  <c r="E88" i="1"/>
  <c r="E87" i="1"/>
  <c r="E86" i="1"/>
  <c r="E85" i="1"/>
  <c r="E84" i="1"/>
  <c r="E83" i="1"/>
  <c r="E82" i="1"/>
  <c r="E81" i="1"/>
  <c r="E79" i="1"/>
  <c r="E78" i="1"/>
  <c r="E77" i="1"/>
  <c r="E61" i="1"/>
  <c r="E76" i="1"/>
  <c r="E75" i="1"/>
  <c r="E74" i="1"/>
  <c r="E73" i="1"/>
  <c r="E72" i="1"/>
  <c r="E71" i="1"/>
  <c r="E70" i="1"/>
  <c r="E69" i="1"/>
  <c r="E68" i="1"/>
  <c r="E67" i="1"/>
  <c r="E66" i="1"/>
  <c r="E48" i="1"/>
  <c r="E65" i="1"/>
  <c r="E64" i="1"/>
  <c r="E60" i="1"/>
  <c r="E59" i="1"/>
  <c r="E58" i="1"/>
  <c r="E57" i="1"/>
  <c r="E56" i="1"/>
  <c r="E55" i="1"/>
  <c r="E54" i="1"/>
  <c r="E53" i="1"/>
  <c r="E52" i="1"/>
  <c r="E51" i="1"/>
  <c r="E50" i="1"/>
  <c r="E49" i="1"/>
  <c r="E47" i="1"/>
  <c r="E46" i="1"/>
  <c r="E45" i="1"/>
  <c r="E44" i="1"/>
  <c r="E43" i="1"/>
  <c r="E42" i="1"/>
  <c r="Z21" i="1"/>
  <c r="AA21" i="1" s="1"/>
  <c r="Z29" i="1"/>
  <c r="AA29" i="1" s="1"/>
  <c r="Z20" i="1"/>
  <c r="AA20" i="1" s="1"/>
  <c r="Z19" i="1"/>
  <c r="AA19" i="1" s="1"/>
  <c r="Z18" i="1"/>
  <c r="AA18" i="1" s="1"/>
  <c r="L29" i="1"/>
  <c r="P20" i="3"/>
  <c r="P30" i="3"/>
  <c r="P31" i="3"/>
  <c r="P26" i="3"/>
  <c r="P27" i="3"/>
  <c r="P16" i="3"/>
  <c r="P9" i="3"/>
  <c r="P10" i="3"/>
  <c r="P6" i="3"/>
  <c r="P5" i="3"/>
  <c r="P4" i="3"/>
  <c r="P11" i="3"/>
  <c r="P14" i="3"/>
  <c r="P17" i="3"/>
  <c r="P24" i="3"/>
  <c r="P3" i="3"/>
  <c r="Y10" i="1"/>
  <c r="Y11" i="1"/>
  <c r="Y12" i="1"/>
  <c r="Y13" i="1"/>
  <c r="Y14" i="1"/>
  <c r="Y15" i="1"/>
  <c r="Y16" i="1"/>
  <c r="Y17" i="1"/>
  <c r="Y18" i="1"/>
  <c r="Y19" i="1"/>
  <c r="Y20" i="1"/>
  <c r="Y29" i="1"/>
  <c r="Y21" i="1"/>
  <c r="Y22" i="1"/>
  <c r="Y23" i="1"/>
  <c r="Y24" i="1"/>
  <c r="Y25" i="1"/>
  <c r="Y26" i="1"/>
  <c r="Y27" i="1"/>
  <c r="Y28" i="1"/>
  <c r="Y30" i="1"/>
  <c r="Y31" i="1"/>
  <c r="Y32" i="1"/>
  <c r="Y33" i="1"/>
  <c r="Y34" i="1"/>
  <c r="Y35" i="1"/>
  <c r="Y36" i="1"/>
  <c r="Y37" i="1"/>
  <c r="Y38" i="1"/>
  <c r="Y39" i="1"/>
  <c r="Y40" i="1"/>
  <c r="Y41" i="1"/>
  <c r="Y42" i="1"/>
  <c r="Y43" i="1"/>
  <c r="Y44" i="1"/>
  <c r="Y45" i="1"/>
  <c r="Y46" i="1"/>
  <c r="Y47" i="1"/>
  <c r="Y48" i="1"/>
  <c r="Y49" i="1"/>
  <c r="Y50" i="1"/>
  <c r="Y9" i="1"/>
  <c r="X10" i="1"/>
  <c r="X11" i="1"/>
  <c r="X12" i="1"/>
  <c r="X13" i="1"/>
  <c r="X14" i="1"/>
  <c r="X15" i="1"/>
  <c r="X16" i="1"/>
  <c r="X17" i="1"/>
  <c r="X18" i="1"/>
  <c r="X19" i="1"/>
  <c r="X20" i="1"/>
  <c r="X29" i="1"/>
  <c r="X21" i="1"/>
  <c r="X22" i="1"/>
  <c r="X23" i="1"/>
  <c r="X24" i="1"/>
  <c r="X25" i="1"/>
  <c r="X26" i="1"/>
  <c r="X27" i="1"/>
  <c r="X28" i="1"/>
  <c r="X30" i="1"/>
  <c r="X31" i="1"/>
  <c r="X32" i="1"/>
  <c r="X33" i="1"/>
  <c r="X34" i="1"/>
  <c r="X35" i="1"/>
  <c r="X36" i="1"/>
  <c r="X37" i="1"/>
  <c r="X38" i="1"/>
  <c r="X39" i="1"/>
  <c r="X40" i="1"/>
  <c r="X41" i="1"/>
  <c r="X42" i="1"/>
  <c r="X43" i="1"/>
  <c r="X44" i="1"/>
  <c r="X45" i="1"/>
  <c r="X46" i="1"/>
  <c r="X47" i="1"/>
  <c r="X48" i="1"/>
  <c r="X49" i="1"/>
  <c r="X50" i="1"/>
  <c r="X9" i="1"/>
  <c r="E34" i="1"/>
  <c r="E27" i="1"/>
  <c r="E33" i="1"/>
  <c r="E32" i="1"/>
  <c r="L30" i="1"/>
  <c r="L31" i="1"/>
  <c r="K54" i="1" s="1"/>
  <c r="L22" i="1"/>
  <c r="L23" i="1"/>
  <c r="L24" i="1"/>
  <c r="L25" i="1"/>
  <c r="L28" i="1"/>
  <c r="L21" i="1"/>
  <c r="L20" i="1"/>
  <c r="L18" i="1"/>
  <c r="E31" i="1"/>
  <c r="E30" i="1"/>
  <c r="E28" i="1"/>
  <c r="E26" i="1"/>
  <c r="E25" i="1"/>
  <c r="E24" i="1"/>
  <c r="E23" i="1"/>
  <c r="E22" i="1"/>
  <c r="E13" i="1"/>
  <c r="E21" i="1"/>
  <c r="E29" i="1"/>
  <c r="E20" i="1"/>
  <c r="E19" i="1"/>
  <c r="E18" i="1"/>
  <c r="C9" i="3"/>
  <c r="C10" i="3"/>
  <c r="Y4" i="3"/>
  <c r="Y5" i="3"/>
  <c r="Y6" i="3"/>
  <c r="Y7" i="3"/>
  <c r="Y8" i="3"/>
  <c r="Y9" i="3"/>
  <c r="Y10" i="3"/>
  <c r="Y11" i="3"/>
  <c r="Y12" i="3"/>
  <c r="Y13" i="3"/>
  <c r="Y14" i="3"/>
  <c r="Y15" i="3"/>
  <c r="Y16" i="3"/>
  <c r="Y17" i="3"/>
  <c r="Y18" i="3"/>
  <c r="Y19" i="3"/>
  <c r="Y20" i="3"/>
  <c r="Y21" i="3"/>
  <c r="Y22" i="3"/>
  <c r="Y23" i="3"/>
  <c r="Y24" i="3"/>
  <c r="Y25" i="3"/>
  <c r="Y26" i="3"/>
  <c r="Y27" i="3"/>
  <c r="Y30" i="3"/>
  <c r="Y31" i="3"/>
  <c r="Y32" i="3"/>
  <c r="Y33" i="3"/>
  <c r="Y34" i="3"/>
  <c r="Y35" i="3"/>
  <c r="Y36" i="3"/>
  <c r="Y37" i="3"/>
  <c r="Y38" i="3"/>
  <c r="Y39" i="3"/>
  <c r="Y40" i="3"/>
  <c r="Y41" i="3"/>
  <c r="Y42" i="3"/>
  <c r="Y3" i="3"/>
  <c r="C27" i="3"/>
  <c r="E17" i="1"/>
  <c r="E16" i="1"/>
  <c r="C31" i="3"/>
  <c r="C30" i="3"/>
  <c r="C26" i="3"/>
  <c r="C25" i="3"/>
  <c r="C24" i="3"/>
  <c r="C23" i="3"/>
  <c r="C22" i="3"/>
  <c r="C28" i="3"/>
  <c r="D28" i="3"/>
  <c r="E28" i="3"/>
  <c r="F28" i="3"/>
  <c r="G28" i="3"/>
  <c r="H28" i="3"/>
  <c r="I28" i="3"/>
  <c r="J28" i="3"/>
  <c r="L28" i="3"/>
  <c r="M28" i="3"/>
  <c r="O28" i="3"/>
  <c r="Q28" i="3"/>
  <c r="R28" i="3"/>
  <c r="S28" i="3"/>
  <c r="T28" i="3"/>
  <c r="V28" i="3"/>
  <c r="W28" i="3"/>
  <c r="X28" i="3"/>
  <c r="Z28" i="3"/>
  <c r="E29" i="3"/>
  <c r="F29" i="3"/>
  <c r="H29" i="3"/>
  <c r="I29" i="3"/>
  <c r="L29" i="3"/>
  <c r="M29" i="3"/>
  <c r="W29" i="3"/>
  <c r="X29" i="3"/>
  <c r="Z29" i="3"/>
  <c r="A28" i="3"/>
  <c r="C21" i="3"/>
  <c r="E15" i="1"/>
  <c r="C20" i="3"/>
  <c r="E14" i="1"/>
  <c r="C19" i="3"/>
  <c r="C18" i="3"/>
  <c r="C17" i="3"/>
  <c r="C16" i="3"/>
  <c r="C15" i="3"/>
  <c r="C14" i="3"/>
  <c r="C13" i="3"/>
  <c r="C12" i="3"/>
  <c r="M12" i="3"/>
  <c r="L12" i="3"/>
  <c r="C11" i="3"/>
  <c r="C8" i="3"/>
  <c r="C7" i="3"/>
  <c r="D7" i="3"/>
  <c r="E10" i="1"/>
  <c r="E9" i="1"/>
  <c r="C6" i="3"/>
  <c r="C4" i="3"/>
  <c r="C5" i="3"/>
  <c r="C3" i="3"/>
  <c r="P12" i="3" l="1"/>
  <c r="K50" i="1"/>
  <c r="K70" i="1"/>
  <c r="K48" i="1"/>
  <c r="K52" i="1"/>
  <c r="K42" i="1"/>
  <c r="K49" i="1"/>
  <c r="K51" i="1"/>
  <c r="K53" i="1"/>
  <c r="K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Jayne</author>
    <author>Dan</author>
    <author>Charles Plumridge</author>
  </authors>
  <commentList>
    <comment ref="S1" authorId="0" shapeId="0" xr:uid="{00000000-0006-0000-0000-000001000000}">
      <text>
        <r>
          <rPr>
            <b/>
            <sz val="9"/>
            <color indexed="81"/>
            <rFont val="Tahoma"/>
            <family val="2"/>
          </rPr>
          <t xml:space="preserve">Primary (initial) stiffness
Load per m width/elongation
</t>
        </r>
      </text>
    </comment>
    <comment ref="Z68" authorId="1" shapeId="0" xr:uid="{00000000-0006-0000-0000-000002000000}">
      <text>
        <r>
          <rPr>
            <b/>
            <sz val="9"/>
            <color indexed="81"/>
            <rFont val="Tahoma"/>
            <family val="2"/>
          </rPr>
          <t>Dan:</t>
        </r>
        <r>
          <rPr>
            <sz val="9"/>
            <color indexed="81"/>
            <rFont val="Tahoma"/>
            <family val="2"/>
          </rPr>
          <t xml:space="preserve">
for 50,000m2/year</t>
        </r>
      </text>
    </comment>
    <comment ref="Q219" authorId="2" shapeId="0" xr:uid="{3CE50EAE-70B3-4B86-AE46-8654291A73D2}">
      <text>
        <r>
          <rPr>
            <b/>
            <sz val="9"/>
            <color indexed="81"/>
            <rFont val="Tahoma"/>
            <family val="2"/>
          </rPr>
          <t>Charles Plumridge:</t>
        </r>
        <r>
          <rPr>
            <sz val="9"/>
            <color indexed="81"/>
            <rFont val="Tahoma"/>
            <family val="2"/>
          </rPr>
          <t xml:space="preserve">
Values given</t>
        </r>
      </text>
    </comment>
    <comment ref="R219" authorId="2" shapeId="0" xr:uid="{9EC07306-D617-485A-A8F8-48E86E4B55B0}">
      <text>
        <r>
          <rPr>
            <b/>
            <sz val="9"/>
            <color indexed="81"/>
            <rFont val="Tahoma"/>
            <family val="2"/>
          </rPr>
          <t>Charles Plumridge:</t>
        </r>
        <r>
          <rPr>
            <sz val="9"/>
            <color indexed="81"/>
            <rFont val="Tahoma"/>
            <family val="2"/>
          </rPr>
          <t xml:space="preserve">
Values given</t>
        </r>
      </text>
    </comment>
    <comment ref="S219" authorId="2" shapeId="0" xr:uid="{DC7A7CBE-7D2A-4227-96EF-5A6E1E76F5DA}">
      <text>
        <r>
          <rPr>
            <b/>
            <sz val="9"/>
            <color indexed="81"/>
            <rFont val="Tahoma"/>
            <family val="2"/>
          </rPr>
          <t>Charles Plumridge:</t>
        </r>
        <r>
          <rPr>
            <sz val="9"/>
            <color indexed="81"/>
            <rFont val="Tahoma"/>
            <family val="2"/>
          </rPr>
          <t xml:space="preserve">
Estimated using elongation and tensile strengths given</t>
        </r>
      </text>
    </comment>
    <comment ref="T219" authorId="2" shapeId="0" xr:uid="{B7708F84-6121-4E05-A222-AD433DAE6192}">
      <text>
        <r>
          <rPr>
            <b/>
            <sz val="9"/>
            <color indexed="81"/>
            <rFont val="Tahoma"/>
            <family val="2"/>
          </rPr>
          <t>Charles Plumridge:</t>
        </r>
        <r>
          <rPr>
            <sz val="9"/>
            <color indexed="81"/>
            <rFont val="Tahoma"/>
            <family val="2"/>
          </rPr>
          <t xml:space="preserve">
Estimated using elongation and tensile strengths given</t>
        </r>
      </text>
    </comment>
    <comment ref="C228" authorId="2" shapeId="0" xr:uid="{08696246-DD31-4A57-B048-33CAAA6CB062}">
      <text>
        <r>
          <rPr>
            <b/>
            <sz val="9"/>
            <color indexed="81"/>
            <rFont val="Tahoma"/>
            <family val="2"/>
          </rPr>
          <t>Charles Plumridge:</t>
        </r>
        <r>
          <rPr>
            <sz val="9"/>
            <color indexed="81"/>
            <rFont val="Tahoma"/>
            <family val="2"/>
          </rPr>
          <t xml:space="preserve">
See Consistency Testing 'CCX Fabric Rolls Consistency Testing' within the CCX Lab Testing folder.</t>
        </r>
      </text>
    </comment>
    <comment ref="S230" authorId="2" shapeId="0" xr:uid="{F5E18453-FAE5-4C91-8322-B51A9905B800}">
      <text>
        <r>
          <rPr>
            <b/>
            <sz val="9"/>
            <color indexed="81"/>
            <rFont val="Tahoma"/>
            <family val="2"/>
          </rPr>
          <t xml:space="preserve">Charles Plumridge:
</t>
        </r>
        <r>
          <rPr>
            <sz val="9"/>
            <color indexed="81"/>
            <rFont val="Tahoma"/>
            <family val="2"/>
          </rPr>
          <t>4% (start) - 8% range</t>
        </r>
      </text>
    </comment>
    <comment ref="T230" authorId="2" shapeId="0" xr:uid="{37A2C68A-8291-4537-9A32-0A27D9913AE8}">
      <text>
        <r>
          <rPr>
            <b/>
            <sz val="9"/>
            <color indexed="81"/>
            <rFont val="Tahoma"/>
            <family val="2"/>
          </rPr>
          <t xml:space="preserve">Charles Plumridge:
</t>
        </r>
        <r>
          <rPr>
            <sz val="9"/>
            <color indexed="81"/>
            <rFont val="Tahoma"/>
            <family val="2"/>
          </rPr>
          <t>4% (start) - 8% range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Charles Plumridge</author>
  </authors>
  <commentList>
    <comment ref="P1" authorId="0" shapeId="0" xr:uid="{7E03BE44-DADB-3E47-85E1-2DB43B8FE4A2}">
      <text>
        <r>
          <rPr>
            <b/>
            <sz val="10"/>
            <color rgb="FF000000"/>
            <rFont val="Tahoma"/>
            <family val="2"/>
          </rPr>
          <t>(2*(thickness) + 3*stitch length) * (1/pitch)*(1/stitch length)*cost per m</t>
        </r>
        <r>
          <rPr>
            <sz val="10"/>
            <color rgb="FF000000"/>
            <rFont val="Tahoma"/>
            <family val="2"/>
          </rPr>
          <t xml:space="preserve">
</t>
        </r>
      </text>
    </comment>
    <comment ref="H7" authorId="1" shapeId="0" xr:uid="{2A8ACE97-41E7-4F95-A700-EDA69E945602}">
      <text>
        <r>
          <rPr>
            <b/>
            <sz val="9"/>
            <color indexed="81"/>
            <rFont val="Tahoma"/>
            <family val="2"/>
          </rPr>
          <t>Charles Plumridge:</t>
        </r>
        <r>
          <rPr>
            <sz val="9"/>
            <color indexed="81"/>
            <rFont val="Tahoma"/>
            <family val="2"/>
          </rPr>
          <t xml:space="preserve">
Measured using 2.5 m length. (+/-15)</t>
        </r>
      </text>
    </comment>
    <comment ref="J16" authorId="1" shapeId="0" xr:uid="{B0FE25F9-B0E4-496B-B99B-A4AB969A3E30}">
      <text>
        <r>
          <rPr>
            <b/>
            <sz val="9"/>
            <color indexed="81"/>
            <rFont val="Tahoma"/>
            <family val="2"/>
          </rPr>
          <t>Charles Plumridge:</t>
        </r>
        <r>
          <rPr>
            <sz val="9"/>
            <color indexed="81"/>
            <rFont val="Tahoma"/>
            <family val="2"/>
          </rPr>
          <t xml:space="preserve">
Measured</t>
        </r>
      </text>
    </comment>
    <comment ref="K16" authorId="1" shapeId="0" xr:uid="{690CF8BD-A9F5-437D-9BC4-2A0380DB7BAD}">
      <text>
        <r>
          <rPr>
            <b/>
            <sz val="9"/>
            <color indexed="81"/>
            <rFont val="Tahoma"/>
            <family val="2"/>
          </rPr>
          <t>Charles Plumridge:</t>
        </r>
        <r>
          <rPr>
            <sz val="9"/>
            <color indexed="81"/>
            <rFont val="Tahoma"/>
            <family val="2"/>
          </rPr>
          <t xml:space="preserve">
Value1: Tenacity calculated by using the UTS measured.
Value2: Tenacity given by supplier in the spec.</t>
        </r>
      </text>
    </comment>
    <comment ref="L16" authorId="1" shapeId="0" xr:uid="{62B61594-59D2-407B-9FAC-7DFBCC6928CF}">
      <text>
        <r>
          <rPr>
            <b/>
            <sz val="9"/>
            <color indexed="81"/>
            <rFont val="Tahoma"/>
            <family val="2"/>
          </rPr>
          <t xml:space="preserve">Charles Plumridge:
</t>
        </r>
        <r>
          <rPr>
            <sz val="9"/>
            <color indexed="81"/>
            <rFont val="Tahoma"/>
            <family val="2"/>
          </rPr>
          <t>Measured</t>
        </r>
      </text>
    </comment>
    <comment ref="J17" authorId="1" shapeId="0" xr:uid="{3D460921-AB26-4F2D-B356-843447B2446C}">
      <text>
        <r>
          <rPr>
            <b/>
            <sz val="9"/>
            <color indexed="81"/>
            <rFont val="Tahoma"/>
            <family val="2"/>
          </rPr>
          <t>Charles Plumridge:</t>
        </r>
        <r>
          <rPr>
            <sz val="9"/>
            <color indexed="81"/>
            <rFont val="Tahoma"/>
            <family val="2"/>
          </rPr>
          <t xml:space="preserve">
Calculated using tenacity provided</t>
        </r>
      </text>
    </comment>
    <comment ref="H25" authorId="1" shapeId="0" xr:uid="{E53500D6-F9EA-42CE-9D49-02822530AF16}">
      <text>
        <r>
          <rPr>
            <b/>
            <sz val="9"/>
            <color indexed="81"/>
            <rFont val="Tahoma"/>
            <family val="2"/>
          </rPr>
          <t>Charles Plumridge:</t>
        </r>
        <r>
          <rPr>
            <sz val="9"/>
            <color indexed="81"/>
            <rFont val="Tahoma"/>
            <family val="2"/>
          </rPr>
          <t xml:space="preserve">
155 dtex</t>
        </r>
      </text>
    </comment>
    <comment ref="K25" authorId="1" shapeId="0" xr:uid="{12E8F41F-1D9F-4CA0-8B9B-2B46759759D9}">
      <text>
        <r>
          <rPr>
            <b/>
            <sz val="9"/>
            <color indexed="81"/>
            <rFont val="Tahoma"/>
            <family val="2"/>
          </rPr>
          <t>Charles Plumridge:</t>
        </r>
        <r>
          <rPr>
            <sz val="9"/>
            <color indexed="81"/>
            <rFont val="Tahoma"/>
            <family val="2"/>
          </rPr>
          <t xml:space="preserve">
3.6 cN/dtex</t>
        </r>
      </text>
    </comment>
    <comment ref="H27" authorId="1" shapeId="0" xr:uid="{D69A6220-B347-411C-8C39-5C07DB419926}">
      <text>
        <r>
          <rPr>
            <b/>
            <sz val="9"/>
            <color indexed="81"/>
            <rFont val="Tahoma"/>
            <family val="2"/>
          </rPr>
          <t>Charles Plumridge:</t>
        </r>
        <r>
          <rPr>
            <sz val="9"/>
            <color indexed="81"/>
            <rFont val="Tahoma"/>
            <family val="2"/>
          </rPr>
          <t xml:space="preserve">
Given value, given as 70 tex (700 dtex).
Measured as 657 den.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 Cox</author>
  </authors>
  <commentList>
    <comment ref="C1" authorId="0" shapeId="0" xr:uid="{00000000-0006-0000-0300-000001000000}">
      <text>
        <r>
          <rPr>
            <b/>
            <sz val="9"/>
            <color indexed="81"/>
            <rFont val="Tahoma"/>
            <family val="2"/>
          </rPr>
          <t>Date first performed</t>
        </r>
      </text>
    </comment>
    <comment ref="O1" authorId="0" shapeId="0" xr:uid="{00000000-0006-0000-0300-000002000000}">
      <text>
        <r>
          <rPr>
            <b/>
            <sz val="9"/>
            <color indexed="81"/>
            <rFont val="Tahoma"/>
            <family val="2"/>
          </rPr>
          <t>P(roduct)</t>
        </r>
      </text>
    </comment>
    <comment ref="R1" authorId="0" shapeId="0" xr:uid="{00000000-0006-0000-0300-000003000000}">
      <text>
        <r>
          <rPr>
            <b/>
            <sz val="9"/>
            <color indexed="81"/>
            <rFont val="Tahoma"/>
            <family val="2"/>
          </rPr>
          <t>W(aste)</t>
        </r>
      </text>
    </comment>
    <comment ref="T1" authorId="0" shapeId="0" xr:uid="{00000000-0006-0000-0300-000004000000}">
      <text>
        <r>
          <rPr>
            <b/>
            <sz val="9"/>
            <color indexed="81"/>
            <rFont val="Tahoma"/>
            <family val="2"/>
          </rPr>
          <t>As measured by extra electrical current on motor</t>
        </r>
      </text>
    </comment>
    <comment ref="G2" authorId="0" shapeId="0" xr:uid="{00000000-0006-0000-0300-000005000000}">
      <text>
        <r>
          <rPr>
            <b/>
            <sz val="9"/>
            <color indexed="81"/>
            <rFont val="Tahoma"/>
            <family val="2"/>
          </rPr>
          <t>P(roduct)
Angle from horizontal</t>
        </r>
      </text>
    </comment>
    <comment ref="H2" authorId="0" shapeId="0" xr:uid="{00000000-0006-0000-0300-000006000000}">
      <text>
        <r>
          <rPr>
            <b/>
            <sz val="9"/>
            <color indexed="81"/>
            <rFont val="Tahoma"/>
            <family val="2"/>
          </rPr>
          <t>W(aste)
Angle from horizontal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 Cox</author>
  </authors>
  <commentList>
    <comment ref="E1" authorId="0" shapeId="0" xr:uid="{00000000-0006-0000-0400-000001000000}">
      <text>
        <r>
          <rPr>
            <b/>
            <sz val="9"/>
            <color indexed="81"/>
            <rFont val="Tahoma"/>
            <family val="2"/>
          </rPr>
          <t>P(roduct)
Angle from horizontal</t>
        </r>
      </text>
    </comment>
    <comment ref="F1" authorId="0" shapeId="0" xr:uid="{00000000-0006-0000-0400-000002000000}">
      <text>
        <r>
          <rPr>
            <b/>
            <sz val="9"/>
            <color indexed="81"/>
            <rFont val="Tahoma"/>
            <family val="2"/>
          </rPr>
          <t>W(aste)
Angle from horizontal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Jayne</author>
  </authors>
  <commentList>
    <comment ref="L1" authorId="0" shapeId="0" xr:uid="{00000000-0006-0000-0700-000001000000}">
      <text>
        <r>
          <rPr>
            <b/>
            <sz val="9"/>
            <color indexed="81"/>
            <rFont val="Tahoma"/>
            <family val="2"/>
          </rPr>
          <t>Machine Direction</t>
        </r>
      </text>
    </comment>
    <comment ref="M1" authorId="0" shapeId="0" xr:uid="{00000000-0006-0000-0700-000002000000}">
      <text>
        <r>
          <rPr>
            <b/>
            <sz val="9"/>
            <color indexed="81"/>
            <rFont val="Tahoma"/>
            <family val="2"/>
          </rPr>
          <t>Transverse Direction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Jayne</author>
  </authors>
  <commentList>
    <comment ref="L2" authorId="0" shapeId="0" xr:uid="{5F2D8D98-979C-4EEC-A1F6-37FA074E8C98}">
      <text>
        <r>
          <rPr>
            <b/>
            <sz val="9"/>
            <color indexed="81"/>
            <rFont val="Tahoma"/>
            <family val="2"/>
          </rPr>
          <t xml:space="preserve">Primary (initial) stiffness
Load per m width/elongation
</t>
        </r>
      </text>
    </comment>
  </commentList>
</comments>
</file>

<file path=xl/sharedStrings.xml><?xml version="1.0" encoding="utf-8"?>
<sst xmlns="http://schemas.openxmlformats.org/spreadsheetml/2006/main" count="3888" uniqueCount="1729">
  <si>
    <t>Material</t>
  </si>
  <si>
    <t>Notes</t>
  </si>
  <si>
    <r>
      <t>g/m</t>
    </r>
    <r>
      <rPr>
        <vertAlign val="superscript"/>
        <sz val="11"/>
        <color theme="1"/>
        <rFont val="Calibri"/>
        <family val="2"/>
        <scheme val="minor"/>
      </rPr>
      <t>2</t>
    </r>
  </si>
  <si>
    <t>A</t>
  </si>
  <si>
    <t>B</t>
  </si>
  <si>
    <t>C</t>
  </si>
  <si>
    <t>D</t>
  </si>
  <si>
    <t>E</t>
  </si>
  <si>
    <t>F</t>
  </si>
  <si>
    <t>G</t>
  </si>
  <si>
    <t>H</t>
  </si>
  <si>
    <t>I</t>
  </si>
  <si>
    <t>J</t>
  </si>
  <si>
    <t>K</t>
  </si>
  <si>
    <t>L</t>
  </si>
  <si>
    <t>M</t>
  </si>
  <si>
    <t>N</t>
  </si>
  <si>
    <t>O</t>
  </si>
  <si>
    <t>P</t>
  </si>
  <si>
    <t>Q</t>
  </si>
  <si>
    <t>R</t>
  </si>
  <si>
    <t>S</t>
  </si>
  <si>
    <t>T</t>
  </si>
  <si>
    <t>U</t>
  </si>
  <si>
    <t>V</t>
  </si>
  <si>
    <t>W</t>
  </si>
  <si>
    <t>X</t>
  </si>
  <si>
    <t>Y</t>
  </si>
  <si>
    <t>Z</t>
  </si>
  <si>
    <t>Grid Size</t>
  </si>
  <si>
    <t>Woven/Bonded</t>
  </si>
  <si>
    <t>mm</t>
  </si>
  <si>
    <t>kN/m</t>
  </si>
  <si>
    <t>Manufacturer</t>
  </si>
  <si>
    <t>Contact</t>
  </si>
  <si>
    <t>Email/phone</t>
  </si>
  <si>
    <t>email &amp; phone</t>
  </si>
  <si>
    <t>Sarah Hendon</t>
  </si>
  <si>
    <t xml:space="preserve">Most recent contact </t>
  </si>
  <si>
    <t>Conwed</t>
  </si>
  <si>
    <t>Contry of operation</t>
  </si>
  <si>
    <t>UK</t>
  </si>
  <si>
    <t>Belgium</t>
  </si>
  <si>
    <t>Stefan Tielen</t>
  </si>
  <si>
    <t>Email, phone &amp; meeting</t>
  </si>
  <si>
    <t>USA</t>
  </si>
  <si>
    <t>email</t>
  </si>
  <si>
    <t>Spain</t>
  </si>
  <si>
    <t>Turkey</t>
  </si>
  <si>
    <t>GENTUG TEXTILE PRODUCTS IND. &amp; TRADE CO.</t>
  </si>
  <si>
    <t>COST</t>
  </si>
  <si>
    <r>
      <t>£/m</t>
    </r>
    <r>
      <rPr>
        <vertAlign val="superscript"/>
        <sz val="11"/>
        <color theme="1"/>
        <rFont val="Calibri"/>
        <family val="2"/>
        <scheme val="minor"/>
      </rPr>
      <t>2</t>
    </r>
    <r>
      <rPr>
        <sz val="11"/>
        <color theme="1"/>
        <rFont val="Calibri"/>
        <family val="2"/>
        <scheme val="minor"/>
      </rPr>
      <t xml:space="preserve"> @ 10,000m</t>
    </r>
    <r>
      <rPr>
        <vertAlign val="superscript"/>
        <sz val="11"/>
        <color theme="1"/>
        <rFont val="Calibri"/>
        <family val="2"/>
        <scheme val="minor"/>
      </rPr>
      <t>2</t>
    </r>
    <r>
      <rPr>
        <sz val="11"/>
        <color theme="1"/>
        <rFont val="Calibri"/>
        <family val="2"/>
        <scheme val="minor"/>
      </rPr>
      <t>/year</t>
    </r>
  </si>
  <si>
    <t>Manufacturer Code</t>
  </si>
  <si>
    <t>-</t>
  </si>
  <si>
    <t>Email</t>
  </si>
  <si>
    <t>Industrial netting</t>
  </si>
  <si>
    <t>Karen Slater</t>
  </si>
  <si>
    <t>Colour (for ref)</t>
  </si>
  <si>
    <t>Polyester</t>
  </si>
  <si>
    <t>Extruded</t>
  </si>
  <si>
    <t>3.1 x 3.8</t>
  </si>
  <si>
    <t>OV6200</t>
  </si>
  <si>
    <t>Black</t>
  </si>
  <si>
    <t>Master roll width</t>
  </si>
  <si>
    <t>m</t>
  </si>
  <si>
    <t>Lenght direction</t>
  </si>
  <si>
    <t>OV 3018</t>
  </si>
  <si>
    <t>4.0 x 4.5</t>
  </si>
  <si>
    <t>6.3 x 6.5</t>
  </si>
  <si>
    <t>OV7100</t>
  </si>
  <si>
    <t>6.8 x 5.5</t>
  </si>
  <si>
    <t>OV7822</t>
  </si>
  <si>
    <t>(S)quare/(R)otated square/(D)iamond/</t>
  </si>
  <si>
    <t>1.9 x 1.9</t>
  </si>
  <si>
    <t>(L)ong or (S)hort</t>
  </si>
  <si>
    <t>Clear</t>
  </si>
  <si>
    <t>White</t>
  </si>
  <si>
    <t>D15-421 Pos4 Trial 4</t>
  </si>
  <si>
    <t>C-2015 Polyvlies</t>
  </si>
  <si>
    <t>Sample Size</t>
  </si>
  <si>
    <t>A4</t>
  </si>
  <si>
    <t>Grey</t>
  </si>
  <si>
    <t>?</t>
  </si>
  <si>
    <t>&gt;1m2</t>
  </si>
  <si>
    <t>Lycra</t>
  </si>
  <si>
    <t>Woven</t>
  </si>
  <si>
    <t xml:space="preserve">SDA120 </t>
  </si>
  <si>
    <t>Kere Numunesi</t>
  </si>
  <si>
    <t>Can't find online. Check again</t>
  </si>
  <si>
    <t>1.4 x 1.6</t>
  </si>
  <si>
    <t>5230</t>
  </si>
  <si>
    <t>5.0 x 4.2</t>
  </si>
  <si>
    <t>5.4 x 5.4</t>
  </si>
  <si>
    <t>R07821</t>
  </si>
  <si>
    <t>7.0 x 7.0</t>
  </si>
  <si>
    <t>15 x 60mm</t>
  </si>
  <si>
    <t>BOP 176</t>
  </si>
  <si>
    <t>JX Nippon</t>
  </si>
  <si>
    <t>2.2 x 3.0</t>
  </si>
  <si>
    <t>A3</t>
  </si>
  <si>
    <t>LS9215</t>
  </si>
  <si>
    <t>2.9-3.2</t>
  </si>
  <si>
    <t>Ikea</t>
  </si>
  <si>
    <t>2.2x2.5</t>
  </si>
  <si>
    <t>A4 x 3</t>
  </si>
  <si>
    <t>Polytex</t>
  </si>
  <si>
    <t>DEJIA Enterprises</t>
  </si>
  <si>
    <t>Uncoated fiberglass</t>
  </si>
  <si>
    <t>3.0 x 3.0</t>
  </si>
  <si>
    <t>PVC Fiberglass</t>
  </si>
  <si>
    <t>3 x 2.8</t>
  </si>
  <si>
    <t>Red</t>
  </si>
  <si>
    <t>6.0 x 9.0</t>
  </si>
  <si>
    <t>Glued with PVC</t>
  </si>
  <si>
    <t>Orange</t>
  </si>
  <si>
    <t>Scaffold net</t>
  </si>
  <si>
    <t>PVC Polyester</t>
  </si>
  <si>
    <t>Fiberglass</t>
  </si>
  <si>
    <t>4.0 x 4.0</t>
  </si>
  <si>
    <t>4.4 x 4.2</t>
  </si>
  <si>
    <t>Polyethene?</t>
  </si>
  <si>
    <t>9.1 x 8.5</t>
  </si>
  <si>
    <t>Green</t>
  </si>
  <si>
    <t>May not be suiable for our requirements. Can't see anything imediatley useful on their website. Email if get desperate</t>
  </si>
  <si>
    <r>
      <t>150</t>
    </r>
    <r>
      <rPr>
        <vertAlign val="superscript"/>
        <sz val="11"/>
        <color theme="1"/>
        <rFont val="Calibri"/>
        <family val="2"/>
        <scheme val="minor"/>
      </rPr>
      <t>o</t>
    </r>
    <r>
      <rPr>
        <sz val="11"/>
        <color theme="1"/>
        <rFont val="Calibri"/>
        <family val="2"/>
        <scheme val="minor"/>
      </rPr>
      <t>C?</t>
    </r>
  </si>
  <si>
    <r>
      <t>175</t>
    </r>
    <r>
      <rPr>
        <vertAlign val="superscript"/>
        <sz val="11"/>
        <color theme="1"/>
        <rFont val="Calibri"/>
        <family val="2"/>
        <scheme val="minor"/>
      </rPr>
      <t>o</t>
    </r>
    <r>
      <rPr>
        <sz val="11"/>
        <color theme="1"/>
        <rFont val="Calibri"/>
        <family val="2"/>
        <scheme val="minor"/>
      </rPr>
      <t>C?</t>
    </r>
  </si>
  <si>
    <r>
      <t>200</t>
    </r>
    <r>
      <rPr>
        <vertAlign val="superscript"/>
        <sz val="11"/>
        <color theme="1"/>
        <rFont val="Calibri"/>
        <family val="2"/>
        <scheme val="minor"/>
      </rPr>
      <t>o</t>
    </r>
    <r>
      <rPr>
        <sz val="11"/>
        <color theme="1"/>
        <rFont val="Calibri"/>
        <family val="2"/>
        <scheme val="minor"/>
      </rPr>
      <t>C?</t>
    </r>
  </si>
  <si>
    <t>Germany (UK distributor)</t>
  </si>
  <si>
    <t>Trutzscler (Robert S. Maynard Ltd. In UK)</t>
  </si>
  <si>
    <t>Intermas (Fleximas in UK)</t>
  </si>
  <si>
    <t>Colloquial reference</t>
  </si>
  <si>
    <t>Nappy liner</t>
  </si>
  <si>
    <t>White geotextile</t>
  </si>
  <si>
    <t>Grey felt</t>
  </si>
  <si>
    <t>White felt</t>
  </si>
  <si>
    <t>Blue hydro</t>
  </si>
  <si>
    <t>Renolit</t>
  </si>
  <si>
    <t>PVC</t>
  </si>
  <si>
    <t>Blue</t>
  </si>
  <si>
    <t>PP?</t>
  </si>
  <si>
    <t>14 x 19</t>
  </si>
  <si>
    <t>S?</t>
  </si>
  <si>
    <t>BOP90</t>
  </si>
  <si>
    <t>Weed supresser</t>
  </si>
  <si>
    <t>Weedban 70</t>
  </si>
  <si>
    <t>3.2 x 1.1</t>
  </si>
  <si>
    <t>Wind break</t>
  </si>
  <si>
    <t>Knitted</t>
  </si>
  <si>
    <t>Stablemas</t>
  </si>
  <si>
    <t>Stablemas 115</t>
  </si>
  <si>
    <t>Pavemas</t>
  </si>
  <si>
    <t>Pavemas 95</t>
  </si>
  <si>
    <t>5.6 x 5.7</t>
  </si>
  <si>
    <t>Render mesh</t>
  </si>
  <si>
    <t>Rendermesh</t>
  </si>
  <si>
    <t>1m2</t>
  </si>
  <si>
    <t>Orientation</t>
  </si>
  <si>
    <t>16 x 18</t>
  </si>
  <si>
    <t>AA</t>
  </si>
  <si>
    <t>AB</t>
  </si>
  <si>
    <t>AC</t>
  </si>
  <si>
    <t>AD</t>
  </si>
  <si>
    <t>AE</t>
  </si>
  <si>
    <t>AF</t>
  </si>
  <si>
    <t>AG</t>
  </si>
  <si>
    <t>AH</t>
  </si>
  <si>
    <t>AI</t>
  </si>
  <si>
    <t>AJ</t>
  </si>
  <si>
    <t>AK</t>
  </si>
  <si>
    <t>AL</t>
  </si>
  <si>
    <t>AM</t>
  </si>
  <si>
    <t>AN</t>
  </si>
  <si>
    <t>AO</t>
  </si>
  <si>
    <t>AP</t>
  </si>
  <si>
    <t>PP</t>
  </si>
  <si>
    <t>6.7 x 7.7</t>
  </si>
  <si>
    <t>%</t>
  </si>
  <si>
    <t>Elongation (MD)</t>
  </si>
  <si>
    <t>Elongation (TD)</t>
  </si>
  <si>
    <t>2.0 or 5.0</t>
  </si>
  <si>
    <t>BOP 158/100/B</t>
  </si>
  <si>
    <t>5.4 x 5.3</t>
  </si>
  <si>
    <t>OK</t>
  </si>
  <si>
    <t>Melt</t>
  </si>
  <si>
    <t>2 x 2</t>
  </si>
  <si>
    <t>&lt;A5</t>
  </si>
  <si>
    <t>5 x 5</t>
  </si>
  <si>
    <t>Knited</t>
  </si>
  <si>
    <t>Some shriviling</t>
  </si>
  <si>
    <t>Shriviling</t>
  </si>
  <si>
    <t>V.shriveled</t>
  </si>
  <si>
    <t xml:space="preserve"> </t>
  </si>
  <si>
    <t>Shriviled</t>
  </si>
  <si>
    <t>114/200/B</t>
  </si>
  <si>
    <t>4.5 x 4.1</t>
  </si>
  <si>
    <t>L?</t>
  </si>
  <si>
    <t>R03650</t>
  </si>
  <si>
    <t>6.5 x 6.5</t>
  </si>
  <si>
    <t>R03018</t>
  </si>
  <si>
    <t>Fire</t>
  </si>
  <si>
    <t>Blowtorch applies for 2 secs</t>
  </si>
  <si>
    <t>Shrivel</t>
  </si>
  <si>
    <t>Singe</t>
  </si>
  <si>
    <t>Singe &amp; Shrivel</t>
  </si>
  <si>
    <t>charcoal' consistency. Retains shape</t>
  </si>
  <si>
    <t>Melt &amp; shrivel</t>
  </si>
  <si>
    <t>delaminate, kept shape</t>
  </si>
  <si>
    <t>Slight shrivel</t>
  </si>
  <si>
    <t>Possible for 1d stretching</t>
  </si>
  <si>
    <t>REQUESTED</t>
  </si>
  <si>
    <t>5.0 or 1.22</t>
  </si>
  <si>
    <t>1.7 - 4.34 (inc 2.18)</t>
  </si>
  <si>
    <t>0.5 -  (ic 2.25)</t>
  </si>
  <si>
    <t>Don't appear to have their own website. Could perhaps trace through distributer</t>
  </si>
  <si>
    <t>BOP 90</t>
  </si>
  <si>
    <t>Ulas Ozturk</t>
  </si>
  <si>
    <t>100,000 m2 min order</t>
  </si>
  <si>
    <t>50,000 m2 min order</t>
  </si>
  <si>
    <t>Had more sent from conwed. 30,000 m2 min order</t>
  </si>
  <si>
    <t>BOP 164</t>
  </si>
  <si>
    <t>Weight - may need doule checking</t>
  </si>
  <si>
    <r>
      <t xml:space="preserve">Material - </t>
    </r>
    <r>
      <rPr>
        <sz val="11"/>
        <color rgb="FFFF0000"/>
        <rFont val="Calibri"/>
        <family val="2"/>
        <scheme val="minor"/>
      </rPr>
      <t>double check on most promising, ask if anything special</t>
    </r>
  </si>
  <si>
    <t>100,000m2/year. Converted from USD (21/12/15)</t>
  </si>
  <si>
    <t>Stephen Maynard</t>
  </si>
  <si>
    <t>Also sourced from fleximas. 40,000m2</t>
  </si>
  <si>
    <t>40,000m2</t>
  </si>
  <si>
    <t>China? UK office</t>
  </si>
  <si>
    <t>British Felt</t>
  </si>
  <si>
    <t>FYBAGrate</t>
  </si>
  <si>
    <t>UK distributor</t>
  </si>
  <si>
    <t>KT Exports</t>
  </si>
  <si>
    <t>India</t>
  </si>
  <si>
    <t>Monarch Textiles</t>
  </si>
  <si>
    <t>Buffalo Felt</t>
  </si>
  <si>
    <t>email + phone</t>
  </si>
  <si>
    <r>
      <t>£/kg/m</t>
    </r>
    <r>
      <rPr>
        <vertAlign val="superscript"/>
        <sz val="11"/>
        <color theme="1"/>
        <rFont val="Calibri"/>
        <family val="2"/>
        <scheme val="minor"/>
      </rPr>
      <t>2</t>
    </r>
  </si>
  <si>
    <t xml:space="preserve">Cost to weight ratio </t>
  </si>
  <si>
    <t>Doug McClinsey</t>
  </si>
  <si>
    <t>Emailed to ask for samples. Replied that they probably have something suitable, but don't sound like they deal with the UK.</t>
  </si>
  <si>
    <t>Germany</t>
  </si>
  <si>
    <t>Richard Leather</t>
  </si>
  <si>
    <t>Venturi Jet pumps</t>
  </si>
  <si>
    <t>120 PP</t>
  </si>
  <si>
    <t>Needled</t>
  </si>
  <si>
    <t>160 PP</t>
  </si>
  <si>
    <t>285 PP</t>
  </si>
  <si>
    <t>300 PE</t>
  </si>
  <si>
    <t>Light Green</t>
  </si>
  <si>
    <t>Supplier of lots of good netting. Sent through A4 samples. Once tested, can chase up larger ones. Emailed to thank for samples and to ask about larger samples. Can ship 2' x production width free if we pay postage from mineapolis. Requested prices of samples. Have posted larger samples. Large samples of A-E arrived 01/02/16</t>
  </si>
  <si>
    <t>Emailed to ask for samples. No reply</t>
  </si>
  <si>
    <t>For 40ft container at felixstowe</t>
  </si>
  <si>
    <t>A6</t>
  </si>
  <si>
    <t>AB-1.5</t>
  </si>
  <si>
    <t>AB-2</t>
  </si>
  <si>
    <t>AB-2.8</t>
  </si>
  <si>
    <t>AB-1</t>
  </si>
  <si>
    <t>Thermal consolidation makes stiff and poor for needling. However, shows what might be possible with thermal consolidation for needled surfaces and low melt.</t>
  </si>
  <si>
    <t>Possibly from milican, Pete to find out mid feb '16 call.</t>
  </si>
  <si>
    <t>B.F. 242 PE</t>
  </si>
  <si>
    <t>B.F. 350 PE</t>
  </si>
  <si>
    <t>B.F. 414 PE</t>
  </si>
  <si>
    <t>B.F. 500 PE</t>
  </si>
  <si>
    <t>Staple diameter</t>
  </si>
  <si>
    <t>Staple length</t>
  </si>
  <si>
    <t>90 fleximas</t>
  </si>
  <si>
    <t>110 fleximas</t>
  </si>
  <si>
    <t>&gt;A3</t>
  </si>
  <si>
    <t>Not good for needling, but might make good closed for needling. See attached tensile data</t>
  </si>
  <si>
    <t>100 low melt</t>
  </si>
  <si>
    <t>Groz Beckert</t>
  </si>
  <si>
    <t>Laroche</t>
  </si>
  <si>
    <t>France</t>
  </si>
  <si>
    <t xml:space="preserve">Elias Junker </t>
  </si>
  <si>
    <t>email,phone,meeting</t>
  </si>
  <si>
    <t>PET</t>
  </si>
  <si>
    <t>Fleximas black 200</t>
  </si>
  <si>
    <t>Felt before thermal consolidation</t>
  </si>
  <si>
    <t>Gentug lowmelt</t>
  </si>
  <si>
    <t>20% low melt 80% PE</t>
  </si>
  <si>
    <t>George Swarbrick</t>
  </si>
  <si>
    <t>Rienforcement</t>
  </si>
  <si>
    <t>Velcro</t>
  </si>
  <si>
    <t>Cost</t>
  </si>
  <si>
    <t>Description</t>
  </si>
  <si>
    <t>Flex-zone hook 797</t>
  </si>
  <si>
    <t>Hook material</t>
  </si>
  <si>
    <t>Hook Shape</t>
  </si>
  <si>
    <t>Hook height</t>
  </si>
  <si>
    <t>Standard width</t>
  </si>
  <si>
    <t>Promising?</t>
  </si>
  <si>
    <t>Joining research paused 22/02/16 because not on 'critical path'</t>
  </si>
  <si>
    <t>Supplier of nappie samples. Emaild to get more/bigger samples of geotextiles. Can only supplyt A4 samples. £4m to build own needle punch line. Replied to ask for product range. No reply.</t>
  </si>
  <si>
    <t>Needles</t>
  </si>
  <si>
    <t>g/10,000m</t>
  </si>
  <si>
    <t xml:space="preserve">Price quoted based on 100,000m2/year. Low melt is 4 dernier; PE is 3. </t>
  </si>
  <si>
    <t>Staple (est) dtex</t>
  </si>
  <si>
    <t>CC hydro PVC supplier. Hydro used as a base for sample flocks.</t>
  </si>
  <si>
    <t>Asked if jet can be mm and what the cost would be. No reply. May not be the route to go for cement lance, but worth checking with them again if their solid conveyance systems would work for such small diameters and quiz on flow rates achieved, and how it might cope with back pressure.</t>
  </si>
  <si>
    <t>STFI</t>
  </si>
  <si>
    <t>Bernd Gulich</t>
  </si>
  <si>
    <t>Email, phone</t>
  </si>
  <si>
    <t>Captiqs</t>
  </si>
  <si>
    <t>Pedro Claeren</t>
  </si>
  <si>
    <t>Tech Textil '15</t>
  </si>
  <si>
    <t>Look a promising potential company to make nonwoven once spec narrowed down. Already work in geotextiles.</t>
  </si>
  <si>
    <t>Italic: No recent contact; might be useful</t>
  </si>
  <si>
    <t>Italic and grey: Recent contact; not useful/no reply</t>
  </si>
  <si>
    <t>email + phone + Tech Tectil '15</t>
  </si>
  <si>
    <t>Ziegler</t>
  </si>
  <si>
    <t>Attila Molnar</t>
  </si>
  <si>
    <t>Make fileters etc</t>
  </si>
  <si>
    <t>Index 2014 + phone</t>
  </si>
  <si>
    <t>Jeffery G Bassett</t>
  </si>
  <si>
    <t>Index 2014</t>
  </si>
  <si>
    <t>Another manyfacturer of stretchy nonwoven. Might be useful for price comparason with Exxon</t>
  </si>
  <si>
    <t>European Tech Centre (a division of Exxon Mobil)</t>
  </si>
  <si>
    <t>Dr Vincent Gallez</t>
  </si>
  <si>
    <t>Fi-Tech</t>
  </si>
  <si>
    <t>Stretchy Exxon</t>
  </si>
  <si>
    <t>Stretchy Fi-Tech</t>
  </si>
  <si>
    <t>Elastomeric Polyolefin</t>
  </si>
  <si>
    <t>PP Elastomer</t>
  </si>
  <si>
    <t>&gt;A2</t>
  </si>
  <si>
    <t>Sample 214</t>
  </si>
  <si>
    <t>18% Extesible Bico PP/PE 64% Vistamaxx 7050FL PBE. Designed for nappys, but much have geotextile applications</t>
  </si>
  <si>
    <t>Price for first few thousand squares - would drop sinificantly once big orders placed. Some fiber pullout with needle. Fairly thick fibers, might benefit from coarser needle</t>
  </si>
  <si>
    <t>Price for first few thousand squares - would drop sinificantly once big orders placed. Lots of fibers pulled out. Again, might benefit from coarser needle</t>
  </si>
  <si>
    <t>Price for first few thousand squares - would drop sinificantly once big orders placed. Excellent fiber pull out. Closest to C</t>
  </si>
  <si>
    <t>Price for first few thousand squares - would drop sinificantly once big orders placed. Good fiber pull out, but no better then N. Much heavier. Might have other uses being so heavy.</t>
  </si>
  <si>
    <t xml:space="preserve">Price for first few thousand squares - would drop sinificantly once big orders placed. </t>
  </si>
  <si>
    <t>Price for first few thousand squares - would drop sinificantly once big orders placed. Layer of heat consolidated PP on top - added to give stability to nonwoven/aid further processing.</t>
  </si>
  <si>
    <t>Cream</t>
  </si>
  <si>
    <t>Black tape</t>
  </si>
  <si>
    <t>&gt;A1</t>
  </si>
  <si>
    <t>Tonne sack side</t>
  </si>
  <si>
    <t>Might resist needling better. Fibres appear to have been coated on the inside to make waterproof. Might be a way of covering the holes made by needling?</t>
  </si>
  <si>
    <t>Might resist needling better. Likewise, appears to have been coated</t>
  </si>
  <si>
    <t>Might make strong impervious bottom surface for needled sample. Some fibres broken on needling and pulled out of surface.</t>
  </si>
  <si>
    <t>Manufacturer of 3D web linker. Emailed to nag for needles. Emailed to ask about standard method of deturmining needle force.</t>
  </si>
  <si>
    <t>Emailed to ask for samples. Didn't get initial email. Have posted samples of grey felt. Should send back similar samples. Small samples arrived 020216. Rather too well consolidated (thermal?) emailed to ask about spec and to ask for any less well consolidated. No reply. Bastards.</t>
  </si>
  <si>
    <t>Shelter thick</t>
  </si>
  <si>
    <t>Shelter thin</t>
  </si>
  <si>
    <t>PP uncoated</t>
  </si>
  <si>
    <t>PP Coated</t>
  </si>
  <si>
    <t xml:space="preserve">PP coated? Maybe </t>
  </si>
  <si>
    <t>Blue/black</t>
  </si>
  <si>
    <t>Tarpaulin</t>
  </si>
  <si>
    <t>Lazer cut bags</t>
  </si>
  <si>
    <t>Lots</t>
  </si>
  <si>
    <t>MD ultimate tensile strength</t>
  </si>
  <si>
    <t>kN/m (as according to ISO 9073-18:2008; slowed to 60mm/min for tapes)</t>
  </si>
  <si>
    <t>MD ultimate tensile strength (post Needling)</t>
  </si>
  <si>
    <t xml:space="preserve">MD/TD ratio </t>
  </si>
  <si>
    <t>TD ultimate tensile strength (post Needling)</t>
  </si>
  <si>
    <t>Proportion UTS left after needling</t>
  </si>
  <si>
    <t>3.7 (3.4)</t>
  </si>
  <si>
    <t>4.5 (3.5)</t>
  </si>
  <si>
    <t>3.9 (3.4)</t>
  </si>
  <si>
    <t>5.1 (4.1)</t>
  </si>
  <si>
    <t>4.5 (3.9)</t>
  </si>
  <si>
    <t>4.8 (5.8)</t>
  </si>
  <si>
    <t>4.9 (4.9)</t>
  </si>
  <si>
    <t>(24.3)</t>
  </si>
  <si>
    <t>(11.5)</t>
  </si>
  <si>
    <t>Tensile strength (MD)    (BRACKETS: Measured using 100mm wide samples protruding 50mm in jaws and a speed of 100mm/min - not an official test, rather order of magnitude)</t>
  </si>
  <si>
    <t>Tensile strength (TD)      (BRACKETS: Measured using 100mm wide samples protruding 50mm in jaws and a speed of 100mm/min - not an official test, rather order of magnitude)</t>
  </si>
  <si>
    <t>(4.7)</t>
  </si>
  <si>
    <t>(3.5)</t>
  </si>
  <si>
    <t>(7.3)</t>
  </si>
  <si>
    <t>(3.9)</t>
  </si>
  <si>
    <t>Strength to weight ratio</t>
  </si>
  <si>
    <t>kN-m/g</t>
  </si>
  <si>
    <t>Again, bend test results may be untrustworthy as loos like M was in (much stronger) TD</t>
  </si>
  <si>
    <t>For 40ft container at felixstowe. M may have been in (much stronger) TD in bend test. However, this added lots of stiffness after initial crack of cement</t>
  </si>
  <si>
    <t>100,000m2/year. Converted from USD (21/12/15). Some second cracking on 1x mesh. Not much notecable strength addition from adding 2 of these meshes - looks like they took the load sequentially rather than simutaneously.</t>
  </si>
  <si>
    <t>Velcro bonded (thermally?) onto nonwoven. Samples in the velcro samples folder.</t>
  </si>
  <si>
    <t>Tonne sack top</t>
  </si>
  <si>
    <t>Normal: Recently contacted; look promising; ongoing conversation</t>
  </si>
  <si>
    <t xml:space="preserve">uozturk@gentug.com </t>
  </si>
  <si>
    <t xml:space="preserve">richard.leather@fybagrate.co.uk </t>
  </si>
  <si>
    <t>sarah@fleximas.co.uk</t>
  </si>
  <si>
    <t xml:space="preserve">stefan.tielen@conwedplastics.com </t>
  </si>
  <si>
    <t xml:space="preserve">kslater@industrialnetting.net </t>
  </si>
  <si>
    <t xml:space="preserve">polytex.uk@polytex.co.uk </t>
  </si>
  <si>
    <t>James Park</t>
  </si>
  <si>
    <t xml:space="preserve">george.swarbrick@groz-beckert.com </t>
  </si>
  <si>
    <t>stephen.maynard@robertsmaynard.com</t>
  </si>
  <si>
    <t xml:space="preserve">ejunker@laroche.fr </t>
  </si>
  <si>
    <t>http://www.venturipumps.com/</t>
  </si>
  <si>
    <t>bernd.gulich@stfi.de</t>
  </si>
  <si>
    <r>
      <rPr>
        <b/>
        <sz val="11"/>
        <color theme="1"/>
        <rFont val="Calibri"/>
        <family val="2"/>
        <scheme val="minor"/>
      </rPr>
      <t xml:space="preserve">If want to do joint development, may be good partners for nonwoven. </t>
    </r>
    <r>
      <rPr>
        <sz val="11"/>
        <color theme="1"/>
        <rFont val="Calibri"/>
        <family val="2"/>
        <scheme val="minor"/>
      </rPr>
      <t>However, a UK supplier might be easier until spec decided upon. Pete to contact at next monthly meeting in mid feb '16</t>
    </r>
  </si>
  <si>
    <r>
      <rPr>
        <b/>
        <sz val="11"/>
        <color theme="1"/>
        <rFont val="Calibri"/>
        <family val="2"/>
        <scheme val="minor"/>
      </rPr>
      <t xml:space="preserve">Very keen and extremely cheap. Useful supplier of low melt nonwoven, may have further useful products. </t>
    </r>
    <r>
      <rPr>
        <sz val="11"/>
        <color theme="1"/>
        <rFont val="Calibri"/>
        <family val="2"/>
        <scheme val="minor"/>
      </rPr>
      <t>Supplier of bidirectional roll of nonwoven. Emailed to equest further samples. Further email to press for details and price of nonwoven sample. Asked whether they have further samples that fir nonwoven spec. Emailed spec over again, said they would send some samples. Able to supply 150g PET with 20% low melt. Emailed to ask if this can be un-heated in their processing. Nagged for samples. Posted 4m2 sample 10/02/16. Sample arrived, Ulas asked after testing. Emailed to ask for detailed spec of W.  W has 40mm fibres - v short. Maybe worth asking if it comes in longer fibre lengths. Emailed to say that low melt exists in 150-800g/m2. Emailed to ask about larger dtex fibres.</t>
    </r>
  </si>
  <si>
    <t>Make stretchy nonwoven. Might be on interest. Left phone message to ask to call back. Emailed to ask about stretchy nonwoven range.</t>
  </si>
  <si>
    <t>Needling R&amp;D</t>
  </si>
  <si>
    <t>Needle Looms</t>
  </si>
  <si>
    <t>Asselin</t>
  </si>
  <si>
    <t>DILO</t>
  </si>
  <si>
    <t>Austria</t>
  </si>
  <si>
    <t>Reccomended by George Swarbrick</t>
  </si>
  <si>
    <t>Needle Looms (new)</t>
  </si>
  <si>
    <t>Needle Looms (second hand)</t>
  </si>
  <si>
    <t>Friz Oberlainer</t>
  </si>
  <si>
    <t>Tornado</t>
  </si>
  <si>
    <t>Elizabeth Adrhald-Marlow</t>
  </si>
  <si>
    <t>Wilson and Knowles</t>
  </si>
  <si>
    <t>Ying Yang</t>
  </si>
  <si>
    <t>China</t>
  </si>
  <si>
    <t>Bolton</t>
  </si>
  <si>
    <t>Terry Bromley (01204 799 910)</t>
  </si>
  <si>
    <t>Maldon, Essex</t>
  </si>
  <si>
    <t>Paul Wormold</t>
  </si>
  <si>
    <t>WSP Textile</t>
  </si>
  <si>
    <t>Stroud</t>
  </si>
  <si>
    <t>Beverley Carter</t>
  </si>
  <si>
    <t>Scott Foster (01245 564 13)</t>
  </si>
  <si>
    <t>Reccomended by George Swarbrick. England's most advanced lines, 7m wide. Really into bulk PP. However, sold several times, struggling to fill capacity.</t>
  </si>
  <si>
    <t>Drake Fibres</t>
  </si>
  <si>
    <t>Bradford</t>
  </si>
  <si>
    <t>Jef Rostron (01132 852 202)</t>
  </si>
  <si>
    <t>Reccomended by George Swarbrick. Leading supplier of PP fibres. May be able to get to adjust fibre coating to suit compatibility</t>
  </si>
  <si>
    <t>Geotia Agawal</t>
  </si>
  <si>
    <t>Reccomended by George Swarbrick. Good tape manufacturer, might be pretty cheap</t>
  </si>
  <si>
    <t>Autifa Solutions</t>
  </si>
  <si>
    <t>Nowotecma</t>
  </si>
  <si>
    <t>Terram (Fiberweb)</t>
  </si>
  <si>
    <t>CHA Technologies Group (Cosmotec)</t>
  </si>
  <si>
    <t>Shree Ambica</t>
  </si>
  <si>
    <t>PP? Uncoated</t>
  </si>
  <si>
    <t>Coarse PE</t>
  </si>
  <si>
    <t>Fairly stretchy very coarse nonwoven</t>
  </si>
  <si>
    <t>Extremely stretchy fine nonwoven</t>
  </si>
  <si>
    <t>MD Stiffness</t>
  </si>
  <si>
    <t>Stretchy PE</t>
  </si>
  <si>
    <t>Extra coarse PE</t>
  </si>
  <si>
    <t>4 x A4</t>
  </si>
  <si>
    <t>V thin PP</t>
  </si>
  <si>
    <t>Reccomended by George Swarbrick. Just installed 3 x second hand machines. Not much expereince.Seems to primeraly make tennis balls and billiard table cloth. Emailed them our requirements.</t>
  </si>
  <si>
    <t>Maynard nonwoven</t>
  </si>
  <si>
    <t>AQ</t>
  </si>
  <si>
    <t>AR</t>
  </si>
  <si>
    <t>AS</t>
  </si>
  <si>
    <t>A5</t>
  </si>
  <si>
    <t>Excellent ability to pull fibres out of surface, while still quite well consolidated</t>
  </si>
  <si>
    <t>Very unconsolidated, makes it easy to needle byt a poor wear surface</t>
  </si>
  <si>
    <t>Doesn't needle as well as AP, but is PP</t>
  </si>
  <si>
    <t>Needles make large holes, but make suitable protection layer</t>
  </si>
  <si>
    <t>Well consolidated, probably heavier than what we need</t>
  </si>
  <si>
    <t>Thick fibres, needles well with 30 guage needles, but less well consolidated than AH, so fibres can be pulled out of surface rather too readily.</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</si>
  <si>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</si>
  <si>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</si>
  <si>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</si>
  <si>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</si>
  <si>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</si>
  <si>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</si>
  <si>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</si>
  <si>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</si>
  <si>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</si>
  <si>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</si>
  <si>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</si>
  <si>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</si>
  <si>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</si>
  <si>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</si>
  <si>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</si>
  <si>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</si>
  <si>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</si>
  <si>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</si>
  <si>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</si>
  <si>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</si>
  <si>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</si>
  <si>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</si>
  <si>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</si>
  <si>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</si>
  <si>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</si>
  <si>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Low consolidated 17 dtex PP</t>
  </si>
  <si>
    <t>125m2</t>
  </si>
  <si>
    <t>Beige</t>
  </si>
  <si>
    <t>10m2</t>
  </si>
  <si>
    <t>P150NW</t>
  </si>
  <si>
    <t>S12NW</t>
  </si>
  <si>
    <t>P200NW</t>
  </si>
  <si>
    <t>S14NW</t>
  </si>
  <si>
    <t>Lotrak 100</t>
  </si>
  <si>
    <t>CO040FEUPE</t>
  </si>
  <si>
    <t>CO080B1UPE</t>
  </si>
  <si>
    <t>A040B12U2</t>
  </si>
  <si>
    <t>A050B12U2</t>
  </si>
  <si>
    <t>A060B12U2</t>
  </si>
  <si>
    <t>Consolidated NW 150</t>
  </si>
  <si>
    <t>Hydroentangled</t>
  </si>
  <si>
    <t>Consolidated NW 200</t>
  </si>
  <si>
    <t>Too consolidated for wear face, might make good keying or protective</t>
  </si>
  <si>
    <t>Might make keying, too easy to cut to make protective</t>
  </si>
  <si>
    <t>Worried this is too corse and not well enough consolidated to make a good filter or fibre donor - if consolidation poor, fibres pull out too easily. This may have passed that limit. Also looks as if the PP fibres pull over each other much more easily than PE. Might be worth considering a PE nonwoven. Better fire, wider use of glues, etc if can square against alkaline resistance.</t>
  </si>
  <si>
    <t>Might make keying, too easy to cut to make protective. Nice and rough surface.</t>
  </si>
  <si>
    <t>3M</t>
  </si>
  <si>
    <t>Worldwide</t>
  </si>
  <si>
    <t>Gerry Herrington</t>
  </si>
  <si>
    <t>email/phone/visit</t>
  </si>
  <si>
    <t>Lots of good velcros, some basically permanent, particularaly those with 'mushroom heads'. Also sell with low melt coatings and radio freq low melts. Received some samles</t>
  </si>
  <si>
    <t>gherrington@velcro.com</t>
  </si>
  <si>
    <t>Lyondon Davies</t>
  </si>
  <si>
    <t>ldavies4@mmm.com</t>
  </si>
  <si>
    <t>Email and visit</t>
  </si>
  <si>
    <t>AB-Tex</t>
  </si>
  <si>
    <t>Power Adhesives</t>
  </si>
  <si>
    <t>Large number of adhesives, though don't appear to make veils. Could supply glues for low melt applicator</t>
  </si>
  <si>
    <t>Do make low melt veils, have sent samples. I will send samples of what we are trying to glue</t>
  </si>
  <si>
    <t>Sell spray low melt gun. Posting us samples of the glue to try</t>
  </si>
  <si>
    <t>Maria Aleixo</t>
  </si>
  <si>
    <t>Email and phone</t>
  </si>
  <si>
    <t>m.aleixo@ab-tec.com</t>
  </si>
  <si>
    <t>Jamie Goddard</t>
  </si>
  <si>
    <t>j.goddard@paltd.net</t>
  </si>
  <si>
    <t>Armordon</t>
  </si>
  <si>
    <t>PP drag strip</t>
  </si>
  <si>
    <t>PP coated</t>
  </si>
  <si>
    <t>kN/m width (as according to ISO 9073-18:2008; slowed to 60mm/min for tapes)</t>
  </si>
  <si>
    <t>Effectivly bulk order of J but somewhat more consolidated. For use  as keying layer</t>
  </si>
  <si>
    <t>More consolidated PP version of AT. Use as fibre donor.</t>
  </si>
  <si>
    <t>Consolidated Donor</t>
  </si>
  <si>
    <t>Needled NW Keying</t>
  </si>
  <si>
    <t>FA120PP/WT</t>
  </si>
  <si>
    <t>FA250PP/WT</t>
  </si>
  <si>
    <t>Plain PP woven tape</t>
  </si>
  <si>
    <t>Potential alternative to armordon if the latter won't bond</t>
  </si>
  <si>
    <t>Yarn</t>
  </si>
  <si>
    <t>100m2</t>
  </si>
  <si>
    <t xml:space="preserve">Large sample ordered - best of testing lot for </t>
  </si>
  <si>
    <t>Large sample ordered - best of testing lot for hydroentangled keying layer.</t>
  </si>
  <si>
    <t>Ordered 250m x 50cm roll from D&amp;L 14/11/16</t>
  </si>
  <si>
    <t>F001830937</t>
  </si>
  <si>
    <t>45m2</t>
  </si>
  <si>
    <t>P100NW or ST100-450HP</t>
  </si>
  <si>
    <t>Light needlepunched keying</t>
  </si>
  <si>
    <t>Extruded PP backed NW</t>
  </si>
  <si>
    <t>AMR/John Holden Group</t>
  </si>
  <si>
    <t>Plastering keying stuff</t>
  </si>
  <si>
    <t>Thin PE AMR</t>
  </si>
  <si>
    <t>B-062671</t>
  </si>
  <si>
    <t>Probably too thin to be a good filter, but does have excellent 'tuft-strength'</t>
  </si>
  <si>
    <t>IM04713AA 200 250AA</t>
  </si>
  <si>
    <r>
      <t>£/m</t>
    </r>
    <r>
      <rPr>
        <vertAlign val="superscript"/>
        <sz val="11"/>
        <color theme="1"/>
        <rFont val="Calibri"/>
        <family val="2"/>
        <scheme val="minor"/>
      </rPr>
      <t>2</t>
    </r>
    <r>
      <rPr>
        <sz val="11"/>
        <color theme="1"/>
        <rFont val="Calibri"/>
        <family val="2"/>
        <scheme val="minor"/>
      </rPr>
      <t xml:space="preserve"> @ 200,000m</t>
    </r>
    <r>
      <rPr>
        <vertAlign val="superscript"/>
        <sz val="11"/>
        <color theme="1"/>
        <rFont val="Calibri"/>
        <family val="2"/>
        <scheme val="minor"/>
      </rPr>
      <t>2</t>
    </r>
    <r>
      <rPr>
        <sz val="11"/>
        <color theme="1"/>
        <rFont val="Calibri"/>
        <family val="2"/>
        <scheme val="minor"/>
      </rPr>
      <t>/year</t>
    </r>
  </si>
  <si>
    <t>£/m2</t>
  </si>
  <si>
    <t>Est 30p/lm for 2 x 10mm wide strips. MOQ 4,500lm; lead time 85 working days</t>
  </si>
  <si>
    <t>Est 28p/lm for 2 x 10mm wide strips.  MOQ 4,500lm; lead time 75 working days</t>
  </si>
  <si>
    <t>Well consolidated NW D&amp;L</t>
  </si>
  <si>
    <t>CL200NW</t>
  </si>
  <si>
    <t>PET coated</t>
  </si>
  <si>
    <t>Beige-black</t>
  </si>
  <si>
    <t>LM01135AA</t>
  </si>
  <si>
    <t>WB059C1DT</t>
  </si>
  <si>
    <t>IW02363TT</t>
  </si>
  <si>
    <t>Probably too open - no way for cement to key to warp</t>
  </si>
  <si>
    <t>Cement keys well to it, but not to weft - if went down this route, would need 'fluffy' in both directions. However, noes not needle well unless it is pre-coated (tried with EVA, though could be PVC/PP)</t>
  </si>
  <si>
    <t>GCL tape</t>
  </si>
  <si>
    <t>Open beige</t>
  </si>
  <si>
    <t>Open white</t>
  </si>
  <si>
    <t>2m2</t>
  </si>
  <si>
    <t>IW039A2TT</t>
  </si>
  <si>
    <t>SW04801BB</t>
  </si>
  <si>
    <t>SW04001MT</t>
  </si>
  <si>
    <t>Est 19.6p/lm for 2 x 10mm wide strips Hooks with nonwoven backing suitable for gluing with eva/pvc/pp. Will send 10m sample as of 0501/17. Sample roll received 17/01/17.</t>
  </si>
  <si>
    <t>BS</t>
  </si>
  <si>
    <t>BT</t>
  </si>
  <si>
    <t>BU</t>
  </si>
  <si>
    <t>BV</t>
  </si>
  <si>
    <t>BW</t>
  </si>
  <si>
    <t>BX</t>
  </si>
  <si>
    <t>BY</t>
  </si>
  <si>
    <t>BZ</t>
  </si>
  <si>
    <t>Black fibrilated</t>
  </si>
  <si>
    <t>Natural fibrilated</t>
  </si>
  <si>
    <t>4m2</t>
  </si>
  <si>
    <t>IW05149DD</t>
  </si>
  <si>
    <t>PW07111TT</t>
  </si>
  <si>
    <t>1mm HDPE</t>
  </si>
  <si>
    <t>HDPE</t>
  </si>
  <si>
    <t>5 125m rolls</t>
  </si>
  <si>
    <t>FA150P/WT</t>
  </si>
  <si>
    <t>150 PE</t>
  </si>
  <si>
    <t>IKO Group</t>
  </si>
  <si>
    <t>david.coldham@ikogroup.co.uk</t>
  </si>
  <si>
    <t>Manufacturers of TPO roofing membrane</t>
  </si>
  <si>
    <t>TPO</t>
  </si>
  <si>
    <t>Nonwoven backed rppfomg TPO</t>
  </si>
  <si>
    <t>Rienforced roofing TPO</t>
  </si>
  <si>
    <t>Plane TPO</t>
  </si>
  <si>
    <t>Rienforced Blue Hydro</t>
  </si>
  <si>
    <t>Spectraplan SG</t>
  </si>
  <si>
    <t>Spectraplan SM</t>
  </si>
  <si>
    <t>Spectraplan D</t>
  </si>
  <si>
    <t>20002020 1mm</t>
  </si>
  <si>
    <t>Glass fibre rienforcement - remember not exposed to the cement due to being embedded in the membrane.</t>
  </si>
  <si>
    <t>Glue/Adhesives</t>
  </si>
  <si>
    <t>Rienforcement (Legacy)</t>
  </si>
  <si>
    <t>Joining</t>
  </si>
  <si>
    <t>Manufacturing Equipment</t>
  </si>
  <si>
    <t>Material Library</t>
  </si>
  <si>
    <t>CA</t>
  </si>
  <si>
    <t>CB</t>
  </si>
  <si>
    <t>CC</t>
  </si>
  <si>
    <t>CD</t>
  </si>
  <si>
    <t>CE</t>
  </si>
  <si>
    <t>CF</t>
  </si>
  <si>
    <t>CG</t>
  </si>
  <si>
    <t>CH</t>
  </si>
  <si>
    <t>CI</t>
  </si>
  <si>
    <t>CJ</t>
  </si>
  <si>
    <t>CK</t>
  </si>
  <si>
    <t>CL</t>
  </si>
  <si>
    <t>CM</t>
  </si>
  <si>
    <t>CN</t>
  </si>
  <si>
    <t>Atarfil</t>
  </si>
  <si>
    <t>David Coldham</t>
  </si>
  <si>
    <t>credondo@atarfil.com</t>
  </si>
  <si>
    <t>Charo Redondo Garcia</t>
  </si>
  <si>
    <t>Manufacturers geomembranes. Probably don't make HDPE thin enough.</t>
  </si>
  <si>
    <t>Thickness</t>
  </si>
  <si>
    <t>Black/Yellow</t>
  </si>
  <si>
    <t>Fibreglass rienforced PP?</t>
  </si>
  <si>
    <t>Rough sided PP</t>
  </si>
  <si>
    <t>Black/yellow rienforced PP</t>
  </si>
  <si>
    <t>Inc container-delivery to pontypridd direct from Thrace in Greece.</t>
  </si>
  <si>
    <t>Bruce Craik</t>
  </si>
  <si>
    <t>bcraik@hbbgeosales.co.uk</t>
  </si>
  <si>
    <t>Coated wovenn 220</t>
  </si>
  <si>
    <t>Green/black</t>
  </si>
  <si>
    <t>Olive green</t>
  </si>
  <si>
    <t>Coated wovenn 240</t>
  </si>
  <si>
    <t>Coated wovenn 380</t>
  </si>
  <si>
    <t>Coated wovenn 550</t>
  </si>
  <si>
    <t>Coated woven</t>
  </si>
  <si>
    <t>1mm LDPE</t>
  </si>
  <si>
    <t>LDPE</t>
  </si>
  <si>
    <t>1mm PP</t>
  </si>
  <si>
    <t>Av strength-to-weight</t>
  </si>
  <si>
    <t>(kN/m)/(g/m2)</t>
  </si>
  <si>
    <t>002127</t>
  </si>
  <si>
    <t>Coverup 550</t>
  </si>
  <si>
    <t>Coverup 380</t>
  </si>
  <si>
    <t>Coverup240</t>
  </si>
  <si>
    <t>Coverup 220</t>
  </si>
  <si>
    <t>Duraskin K30B</t>
  </si>
  <si>
    <t>0.75mm LDPE</t>
  </si>
  <si>
    <t>Atarfil LLD 0.75mm</t>
  </si>
  <si>
    <t>Atarpol RSP 1.2mm</t>
  </si>
  <si>
    <t>LDPE coated woven HDPE 270</t>
  </si>
  <si>
    <t>Lows of Dundee</t>
  </si>
  <si>
    <t>Andrew Swift</t>
  </si>
  <si>
    <t>Suppliers of tarpaulins. Probably not suitable material, but work a test to see if it will laiminate.</t>
  </si>
  <si>
    <t>LDPE coated woven HDPE</t>
  </si>
  <si>
    <t>PE270 HD</t>
  </si>
  <si>
    <t>PE14/50</t>
  </si>
  <si>
    <t>0.5mm PVC</t>
  </si>
  <si>
    <t>Pond Liner 200cm</t>
  </si>
  <si>
    <t>Calandered</t>
  </si>
  <si>
    <t>Needled + Thermal</t>
  </si>
  <si>
    <t>0.5mm HDPE</t>
  </si>
  <si>
    <t>0.75mm HDPE</t>
  </si>
  <si>
    <t>GSE</t>
  </si>
  <si>
    <t>Global</t>
  </si>
  <si>
    <t>Simon Scott</t>
  </si>
  <si>
    <t>sscott@gseworld.com</t>
  </si>
  <si>
    <t>ASwift@lowsofdundee.co.uk</t>
  </si>
  <si>
    <t>Global geomembranes, but no rienforced in HDPE or LDPE</t>
  </si>
  <si>
    <t>CO</t>
  </si>
  <si>
    <t>CP</t>
  </si>
  <si>
    <t>CQ</t>
  </si>
  <si>
    <t>CR</t>
  </si>
  <si>
    <t>CS</t>
  </si>
  <si>
    <t>CT</t>
  </si>
  <si>
    <t>CU</t>
  </si>
  <si>
    <t>CV</t>
  </si>
  <si>
    <t>CW</t>
  </si>
  <si>
    <t>CX</t>
  </si>
  <si>
    <t>CY</t>
  </si>
  <si>
    <t>CZ</t>
  </si>
  <si>
    <t>DA</t>
  </si>
  <si>
    <t>DB</t>
  </si>
  <si>
    <t>DD</t>
  </si>
  <si>
    <t>DE</t>
  </si>
  <si>
    <t>DF</t>
  </si>
  <si>
    <t>DG</t>
  </si>
  <si>
    <t>DH</t>
  </si>
  <si>
    <t>DI</t>
  </si>
  <si>
    <t xml:space="preserve">  </t>
  </si>
  <si>
    <t>0.5mm PP</t>
  </si>
  <si>
    <t>0.75mm PP</t>
  </si>
  <si>
    <t>HSD075AM</t>
  </si>
  <si>
    <t>HSD050AM</t>
  </si>
  <si>
    <t>GSE Proflex 050</t>
  </si>
  <si>
    <t>GSE Proflex 075</t>
  </si>
  <si>
    <t>HD 0,75MM</t>
  </si>
  <si>
    <t>Tramp's Trouser</t>
  </si>
  <si>
    <t>Ebay</t>
  </si>
  <si>
    <t>Mixed</t>
  </si>
  <si>
    <t>Stitch bonded</t>
  </si>
  <si>
    <t>Multicoloured</t>
  </si>
  <si>
    <t>3m2</t>
  </si>
  <si>
    <t>Stonebridge Nonwovens</t>
  </si>
  <si>
    <t>Bob Preshur</t>
  </si>
  <si>
    <t>rj.preshur@ntlworld.com</t>
  </si>
  <si>
    <t>100g/m2 Malifleece</t>
  </si>
  <si>
    <t>Manufacturers of malifleece and maliwatt materials, only in the UK. May also be able to supplu a second hand machine for prototyping.</t>
  </si>
  <si>
    <t>Guage</t>
  </si>
  <si>
    <t>Stitches/inch</t>
  </si>
  <si>
    <t>100 Malifleece</t>
  </si>
  <si>
    <t>150g/m2 Malifleece</t>
  </si>
  <si>
    <t>130g/m2 Malifleece</t>
  </si>
  <si>
    <t>200g/m2 Malifleece</t>
  </si>
  <si>
    <t>180g/m2 Malifleece</t>
  </si>
  <si>
    <t>Malifleece-Curtain</t>
  </si>
  <si>
    <t>Double 130 Malifleece</t>
  </si>
  <si>
    <t>200 Double bed Maliwatt</t>
  </si>
  <si>
    <t>110 Maliwatt</t>
  </si>
  <si>
    <t>Viscoes</t>
  </si>
  <si>
    <t>PET-Polycotton</t>
  </si>
  <si>
    <t>Tech-Folien</t>
  </si>
  <si>
    <t>Andy Lester</t>
  </si>
  <si>
    <t>andy@techfolien.co.uk</t>
  </si>
  <si>
    <t>UK manufacturers of films for packaging etc, inc HDPE, LDPE and PP</t>
  </si>
  <si>
    <t>75 micron LDPE</t>
  </si>
  <si>
    <t>380 micron LDPE</t>
  </si>
  <si>
    <t>80 micron HDPE</t>
  </si>
  <si>
    <t>200 micron HDPE</t>
  </si>
  <si>
    <t>Transparent</t>
  </si>
  <si>
    <t>DC</t>
  </si>
  <si>
    <t>150m2</t>
  </si>
  <si>
    <t>0.5mm LLDPE</t>
  </si>
  <si>
    <t>0.75mm LLDPE</t>
  </si>
  <si>
    <t>1mm LLDPE</t>
  </si>
  <si>
    <t>LLDPE</t>
  </si>
  <si>
    <t>HSE LLDPE 050</t>
  </si>
  <si>
    <t>DJ</t>
  </si>
  <si>
    <t>DK</t>
  </si>
  <si>
    <t>DL</t>
  </si>
  <si>
    <t>DM</t>
  </si>
  <si>
    <t>DN</t>
  </si>
  <si>
    <t>DO</t>
  </si>
  <si>
    <t>DP</t>
  </si>
  <si>
    <t>DQ</t>
  </si>
  <si>
    <t>DR</t>
  </si>
  <si>
    <t>DS</t>
  </si>
  <si>
    <t>DT</t>
  </si>
  <si>
    <t>DU</t>
  </si>
  <si>
    <t>DV</t>
  </si>
  <si>
    <t>DW</t>
  </si>
  <si>
    <t>DX</t>
  </si>
  <si>
    <t>DY</t>
  </si>
  <si>
    <t>DZ</t>
  </si>
  <si>
    <t>Too consolidated for wear face, might make good keying or protective.</t>
  </si>
  <si>
    <t>6 den AMR PP</t>
  </si>
  <si>
    <t>4 den AMR PP</t>
  </si>
  <si>
    <t>UK/Greece</t>
  </si>
  <si>
    <t>Alan Whiteman</t>
  </si>
  <si>
    <t>Alan.Wightman@donlow.co.uk</t>
  </si>
  <si>
    <t>Manufacture range of open and closed woven tapes in Scotland. Owned by Thrace, a global (Greece-based) NW company with a large range of needlepunched and thermally consolidated NWs.</t>
  </si>
  <si>
    <t>S18NW</t>
  </si>
  <si>
    <t>180 Lortrak</t>
  </si>
  <si>
    <t>Atarpol 1.2mm</t>
  </si>
  <si>
    <t>5m2</t>
  </si>
  <si>
    <t>250 HDPE film</t>
  </si>
  <si>
    <t>120 HDPE film</t>
  </si>
  <si>
    <t>0.9mm scrim LLDPE</t>
  </si>
  <si>
    <t>1.1mm scrim LLDPE</t>
  </si>
  <si>
    <t>0.9mm scrim PP</t>
  </si>
  <si>
    <t>K36B-0.9mm</t>
  </si>
  <si>
    <t>K45B-1.1mm</t>
  </si>
  <si>
    <t>KQ36B-0.9mm</t>
  </si>
  <si>
    <r>
      <rPr>
        <b/>
        <sz val="11"/>
        <color rgb="FF00B050"/>
        <rFont val="Calibri"/>
        <family val="2"/>
        <scheme val="minor"/>
      </rPr>
      <t xml:space="preserve">Finally sent through NDA, so can talk freely. Have a world manopoly on quality needles. </t>
    </r>
    <r>
      <rPr>
        <sz val="11"/>
        <color rgb="FF00B050"/>
        <rFont val="Calibri"/>
        <family val="2"/>
        <scheme val="minor"/>
      </rPr>
      <t>Asked for sample needles. Replied and sounded keen, however is away until en of feb 2016. Emailed to ask if he could send some sample needles. Sent NDA. They say NDA will take a while to get signed. Emailed to ask them to get the ball rolling on that, and sent a basic spec in the mean time to allow them to select some sample needles. George away intil 29th Feb. Replied with word version of NDA that they can modify. Emailed with signed NDA. THE nonwoven guy in the UK, super useful, helpful and interested in project, see meeting notes 160412. Emailed to ask for needle prices at sample quantities (200)</t>
    </r>
  </si>
  <si>
    <t>Scrim rienforced LLDPE</t>
  </si>
  <si>
    <t>PET rienforced LLDPE</t>
  </si>
  <si>
    <t>LLDPE with PET scrim</t>
  </si>
  <si>
    <t>PP with PET scrim</t>
  </si>
  <si>
    <t>HBB Geosales (Raven)</t>
  </si>
  <si>
    <t>Suppliers of geomembranes. UK distributors for Raven, a US company manufacturing 'niche' geomembranes, such as the Powerscrim range of PET mesh reinforced LLDPE membranes.</t>
  </si>
  <si>
    <t>UK (US)</t>
  </si>
  <si>
    <t>Price for 1mm version £1.46/m2 (31/03/17) shipped to CC. Scales roughly with weight - need to get an accurate quote.</t>
  </si>
  <si>
    <t>200cm x 1200lm rolls @ £0.335 / m2 (ex – works). Please note a high MOQ for this one of 160,000m2. This would need to be ordered as a single order but could be called off (and Invoiced)  over 6-9 months.</t>
  </si>
  <si>
    <t>Cost per Mass</t>
  </si>
  <si>
    <t>£/kg</t>
  </si>
  <si>
    <t>8993 Knitted mesh</t>
  </si>
  <si>
    <t>7960M Knitted mesh</t>
  </si>
  <si>
    <t>9037 Knitted mesh</t>
  </si>
  <si>
    <t>Georh+Otto Friedrich</t>
  </si>
  <si>
    <t>l-vorbeck@g-o-friedrich.com</t>
  </si>
  <si>
    <t>Lothar Vorbeck</t>
  </si>
  <si>
    <t>German manufacturers of a variety of knitted fabrics. Fairly cheap. Would not work as rienforcement for stitch bonded as needles snag on fabric - only for needling.</t>
  </si>
  <si>
    <t>7960M</t>
  </si>
  <si>
    <t>8993</t>
  </si>
  <si>
    <t>9037</t>
  </si>
  <si>
    <t>Lotrak 200</t>
  </si>
  <si>
    <t>200m2</t>
  </si>
  <si>
    <t>New roll of BK waxy</t>
  </si>
  <si>
    <t>CL200NW (new)</t>
  </si>
  <si>
    <t>Inc container-delivery to pontypridd direct from Thrace in Greece. Has a waxy feel to it causing water to bead on the surface. Some kind of change in conposition over last time, obviously detremental.</t>
  </si>
  <si>
    <t>Date received</t>
  </si>
  <si>
    <t>Laid scrim</t>
  </si>
  <si>
    <t>Miliken</t>
  </si>
  <si>
    <t>4000113798</t>
  </si>
  <si>
    <t xml:space="preserve">Laid </t>
  </si>
  <si>
    <t>4000064996</t>
  </si>
  <si>
    <t>9x8 1000x1300 den PET Uncoated</t>
  </si>
  <si>
    <t>"about 1 dollar per 80 inch per yard" ex works</t>
  </si>
  <si>
    <t>A1</t>
  </si>
  <si>
    <t>400161956</t>
  </si>
  <si>
    <t>Laid scrim 2</t>
  </si>
  <si>
    <t>Uncoated knitted scrim</t>
  </si>
  <si>
    <t>Coated knitted scrim</t>
  </si>
  <si>
    <t>Hook and Loop</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</si>
  <si>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</si>
  <si>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</si>
  <si>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</si>
  <si>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</si>
  <si>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</si>
  <si>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</si>
  <si>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</si>
  <si>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</si>
  <si>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</si>
  <si>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</si>
  <si>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</si>
  <si>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</si>
  <si>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</si>
  <si>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</si>
  <si>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</si>
  <si>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</si>
  <si>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</si>
  <si>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</si>
  <si>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</si>
  <si>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</si>
  <si>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</si>
  <si>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</si>
  <si>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</si>
  <si>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</si>
  <si>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</si>
  <si>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</si>
  <si>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GSE 0.5mm UltraFlex / LL Smooth (GM17) or GSE 0.5mm HD Smooth (GM13). 46No rolls at 2.2m by 280m = 28,336m2 at £1.02/m2 + VAT CPT Pontypridd 18th August 17</t>
  </si>
  <si>
    <t>GSE 0.75mm UltraFlex / LL Smooth (GM17) or GSE 0.75mm HD Smooth (GM13). 30No rolls at 2.2m by 280m = 18,480m2 at £1.49/m2 + VAT CPT Pontypridd 18th August 17</t>
  </si>
  <si>
    <t>GSE 1.00mm UltraFlex / LL Smooth (GM17) or GSE 1.00mm HD Smooth (GM13). 30No rolls at 2.2m by 210m = 13,860m2 at £1.96/m2 + VAT CPT Pontypridd 18th August 17</t>
  </si>
  <si>
    <t>GSE 0.75mm HD FrictionFlex (single side textured, GM13). 66No rolls at 2.2m by 130m = 18,876m2 at £2.24/m2 CPT Pontypridd 18th August 17</t>
  </si>
  <si>
    <t>Thick PET Gentug</t>
  </si>
  <si>
    <t>Calandered one side PET Gentug</t>
  </si>
  <si>
    <t>TFK350</t>
  </si>
  <si>
    <t>BPFK 170 BEYAZ</t>
  </si>
  <si>
    <t>Diagonal LLDPE 0.2</t>
  </si>
  <si>
    <t>Diagonal LLDPE 0.3</t>
  </si>
  <si>
    <t>Diagonal LLDPE 0.5</t>
  </si>
  <si>
    <t>Dura Scrim 8BV</t>
  </si>
  <si>
    <t>Dura Scrim 12BV</t>
  </si>
  <si>
    <t>Black/Grey</t>
  </si>
  <si>
    <t>Stitch Bonding reconditioning</t>
  </si>
  <si>
    <t>Schmietex</t>
  </si>
  <si>
    <t>Wilhelm Matthias Schmiedl</t>
  </si>
  <si>
    <t>info@schmietex.com</t>
  </si>
  <si>
    <t>Reccomended by Bob Preshur at Stonebridge NWs, doing their machine reconditioning. Sounds like a really good engineer.</t>
  </si>
  <si>
    <t>13/04/2017 Delivered Pontypridd. 30o 9.7kN/m; 60o 10.5kN/m. Stiffness (3000,3000)</t>
  </si>
  <si>
    <t>13/04/2017 Delivered Pontypridd. 30o 7.1kN/m; 60o 7.1kN/m. Stiffness (3000,3000)</t>
  </si>
  <si>
    <t>13/04/2017 Delivered Pontypridd. 30o 8.2kN/m; 60o 9.2kN/m. Stiffness (3000,3000)</t>
  </si>
  <si>
    <t>Full name</t>
  </si>
  <si>
    <t>Gentug</t>
  </si>
  <si>
    <t>Trutzscler</t>
  </si>
  <si>
    <t>Cosmotec</t>
  </si>
  <si>
    <t>Fleximas</t>
  </si>
  <si>
    <t>Exxon Mobil</t>
  </si>
  <si>
    <t>AMR</t>
  </si>
  <si>
    <t>Fiberweb</t>
  </si>
  <si>
    <t>HBB Geosales</t>
  </si>
  <si>
    <t>Stonebridge NWs</t>
  </si>
  <si>
    <r>
      <rPr>
        <b/>
        <sz val="11"/>
        <color theme="0" tint="-0.34998626667073579"/>
        <rFont val="Calibri"/>
        <family val="2"/>
        <scheme val="minor"/>
      </rPr>
      <t xml:space="preserve">Very keen, first to respond to sample requests. However, yet to have any nonwovens that actually work from them. Very varied product portfolio - may be able to supply tapes, they make Z. </t>
    </r>
    <r>
      <rPr>
        <sz val="11"/>
        <color theme="0" tint="-0.34998626667073579"/>
        <rFont val="Calibri"/>
        <family val="2"/>
        <scheme val="minor"/>
      </rPr>
      <t>Emailed to ask for samples - Intermas don't manufacture nonwoven needled felts, but do import. Emailed to nag for samples. Sent through two samples, look quite well consolidated. Emailed to ask if they have any nonwovens in the thicker ~10dtex range.</t>
    </r>
  </si>
  <si>
    <r>
      <rPr>
        <b/>
        <sz val="11"/>
        <color theme="0" tint="-0.34998626667073579"/>
        <rFont val="Calibri"/>
        <family val="2"/>
        <scheme val="minor"/>
      </rPr>
      <t>Proving difficult to contact or sign NDA, Pete worried they are developing something similar.</t>
    </r>
    <r>
      <rPr>
        <sz val="11"/>
        <color theme="0" tint="-0.34998626667073579"/>
        <rFont val="Calibri"/>
        <family val="2"/>
        <scheme val="minor"/>
      </rPr>
      <t xml:space="preserve"> Pete rang STFI and sent through NDA. Potential joing R&amp;D company/could make up some large samples on their 3D web linker</t>
    </r>
  </si>
  <si>
    <r>
      <rPr>
        <b/>
        <sz val="11"/>
        <color theme="0" tint="-0.34998626667073579"/>
        <rFont val="Calibri"/>
        <family val="2"/>
        <scheme val="minor"/>
      </rPr>
      <t xml:space="preserve">Very keen, first to respond to sample requests. A few decent meshes, but nothing outstanding. Easy to get samples. </t>
    </r>
    <r>
      <rPr>
        <sz val="11"/>
        <color theme="0" tint="-0.34998626667073579"/>
        <rFont val="Calibri"/>
        <family val="2"/>
        <scheme val="minor"/>
      </rPr>
      <t>UK distributer of Intermas meshes. Sent her list of samples, she will send back data and larger samples of what's avaliable. Intermas may well be able to run custom polymer at our quantities. Die heads 1-5k. Will send though samples week 7th dec. Sent through samples. Only some appropriate, request more samples. Requested sample prices. Emailed to ask about nonwovens. Chased re nonwovens. Posted sample of grey felt. Requested data and price on fiberglass sample T</t>
    </r>
  </si>
  <si>
    <r>
      <rPr>
        <b/>
        <sz val="11"/>
        <color theme="0" tint="-0.34998626667073579"/>
        <rFont val="Calibri"/>
        <family val="2"/>
        <scheme val="minor"/>
      </rPr>
      <t xml:space="preserve">One sample came from them, of OK performance. Made clear we'd be on the small side of what they produce. </t>
    </r>
    <r>
      <rPr>
        <sz val="11"/>
        <color theme="0" tint="-0.34998626667073579"/>
        <rFont val="Calibri"/>
        <family val="2"/>
        <scheme val="minor"/>
      </rPr>
      <t>European distributer of conwed. Said we'd be smaller end of product quanities. Will send through samples of common production runs week 7th dec. Said he'd email when samples were ready to be shipped. Asked for prices for samples he sent through. Chased for further prices.</t>
    </r>
  </si>
  <si>
    <r>
      <rPr>
        <b/>
        <sz val="11"/>
        <color theme="0" tint="-0.34998626667073579"/>
        <rFont val="Calibri"/>
        <family val="2"/>
        <scheme val="minor"/>
      </rPr>
      <t xml:space="preserve">Good for sending prices, and might be good for sourcing tapes. </t>
    </r>
    <r>
      <rPr>
        <sz val="11"/>
        <color theme="0" tint="-0.34998626667073579"/>
        <rFont val="Calibri"/>
        <family val="2"/>
        <scheme val="minor"/>
      </rPr>
      <t>http://polytexintl.co.kr/geosynthetics/ Emailed to request samples and prices for fiberglass. Requested prices and data sheets. Chased data sheets. Sent prices and data sheets. Requested alkaline resistance data. Also make tapes.</t>
    </r>
  </si>
  <si>
    <t>Heathcoat</t>
  </si>
  <si>
    <t>Thermal</t>
  </si>
  <si>
    <t>1mm Atarfil LLDPE</t>
  </si>
  <si>
    <t>LPP200</t>
  </si>
  <si>
    <t>03/10/2017 indicative email price ex works (Blackburn)</t>
  </si>
  <si>
    <t>Cosmotec 200 PP</t>
  </si>
  <si>
    <t>Cosmotec 170 calandered</t>
  </si>
  <si>
    <t>Cosmotec GCL NW</t>
  </si>
  <si>
    <t>GEO 170</t>
  </si>
  <si>
    <t>LPP200GG</t>
  </si>
  <si>
    <t>Used for bentonite clay liners</t>
  </si>
  <si>
    <t>Emailed to ask for samples. Nagged for samples. Gave 10-digit phone number to sales which didn't connect. However, then reccomended by George Swarbrick so migh be worth a second contact. Re-contacted by them Oct 2017, visited works, cheapest price yet, looks like a good bet</t>
  </si>
  <si>
    <r>
      <rPr>
        <b/>
        <sz val="11"/>
        <rFont val="Calibri"/>
        <family val="2"/>
        <scheme val="minor"/>
      </rPr>
      <t>Very proffesional, prompt sending of samples. All successful nonwovens have come from them. However, they are quite expensive. Might be good quality supplier for fist few ten thousand squares to get line working. Keen dor joint development work on product, Richard is a fountain of knowledge on the sibject.</t>
    </r>
    <r>
      <rPr>
        <sz val="11"/>
        <rFont val="Calibri"/>
        <family val="2"/>
        <scheme val="minor"/>
      </rPr>
      <t xml:space="preserve"> Emailed to ask for samples. Sounds positive. Emailed to discuss further requirement, they will send samples on Monday. Emailes to nag for samples. Should arrive 22/01/16. Emailed NDA. Emailed with questions about the spec and low melt nonwovens. Arranged call on 08/02/16. V informatibe phone call, see notes in book. Promised to send samples of low-melt nonwoven. Low melt sample arrived 10/02/16. Emailed to ask about sample K. Replied with interesting answers about felt K. Emailed to ask about the purpose of the scrim and to nag for prices. Replied with prices for first few thousand squares - reply to ask what it would be at bulk. Emailed to ask about MD/TD ultimate tensile strength ratios and whether this could be brought closer to unitiy. Emailed for more M, which they will send through. Also said that prices would fall by only 10% to bulk - does make them a lot more expensive, but might be a good quality supplier for first few thousand squares before CC moves to a cheap turkesh supplier. Emailed about meeting up. Useful convosation in meeting - may be useful for small production runs. A small outfit, George Swarbrick seemed not very keen on them, seemed to think they were going under.</t>
    </r>
  </si>
  <si>
    <t>Cosmotec black-grey calandered</t>
  </si>
  <si>
    <t>NP135PPP/C/GY1</t>
  </si>
  <si>
    <t>PET-PP</t>
  </si>
  <si>
    <t>Cosmotec grey PET</t>
  </si>
  <si>
    <t>NPBH31</t>
  </si>
  <si>
    <t>Cosmotec yarn inserted</t>
  </si>
  <si>
    <t>2.5 R 12</t>
  </si>
  <si>
    <t>Needled + yarn</t>
  </si>
  <si>
    <t>Used for sewer reconditioning as subsrate for extruded polymer. Yarn in MD allow for only hoopwise expansion. Needles with barbs only in MD used so as to not damage yarn</t>
  </si>
  <si>
    <t>6.0 R 12</t>
  </si>
  <si>
    <t>Cosmotec needled tape</t>
  </si>
  <si>
    <t>Lotrak 400</t>
  </si>
  <si>
    <t>Needled + woven</t>
  </si>
  <si>
    <t>Needlepunched through D&amp;L woven tape. Punch density of ~120/cm2 with fine needles</t>
  </si>
  <si>
    <t>Needlepunched through D&amp;L woven tape. Punch density of ~120/cm2 with fine needles, then calandered both sides. Calandering secures tufts very well.</t>
  </si>
  <si>
    <t>Cosmotec 'cowmat'</t>
  </si>
  <si>
    <t>AMR grey</t>
  </si>
  <si>
    <t>AMR calandered</t>
  </si>
  <si>
    <t>25% black 150</t>
  </si>
  <si>
    <t xml:space="preserve">Interesting alternative to laminating, much more flexible. Probably difficult to integrate onto the same line as a </t>
  </si>
  <si>
    <t>Ober 171013 Layer 1</t>
  </si>
  <si>
    <t>Ober 171013 Layer 2</t>
  </si>
  <si>
    <t>Ober 171013 Layer 3</t>
  </si>
  <si>
    <t>Ober Geossintéticos</t>
  </si>
  <si>
    <t>Yellow</t>
  </si>
  <si>
    <t>6m2</t>
  </si>
  <si>
    <t>3 gauge Stitchbonded</t>
  </si>
  <si>
    <t>Stobebridge 3 gauge</t>
  </si>
  <si>
    <t>New CL200</t>
  </si>
  <si>
    <t>New roll sufficiently different from other CL200s to give a new code. BK, DT and ET all nominally the same product</t>
  </si>
  <si>
    <t>GH8-MD</t>
  </si>
  <si>
    <t>GH10-MD</t>
  </si>
  <si>
    <t>GH16-MD</t>
  </si>
  <si>
    <t>GH21-MD</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</si>
  <si>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</si>
  <si>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</si>
  <si>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</si>
  <si>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</si>
  <si>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</si>
  <si>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</si>
  <si>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</si>
  <si>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</si>
  <si>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</si>
  <si>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</si>
  <si>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</si>
  <si>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</si>
  <si>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</si>
  <si>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</si>
  <si>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</si>
  <si>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</si>
  <si>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</si>
  <si>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</si>
  <si>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</si>
  <si>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</si>
  <si>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</si>
  <si>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</si>
  <si>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</si>
  <si>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</si>
  <si>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</si>
  <si>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</si>
  <si>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LPP1000/C/WS</t>
  </si>
  <si>
    <t>Code</t>
  </si>
  <si>
    <t>Stonebridge</t>
  </si>
  <si>
    <t>Allton Warping</t>
  </si>
  <si>
    <t>150 den PP</t>
  </si>
  <si>
    <t>UTS (Per yarn)</t>
  </si>
  <si>
    <t>TILTEX</t>
  </si>
  <si>
    <t>Tiltex 171220-2 Top</t>
  </si>
  <si>
    <t>Tiltex 171220-2 Bottom-needled</t>
  </si>
  <si>
    <t>Tiltex 171220-2 Bottom-calandered</t>
  </si>
  <si>
    <t>Tiltex 171220-2 geomembrane</t>
  </si>
  <si>
    <t>Peel Tested</t>
  </si>
  <si>
    <t>£/m at 20 mm width</t>
  </si>
  <si>
    <t>Double-sided £/m at 16 mm width</t>
  </si>
  <si>
    <t>Flex-zone 898</t>
  </si>
  <si>
    <t>ULTRA-MATE® HTH 748</t>
  </si>
  <si>
    <t>ULTRA-MATE® HTH 848</t>
  </si>
  <si>
    <t>UM 742 BLACK 330 Thin tape</t>
  </si>
  <si>
    <t>HTH 835</t>
  </si>
  <si>
    <t>PA</t>
  </si>
  <si>
    <t>HTH805</t>
  </si>
  <si>
    <t>SUPER VEL-LOC 083</t>
  </si>
  <si>
    <t>PET,PP</t>
  </si>
  <si>
    <t>HTH 751</t>
  </si>
  <si>
    <t>Gottlieb Binder</t>
  </si>
  <si>
    <t>MICROPLAST 27448-00</t>
  </si>
  <si>
    <t>Max 410</t>
  </si>
  <si>
    <t>Discontinued</t>
  </si>
  <si>
    <t>Glue backing recommended, melting advised against</t>
  </si>
  <si>
    <t>MICROPLAST 25443-00</t>
  </si>
  <si>
    <t>PRESSOGRIP Haft S 80192-19</t>
  </si>
  <si>
    <t>20-1460</t>
  </si>
  <si>
    <t>PRESSOGRIP Haft S sk 80192-01</t>
  </si>
  <si>
    <t>Thick Pressogrip-style</t>
  </si>
  <si>
    <t>Adhesive-backed Universal Flooring Tape</t>
  </si>
  <si>
    <t>MICROPLAST 25445-00</t>
  </si>
  <si>
    <t>Quoted price: 0.45 EUR per linear metre at 20mm width, conversion performed 01/08/2017</t>
  </si>
  <si>
    <t/>
  </si>
  <si>
    <t>kN/m width</t>
  </si>
  <si>
    <t>YRN-1</t>
  </si>
  <si>
    <t>YRN-10</t>
  </si>
  <si>
    <t>YRN-11</t>
  </si>
  <si>
    <t>YRN-12</t>
  </si>
  <si>
    <t>YRN-13</t>
  </si>
  <si>
    <t>YRN-14</t>
  </si>
  <si>
    <t>YRN-15</t>
  </si>
  <si>
    <t>YRN-16</t>
  </si>
  <si>
    <t>YRN-17</t>
  </si>
  <si>
    <t>YRN-18</t>
  </si>
  <si>
    <t>YRN-19</t>
  </si>
  <si>
    <t>YRN-20</t>
  </si>
  <si>
    <t>YRN-21</t>
  </si>
  <si>
    <t>YRN-22</t>
  </si>
  <si>
    <t>YRN-23</t>
  </si>
  <si>
    <t>YRN-24</t>
  </si>
  <si>
    <t>YRN-25</t>
  </si>
  <si>
    <t>YRN-26</t>
  </si>
  <si>
    <t>YRN-27</t>
  </si>
  <si>
    <t>YRN-28</t>
  </si>
  <si>
    <t>YRN-29</t>
  </si>
  <si>
    <t>YRN-30</t>
  </si>
  <si>
    <t>YRN-31</t>
  </si>
  <si>
    <t>YRN-32</t>
  </si>
  <si>
    <t>YRN-33</t>
  </si>
  <si>
    <t>YRN-34</t>
  </si>
  <si>
    <t>YRN-2</t>
  </si>
  <si>
    <t>YRN-3</t>
  </si>
  <si>
    <t>YRN-4</t>
  </si>
  <si>
    <t>YRN-5</t>
  </si>
  <si>
    <t>YRN-6</t>
  </si>
  <si>
    <t>YRN-7</t>
  </si>
  <si>
    <t>YRN-8</t>
  </si>
  <si>
    <t>YRN-9</t>
  </si>
  <si>
    <t>JNT-185</t>
  </si>
  <si>
    <t>JNT-184</t>
  </si>
  <si>
    <t>JNT-183</t>
  </si>
  <si>
    <t>JNT-182</t>
  </si>
  <si>
    <t>JNT-181</t>
  </si>
  <si>
    <t>JNT-180</t>
  </si>
  <si>
    <t>JNT-179</t>
  </si>
  <si>
    <t>JNT-178</t>
  </si>
  <si>
    <t>JNT-177</t>
  </si>
  <si>
    <t>JNT-176</t>
  </si>
  <si>
    <t>JNT-175</t>
  </si>
  <si>
    <t>JNT-174</t>
  </si>
  <si>
    <t>JNT-173</t>
  </si>
  <si>
    <t>JNT-172</t>
  </si>
  <si>
    <t>JNT-171</t>
  </si>
  <si>
    <t>JNT-170</t>
  </si>
  <si>
    <t>JNT-169</t>
  </si>
  <si>
    <t>JNT-168</t>
  </si>
  <si>
    <t>JNT-167</t>
  </si>
  <si>
    <t>JNT-166</t>
  </si>
  <si>
    <t>JNT-165</t>
  </si>
  <si>
    <t>JNT-164</t>
  </si>
  <si>
    <t>JNT-163</t>
  </si>
  <si>
    <t>JNT-162</t>
  </si>
  <si>
    <t>JNT-161</t>
  </si>
  <si>
    <t>JNT-160</t>
  </si>
  <si>
    <t>JNT-159</t>
  </si>
  <si>
    <t>JNT-158</t>
  </si>
  <si>
    <t>JNT-157</t>
  </si>
  <si>
    <t>JNT-156</t>
  </si>
  <si>
    <t>JNT-155</t>
  </si>
  <si>
    <t>JNT-154</t>
  </si>
  <si>
    <t>JNT-153</t>
  </si>
  <si>
    <t>JNT-152</t>
  </si>
  <si>
    <t>JNT-151</t>
  </si>
  <si>
    <t>JNT-150</t>
  </si>
  <si>
    <t>JNT-149</t>
  </si>
  <si>
    <t>JNT-148</t>
  </si>
  <si>
    <t>JNT-147</t>
  </si>
  <si>
    <t>JNT-146</t>
  </si>
  <si>
    <t>JNT-145</t>
  </si>
  <si>
    <t>JNT-144</t>
  </si>
  <si>
    <t>JNT-143</t>
  </si>
  <si>
    <t>JNT-142</t>
  </si>
  <si>
    <t>JNT-141</t>
  </si>
  <si>
    <t>JNT-140</t>
  </si>
  <si>
    <t>JNT-139</t>
  </si>
  <si>
    <t>JNT-138</t>
  </si>
  <si>
    <t>JNT-137</t>
  </si>
  <si>
    <t>JNT-136</t>
  </si>
  <si>
    <t>JNT-135</t>
  </si>
  <si>
    <t>JNT-134</t>
  </si>
  <si>
    <t>JNT-133</t>
  </si>
  <si>
    <t>JNT-132</t>
  </si>
  <si>
    <t>JNT-131</t>
  </si>
  <si>
    <t>JNT-130</t>
  </si>
  <si>
    <t>JNT-129</t>
  </si>
  <si>
    <t>JNT-128</t>
  </si>
  <si>
    <t>JNT-127</t>
  </si>
  <si>
    <t>JNT-126</t>
  </si>
  <si>
    <t>JNT-125</t>
  </si>
  <si>
    <t>JNT-124</t>
  </si>
  <si>
    <t>JNT-123</t>
  </si>
  <si>
    <t>JNT-122</t>
  </si>
  <si>
    <t>JNT-121</t>
  </si>
  <si>
    <t>JNT-120</t>
  </si>
  <si>
    <t>JNT-119</t>
  </si>
  <si>
    <t>JNT-118</t>
  </si>
  <si>
    <t>JNT-117</t>
  </si>
  <si>
    <t>JNT-116</t>
  </si>
  <si>
    <t>JNT-115</t>
  </si>
  <si>
    <t>JNT-114</t>
  </si>
  <si>
    <t>JNT-113</t>
  </si>
  <si>
    <t>JNT-112</t>
  </si>
  <si>
    <t>JNT-111</t>
  </si>
  <si>
    <t>JNT-110</t>
  </si>
  <si>
    <t>JNT-109</t>
  </si>
  <si>
    <t>JNT-108</t>
  </si>
  <si>
    <t>JNT-107</t>
  </si>
  <si>
    <t>JNT-106</t>
  </si>
  <si>
    <t>JNT-105</t>
  </si>
  <si>
    <t>JNT-104</t>
  </si>
  <si>
    <t>JNT-103</t>
  </si>
  <si>
    <t>JNT-102</t>
  </si>
  <si>
    <t>JNT-101</t>
  </si>
  <si>
    <t>JNT-100</t>
  </si>
  <si>
    <t>JNT-099</t>
  </si>
  <si>
    <t>JNT-098</t>
  </si>
  <si>
    <t>JNT-097</t>
  </si>
  <si>
    <t>JNT-096</t>
  </si>
  <si>
    <t>JNT-095</t>
  </si>
  <si>
    <t>JNT-094</t>
  </si>
  <si>
    <t>JNT-093</t>
  </si>
  <si>
    <t>JNT-092</t>
  </si>
  <si>
    <t>JNT-091</t>
  </si>
  <si>
    <t>JNT-090</t>
  </si>
  <si>
    <t>JNT-089</t>
  </si>
  <si>
    <t>JNT-088</t>
  </si>
  <si>
    <t>JNT-087</t>
  </si>
  <si>
    <t>JNT-086</t>
  </si>
  <si>
    <t>JNT-085</t>
  </si>
  <si>
    <t>JNT-084</t>
  </si>
  <si>
    <t>JNT-083</t>
  </si>
  <si>
    <t>JNT-082</t>
  </si>
  <si>
    <t>JNT-081</t>
  </si>
  <si>
    <t>JNT-080</t>
  </si>
  <si>
    <t>JNT-079</t>
  </si>
  <si>
    <t>JNT-078</t>
  </si>
  <si>
    <t>JNT-077</t>
  </si>
  <si>
    <t>JNT-076</t>
  </si>
  <si>
    <t>JNT-075</t>
  </si>
  <si>
    <t>JNT-074</t>
  </si>
  <si>
    <t>JNT-073</t>
  </si>
  <si>
    <t>JNT-072</t>
  </si>
  <si>
    <t>JNT-071</t>
  </si>
  <si>
    <t>JNT-070</t>
  </si>
  <si>
    <t>JNT-069</t>
  </si>
  <si>
    <t>JNT-068</t>
  </si>
  <si>
    <t>JNT-067</t>
  </si>
  <si>
    <t>JNT-066</t>
  </si>
  <si>
    <t>JNT-065</t>
  </si>
  <si>
    <t>JNT-064</t>
  </si>
  <si>
    <t>JNT-063</t>
  </si>
  <si>
    <t>JNT-062</t>
  </si>
  <si>
    <t>JNT-061</t>
  </si>
  <si>
    <t>JNT-060</t>
  </si>
  <si>
    <t>JNT-059</t>
  </si>
  <si>
    <t>JNT-058</t>
  </si>
  <si>
    <t>JNT-057</t>
  </si>
  <si>
    <t>JNT-056</t>
  </si>
  <si>
    <t>JNT-055</t>
  </si>
  <si>
    <t>JNT-054</t>
  </si>
  <si>
    <t>JNT-053</t>
  </si>
  <si>
    <t>JNT-052</t>
  </si>
  <si>
    <t>JNT-051</t>
  </si>
  <si>
    <t>JNT-050</t>
  </si>
  <si>
    <t>JNT-049</t>
  </si>
  <si>
    <t>JNT-048</t>
  </si>
  <si>
    <t>JNT-047</t>
  </si>
  <si>
    <t>JNT-046</t>
  </si>
  <si>
    <t>JNT-045</t>
  </si>
  <si>
    <t>JNT-044</t>
  </si>
  <si>
    <t>JNT-043</t>
  </si>
  <si>
    <t>JNT-042</t>
  </si>
  <si>
    <t>JNT-041</t>
  </si>
  <si>
    <t>JNT-040</t>
  </si>
  <si>
    <t>JNT-039</t>
  </si>
  <si>
    <t>JNT-038</t>
  </si>
  <si>
    <t>JNT-037</t>
  </si>
  <si>
    <t>JNT-036</t>
  </si>
  <si>
    <t>JNT-035</t>
  </si>
  <si>
    <t>JNT-034</t>
  </si>
  <si>
    <t>JNT-033</t>
  </si>
  <si>
    <t>JNT-032</t>
  </si>
  <si>
    <t>JNT-031</t>
  </si>
  <si>
    <t>JNT-030</t>
  </si>
  <si>
    <t>JNT-029</t>
  </si>
  <si>
    <t>JNT-028</t>
  </si>
  <si>
    <t>JNT-027</t>
  </si>
  <si>
    <t>JNT-026</t>
  </si>
  <si>
    <t>JNT-025</t>
  </si>
  <si>
    <t>JNT-024</t>
  </si>
  <si>
    <t>JNT-023</t>
  </si>
  <si>
    <t>JNT-022</t>
  </si>
  <si>
    <t>JNT-021</t>
  </si>
  <si>
    <t>JNT-020</t>
  </si>
  <si>
    <t>JNT-019</t>
  </si>
  <si>
    <t>JNT-018</t>
  </si>
  <si>
    <t>JNT-017</t>
  </si>
  <si>
    <t>JNT-016</t>
  </si>
  <si>
    <t>JNT-015</t>
  </si>
  <si>
    <t>JNT-014</t>
  </si>
  <si>
    <t>JNT-013</t>
  </si>
  <si>
    <t>JNT-012</t>
  </si>
  <si>
    <t>JNT-011</t>
  </si>
  <si>
    <t>EM-Systeme LS34</t>
  </si>
  <si>
    <t>Ultrasonic Butt</t>
  </si>
  <si>
    <t>JNT-010</t>
  </si>
  <si>
    <t>JNT-009</t>
  </si>
  <si>
    <t>JNT-008</t>
  </si>
  <si>
    <t>JNT-007</t>
  </si>
  <si>
    <t>JNT-006</t>
  </si>
  <si>
    <t>JNT-005</t>
  </si>
  <si>
    <t>JNT-004</t>
  </si>
  <si>
    <t>JNT-003</t>
  </si>
  <si>
    <t>JNT-002</t>
  </si>
  <si>
    <t>JNT-001</t>
  </si>
  <si>
    <t>TD (kN/m-width)</t>
  </si>
  <si>
    <t>MD (kN/m-width)</t>
  </si>
  <si>
    <t>Polymer</t>
  </si>
  <si>
    <t>mm/min</t>
  </si>
  <si>
    <r>
      <t>W (</t>
    </r>
    <r>
      <rPr>
        <vertAlign val="superscript"/>
        <sz val="11"/>
        <color theme="1"/>
        <rFont val="Calibri"/>
        <family val="2"/>
        <scheme val="minor"/>
      </rPr>
      <t>o</t>
    </r>
    <r>
      <rPr>
        <sz val="11"/>
        <color theme="1"/>
        <rFont val="Calibri"/>
        <family val="2"/>
        <scheme val="minor"/>
      </rPr>
      <t>)</t>
    </r>
  </si>
  <si>
    <r>
      <t>P (</t>
    </r>
    <r>
      <rPr>
        <vertAlign val="superscript"/>
        <sz val="11"/>
        <color theme="1"/>
        <rFont val="Calibri"/>
        <family val="2"/>
        <scheme val="minor"/>
      </rPr>
      <t>o</t>
    </r>
    <r>
      <rPr>
        <sz val="11"/>
        <color theme="1"/>
        <rFont val="Calibri"/>
        <family val="2"/>
        <scheme val="minor"/>
      </rPr>
      <t>)</t>
    </r>
  </si>
  <si>
    <t>Ultrasonic Butt/Ultrasonic Overlap/Sew Butt/Tape Overlap</t>
  </si>
  <si>
    <t>dd/mm/yyy</t>
  </si>
  <si>
    <t>Comments</t>
  </si>
  <si>
    <t>Material 2</t>
  </si>
  <si>
    <t>Material 1</t>
  </si>
  <si>
    <t>Cutter speed</t>
  </si>
  <si>
    <t>Devce used</t>
  </si>
  <si>
    <t>Method</t>
  </si>
  <si>
    <t>Promising</t>
  </si>
  <si>
    <t>Joint Library</t>
  </si>
  <si>
    <t>Date</t>
  </si>
  <si>
    <t>Angle of cutter</t>
  </si>
  <si>
    <t>P: Tensile Strength T(UNS-3-P)</t>
  </si>
  <si>
    <t>W: Tensile Strength T(UNS-3-W)</t>
  </si>
  <si>
    <t>Cutter Code</t>
  </si>
  <si>
    <t>o</t>
  </si>
  <si>
    <t>Drag</t>
  </si>
  <si>
    <t>worst lump</t>
  </si>
  <si>
    <t>best lump</t>
  </si>
  <si>
    <t xml:space="preserve">strongest </t>
  </si>
  <si>
    <t>weakest</t>
  </si>
  <si>
    <t>Elongation at UTS</t>
  </si>
  <si>
    <t>Average</t>
  </si>
  <si>
    <t>Percentage difference in samples</t>
  </si>
  <si>
    <t>elongation at which UTS is</t>
  </si>
  <si>
    <t>45-T-R-205-01</t>
  </si>
  <si>
    <t>45-T-R-205-02</t>
  </si>
  <si>
    <t>45-T-R-205-03</t>
  </si>
  <si>
    <t>45-T-R-400-01</t>
  </si>
  <si>
    <t>45-T-R-400-02</t>
  </si>
  <si>
    <t>45-T-R-400-03</t>
  </si>
  <si>
    <t>45-T-R-400-01-C</t>
  </si>
  <si>
    <t>45-T-R-400-02-C</t>
  </si>
  <si>
    <t>45-T-R-400-03-C</t>
  </si>
  <si>
    <t>45-T-R-600-01</t>
  </si>
  <si>
    <t>45-T-R-600-02</t>
  </si>
  <si>
    <t>45-T-R-600-03</t>
  </si>
  <si>
    <t>45-T-R-810-01</t>
  </si>
  <si>
    <t>45-T-R-810-02</t>
  </si>
  <si>
    <t>45-T-R-810-03</t>
  </si>
  <si>
    <t>45-T-R-1000-01</t>
  </si>
  <si>
    <t>45-T-R-1000-02</t>
  </si>
  <si>
    <t>45-T-R-1000-03</t>
  </si>
  <si>
    <t>150-T-L-225-01</t>
  </si>
  <si>
    <t>150-T-L-225-02</t>
  </si>
  <si>
    <t>150-T-L-225-03</t>
  </si>
  <si>
    <t>150-T-L-400-01</t>
  </si>
  <si>
    <t>150-T-L-400-02</t>
  </si>
  <si>
    <t>150-T-L-400-03</t>
  </si>
  <si>
    <t>150-T-R-400-01</t>
  </si>
  <si>
    <t>150-T-R-400-02</t>
  </si>
  <si>
    <t>150-T-R-400-03</t>
  </si>
  <si>
    <t>150-T-L-600-01</t>
  </si>
  <si>
    <t>150-T-L-600-02</t>
  </si>
  <si>
    <t>150-T-L-600-03</t>
  </si>
  <si>
    <t>150-T-L-1000-01</t>
  </si>
  <si>
    <t>150-T-L-1000-02</t>
  </si>
  <si>
    <t>150-T-L-1000-03</t>
  </si>
  <si>
    <t>75-T-R-200-01</t>
  </si>
  <si>
    <t>75-T-R-200-02</t>
  </si>
  <si>
    <t>75-T-R-200-03</t>
  </si>
  <si>
    <t>75-T-R-400-01</t>
  </si>
  <si>
    <t>75-T-R-400-02</t>
  </si>
  <si>
    <t>75-T-R-400-03</t>
  </si>
  <si>
    <t>75-T-R-600-01</t>
  </si>
  <si>
    <t>75-T-R-600-02</t>
  </si>
  <si>
    <t>75-T-R-600-03</t>
  </si>
  <si>
    <t>75-T-R-800-01</t>
  </si>
  <si>
    <t>75-T-R-800-02</t>
  </si>
  <si>
    <t>75-T-R-800-03</t>
  </si>
  <si>
    <t>75-T-R-1000-01</t>
  </si>
  <si>
    <t>75-T-R-1000-02</t>
  </si>
  <si>
    <t>75-T-R-1000-03</t>
  </si>
  <si>
    <t>110-T-R-200-01</t>
  </si>
  <si>
    <t>110-T-R-200-02</t>
  </si>
  <si>
    <t>110-T-R-200-03</t>
  </si>
  <si>
    <t>110-T-R-400-01</t>
  </si>
  <si>
    <t>110-T-R-400-02</t>
  </si>
  <si>
    <t>110-T-R-400-03</t>
  </si>
  <si>
    <t>110-T-R-600-01</t>
  </si>
  <si>
    <t>110-T-R-600-02</t>
  </si>
  <si>
    <t>110-T-R-600-03</t>
  </si>
  <si>
    <t>110-T-R-800-01</t>
  </si>
  <si>
    <t>110-T-R-800-02</t>
  </si>
  <si>
    <t>110-T-R-800-03</t>
  </si>
  <si>
    <t>110-T-R-1000-01</t>
  </si>
  <si>
    <t>110-T-R-1000-02</t>
  </si>
  <si>
    <t>110-T-R-1000-03</t>
  </si>
  <si>
    <t>Cementy</t>
  </si>
  <si>
    <t>y/n</t>
  </si>
  <si>
    <t>n</t>
  </si>
  <si>
    <t>y</t>
  </si>
  <si>
    <t>CIM sewing machine</t>
  </si>
  <si>
    <t>na</t>
  </si>
  <si>
    <t>Butt stitching sewing</t>
  </si>
  <si>
    <t>Double sided sticky tape</t>
  </si>
  <si>
    <t>Sellotape 50mm</t>
  </si>
  <si>
    <t>JNT 031-01</t>
  </si>
  <si>
    <t>JNT 031-02</t>
  </si>
  <si>
    <t>JNT 031-03</t>
  </si>
  <si>
    <t>JNT 032-01</t>
  </si>
  <si>
    <t>JNT 032-02</t>
  </si>
  <si>
    <t>JNT 032-03</t>
  </si>
  <si>
    <t>JNT 033-01</t>
  </si>
  <si>
    <t>JNT 033-02</t>
  </si>
  <si>
    <t>JNT 033-03</t>
  </si>
  <si>
    <t>Sample Name</t>
  </si>
  <si>
    <r>
      <t>P (</t>
    </r>
    <r>
      <rPr>
        <vertAlign val="superscript"/>
        <sz val="12"/>
        <color theme="1"/>
        <rFont val="Calibri"/>
        <family val="2"/>
        <scheme val="minor"/>
      </rPr>
      <t>o</t>
    </r>
    <r>
      <rPr>
        <sz val="12"/>
        <color theme="1"/>
        <rFont val="Calibri"/>
        <family val="2"/>
        <scheme val="minor"/>
      </rPr>
      <t>)</t>
    </r>
  </si>
  <si>
    <r>
      <t>W (</t>
    </r>
    <r>
      <rPr>
        <vertAlign val="superscript"/>
        <sz val="12"/>
        <color theme="1"/>
        <rFont val="Calibri"/>
        <family val="2"/>
        <scheme val="minor"/>
      </rPr>
      <t>o</t>
    </r>
    <r>
      <rPr>
        <sz val="12"/>
        <color theme="1"/>
        <rFont val="Calibri"/>
        <family val="2"/>
        <scheme val="minor"/>
      </rPr>
      <t>)</t>
    </r>
  </si>
  <si>
    <t>Technology</t>
  </si>
  <si>
    <t>JNT-025 01</t>
  </si>
  <si>
    <t>JNT-025 02</t>
  </si>
  <si>
    <t>JNT-025 03</t>
  </si>
  <si>
    <t>JNT-029 01</t>
  </si>
  <si>
    <t>JNT-029 02</t>
  </si>
  <si>
    <t>JNT-029 03</t>
  </si>
  <si>
    <t>JNT-030 01</t>
  </si>
  <si>
    <t>JNT-030 02</t>
  </si>
  <si>
    <t>JNT-030 03</t>
  </si>
  <si>
    <t>167 den PET</t>
  </si>
  <si>
    <t>bob said that the glue would not work with the neeles</t>
  </si>
  <si>
    <t>Stonebridge sewing machine</t>
  </si>
  <si>
    <t>lock stitch</t>
  </si>
  <si>
    <t>Newport Sewing Centre</t>
  </si>
  <si>
    <t>Tiltex 171220-1,4 Non Woven</t>
  </si>
  <si>
    <t>2.5 m wide roll</t>
  </si>
  <si>
    <t>Tiltex 171220-1,4 Mesh</t>
  </si>
  <si>
    <t>Tiltex 171220-1 Geomembrane</t>
  </si>
  <si>
    <t>Extruded PP backed NW 2</t>
  </si>
  <si>
    <t>AMR???</t>
  </si>
  <si>
    <t>~1 m wide roll</t>
  </si>
  <si>
    <t>VANDEWIELE</t>
  </si>
  <si>
    <t>William Birch + Dohle</t>
  </si>
  <si>
    <t>texserve</t>
  </si>
  <si>
    <t>Cosmotec White PEst NW</t>
  </si>
  <si>
    <t>AMR Grey NW</t>
  </si>
  <si>
    <t>Dense PP Stitched on Woven Scrim Base</t>
  </si>
  <si>
    <t>PP on Woven Scrim Base</t>
  </si>
  <si>
    <t>PP Reinforced with Dual Glass Fibre Bundles</t>
  </si>
  <si>
    <t>PP Reinforced with SIngle Glass Fibre Bundles</t>
  </si>
  <si>
    <t>PP, Glass Fibres</t>
  </si>
  <si>
    <t>Composite</t>
  </si>
  <si>
    <t>Black and White</t>
  </si>
  <si>
    <t>Grey and White</t>
  </si>
  <si>
    <t>merrow 70-D3B-2 single thread</t>
  </si>
  <si>
    <t>glue</t>
  </si>
  <si>
    <t>Soft Stitch Bonded</t>
  </si>
  <si>
    <t>Thin Stitch Bonded</t>
  </si>
  <si>
    <t>Insufficient fabric quantity to complete all tensile testing</t>
  </si>
  <si>
    <t>PD1471.01</t>
  </si>
  <si>
    <t>PD1471.02</t>
  </si>
  <si>
    <t>180312-1 Trial - Calendered</t>
  </si>
  <si>
    <t>180312-2 Trial - Non-calendered</t>
  </si>
  <si>
    <t>Mottled grey</t>
  </si>
  <si>
    <t>~180 m in two rolls</t>
  </si>
  <si>
    <t>~80 m in two rolls</t>
  </si>
  <si>
    <t>180315 Trial (competitor for Cosmotec)</t>
  </si>
  <si>
    <t>~50 m in one roll</t>
  </si>
  <si>
    <t>Stitch post break</t>
  </si>
  <si>
    <t>unwound partially and fabric broken in parts</t>
  </si>
  <si>
    <t>unwound more and fabric broken in parts</t>
  </si>
  <si>
    <t>stitch broken</t>
  </si>
  <si>
    <t>Completely in tact fabric broken</t>
  </si>
  <si>
    <t>AMR glued</t>
  </si>
  <si>
    <t>Merrow USA double thread monofilement thread</t>
  </si>
  <si>
    <t>PET Felt Coated with PE (thin)</t>
  </si>
  <si>
    <t>PET Felt Coated with PE (thick)</t>
  </si>
  <si>
    <t>BP2.0</t>
  </si>
  <si>
    <t>BP3.0</t>
  </si>
  <si>
    <t>PET + PE</t>
  </si>
  <si>
    <t>Manufacture Process</t>
  </si>
  <si>
    <t>Needled + extruded</t>
  </si>
  <si>
    <t>~100 x 200 mm</t>
  </si>
  <si>
    <t>GA</t>
  </si>
  <si>
    <t>GB</t>
  </si>
  <si>
    <t>GC</t>
  </si>
  <si>
    <t>GD</t>
  </si>
  <si>
    <t>GE</t>
  </si>
  <si>
    <t>GF</t>
  </si>
  <si>
    <t>GG</t>
  </si>
  <si>
    <t>GH</t>
  </si>
  <si>
    <t>GI</t>
  </si>
  <si>
    <t>GJ</t>
  </si>
  <si>
    <t>GK</t>
  </si>
  <si>
    <t>GL</t>
  </si>
  <si>
    <t>GM</t>
  </si>
  <si>
    <t>GN</t>
  </si>
  <si>
    <t>GO</t>
  </si>
  <si>
    <t>Blue Film with Clear Coating</t>
  </si>
  <si>
    <t>Don &amp; Low/Thrace</t>
  </si>
  <si>
    <t>Materials</t>
  </si>
  <si>
    <t>Woven with Clear Coating each Side</t>
  </si>
  <si>
    <t>Woven + extruded</t>
  </si>
  <si>
    <t>Woven with VCI Coating</t>
  </si>
  <si>
    <t>PP + VCI PP</t>
  </si>
  <si>
    <t>Coex Weft Lenoweave + Black PP NW</t>
  </si>
  <si>
    <t>Black PP NW + Copolymer Coating</t>
  </si>
  <si>
    <t>PP + Copolymer</t>
  </si>
  <si>
    <t>Woven + needled</t>
  </si>
  <si>
    <t>Blue PP Film + Lenoweave + Clear PP Coating</t>
  </si>
  <si>
    <t xml:space="preserve">PP </t>
  </si>
  <si>
    <t>Needled, thermal + extruded</t>
  </si>
  <si>
    <t>Lobrene Coated Substrate</t>
  </si>
  <si>
    <t>IK0863E02</t>
  </si>
  <si>
    <t>Blue PP Film + Silver Armordon</t>
  </si>
  <si>
    <t>Coex Lenoweave</t>
  </si>
  <si>
    <t>Woven + heat set</t>
  </si>
  <si>
    <t>Black PP NW + Clear PP Coating</t>
  </si>
  <si>
    <t>Coex Lenoweave+ Blue PP Film</t>
  </si>
  <si>
    <t>Clear PET Film + Clear PP Coating</t>
  </si>
  <si>
    <t>PET + PP</t>
  </si>
  <si>
    <t>White and transparent</t>
  </si>
  <si>
    <t>Blue and grey</t>
  </si>
  <si>
    <t>Blue and silver</t>
  </si>
  <si>
    <t>Blue and white</t>
  </si>
  <si>
    <t>Black and grey</t>
  </si>
  <si>
    <t>Printed Don &amp; Low Logo PET Film + Lenoweave</t>
  </si>
  <si>
    <t>the monofilement has failed, some has stretched and has not snapped</t>
  </si>
  <si>
    <t>Mesh sample with fibre spacing ~5 mm, so the error in sample size is larger.</t>
  </si>
  <si>
    <t>For the TD sample, the fabric quantity was insufficient to achieve full sample length in the tensile direction.</t>
  </si>
  <si>
    <t>SAHARA Super-Absorbant Polymer Impregnated Black NW</t>
  </si>
  <si>
    <t>SAHARA</t>
  </si>
  <si>
    <t>PP + ?</t>
  </si>
  <si>
    <t>Tech Absorbents</t>
  </si>
  <si>
    <t>SAF Needlefelt Fabric 7002</t>
  </si>
  <si>
    <t>SAF Needlefelt Fabric 7099</t>
  </si>
  <si>
    <t>7022</t>
  </si>
  <si>
    <t>7099</t>
  </si>
  <si>
    <t>Super absorbent fibre</t>
  </si>
  <si>
    <t>13/05/2018 quotation - 2.10 euro /m2. Approx. £1.81/m2</t>
  </si>
  <si>
    <t>Price for 1mm £1.40/m2 (31/03/17). 30/05/2018 update: £1.77/m2 inc shipping to CC. Scales roughly with weight - need to get an accurate quote.</t>
  </si>
  <si>
    <t>Price inc shipping to PP. For 1.2 mm PP, 30/05/2018 quote: 2.52 euro/m2</t>
  </si>
  <si>
    <t>White NW (sim. To BK)</t>
  </si>
  <si>
    <t>~0.6 m x 2 m</t>
  </si>
  <si>
    <t>Consistency Testing across roll width carried out for both tensile properties and mass per area. Access here: S:\NEPR-2017-07\4. Charles Plumridge\Sample Collection for Consistency Testing\180606 Consistency Testing GK (DaL180601, Don &amp; Low White NW)</t>
  </si>
  <si>
    <t>Good yarn, reccomended for use in our stitchbonding machine. ~£0.50/kg beaming cost. Good properties, but we want to use PP</t>
  </si>
  <si>
    <t>Much stretchier yarn, supplied as a sample from Allton Warping. May not be suitable for stitchbonding machine</t>
  </si>
  <si>
    <t>Code/Name</t>
  </si>
  <si>
    <t>No. filaments</t>
  </si>
  <si>
    <t>Stiffness per yarn</t>
  </si>
  <si>
    <t>Tri Ocean Textile</t>
  </si>
  <si>
    <t>Linear Density</t>
  </si>
  <si>
    <t>Denier (g/9000m)</t>
  </si>
  <si>
    <t>Elongation (industry std)</t>
  </si>
  <si>
    <t>Cost per 10,000m</t>
  </si>
  <si>
    <t>Cost per kg</t>
  </si>
  <si>
    <t>£/10,000m</t>
  </si>
  <si>
    <t>Cosmo PP yarn</t>
  </si>
  <si>
    <t>Used for longitudinal yarn insersion by Cosmotec on sewer lining to prevent lengthwise expansion</t>
  </si>
  <si>
    <t>Date of first sample</t>
  </si>
  <si>
    <t xml:space="preserve">Shipping code UW17005. Industry Std data taken from supplied spec. </t>
  </si>
  <si>
    <t>Shipping code US37111. Industry Std data taken from supplied spec. Tensile test results exceptionally consistent.</t>
  </si>
  <si>
    <t>Tenacity      (industry std) (*)</t>
  </si>
  <si>
    <t>gram force/den</t>
  </si>
  <si>
    <t>4.77 (7.41 N)</t>
  </si>
  <si>
    <t>7.66 (22.52 N)</t>
  </si>
  <si>
    <t>Yarn per m2 of CCX</t>
  </si>
  <si>
    <t>Cost per m2 (CCX-6)</t>
  </si>
  <si>
    <t>Cost per m2 (CCX-12)</t>
  </si>
  <si>
    <t>£/m3</t>
  </si>
  <si>
    <t>Import duty, inland freight, clearing</t>
  </si>
  <si>
    <t>Exchange rate</t>
  </si>
  <si>
    <t>Date exchange rate valid</t>
  </si>
  <si>
    <t>No Sample received</t>
  </si>
  <si>
    <t>Notes        (*) UTS = (Tenacity)*(Linear Density)*(0.00981 N/gram force)</t>
  </si>
  <si>
    <t>(no sample)</t>
  </si>
  <si>
    <t>8.5 (estimate)</t>
  </si>
  <si>
    <t>7.66 (11.26 N)</t>
  </si>
  <si>
    <t>Quote/info supplied by Ray Fielding at Greenfield Textiles for comparison with the Tri Ocean quotes above.</t>
  </si>
  <si>
    <t>Korean Manufacturer (Name?)</t>
  </si>
  <si>
    <t>300den, Medium Tenacity</t>
  </si>
  <si>
    <t>150/30, Medium Tenacity</t>
  </si>
  <si>
    <t>150/36(?), High Tenacity</t>
  </si>
  <si>
    <t>300/72 SW UV, High Tenacity</t>
  </si>
  <si>
    <t>158/72 RW UV, Normal Tenacity</t>
  </si>
  <si>
    <t>Actual Quote (USD/EUR)</t>
  </si>
  <si>
    <t>3.00 (4.41 N)</t>
  </si>
  <si>
    <t>£/$ or £/€</t>
  </si>
  <si>
    <r>
      <rPr>
        <strike/>
        <sz val="11"/>
        <rFont val="Calibri"/>
        <family val="2"/>
        <scheme val="minor"/>
      </rPr>
      <t>POTENTIAL CANDIDATE</t>
    </r>
    <r>
      <rPr>
        <sz val="11"/>
        <rFont val="Calibri"/>
        <family val="2"/>
        <scheme val="minor"/>
      </rPr>
      <t>. Half linear density version of YRN-5. YRN-5 was sent instead, as YRN-6 sample was not available. (Well-established and reputable company according to Ray at Greenfield Textiles)</t>
    </r>
  </si>
  <si>
    <r>
      <rPr>
        <b/>
        <sz val="11"/>
        <rFont val="Calibri"/>
        <family val="2"/>
        <scheme val="minor"/>
      </rPr>
      <t>Best potential candidate as of Dec-'18.</t>
    </r>
    <r>
      <rPr>
        <sz val="11"/>
        <rFont val="Calibri"/>
        <family val="2"/>
        <scheme val="minor"/>
      </rPr>
      <t xml:space="preserve"> Quote supplied 13/11/18. European supplier may be more ideal. 300 den minimum.</t>
    </r>
  </si>
  <si>
    <t>Yarn utilisation</t>
  </si>
  <si>
    <t>190130 Trial - Calendered</t>
  </si>
  <si>
    <t>190219 Trial</t>
  </si>
  <si>
    <t>Colour</t>
  </si>
  <si>
    <t>Country</t>
  </si>
  <si>
    <t>Taiwan</t>
  </si>
  <si>
    <t>Korea</t>
  </si>
  <si>
    <t>Thailand</t>
  </si>
  <si>
    <t>Numrung</t>
  </si>
  <si>
    <t>Ponsa</t>
  </si>
  <si>
    <t>High shrinkage</t>
  </si>
  <si>
    <t>Slight twist</t>
  </si>
  <si>
    <t>Moderate twist</t>
  </si>
  <si>
    <t>Little or no twist</t>
  </si>
  <si>
    <t>Cosmotec PET (double calendered)</t>
  </si>
  <si>
    <t>~2 m x 50 m</t>
  </si>
  <si>
    <t>TBA</t>
  </si>
  <si>
    <t>Light Grey</t>
  </si>
  <si>
    <t>3 rolls of ~ 2m x 50 m</t>
  </si>
  <si>
    <t>New Batch March 2019</t>
  </si>
  <si>
    <t>ET-1903</t>
  </si>
  <si>
    <t>__/03/2019</t>
  </si>
  <si>
    <t>DS-1903</t>
  </si>
  <si>
    <t>5 rolls of ~50 m each</t>
  </si>
  <si>
    <t>GP</t>
  </si>
  <si>
    <t>GQ</t>
  </si>
  <si>
    <t>GR</t>
  </si>
  <si>
    <t>GS</t>
  </si>
  <si>
    <t>GT</t>
  </si>
  <si>
    <t>GU</t>
  </si>
  <si>
    <t>GV</t>
  </si>
  <si>
    <t>GW</t>
  </si>
  <si>
    <t>GX</t>
  </si>
  <si>
    <t>GY</t>
  </si>
  <si>
    <t>GZ</t>
  </si>
  <si>
    <t>Hangzhou Kejing (Z Jouqi)</t>
  </si>
  <si>
    <t>High shrinkage (AA grade)</t>
  </si>
  <si>
    <t>SHINKONG SYNTHETIC FIBERS CORPORATION</t>
  </si>
  <si>
    <t>Good option if we want to go for a stronger version of the YRN-1 ($2.56 is for 20' cont. (10,500 kg). Possible to ship as a few 550 kg pallets, but quote will increase by 10-15c per kg)</t>
  </si>
  <si>
    <r>
      <t>See "</t>
    </r>
    <r>
      <rPr>
        <sz val="11"/>
        <color rgb="FF0070C0"/>
        <rFont val="Calibri"/>
        <family val="2"/>
        <scheme val="minor"/>
      </rPr>
      <t>S:\NEPR-2017-07\4. Charles Plumridge\Sample Collection for Consistency Testing</t>
    </r>
    <r>
      <rPr>
        <sz val="11"/>
        <color theme="1"/>
        <rFont val="Calibri"/>
        <family val="2"/>
        <scheme val="minor"/>
      </rPr>
      <t>"</t>
    </r>
    <r>
      <rPr>
        <sz val="11"/>
        <rFont val="Calibri"/>
        <family val="2"/>
        <scheme val="minor"/>
      </rPr>
      <t xml:space="preserve"> &gt;</t>
    </r>
    <r>
      <rPr>
        <sz val="11"/>
        <color rgb="FF0070C0"/>
        <rFont val="Calibri"/>
        <family val="2"/>
        <scheme val="minor"/>
      </rPr>
      <t xml:space="preserve"> </t>
    </r>
    <r>
      <rPr>
        <sz val="11"/>
        <color theme="1"/>
        <rFont val="Calibri"/>
        <family val="2"/>
        <scheme val="minor"/>
      </rPr>
      <t>"</t>
    </r>
    <r>
      <rPr>
        <sz val="11"/>
        <color rgb="FF0070C0"/>
        <rFont val="Calibri"/>
        <family val="2"/>
        <scheme val="minor"/>
      </rPr>
      <t>180406 Consistency Testing Results for Cosmotec and AMR Trail Rolls</t>
    </r>
    <r>
      <rPr>
        <sz val="11"/>
        <color theme="1"/>
        <rFont val="Calibri"/>
        <family val="2"/>
        <scheme val="minor"/>
      </rPr>
      <t xml:space="preserve">" for more </t>
    </r>
  </si>
  <si>
    <t>…........................................................</t>
  </si>
  <si>
    <t>Cosmotec PET 2 (single cal.)</t>
  </si>
  <si>
    <t>Duflot</t>
  </si>
  <si>
    <t>White PET</t>
  </si>
  <si>
    <t>TEXIFELT CLA 1390</t>
  </si>
  <si>
    <t>~50 m (???)</t>
  </si>
  <si>
    <t>A4 x 2</t>
  </si>
  <si>
    <t>7250</t>
  </si>
  <si>
    <t>NA7300PES</t>
  </si>
  <si>
    <t>NA7300PESR</t>
  </si>
  <si>
    <t>Subrenat</t>
  </si>
  <si>
    <t>Recycled fibre</t>
  </si>
  <si>
    <t>0.8 x 2m</t>
  </si>
  <si>
    <t>0.63 x 2m</t>
  </si>
  <si>
    <r>
      <t>~2.0 m</t>
    </r>
    <r>
      <rPr>
        <vertAlign val="superscript"/>
        <sz val="11"/>
        <color theme="1"/>
        <rFont val="Calibri"/>
        <family val="2"/>
        <scheme val="minor"/>
      </rPr>
      <t>2</t>
    </r>
  </si>
  <si>
    <t>!CC13 Closed</t>
  </si>
  <si>
    <t>!CC13 Open</t>
  </si>
  <si>
    <t>!CC5 Closed</t>
  </si>
  <si>
    <t>!CC5 Open</t>
  </si>
  <si>
    <t>!CC8 Closed</t>
  </si>
  <si>
    <t>!CC8 Open</t>
  </si>
  <si>
    <t>_A</t>
  </si>
  <si>
    <t>_B</t>
  </si>
  <si>
    <t>_C</t>
  </si>
  <si>
    <t>_D</t>
  </si>
  <si>
    <t>_E</t>
  </si>
  <si>
    <t>_F</t>
  </si>
  <si>
    <t>_G</t>
  </si>
  <si>
    <t>_H</t>
  </si>
  <si>
    <t>_I</t>
  </si>
  <si>
    <t>_J</t>
  </si>
  <si>
    <t>_K</t>
  </si>
  <si>
    <t>_L</t>
  </si>
  <si>
    <t>_N</t>
  </si>
  <si>
    <t>_O</t>
  </si>
  <si>
    <t>_P</t>
  </si>
  <si>
    <t>_Q</t>
  </si>
  <si>
    <t>_R</t>
  </si>
  <si>
    <t>_S</t>
  </si>
  <si>
    <t>_T</t>
  </si>
  <si>
    <t>_U</t>
  </si>
  <si>
    <t>_v</t>
  </si>
  <si>
    <t>_V</t>
  </si>
  <si>
    <t>_W</t>
  </si>
  <si>
    <t>_X</t>
  </si>
  <si>
    <t>_Y</t>
  </si>
  <si>
    <t>_Z</t>
  </si>
  <si>
    <t>!!</t>
  </si>
  <si>
    <t>FM-1901</t>
  </si>
  <si>
    <t>FO-1902</t>
  </si>
  <si>
    <t>PET/PP (90/10) (PET inc a proportion of bico)</t>
  </si>
  <si>
    <t>PET (recycled)</t>
  </si>
  <si>
    <t>Neaustima</t>
  </si>
  <si>
    <t>BWF Protec</t>
  </si>
  <si>
    <t>Lydall</t>
  </si>
  <si>
    <t>0.3 m X 3.0 m</t>
  </si>
  <si>
    <t>Grey PP</t>
  </si>
  <si>
    <t>Flat white PET</t>
  </si>
  <si>
    <t>Flat white PET (w/ scrim)</t>
  </si>
  <si>
    <t>6K1-260</t>
  </si>
  <si>
    <t>PP 217 L2F13</t>
  </si>
  <si>
    <t>PE 222 grau</t>
  </si>
  <si>
    <t>P0300ZZG</t>
  </si>
  <si>
    <t>P0300P1S</t>
  </si>
  <si>
    <t>LANTOR</t>
  </si>
  <si>
    <t>P19/320/01</t>
  </si>
  <si>
    <t>400032</t>
  </si>
  <si>
    <t>PET (75% + 25% bico)</t>
  </si>
  <si>
    <t>Needled + calendered</t>
  </si>
  <si>
    <t>Mechanical-thermal</t>
  </si>
  <si>
    <t>Calendered thin NW</t>
  </si>
  <si>
    <t>Mechanical-thermal set, well consolidated</t>
  </si>
  <si>
    <t>Grey PP (single cal.)</t>
  </si>
  <si>
    <t>(2nd value: corresponding theor. UTS)</t>
  </si>
  <si>
    <t>7.8 (11.5 N)</t>
  </si>
  <si>
    <t>Very high ten. PET</t>
  </si>
  <si>
    <t>Higher denier yarn from the same company as above in order to meet higher strength requirement</t>
  </si>
  <si>
    <r>
      <t xml:space="preserve">4.3 </t>
    </r>
    <r>
      <rPr>
        <sz val="8"/>
        <rFont val="Calibri"/>
        <family val="2"/>
        <scheme val="minor"/>
      </rPr>
      <t>(4.2 theor tenacity)</t>
    </r>
  </si>
  <si>
    <t>Polyteks</t>
  </si>
  <si>
    <t xml:space="preserve">White </t>
  </si>
  <si>
    <t>Poly-melt yarn</t>
  </si>
  <si>
    <t>Low shrink high tenacity</t>
  </si>
  <si>
    <t>Bicomponent poly-melt yarn. High-melt core and low-melt sheath. More info in email saved in yarn company folder.</t>
  </si>
  <si>
    <t>7.7 (18.9 N)</t>
  </si>
  <si>
    <t>500 den HT</t>
  </si>
  <si>
    <t>4.0 (5.5 N)</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</si>
  <si>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</si>
  <si>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</si>
  <si>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</si>
  <si>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</si>
  <si>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</si>
  <si>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</si>
  <si>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</si>
  <si>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</si>
  <si>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</si>
  <si>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</si>
  <si>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</si>
  <si>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</si>
  <si>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</si>
  <si>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</si>
  <si>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</si>
  <si>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</si>
  <si>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</si>
  <si>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</si>
  <si>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</si>
  <si>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</si>
  <si>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</si>
  <si>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</si>
  <si>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</si>
  <si>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</si>
  <si>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</si>
  <si>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</si>
  <si>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</si>
  <si>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</si>
  <si>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YRN-A</t>
  </si>
  <si>
    <t>YRN-B</t>
  </si>
  <si>
    <t>YRN-C</t>
  </si>
  <si>
    <t>YRN-D</t>
  </si>
  <si>
    <t>YRN-E</t>
  </si>
  <si>
    <t>Culzean, CTS-VT15</t>
  </si>
  <si>
    <t>Culzean, CTS-VT16</t>
  </si>
  <si>
    <t>Culzean, CTS-VT17</t>
  </si>
  <si>
    <t>Culzean, CTS-VT18</t>
  </si>
  <si>
    <t>Culzean, CTS-VT19</t>
  </si>
  <si>
    <t>CC5 Internal (Monofilament)</t>
  </si>
  <si>
    <t>CC5 Surfaces (Texturised)</t>
  </si>
  <si>
    <t>CC13 Internal (Monofilament)</t>
  </si>
  <si>
    <t>CC13 Open surface (Textured)</t>
  </si>
  <si>
    <t>CC13 Open surface (Flat yarn)</t>
  </si>
  <si>
    <t>Translucent</t>
  </si>
  <si>
    <t>Mesnard Catteau</t>
  </si>
  <si>
    <t>Grey flat needle punched 180 gsm</t>
  </si>
  <si>
    <t>Grey flat needle punched 205 gsm</t>
  </si>
  <si>
    <t>NOB 190 TH AS</t>
  </si>
  <si>
    <t>NOB 230 TH AS</t>
  </si>
  <si>
    <t>NOB 230 TH LC</t>
  </si>
  <si>
    <t>Heavily calendered ver of GZ</t>
  </si>
  <si>
    <t>PET low-melt sheath and high-melt core</t>
  </si>
  <si>
    <t>Lowbond Ultra</t>
  </si>
  <si>
    <t>A0602U2</t>
  </si>
  <si>
    <t>Mass per area</t>
  </si>
  <si>
    <t>Needled + heat set</t>
  </si>
  <si>
    <t>white</t>
  </si>
  <si>
    <t>~2.5 x 2.5 m</t>
  </si>
  <si>
    <t>S2019.0418</t>
  </si>
  <si>
    <t>S2019.0465</t>
  </si>
  <si>
    <t>Subrenat PET</t>
  </si>
  <si>
    <t>Subrenat PP</t>
  </si>
  <si>
    <t>Needled + stitched</t>
  </si>
  <si>
    <t>1m x 2m</t>
  </si>
  <si>
    <t>Glossy White</t>
  </si>
  <si>
    <t>PET 'Calender'</t>
  </si>
  <si>
    <t>PET 'No nip'</t>
  </si>
  <si>
    <t>2.4 x 100 m</t>
  </si>
  <si>
    <t>PD1471.03</t>
  </si>
  <si>
    <t>Second PET trial done by Cosmotec for us - similar to GM</t>
  </si>
  <si>
    <t>PET Sample brought by Scott Foster (from the shelf) for us to test for alkali resistance due to PET's superior UV resistance compared to PP</t>
  </si>
  <si>
    <t>CD ultimate tensile strength</t>
  </si>
  <si>
    <t>CD Stiffness</t>
  </si>
  <si>
    <t>White Sec+F226+C195</t>
  </si>
  <si>
    <t>190926 1000m Trial PET</t>
  </si>
  <si>
    <t>190926 1000m Trial PP</t>
  </si>
  <si>
    <t>PET:PP (90:10)</t>
  </si>
  <si>
    <t>Deutsche Basalt Faser (DBF)</t>
  </si>
  <si>
    <t>Basalt Fibre</t>
  </si>
  <si>
    <t>Deutsche Basalt Faser</t>
  </si>
  <si>
    <t>Basaltfiber yarn 70 tex, twisted</t>
  </si>
  <si>
    <t>Brown</t>
  </si>
  <si>
    <t>[Natural Fibre]</t>
  </si>
  <si>
    <t>Basalt Nonwoven (5 mm)</t>
  </si>
  <si>
    <t>absorbs 9.265 x its own weight (single measurement only) KG</t>
  </si>
  <si>
    <t>details on consistency of densities and tensile properties for FM, FN and FO. FM absorbs 12.021 x its own weight (single measurement only) KG</t>
  </si>
  <si>
    <t>Trial done my Cosmotec for the PET top layer. However 70/30 mix of PET/PP was used because "PET not strong enough alone", (although other sources say that PET is in fact stronger…) Absorbs 4.606 x its own weight</t>
  </si>
  <si>
    <t>NW2-PET/PP</t>
  </si>
  <si>
    <t>NW1-PP</t>
  </si>
  <si>
    <t>Dark Grey</t>
  </si>
  <si>
    <t>2.42 x 1000 m</t>
  </si>
  <si>
    <t>0.5 x 0.5 m</t>
  </si>
  <si>
    <t>&lt;5%</t>
  </si>
  <si>
    <t>0.3 mm black polyethylene sheet</t>
  </si>
  <si>
    <t>PE</t>
  </si>
  <si>
    <t>Ordered from Amazon by MC for use in lamination trials using GR amazon account</t>
  </si>
  <si>
    <t>? (Amazon)</t>
  </si>
  <si>
    <t>? (Extruded)</t>
  </si>
  <si>
    <t>1.5mm membrane (MC ordered for Laminationa)</t>
  </si>
  <si>
    <t>(Malifleeces only)</t>
  </si>
  <si>
    <t>CT-1</t>
  </si>
  <si>
    <t>CT(*)</t>
  </si>
  <si>
    <t>Malifleece Roll</t>
  </si>
  <si>
    <t>CT(?)</t>
  </si>
  <si>
    <t>Width</t>
  </si>
  <si>
    <t>Length</t>
  </si>
  <si>
    <t>w</t>
  </si>
  <si>
    <t>l</t>
  </si>
  <si>
    <t>Area density measurement</t>
  </si>
  <si>
    <t>Likely actually CV. Also feels more compliant which agrees with the numbers in the table above.</t>
  </si>
  <si>
    <t>MEMBRANE FOR RUSSIA LAMINATION (EDIT AS APPROPRIATE) - SEE EMAIL FROM UCCR GUY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</si>
</sst>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Red]\-&quot;£&quot;#,##0.00"/>
    <numFmt numFmtId="44" formatCode="_-&quot;£&quot;* #,##0.00_-;\-&quot;£&quot;* #,##0.00_-;_-&quot;£&quot;* &quot;-&quot;??_-;_-@_-"/>
    <numFmt numFmtId="164" formatCode="&quot;£&quot;#,##0.00"/>
    <numFmt numFmtId="165" formatCode="0.0"/>
    <numFmt numFmtId="166" formatCode="0.000"/>
    <numFmt numFmtId="167" formatCode="#,##0.0"/>
    <numFmt numFmtId="168" formatCode="0.0%"/>
    <numFmt numFmtId="169" formatCode="[$$-409]#,##0.00"/>
    <numFmt numFmtId="170" formatCode="&quot;£&quot;#,##0.000"/>
    <numFmt numFmtId="171" formatCode="[$€-2]\ #,##0.00"/>
    <numFmt numFmtId="172" formatCode="0.0000"/>
  </numFmts>
  <fonts count="37" x14ac:knownFonts="1">
    <font>
      <sz val="11"/>
      <color theme="1"/>
      <name val="Calibri"/>
      <family val="2"/>
      <scheme val="minor"/>
    </font>
    <font>
      <sz val="12"/>
      <color theme="1"/>
      <name val="Calibri"/>
      <family val="2"/>
      <scheme val="minor"/>
    </font>
    <font>
      <vertAlign val="superscrip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11"/>
      <name val="Calibri"/>
      <family val="2"/>
      <scheme val="minor"/>
    </font>
    <font>
      <b/>
      <sz val="14"/>
      <color theme="1"/>
      <name val="Calibri"/>
      <family val="2"/>
      <scheme val="minor"/>
    </font>
    <font>
      <i/>
      <sz val="11"/>
      <color theme="0" tint="-0.34998626667073579"/>
      <name val="Calibri"/>
      <family val="2"/>
      <scheme val="minor"/>
    </font>
    <font>
      <sz val="11"/>
      <color theme="0" tint="-0.34998626667073579"/>
      <name val="Calibri"/>
      <family val="2"/>
      <scheme val="minor"/>
    </font>
    <font>
      <b/>
      <sz val="11"/>
      <color theme="0" tint="-0.34998626667073579"/>
      <name val="Calibri"/>
      <family val="2"/>
      <scheme val="minor"/>
    </font>
    <font>
      <i/>
      <sz val="11"/>
      <name val="Calibri"/>
      <family val="2"/>
      <scheme val="minor"/>
    </font>
    <font>
      <sz val="11"/>
      <color rgb="FF00B050"/>
      <name val="Calibri"/>
      <family val="2"/>
      <scheme val="minor"/>
    </font>
    <font>
      <sz val="9"/>
      <color indexed="81"/>
      <name val="Tahoma"/>
      <family val="2"/>
    </font>
    <font>
      <b/>
      <sz val="11"/>
      <color rgb="FF00B050"/>
      <name val="Calibri"/>
      <family val="2"/>
      <scheme val="minor"/>
    </font>
    <font>
      <b/>
      <sz val="11"/>
      <name val="Calibri"/>
      <family val="2"/>
      <scheme val="minor"/>
    </font>
    <font>
      <b/>
      <sz val="14"/>
      <color theme="1"/>
      <name val="Calibri"/>
      <family val="2"/>
      <scheme val="minor"/>
    </font>
    <font>
      <sz val="11"/>
      <color theme="1"/>
      <name val="Calibri"/>
      <family val="2"/>
      <scheme val="minor"/>
    </font>
    <font>
      <sz val="10"/>
      <color theme="1"/>
      <name val="Calibri"/>
      <family val="2"/>
      <scheme val="minor"/>
    </font>
    <font>
      <sz val="11"/>
      <color rgb="FFFF0000"/>
      <name val="Calibri"/>
      <family val="2"/>
      <scheme val="minor"/>
    </font>
    <font>
      <sz val="10"/>
      <color rgb="FF00B050"/>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b/>
      <sz val="14"/>
      <name val="Calibri"/>
      <family val="2"/>
      <scheme val="minor"/>
    </font>
    <font>
      <b/>
      <sz val="11"/>
      <color rgb="FFFA7D00"/>
      <name val="Calibri"/>
      <family val="2"/>
      <scheme val="minor"/>
    </font>
    <font>
      <sz val="12"/>
      <color theme="1"/>
      <name val="Calibri"/>
      <family val="2"/>
      <scheme val="minor"/>
    </font>
    <font>
      <vertAlign val="superscript"/>
      <sz val="12"/>
      <color theme="1"/>
      <name val="Calibri"/>
      <family val="2"/>
      <scheme val="minor"/>
    </font>
    <font>
      <sz val="11"/>
      <color rgb="FF0070C0"/>
      <name val="Calibri"/>
      <family val="2"/>
      <scheme val="minor"/>
    </font>
    <font>
      <sz val="10"/>
      <color rgb="FF000000"/>
      <name val="Tahoma"/>
      <family val="2"/>
    </font>
    <font>
      <b/>
      <sz val="10"/>
      <color rgb="FF000000"/>
      <name val="Tahoma"/>
      <family val="2"/>
    </font>
    <font>
      <strike/>
      <sz val="11"/>
      <name val="Calibri"/>
      <family val="2"/>
      <scheme val="minor"/>
    </font>
    <font>
      <i/>
      <sz val="10"/>
      <name val="Calibri"/>
      <family val="2"/>
      <scheme val="minor"/>
    </font>
    <font>
      <sz val="9"/>
      <name val="Calibri"/>
      <family val="2"/>
      <scheme val="minor"/>
    </font>
    <font>
      <sz val="8"/>
      <name val="Calibri"/>
      <family val="2"/>
      <scheme val="minor"/>
    </font>
    <font>
      <i/>
      <sz val="14"/>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2"/>
        <bgColor indexed="64"/>
      </patternFill>
    </fill>
    <fill>
      <patternFill patternType="solid">
        <fgColor rgb="FFF2F2F2"/>
      </patternFill>
    </fill>
    <fill>
      <patternFill patternType="solid">
        <fgColor theme="0"/>
        <bgColor indexed="64"/>
      </patternFill>
    </fill>
    <fill>
      <patternFill patternType="solid">
        <fgColor theme="5" tint="0.59999389629810485"/>
        <bgColor indexed="64"/>
      </patternFill>
    </fill>
  </fills>
  <borders count="53">
    <border>
      <left/>
      <right/>
      <top/>
      <bottom/>
      <diagonal/>
    </border>
    <border>
      <left/>
      <right/>
      <top/>
      <bottom style="thin">
        <color indexed="64"/>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double">
        <color indexed="64"/>
      </bottom>
      <diagonal/>
    </border>
    <border>
      <left style="thin">
        <color theme="0" tint="-0.24994659260841701"/>
      </left>
      <right style="thin">
        <color theme="0" tint="-0.24994659260841701"/>
      </right>
      <top style="thin">
        <color theme="0" tint="-0.24994659260841701"/>
      </top>
      <bottom style="double">
        <color indexed="64"/>
      </bottom>
      <diagonal/>
    </border>
    <border>
      <left style="thin">
        <color theme="0" tint="-0.24994659260841701"/>
      </left>
      <right style="double">
        <color auto="1"/>
      </right>
      <top style="thin">
        <color theme="0" tint="-0.24994659260841701"/>
      </top>
      <bottom style="thin">
        <color theme="0" tint="-0.24994659260841701"/>
      </bottom>
      <diagonal/>
    </border>
    <border>
      <left style="thin">
        <color theme="0" tint="-0.24994659260841701"/>
      </left>
      <right style="double">
        <color auto="1"/>
      </right>
      <top style="thin">
        <color theme="0" tint="-0.24994659260841701"/>
      </top>
      <bottom style="double">
        <color indexed="64"/>
      </bottom>
      <diagonal/>
    </border>
    <border>
      <left style="thin">
        <color theme="0" tint="-0.24994659260841701"/>
      </left>
      <right style="double">
        <color auto="1"/>
      </right>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ouble">
        <color auto="1"/>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double">
        <color indexed="64"/>
      </bottom>
      <diagonal/>
    </border>
    <border>
      <left/>
      <right style="thin">
        <color theme="0" tint="-0.34998626667073579"/>
      </right>
      <top/>
      <bottom style="thin">
        <color theme="0" tint="-0.34998626667073579"/>
      </bottom>
      <diagonal/>
    </border>
    <border>
      <left style="thin">
        <color theme="0" tint="-0.34998626667073579"/>
      </left>
      <right style="double">
        <color auto="1"/>
      </right>
      <top style="thin">
        <color theme="0" tint="-0.34998626667073579"/>
      </top>
      <bottom style="double">
        <color indexed="64"/>
      </bottom>
      <diagonal/>
    </border>
    <border>
      <left style="thin">
        <color theme="0" tint="-0.34998626667073579"/>
      </left>
      <right style="double">
        <color auto="1"/>
      </right>
      <top/>
      <bottom style="thin">
        <color theme="0" tint="-0.34998626667073579"/>
      </bottom>
      <diagonal/>
    </border>
    <border>
      <left/>
      <right/>
      <top style="thin">
        <color theme="0" tint="-0.24994659260841701"/>
      </top>
      <bottom style="thin">
        <color theme="0" tint="-0.24994659260841701"/>
      </bottom>
      <diagonal/>
    </border>
    <border>
      <left/>
      <right/>
      <top style="thin">
        <color theme="0" tint="-0.24994659260841701"/>
      </top>
      <bottom style="double">
        <color indexed="64"/>
      </bottom>
      <diagonal/>
    </border>
    <border>
      <left/>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double">
        <color auto="1"/>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34998626667073579"/>
      </left>
      <right style="double">
        <color auto="1"/>
      </right>
      <top style="thin">
        <color theme="0" tint="-0.34998626667073579"/>
      </top>
      <bottom/>
      <diagonal/>
    </border>
    <border>
      <left/>
      <right/>
      <top style="thin">
        <color theme="0" tint="-0.24994659260841701"/>
      </top>
      <bottom/>
      <diagonal/>
    </border>
    <border>
      <left style="thin">
        <color theme="0" tint="-0.34998626667073579"/>
      </left>
      <right style="thin">
        <color theme="0" tint="-0.34998626667073579"/>
      </right>
      <top style="thin">
        <color theme="0" tint="-0.34998626667073579"/>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style="thin">
        <color theme="0" tint="-0.34998626667073579"/>
      </left>
      <right/>
      <top style="thin">
        <color theme="0" tint="-0.34998626667073579"/>
      </top>
      <bottom style="double">
        <color indexed="64"/>
      </bottom>
      <diagonal/>
    </border>
    <border>
      <left style="thin">
        <color theme="0" tint="-0.34998626667073579"/>
      </left>
      <right/>
      <top/>
      <bottom style="thin">
        <color theme="0" tint="-0.34998626667073579"/>
      </bottom>
      <diagonal/>
    </border>
    <border>
      <left style="thin">
        <color theme="0" tint="-0.24994659260841701"/>
      </left>
      <right/>
      <top/>
      <bottom style="thin">
        <color theme="0" tint="-0.2499465926084170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theme="0" tint="-0.34998626667073579"/>
      </right>
      <top/>
      <bottom/>
      <diagonal/>
    </border>
    <border>
      <left style="thin">
        <color theme="0" tint="-0.34998626667073579"/>
      </left>
      <right/>
      <top style="thick">
        <color rgb="FF00B050"/>
      </top>
      <bottom style="thick">
        <color rgb="FF00B050"/>
      </bottom>
      <diagonal/>
    </border>
    <border>
      <left style="thin">
        <color theme="0" tint="-0.34998626667073579"/>
      </left>
      <right/>
      <top style="thin">
        <color theme="0" tint="-0.34998626667073579"/>
      </top>
      <bottom style="thick">
        <color rgb="FFC00000"/>
      </bottom>
      <diagonal/>
    </border>
    <border>
      <left style="thin">
        <color theme="0" tint="-0.34998626667073579"/>
      </left>
      <right/>
      <top style="thick">
        <color rgb="FFC00000"/>
      </top>
      <bottom style="thick">
        <color rgb="FFC00000"/>
      </bottom>
      <diagonal/>
    </border>
    <border>
      <left style="thin">
        <color theme="0" tint="-0.34998626667073579"/>
      </left>
      <right/>
      <top/>
      <bottom style="thick">
        <color rgb="FF00B050"/>
      </bottom>
      <diagonal/>
    </border>
    <border>
      <left style="thin">
        <color theme="0" tint="-0.34998626667073579"/>
      </left>
      <right/>
      <top style="thin">
        <color theme="0" tint="-0.34998626667073579"/>
      </top>
      <bottom/>
      <diagonal/>
    </border>
    <border>
      <left/>
      <right/>
      <top style="thin">
        <color indexed="64"/>
      </top>
      <bottom/>
      <diagonal/>
    </border>
    <border>
      <left style="thin">
        <color theme="0" tint="-0.34998626667073579"/>
      </left>
      <right style="thin">
        <color theme="0" tint="-0.34998626667073579"/>
      </right>
      <top style="thin">
        <color indexed="64"/>
      </top>
      <bottom style="thin">
        <color theme="0" tint="-0.34998626667073579"/>
      </bottom>
      <diagonal/>
    </border>
    <border>
      <left/>
      <right style="thin">
        <color theme="0" tint="-0.34998626667073579"/>
      </right>
      <top style="thin">
        <color indexed="64"/>
      </top>
      <bottom/>
      <diagonal/>
    </border>
  </borders>
  <cellStyleXfs count="7">
    <xf numFmtId="0" fontId="0" fillId="0" borderId="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9" fontId="18" fillId="0" borderId="0" applyFont="0" applyFill="0" applyBorder="0" applyAlignment="0" applyProtection="0"/>
    <xf numFmtId="0" fontId="26" fillId="14" borderId="38" applyNumberFormat="0" applyAlignment="0" applyProtection="0"/>
    <xf numFmtId="44" fontId="18" fillId="0" borderId="0" applyFont="0" applyFill="0" applyBorder="0" applyAlignment="0" applyProtection="0"/>
  </cellStyleXfs>
  <cellXfs count="703">
    <xf numFmtId="0" fontId="0" fillId="0" borderId="0" xfId="0"/>
    <xf numFmtId="0" fontId="5" fillId="0" borderId="0" xfId="0" applyFont="1"/>
    <xf numFmtId="0" fontId="0" fillId="2" borderId="0" xfId="0" applyFill="1"/>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14" fontId="0" fillId="2" borderId="0" xfId="0" applyNumberFormat="1" applyFill="1" applyAlignment="1">
      <alignment vertical="center"/>
    </xf>
    <xf numFmtId="0" fontId="0" fillId="2" borderId="0" xfId="0" applyFill="1" applyAlignment="1">
      <alignment vertical="center" wrapText="1"/>
    </xf>
    <xf numFmtId="0" fontId="4" fillId="2" borderId="0" xfId="0" applyFont="1" applyFill="1" applyAlignment="1">
      <alignment vertical="top"/>
    </xf>
    <xf numFmtId="0" fontId="0" fillId="0" borderId="5" xfId="0" applyBorder="1"/>
    <xf numFmtId="0" fontId="0" fillId="0" borderId="7" xfId="0" applyBorder="1"/>
    <xf numFmtId="0" fontId="0" fillId="0" borderId="11" xfId="0" applyBorder="1"/>
    <xf numFmtId="49" fontId="0" fillId="0" borderId="11" xfId="0" applyNumberFormat="1" applyBorder="1"/>
    <xf numFmtId="0" fontId="0" fillId="0" borderId="11" xfId="0" applyBorder="1" applyAlignment="1">
      <alignment wrapText="1"/>
    </xf>
    <xf numFmtId="0" fontId="0" fillId="3" borderId="11" xfId="0" applyFill="1" applyBorder="1"/>
    <xf numFmtId="49" fontId="0" fillId="3" borderId="11" xfId="0" applyNumberFormat="1" applyFill="1" applyBorder="1"/>
    <xf numFmtId="0" fontId="0" fillId="3" borderId="11" xfId="0" applyFill="1" applyBorder="1" applyAlignment="1">
      <alignment wrapText="1"/>
    </xf>
    <xf numFmtId="9" fontId="0" fillId="3" borderId="11" xfId="0" applyNumberFormat="1" applyFill="1" applyBorder="1"/>
    <xf numFmtId="0" fontId="0" fillId="3" borderId="13" xfId="0" applyFill="1" applyBorder="1"/>
    <xf numFmtId="49" fontId="0" fillId="3" borderId="13" xfId="0" applyNumberFormat="1" applyFill="1" applyBorder="1"/>
    <xf numFmtId="0" fontId="0" fillId="3" borderId="13" xfId="0" applyFill="1" applyBorder="1" applyAlignment="1">
      <alignment wrapText="1"/>
    </xf>
    <xf numFmtId="0" fontId="0" fillId="0" borderId="12" xfId="0" applyBorder="1"/>
    <xf numFmtId="49" fontId="0" fillId="0" borderId="12" xfId="0" applyNumberFormat="1" applyBorder="1"/>
    <xf numFmtId="0" fontId="0" fillId="0" borderId="12" xfId="0" applyBorder="1" applyAlignment="1">
      <alignment wrapText="1"/>
    </xf>
    <xf numFmtId="0" fontId="0" fillId="0" borderId="15" xfId="0" applyBorder="1"/>
    <xf numFmtId="0" fontId="0" fillId="0" borderId="16" xfId="0" applyBorder="1"/>
    <xf numFmtId="0" fontId="0" fillId="3" borderId="17" xfId="0" applyFill="1" applyBorder="1"/>
    <xf numFmtId="0" fontId="0" fillId="3" borderId="15" xfId="0" applyFill="1" applyBorder="1"/>
    <xf numFmtId="0" fontId="0" fillId="0" borderId="18" xfId="0" applyBorder="1"/>
    <xf numFmtId="0" fontId="0" fillId="3" borderId="19" xfId="0" applyFill="1" applyBorder="1"/>
    <xf numFmtId="0" fontId="0" fillId="0" borderId="14" xfId="0" applyBorder="1"/>
    <xf numFmtId="0" fontId="0" fillId="3" borderId="14" xfId="0" applyFill="1" applyBorder="1"/>
    <xf numFmtId="0" fontId="0" fillId="0" borderId="19" xfId="0" applyBorder="1"/>
    <xf numFmtId="0" fontId="0" fillId="0" borderId="13" xfId="0" applyBorder="1"/>
    <xf numFmtId="49" fontId="0" fillId="0" borderId="13" xfId="0" applyNumberFormat="1" applyBorder="1"/>
    <xf numFmtId="0" fontId="0" fillId="0" borderId="13" xfId="0" applyBorder="1" applyAlignment="1">
      <alignment wrapText="1"/>
    </xf>
    <xf numFmtId="0" fontId="3" fillId="0" borderId="11" xfId="0" applyFont="1" applyBorder="1"/>
    <xf numFmtId="0" fontId="0" fillId="3" borderId="11" xfId="0" quotePrefix="1" applyFill="1" applyBorder="1"/>
    <xf numFmtId="0" fontId="0" fillId="0" borderId="20" xfId="0" applyBorder="1"/>
    <xf numFmtId="164" fontId="0" fillId="0" borderId="11" xfId="0" applyNumberFormat="1" applyBorder="1"/>
    <xf numFmtId="164" fontId="0" fillId="0" borderId="12" xfId="0" applyNumberFormat="1" applyBorder="1"/>
    <xf numFmtId="164" fontId="3" fillId="0" borderId="11" xfId="0" applyNumberFormat="1" applyFont="1" applyBorder="1"/>
    <xf numFmtId="164" fontId="3" fillId="3" borderId="11" xfId="0" applyNumberFormat="1" applyFont="1" applyFill="1" applyBorder="1"/>
    <xf numFmtId="164" fontId="0" fillId="3" borderId="11" xfId="0" applyNumberFormat="1" applyFill="1" applyBorder="1"/>
    <xf numFmtId="164" fontId="7" fillId="0" borderId="13" xfId="0" applyNumberFormat="1" applyFont="1" applyBorder="1"/>
    <xf numFmtId="164" fontId="7" fillId="3" borderId="11" xfId="0" applyNumberFormat="1" applyFont="1" applyFill="1" applyBorder="1"/>
    <xf numFmtId="164" fontId="7" fillId="0" borderId="11" xfId="0" applyNumberFormat="1" applyFont="1" applyBorder="1"/>
    <xf numFmtId="0" fontId="7" fillId="0" borderId="11" xfId="0" applyFont="1" applyBorder="1"/>
    <xf numFmtId="164" fontId="7" fillId="3" borderId="13" xfId="0" applyNumberFormat="1" applyFont="1" applyFill="1" applyBorder="1"/>
    <xf numFmtId="0" fontId="5" fillId="0" borderId="1" xfId="0" applyFont="1" applyBorder="1"/>
    <xf numFmtId="2" fontId="0" fillId="0" borderId="11" xfId="0" applyNumberFormat="1" applyBorder="1"/>
    <xf numFmtId="2" fontId="0" fillId="0" borderId="12" xfId="0" applyNumberFormat="1" applyBorder="1"/>
    <xf numFmtId="2" fontId="7" fillId="3" borderId="13" xfId="0" applyNumberFormat="1" applyFont="1" applyFill="1" applyBorder="1"/>
    <xf numFmtId="2" fontId="0" fillId="3" borderId="11" xfId="0" applyNumberFormat="1" applyFill="1" applyBorder="1"/>
    <xf numFmtId="2" fontId="7" fillId="0" borderId="13" xfId="0" applyNumberFormat="1" applyFont="1" applyBorder="1"/>
    <xf numFmtId="0" fontId="9" fillId="2" borderId="0" xfId="0" applyFont="1" applyFill="1" applyAlignment="1">
      <alignment vertical="center"/>
    </xf>
    <xf numFmtId="0" fontId="9" fillId="2" borderId="0" xfId="0" applyFont="1" applyFill="1" applyAlignment="1">
      <alignment horizontal="center" vertical="center"/>
    </xf>
    <xf numFmtId="0" fontId="9" fillId="2" borderId="0" xfId="0" applyFont="1" applyFill="1" applyAlignment="1">
      <alignment vertical="center" wrapText="1"/>
    </xf>
    <xf numFmtId="0" fontId="9" fillId="2" borderId="0" xfId="0" applyFont="1" applyFill="1"/>
    <xf numFmtId="14" fontId="9" fillId="2" borderId="0" xfId="0" applyNumberFormat="1" applyFont="1" applyFill="1" applyAlignment="1">
      <alignment vertical="center"/>
    </xf>
    <xf numFmtId="0" fontId="9" fillId="3" borderId="0" xfId="0" applyFont="1" applyFill="1" applyAlignment="1">
      <alignment vertical="center"/>
    </xf>
    <xf numFmtId="0" fontId="9" fillId="3" borderId="0" xfId="0" applyFont="1" applyFill="1" applyAlignment="1">
      <alignment horizontal="center" vertical="center"/>
    </xf>
    <xf numFmtId="14" fontId="9" fillId="3" borderId="0" xfId="0" applyNumberFormat="1" applyFont="1" applyFill="1" applyAlignment="1">
      <alignment vertical="center"/>
    </xf>
    <xf numFmtId="0" fontId="9" fillId="3" borderId="0" xfId="0" applyFont="1" applyFill="1" applyAlignment="1">
      <alignment vertical="center" wrapText="1"/>
    </xf>
    <xf numFmtId="0" fontId="9" fillId="3" borderId="0" xfId="0" applyFont="1" applyFill="1"/>
    <xf numFmtId="14" fontId="0" fillId="0" borderId="0" xfId="0" applyNumberFormat="1" applyAlignment="1">
      <alignment vertical="center"/>
    </xf>
    <xf numFmtId="0" fontId="0" fillId="5" borderId="19" xfId="0" applyFill="1" applyBorder="1"/>
    <xf numFmtId="0" fontId="0" fillId="5" borderId="11" xfId="0" applyFill="1" applyBorder="1"/>
    <xf numFmtId="0" fontId="0" fillId="5" borderId="11" xfId="0" applyFill="1" applyBorder="1" applyAlignment="1">
      <alignment wrapText="1"/>
    </xf>
    <xf numFmtId="0" fontId="0" fillId="0" borderId="21" xfId="0" applyBorder="1"/>
    <xf numFmtId="0" fontId="10" fillId="0" borderId="0" xfId="0" applyFont="1"/>
    <xf numFmtId="0" fontId="7" fillId="6" borderId="1" xfId="0" applyFont="1" applyFill="1" applyBorder="1" applyAlignment="1">
      <alignment vertical="center"/>
    </xf>
    <xf numFmtId="0" fontId="7" fillId="7" borderId="0" xfId="0"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wrapText="1"/>
    </xf>
    <xf numFmtId="0" fontId="7" fillId="7" borderId="0" xfId="0" applyFont="1" applyFill="1"/>
    <xf numFmtId="0" fontId="7" fillId="7" borderId="1" xfId="0" applyFont="1" applyFill="1" applyBorder="1" applyAlignment="1">
      <alignment vertical="center"/>
    </xf>
    <xf numFmtId="0" fontId="7" fillId="7" borderId="1" xfId="0" applyFont="1" applyFill="1" applyBorder="1" applyAlignment="1">
      <alignment horizontal="center" vertical="center"/>
    </xf>
    <xf numFmtId="0" fontId="7" fillId="7" borderId="1" xfId="0" applyFont="1" applyFill="1" applyBorder="1" applyAlignment="1">
      <alignment vertical="center" wrapText="1"/>
    </xf>
    <xf numFmtId="0" fontId="7" fillId="7" borderId="1" xfId="0" applyFont="1" applyFill="1" applyBorder="1"/>
    <xf numFmtId="164" fontId="0" fillId="5" borderId="11" xfId="0" applyNumberFormat="1" applyFill="1" applyBorder="1"/>
    <xf numFmtId="14" fontId="7" fillId="7" borderId="0" xfId="0" applyNumberFormat="1" applyFont="1" applyFill="1" applyAlignment="1">
      <alignment vertical="center"/>
    </xf>
    <xf numFmtId="14" fontId="7" fillId="7" borderId="1" xfId="0" applyNumberFormat="1" applyFont="1" applyFill="1" applyBorder="1" applyAlignment="1">
      <alignment vertical="center"/>
    </xf>
    <xf numFmtId="0" fontId="9" fillId="0" borderId="0" xfId="0" applyFont="1" applyAlignment="1">
      <alignment vertical="center"/>
    </xf>
    <xf numFmtId="0" fontId="9" fillId="0" borderId="0" xfId="0" applyFont="1" applyAlignment="1">
      <alignment horizontal="center" vertical="center"/>
    </xf>
    <xf numFmtId="14" fontId="9" fillId="0" borderId="0" xfId="0" applyNumberFormat="1" applyFont="1" applyAlignment="1">
      <alignment vertical="center"/>
    </xf>
    <xf numFmtId="0" fontId="9" fillId="0" borderId="0" xfId="0" applyFont="1" applyAlignment="1">
      <alignment vertical="center" wrapText="1"/>
    </xf>
    <xf numFmtId="0" fontId="5" fillId="2" borderId="0" xfId="0" applyFont="1" applyFill="1" applyAlignment="1">
      <alignment vertical="center"/>
    </xf>
    <xf numFmtId="0" fontId="5" fillId="2" borderId="0" xfId="0" applyFont="1" applyFill="1" applyAlignment="1">
      <alignment horizontal="center" vertical="center"/>
    </xf>
    <xf numFmtId="14" fontId="5" fillId="2" borderId="0" xfId="0" applyNumberFormat="1" applyFont="1" applyFill="1" applyAlignment="1">
      <alignment vertical="center"/>
    </xf>
    <xf numFmtId="0" fontId="5" fillId="2" borderId="0" xfId="0" applyFont="1" applyFill="1" applyAlignment="1">
      <alignment vertical="center" wrapText="1"/>
    </xf>
    <xf numFmtId="0" fontId="5" fillId="2" borderId="0" xfId="0" applyFont="1" applyFill="1"/>
    <xf numFmtId="0" fontId="7" fillId="0" borderId="0" xfId="0" applyFont="1" applyAlignment="1">
      <alignment vertical="center"/>
    </xf>
    <xf numFmtId="0" fontId="12" fillId="0" borderId="0" xfId="0" applyFont="1" applyAlignment="1">
      <alignment horizontal="center" vertical="center"/>
    </xf>
    <xf numFmtId="0" fontId="7" fillId="0" borderId="0" xfId="0" applyFont="1" applyAlignment="1">
      <alignment vertical="center" wrapText="1"/>
    </xf>
    <xf numFmtId="49" fontId="0" fillId="0" borderId="11" xfId="0" applyNumberFormat="1" applyBorder="1" applyAlignment="1">
      <alignment horizontal="right"/>
    </xf>
    <xf numFmtId="49" fontId="0" fillId="3" borderId="13" xfId="0" applyNumberFormat="1" applyFill="1" applyBorder="1" applyAlignment="1">
      <alignment horizontal="right"/>
    </xf>
    <xf numFmtId="49" fontId="0" fillId="3" borderId="11" xfId="0" applyNumberFormat="1" applyFill="1" applyBorder="1" applyAlignment="1">
      <alignment horizontal="right"/>
    </xf>
    <xf numFmtId="49" fontId="0" fillId="0" borderId="13" xfId="0" applyNumberFormat="1" applyBorder="1" applyAlignment="1">
      <alignment horizontal="right"/>
    </xf>
    <xf numFmtId="49" fontId="0" fillId="0" borderId="12" xfId="0" applyNumberFormat="1" applyBorder="1" applyAlignment="1">
      <alignment horizontal="left"/>
    </xf>
    <xf numFmtId="49" fontId="0" fillId="0" borderId="11" xfId="0" applyNumberFormat="1" applyBorder="1" applyAlignment="1">
      <alignment horizontal="left"/>
    </xf>
    <xf numFmtId="166" fontId="0" fillId="0" borderId="11" xfId="0" applyNumberFormat="1" applyBorder="1" applyAlignment="1">
      <alignment horizontal="right"/>
    </xf>
    <xf numFmtId="166" fontId="0" fillId="0" borderId="12" xfId="0" applyNumberFormat="1" applyBorder="1" applyAlignment="1">
      <alignment horizontal="left"/>
    </xf>
    <xf numFmtId="166" fontId="0" fillId="3" borderId="13" xfId="0" applyNumberFormat="1" applyFill="1" applyBorder="1" applyAlignment="1">
      <alignment horizontal="right"/>
    </xf>
    <xf numFmtId="166" fontId="0" fillId="0" borderId="13" xfId="0" applyNumberFormat="1" applyBorder="1" applyAlignment="1">
      <alignment horizontal="right"/>
    </xf>
    <xf numFmtId="166" fontId="0" fillId="0" borderId="12" xfId="0" applyNumberFormat="1" applyBorder="1" applyAlignment="1">
      <alignment horizontal="right"/>
    </xf>
    <xf numFmtId="166" fontId="0" fillId="3" borderId="11" xfId="0" applyNumberFormat="1" applyFill="1" applyBorder="1" applyAlignment="1">
      <alignment horizontal="right"/>
    </xf>
    <xf numFmtId="0" fontId="3" fillId="3" borderId="11" xfId="0" applyFont="1" applyFill="1" applyBorder="1"/>
    <xf numFmtId="2" fontId="7" fillId="0" borderId="12" xfId="0" applyNumberFormat="1" applyFont="1" applyBorder="1"/>
    <xf numFmtId="0" fontId="10" fillId="2" borderId="0" xfId="0" applyFont="1" applyFill="1" applyAlignment="1">
      <alignment vertical="center"/>
    </xf>
    <xf numFmtId="0" fontId="10" fillId="2" borderId="0" xfId="0" applyFont="1" applyFill="1" applyAlignment="1">
      <alignment horizontal="center" vertical="center"/>
    </xf>
    <xf numFmtId="14" fontId="10" fillId="2" borderId="0" xfId="0" applyNumberFormat="1" applyFont="1" applyFill="1" applyAlignment="1">
      <alignment vertical="center"/>
    </xf>
    <xf numFmtId="0" fontId="10" fillId="2" borderId="0" xfId="0" applyFont="1" applyFill="1" applyAlignment="1">
      <alignment vertical="center" wrapText="1"/>
    </xf>
    <xf numFmtId="0" fontId="10" fillId="2" borderId="0" xfId="0" applyFont="1" applyFill="1"/>
    <xf numFmtId="0" fontId="13" fillId="0" borderId="0" xfId="0" applyFont="1" applyAlignment="1">
      <alignment vertical="center"/>
    </xf>
    <xf numFmtId="0" fontId="13" fillId="2" borderId="0" xfId="0" applyFont="1" applyFill="1" applyAlignment="1">
      <alignment vertical="center"/>
    </xf>
    <xf numFmtId="0" fontId="7" fillId="6" borderId="1" xfId="0" applyFont="1" applyFill="1" applyBorder="1" applyAlignment="1">
      <alignment horizontal="center" vertical="center"/>
    </xf>
    <xf numFmtId="14" fontId="7" fillId="6" borderId="1" xfId="0" applyNumberFormat="1" applyFont="1" applyFill="1" applyBorder="1" applyAlignment="1">
      <alignment vertical="center"/>
    </xf>
    <xf numFmtId="0" fontId="7" fillId="6" borderId="1" xfId="0" applyFont="1" applyFill="1" applyBorder="1" applyAlignment="1">
      <alignment vertical="center" wrapText="1"/>
    </xf>
    <xf numFmtId="0" fontId="7" fillId="6" borderId="1" xfId="0" applyFont="1" applyFill="1" applyBorder="1"/>
    <xf numFmtId="0" fontId="13" fillId="0" borderId="11" xfId="0" applyFont="1" applyBorder="1"/>
    <xf numFmtId="0" fontId="13" fillId="5" borderId="13" xfId="0" applyFont="1" applyFill="1" applyBorder="1"/>
    <xf numFmtId="0" fontId="0" fillId="0" borderId="0" xfId="0" applyAlignment="1">
      <alignment vertical="top"/>
    </xf>
    <xf numFmtId="0" fontId="9" fillId="2" borderId="0" xfId="0" applyFont="1" applyFill="1" applyAlignment="1">
      <alignment vertical="top"/>
    </xf>
    <xf numFmtId="0" fontId="10" fillId="2" borderId="0" xfId="0" applyFont="1" applyFill="1" applyAlignment="1">
      <alignment vertical="top"/>
    </xf>
    <xf numFmtId="0" fontId="0" fillId="2" borderId="0" xfId="0" applyFill="1" applyAlignment="1">
      <alignment vertical="top"/>
    </xf>
    <xf numFmtId="0" fontId="5" fillId="2" borderId="0" xfId="0" applyFont="1" applyFill="1" applyAlignment="1">
      <alignment vertical="top"/>
    </xf>
    <xf numFmtId="0" fontId="0" fillId="2" borderId="1" xfId="0" applyFill="1" applyBorder="1" applyAlignment="1">
      <alignment vertical="top"/>
    </xf>
    <xf numFmtId="0" fontId="9" fillId="3" borderId="0" xfId="0" applyFont="1" applyFill="1" applyAlignment="1">
      <alignment vertical="top"/>
    </xf>
    <xf numFmtId="0" fontId="7" fillId="6" borderId="1" xfId="0" applyFont="1" applyFill="1" applyBorder="1" applyAlignment="1">
      <alignment vertical="top"/>
    </xf>
    <xf numFmtId="0" fontId="7" fillId="7" borderId="0" xfId="0" applyFont="1" applyFill="1" applyAlignment="1">
      <alignment vertical="top"/>
    </xf>
    <xf numFmtId="0" fontId="7" fillId="7" borderId="1" xfId="0" applyFont="1" applyFill="1" applyBorder="1" applyAlignment="1">
      <alignment vertical="top"/>
    </xf>
    <xf numFmtId="0" fontId="0" fillId="2" borderId="1" xfId="0" applyFill="1" applyBorder="1" applyAlignment="1">
      <alignment vertical="center"/>
    </xf>
    <xf numFmtId="0" fontId="0" fillId="2" borderId="1" xfId="0" applyFill="1" applyBorder="1" applyAlignment="1">
      <alignment horizontal="center" vertical="center"/>
    </xf>
    <xf numFmtId="14" fontId="0" fillId="2" borderId="1" xfId="0" applyNumberFormat="1" applyFill="1" applyBorder="1" applyAlignment="1">
      <alignment vertical="center"/>
    </xf>
    <xf numFmtId="0" fontId="0" fillId="2" borderId="1" xfId="0" applyFill="1" applyBorder="1" applyAlignment="1">
      <alignment vertical="center" wrapText="1"/>
    </xf>
    <xf numFmtId="0" fontId="0" fillId="2" borderId="1" xfId="0" applyFill="1" applyBorder="1"/>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horizontal="center" vertical="center"/>
    </xf>
    <xf numFmtId="14" fontId="5" fillId="0" borderId="0" xfId="0" applyNumberFormat="1" applyFont="1" applyAlignment="1">
      <alignment vertical="center"/>
    </xf>
    <xf numFmtId="0" fontId="5" fillId="0" borderId="0" xfId="0" applyFont="1" applyAlignment="1">
      <alignment vertical="center" wrapText="1"/>
    </xf>
    <xf numFmtId="0" fontId="7" fillId="2" borderId="0" xfId="0" applyFont="1" applyFill="1" applyAlignment="1">
      <alignment vertical="center"/>
    </xf>
    <xf numFmtId="0" fontId="13" fillId="2" borderId="0" xfId="0" applyFont="1" applyFill="1" applyAlignment="1">
      <alignment vertical="top"/>
    </xf>
    <xf numFmtId="0" fontId="13" fillId="2" borderId="0" xfId="0" applyFont="1" applyFill="1" applyAlignment="1">
      <alignment horizontal="center" vertical="center"/>
    </xf>
    <xf numFmtId="14" fontId="13" fillId="2" borderId="0" xfId="0" applyNumberFormat="1" applyFont="1" applyFill="1" applyAlignment="1">
      <alignment vertical="center"/>
    </xf>
    <xf numFmtId="0" fontId="13" fillId="2" borderId="0" xfId="0" applyFont="1" applyFill="1" applyAlignment="1">
      <alignment vertical="center" wrapText="1"/>
    </xf>
    <xf numFmtId="0" fontId="13" fillId="2" borderId="0" xfId="0" applyFont="1" applyFill="1"/>
    <xf numFmtId="0" fontId="7" fillId="2" borderId="0" xfId="0" applyFont="1" applyFill="1" applyAlignment="1">
      <alignment vertical="top"/>
    </xf>
    <xf numFmtId="0" fontId="7" fillId="2" borderId="0" xfId="0" applyFont="1" applyFill="1" applyAlignment="1">
      <alignment horizontal="center" vertical="center"/>
    </xf>
    <xf numFmtId="14" fontId="7" fillId="2" borderId="0" xfId="0" applyNumberFormat="1" applyFont="1" applyFill="1" applyAlignment="1">
      <alignment vertical="center"/>
    </xf>
    <xf numFmtId="0" fontId="7" fillId="2" borderId="0" xfId="0" applyFont="1" applyFill="1" applyAlignment="1">
      <alignment vertical="center" wrapText="1"/>
    </xf>
    <xf numFmtId="0" fontId="7" fillId="2" borderId="0" xfId="0" applyFont="1" applyFill="1"/>
    <xf numFmtId="0" fontId="0" fillId="0" borderId="0" xfId="0" applyAlignment="1">
      <alignment horizontal="left" vertical="center"/>
    </xf>
    <xf numFmtId="0" fontId="12" fillId="0" borderId="0" xfId="0" applyFont="1" applyAlignment="1">
      <alignment horizontal="left" vertical="center"/>
    </xf>
    <xf numFmtId="0" fontId="0" fillId="2" borderId="0" xfId="0" applyFill="1" applyAlignment="1">
      <alignment horizontal="left" vertical="center"/>
    </xf>
    <xf numFmtId="0" fontId="9" fillId="2" borderId="0" xfId="0" applyFont="1" applyFill="1" applyAlignment="1">
      <alignment horizontal="left" vertical="center"/>
    </xf>
    <xf numFmtId="0" fontId="10" fillId="2" borderId="0" xfId="0" applyFont="1" applyFill="1" applyAlignment="1">
      <alignment horizontal="left" vertical="center"/>
    </xf>
    <xf numFmtId="0" fontId="5" fillId="2" borderId="0" xfId="0" applyFont="1" applyFill="1" applyAlignment="1">
      <alignment horizontal="left" vertical="center"/>
    </xf>
    <xf numFmtId="0" fontId="13" fillId="2" borderId="0" xfId="0" applyFont="1" applyFill="1" applyAlignment="1">
      <alignment horizontal="left" vertical="center"/>
    </xf>
    <xf numFmtId="0" fontId="0" fillId="2" borderId="1" xfId="0" applyFill="1" applyBorder="1" applyAlignment="1">
      <alignment horizontal="left" vertical="center"/>
    </xf>
    <xf numFmtId="0" fontId="9" fillId="3" borderId="0" xfId="0" applyFont="1" applyFill="1" applyAlignment="1">
      <alignment horizontal="left" vertical="center"/>
    </xf>
    <xf numFmtId="0" fontId="7" fillId="6" borderId="1" xfId="0" applyFont="1" applyFill="1" applyBorder="1" applyAlignment="1">
      <alignment horizontal="left" vertical="center"/>
    </xf>
    <xf numFmtId="0" fontId="7" fillId="7" borderId="0" xfId="0" applyFont="1" applyFill="1" applyAlignment="1">
      <alignment horizontal="left" vertical="center"/>
    </xf>
    <xf numFmtId="0" fontId="7" fillId="7" borderId="1" xfId="0" applyFont="1" applyFill="1" applyBorder="1" applyAlignment="1">
      <alignment horizontal="left" vertical="center"/>
    </xf>
    <xf numFmtId="0" fontId="9"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vertical="top" wrapText="1"/>
    </xf>
    <xf numFmtId="0" fontId="13" fillId="8" borderId="22" xfId="0" applyFont="1" applyFill="1" applyBorder="1" applyAlignment="1">
      <alignment vertical="center"/>
    </xf>
    <xf numFmtId="0" fontId="5" fillId="0" borderId="1" xfId="0" applyFont="1" applyBorder="1" applyAlignment="1">
      <alignment vertical="top"/>
    </xf>
    <xf numFmtId="0" fontId="5" fillId="0" borderId="1" xfId="0" applyFont="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14" fontId="5" fillId="0" borderId="1" xfId="0" applyNumberFormat="1" applyFont="1" applyBorder="1" applyAlignment="1">
      <alignment vertical="center"/>
    </xf>
    <xf numFmtId="0" fontId="5" fillId="0" borderId="1" xfId="0" applyFont="1" applyBorder="1" applyAlignment="1">
      <alignment vertical="center" wrapText="1"/>
    </xf>
    <xf numFmtId="0" fontId="9" fillId="3" borderId="1" xfId="0" applyFont="1" applyFill="1" applyBorder="1" applyAlignment="1">
      <alignment vertical="top"/>
    </xf>
    <xf numFmtId="0" fontId="9" fillId="3" borderId="1" xfId="0" applyFont="1" applyFill="1" applyBorder="1" applyAlignment="1">
      <alignment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xf>
    <xf numFmtId="14" fontId="9" fillId="3" borderId="1" xfId="0" applyNumberFormat="1" applyFont="1" applyFill="1" applyBorder="1" applyAlignment="1">
      <alignment vertical="center"/>
    </xf>
    <xf numFmtId="0" fontId="9" fillId="3" borderId="1" xfId="0" applyFont="1" applyFill="1" applyBorder="1" applyAlignment="1">
      <alignment vertical="center" wrapText="1"/>
    </xf>
    <xf numFmtId="0" fontId="9" fillId="3" borderId="1" xfId="0" applyFont="1" applyFill="1" applyBorder="1"/>
    <xf numFmtId="0" fontId="15" fillId="8" borderId="22" xfId="0" applyFont="1" applyFill="1" applyBorder="1" applyAlignment="1">
      <alignment vertical="top"/>
    </xf>
    <xf numFmtId="0" fontId="13" fillId="8" borderId="22" xfId="0" applyFont="1" applyFill="1" applyBorder="1" applyAlignment="1">
      <alignment horizontal="left" vertical="center"/>
    </xf>
    <xf numFmtId="0" fontId="13" fillId="8" borderId="22" xfId="0" applyFont="1" applyFill="1" applyBorder="1" applyAlignment="1">
      <alignment horizontal="center" vertical="center"/>
    </xf>
    <xf numFmtId="14" fontId="13" fillId="8" borderId="22" xfId="0" applyNumberFormat="1" applyFont="1" applyFill="1" applyBorder="1" applyAlignment="1">
      <alignment vertical="center"/>
    </xf>
    <xf numFmtId="0" fontId="13" fillId="8" borderId="22" xfId="0" applyFont="1" applyFill="1" applyBorder="1" applyAlignment="1">
      <alignment vertical="center" wrapText="1"/>
    </xf>
    <xf numFmtId="0" fontId="13" fillId="8" borderId="22" xfId="0" applyFont="1" applyFill="1" applyBorder="1"/>
    <xf numFmtId="0" fontId="15" fillId="7" borderId="0" xfId="0" applyFont="1" applyFill="1" applyAlignment="1">
      <alignment vertical="top"/>
    </xf>
    <xf numFmtId="0" fontId="13" fillId="7" borderId="0" xfId="0" applyFont="1" applyFill="1" applyAlignment="1">
      <alignment vertical="center"/>
    </xf>
    <xf numFmtId="0" fontId="13" fillId="7" borderId="0" xfId="0" applyFont="1" applyFill="1" applyAlignment="1">
      <alignment horizontal="left" vertical="center"/>
    </xf>
    <xf numFmtId="0" fontId="13" fillId="7" borderId="0" xfId="0" applyFont="1" applyFill="1" applyAlignment="1">
      <alignment horizontal="center" vertical="center"/>
    </xf>
    <xf numFmtId="14" fontId="13" fillId="7" borderId="0" xfId="0" applyNumberFormat="1" applyFont="1" applyFill="1" applyAlignment="1">
      <alignment vertical="center"/>
    </xf>
    <xf numFmtId="0" fontId="13" fillId="7" borderId="0" xfId="0" applyFont="1" applyFill="1" applyAlignment="1">
      <alignment vertical="center" wrapText="1"/>
    </xf>
    <xf numFmtId="0" fontId="13" fillId="7" borderId="0" xfId="0" applyFont="1" applyFill="1"/>
    <xf numFmtId="0" fontId="10" fillId="0" borderId="0" xfId="0" applyFont="1" applyAlignment="1">
      <alignment vertical="top"/>
    </xf>
    <xf numFmtId="0" fontId="10" fillId="0" borderId="0" xfId="0" applyFont="1" applyAlignment="1">
      <alignment vertical="center"/>
    </xf>
    <xf numFmtId="0" fontId="10" fillId="0" borderId="0" xfId="0" applyFont="1" applyAlignment="1">
      <alignment horizontal="left" vertical="center"/>
    </xf>
    <xf numFmtId="0" fontId="10" fillId="0" borderId="0" xfId="0" applyFont="1" applyAlignment="1">
      <alignment horizontal="center" vertical="center"/>
    </xf>
    <xf numFmtId="14" fontId="10" fillId="0" borderId="0" xfId="0" applyNumberFormat="1" applyFont="1" applyAlignment="1">
      <alignment vertical="center"/>
    </xf>
    <xf numFmtId="0" fontId="10" fillId="0" borderId="0" xfId="0" applyFont="1" applyAlignment="1">
      <alignment vertical="center" wrapText="1"/>
    </xf>
    <xf numFmtId="0" fontId="9" fillId="0" borderId="0" xfId="0" applyFont="1" applyAlignment="1">
      <alignment vertical="top"/>
    </xf>
    <xf numFmtId="0" fontId="9" fillId="0" borderId="0" xfId="0" applyFont="1"/>
    <xf numFmtId="0" fontId="11" fillId="6" borderId="0" xfId="0" applyFont="1" applyFill="1" applyAlignment="1">
      <alignment vertical="top"/>
    </xf>
    <xf numFmtId="0" fontId="10" fillId="6" borderId="0" xfId="0" applyFont="1" applyFill="1" applyAlignment="1">
      <alignment vertical="center"/>
    </xf>
    <xf numFmtId="0" fontId="10" fillId="6" borderId="0" xfId="0" applyFont="1" applyFill="1" applyAlignment="1">
      <alignment horizontal="left"/>
    </xf>
    <xf numFmtId="0" fontId="10" fillId="6" borderId="0" xfId="0" applyFont="1" applyFill="1"/>
    <xf numFmtId="14" fontId="10" fillId="6" borderId="0" xfId="0" applyNumberFormat="1" applyFont="1" applyFill="1" applyAlignment="1">
      <alignment vertical="center"/>
    </xf>
    <xf numFmtId="0" fontId="10" fillId="6" borderId="0" xfId="0" applyFont="1" applyFill="1" applyAlignment="1">
      <alignment vertical="center" wrapText="1"/>
    </xf>
    <xf numFmtId="0" fontId="10" fillId="6" borderId="0" xfId="0" applyFont="1" applyFill="1" applyAlignment="1">
      <alignment vertical="top"/>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1" fillId="3" borderId="0" xfId="0" applyFont="1" applyFill="1" applyAlignment="1">
      <alignment vertical="top"/>
    </xf>
    <xf numFmtId="0" fontId="10" fillId="3" borderId="0" xfId="0" applyFont="1" applyFill="1" applyAlignment="1">
      <alignment vertical="center"/>
    </xf>
    <xf numFmtId="0" fontId="10" fillId="3" borderId="0" xfId="0" applyFont="1" applyFill="1" applyAlignment="1">
      <alignment horizontal="left" vertical="center"/>
    </xf>
    <xf numFmtId="0" fontId="10" fillId="3" borderId="0" xfId="0" applyFont="1" applyFill="1" applyAlignment="1">
      <alignment horizontal="center" vertical="center"/>
    </xf>
    <xf numFmtId="14" fontId="10" fillId="3" borderId="0" xfId="0" applyNumberFormat="1" applyFont="1" applyFill="1" applyAlignment="1">
      <alignment vertical="center"/>
    </xf>
    <xf numFmtId="0" fontId="10" fillId="3" borderId="0" xfId="0" applyFont="1" applyFill="1" applyAlignment="1">
      <alignment vertical="center" wrapText="1"/>
    </xf>
    <xf numFmtId="0" fontId="10" fillId="3" borderId="0" xfId="0" applyFont="1" applyFill="1"/>
    <xf numFmtId="0" fontId="10" fillId="3" borderId="0" xfId="0" applyFont="1" applyFill="1" applyAlignment="1">
      <alignment vertical="top"/>
    </xf>
    <xf numFmtId="0" fontId="10" fillId="3" borderId="0" xfId="0" applyFont="1" applyFill="1" applyAlignment="1">
      <alignment wrapText="1"/>
    </xf>
    <xf numFmtId="0" fontId="7" fillId="2" borderId="0" xfId="0" applyFont="1" applyFill="1" applyAlignment="1">
      <alignment horizontal="left" vertical="center"/>
    </xf>
    <xf numFmtId="0" fontId="18" fillId="0" borderId="20" xfId="0" applyFont="1" applyBorder="1"/>
    <xf numFmtId="0" fontId="18" fillId="0" borderId="4" xfId="0" applyFont="1" applyBorder="1"/>
    <xf numFmtId="0" fontId="18" fillId="0" borderId="5" xfId="0" applyFont="1" applyBorder="1"/>
    <xf numFmtId="49" fontId="18" fillId="0" borderId="5" xfId="0" applyNumberFormat="1" applyFont="1" applyBorder="1"/>
    <xf numFmtId="2" fontId="18" fillId="0" borderId="5" xfId="0" applyNumberFormat="1" applyFont="1" applyBorder="1"/>
    <xf numFmtId="166" fontId="18" fillId="0" borderId="5" xfId="0" applyNumberFormat="1" applyFont="1" applyBorder="1"/>
    <xf numFmtId="165" fontId="18" fillId="0" borderId="5" xfId="0" applyNumberFormat="1" applyFont="1" applyBorder="1"/>
    <xf numFmtId="164" fontId="18" fillId="0" borderId="5" xfId="0" applyNumberFormat="1" applyFont="1" applyBorder="1"/>
    <xf numFmtId="0" fontId="18" fillId="0" borderId="5" xfId="0" applyFont="1" applyBorder="1" applyAlignment="1">
      <alignment wrapText="1"/>
    </xf>
    <xf numFmtId="0" fontId="18" fillId="0" borderId="7" xfId="0" applyFont="1" applyBorder="1"/>
    <xf numFmtId="0" fontId="19" fillId="4" borderId="29" xfId="0" applyFont="1" applyFill="1" applyBorder="1"/>
    <xf numFmtId="166" fontId="19" fillId="4" borderId="29" xfId="0" applyNumberFormat="1" applyFont="1" applyFill="1" applyBorder="1"/>
    <xf numFmtId="0" fontId="19" fillId="9" borderId="29" xfId="0" applyFont="1" applyFill="1" applyBorder="1"/>
    <xf numFmtId="166" fontId="19" fillId="9" borderId="29" xfId="0" applyNumberFormat="1" applyFont="1" applyFill="1" applyBorder="1"/>
    <xf numFmtId="0" fontId="18" fillId="0" borderId="3" xfId="0" applyFont="1" applyBorder="1"/>
    <xf numFmtId="166" fontId="19" fillId="0" borderId="29" xfId="0" applyNumberFormat="1" applyFont="1" applyBorder="1"/>
    <xf numFmtId="164" fontId="18" fillId="0" borderId="3" xfId="0" applyNumberFormat="1" applyFont="1" applyBorder="1"/>
    <xf numFmtId="0" fontId="18" fillId="2" borderId="8" xfId="0" applyFont="1" applyFill="1" applyBorder="1"/>
    <xf numFmtId="0" fontId="18" fillId="2" borderId="4" xfId="0" applyFont="1" applyFill="1" applyBorder="1"/>
    <xf numFmtId="0" fontId="18" fillId="2" borderId="5" xfId="0" applyFont="1" applyFill="1" applyBorder="1"/>
    <xf numFmtId="49" fontId="18" fillId="2" borderId="5" xfId="0" applyNumberFormat="1" applyFont="1" applyFill="1" applyBorder="1"/>
    <xf numFmtId="2" fontId="18" fillId="2" borderId="5" xfId="0" applyNumberFormat="1" applyFont="1" applyFill="1" applyBorder="1"/>
    <xf numFmtId="166" fontId="18" fillId="2" borderId="5" xfId="0" applyNumberFormat="1" applyFont="1" applyFill="1" applyBorder="1"/>
    <xf numFmtId="165" fontId="18" fillId="2" borderId="5" xfId="0" applyNumberFormat="1" applyFont="1" applyFill="1" applyBorder="1"/>
    <xf numFmtId="166" fontId="19" fillId="2" borderId="29" xfId="0" applyNumberFormat="1" applyFont="1" applyFill="1" applyBorder="1"/>
    <xf numFmtId="165" fontId="18" fillId="2" borderId="3" xfId="0" applyNumberFormat="1" applyFont="1" applyFill="1" applyBorder="1"/>
    <xf numFmtId="164" fontId="18" fillId="2" borderId="5" xfId="0" applyNumberFormat="1" applyFont="1" applyFill="1" applyBorder="1"/>
    <xf numFmtId="0" fontId="18" fillId="2" borderId="5" xfId="0" applyFont="1" applyFill="1" applyBorder="1" applyAlignment="1">
      <alignment wrapText="1"/>
    </xf>
    <xf numFmtId="0" fontId="18" fillId="0" borderId="8" xfId="0" applyFont="1" applyBorder="1"/>
    <xf numFmtId="14" fontId="18" fillId="0" borderId="4" xfId="0" applyNumberFormat="1" applyFont="1" applyBorder="1"/>
    <xf numFmtId="14" fontId="18" fillId="2" borderId="4" xfId="0" applyNumberFormat="1" applyFont="1" applyFill="1" applyBorder="1"/>
    <xf numFmtId="14" fontId="18" fillId="0" borderId="5" xfId="0" applyNumberFormat="1" applyFont="1" applyBorder="1" applyAlignment="1">
      <alignment wrapText="1"/>
    </xf>
    <xf numFmtId="164" fontId="18" fillId="2" borderId="3" xfId="0" applyNumberFormat="1" applyFont="1" applyFill="1" applyBorder="1"/>
    <xf numFmtId="0" fontId="0" fillId="0" borderId="5" xfId="0" applyBorder="1" applyAlignment="1">
      <alignment wrapText="1"/>
    </xf>
    <xf numFmtId="0" fontId="0" fillId="2" borderId="4" xfId="0" applyFill="1" applyBorder="1"/>
    <xf numFmtId="0" fontId="0" fillId="2" borderId="5" xfId="0" applyFill="1" applyBorder="1"/>
    <xf numFmtId="0" fontId="0" fillId="0" borderId="4" xfId="0" applyBorder="1"/>
    <xf numFmtId="49" fontId="0" fillId="0" borderId="5" xfId="0" applyNumberFormat="1" applyBorder="1"/>
    <xf numFmtId="49" fontId="0" fillId="2" borderId="5" xfId="0" applyNumberFormat="1" applyFill="1" applyBorder="1"/>
    <xf numFmtId="0" fontId="0" fillId="2" borderId="5" xfId="0" applyFill="1" applyBorder="1" applyAlignment="1">
      <alignment wrapText="1"/>
    </xf>
    <xf numFmtId="0" fontId="0" fillId="0" borderId="8" xfId="0" applyBorder="1"/>
    <xf numFmtId="0" fontId="0" fillId="2" borderId="8" xfId="0" applyFill="1" applyBorder="1"/>
    <xf numFmtId="2" fontId="0" fillId="2" borderId="5" xfId="0" applyNumberFormat="1" applyFill="1" applyBorder="1"/>
    <xf numFmtId="166" fontId="0" fillId="2" borderId="5" xfId="0" applyNumberFormat="1" applyFill="1" applyBorder="1"/>
    <xf numFmtId="165" fontId="0" fillId="2" borderId="5" xfId="0" applyNumberFormat="1" applyFill="1" applyBorder="1"/>
    <xf numFmtId="165" fontId="0" fillId="2" borderId="3" xfId="0" applyNumberFormat="1" applyFill="1" applyBorder="1"/>
    <xf numFmtId="164" fontId="0" fillId="2" borderId="5" xfId="0" applyNumberFormat="1" applyFill="1" applyBorder="1"/>
    <xf numFmtId="164" fontId="0" fillId="0" borderId="3" xfId="0" applyNumberFormat="1" applyBorder="1"/>
    <xf numFmtId="2" fontId="0" fillId="0" borderId="5" xfId="0" applyNumberFormat="1" applyBorder="1"/>
    <xf numFmtId="166" fontId="0" fillId="0" borderId="5" xfId="0" applyNumberFormat="1" applyBorder="1"/>
    <xf numFmtId="165" fontId="0" fillId="0" borderId="5" xfId="0" applyNumberFormat="1" applyBorder="1"/>
    <xf numFmtId="165" fontId="0" fillId="0" borderId="3" xfId="0" applyNumberFormat="1" applyBorder="1"/>
    <xf numFmtId="164" fontId="0" fillId="0" borderId="5" xfId="0" applyNumberFormat="1" applyBorder="1"/>
    <xf numFmtId="14" fontId="0" fillId="2" borderId="4" xfId="0" applyNumberFormat="1" applyFill="1" applyBorder="1"/>
    <xf numFmtId="14" fontId="0" fillId="0" borderId="4" xfId="0" applyNumberFormat="1" applyBorder="1"/>
    <xf numFmtId="0" fontId="0" fillId="2" borderId="20" xfId="0" applyFill="1" applyBorder="1"/>
    <xf numFmtId="14" fontId="0" fillId="0" borderId="5" xfId="0" applyNumberFormat="1" applyBorder="1" applyAlignment="1">
      <alignment wrapText="1"/>
    </xf>
    <xf numFmtId="164" fontId="0" fillId="2" borderId="3" xfId="0" applyNumberFormat="1" applyFill="1" applyBorder="1"/>
    <xf numFmtId="14" fontId="0" fillId="2" borderId="5" xfId="0" applyNumberFormat="1" applyFill="1" applyBorder="1" applyAlignment="1">
      <alignment wrapText="1"/>
    </xf>
    <xf numFmtId="0" fontId="13" fillId="0" borderId="8" xfId="0" applyFont="1" applyBorder="1"/>
    <xf numFmtId="0" fontId="13" fillId="0" borderId="20" xfId="0" applyFont="1" applyBorder="1"/>
    <xf numFmtId="0" fontId="13" fillId="0" borderId="4" xfId="0" applyFont="1" applyBorder="1"/>
    <xf numFmtId="0" fontId="13" fillId="0" borderId="5" xfId="0" applyFont="1" applyBorder="1"/>
    <xf numFmtId="49" fontId="13" fillId="0" borderId="5" xfId="0" applyNumberFormat="1" applyFont="1" applyBorder="1"/>
    <xf numFmtId="2" fontId="13" fillId="0" borderId="5" xfId="0" applyNumberFormat="1" applyFont="1" applyBorder="1"/>
    <xf numFmtId="166" fontId="13" fillId="0" borderId="5" xfId="0" applyNumberFormat="1" applyFont="1" applyBorder="1"/>
    <xf numFmtId="165" fontId="13" fillId="0" borderId="5" xfId="0" applyNumberFormat="1" applyFont="1" applyBorder="1"/>
    <xf numFmtId="166" fontId="21" fillId="0" borderId="29" xfId="0" applyNumberFormat="1" applyFont="1" applyBorder="1"/>
    <xf numFmtId="164" fontId="13" fillId="0" borderId="5" xfId="0" applyNumberFormat="1" applyFont="1" applyBorder="1"/>
    <xf numFmtId="164" fontId="13" fillId="0" borderId="3" xfId="0" applyNumberFormat="1" applyFont="1" applyBorder="1"/>
    <xf numFmtId="0" fontId="13" fillId="0" borderId="5" xfId="0" applyFont="1" applyBorder="1" applyAlignment="1">
      <alignment wrapText="1"/>
    </xf>
    <xf numFmtId="0" fontId="13" fillId="2" borderId="8" xfId="0" applyFont="1" applyFill="1" applyBorder="1"/>
    <xf numFmtId="0" fontId="13" fillId="2" borderId="20" xfId="0" applyFont="1" applyFill="1" applyBorder="1"/>
    <xf numFmtId="0" fontId="13" fillId="2" borderId="4" xfId="0" applyFont="1" applyFill="1" applyBorder="1"/>
    <xf numFmtId="14" fontId="13" fillId="2" borderId="4" xfId="0" applyNumberFormat="1" applyFont="1" applyFill="1" applyBorder="1"/>
    <xf numFmtId="0" fontId="13" fillId="2" borderId="5" xfId="0" applyFont="1" applyFill="1" applyBorder="1"/>
    <xf numFmtId="49" fontId="13" fillId="2" borderId="5" xfId="0" applyNumberFormat="1" applyFont="1" applyFill="1" applyBorder="1"/>
    <xf numFmtId="2" fontId="13" fillId="2" borderId="5" xfId="0" applyNumberFormat="1" applyFont="1" applyFill="1" applyBorder="1"/>
    <xf numFmtId="166" fontId="13" fillId="2" borderId="5" xfId="0" applyNumberFormat="1" applyFont="1" applyFill="1" applyBorder="1"/>
    <xf numFmtId="165" fontId="13" fillId="2" borderId="5" xfId="0" applyNumberFormat="1" applyFont="1" applyFill="1" applyBorder="1"/>
    <xf numFmtId="166" fontId="21" fillId="2" borderId="29" xfId="0" applyNumberFormat="1" applyFont="1" applyFill="1" applyBorder="1"/>
    <xf numFmtId="164" fontId="13" fillId="2" borderId="5" xfId="0" applyNumberFormat="1" applyFont="1" applyFill="1" applyBorder="1"/>
    <xf numFmtId="0" fontId="13" fillId="2" borderId="5" xfId="0" applyFont="1" applyFill="1" applyBorder="1" applyAlignment="1">
      <alignment wrapText="1"/>
    </xf>
    <xf numFmtId="164" fontId="13" fillId="2" borderId="3" xfId="0" applyNumberFormat="1" applyFont="1" applyFill="1" applyBorder="1"/>
    <xf numFmtId="0" fontId="22" fillId="2" borderId="0" xfId="1" applyFill="1" applyAlignment="1">
      <alignment horizontal="center" vertical="center"/>
    </xf>
    <xf numFmtId="0" fontId="22" fillId="2" borderId="0" xfId="1" applyFill="1"/>
    <xf numFmtId="0" fontId="25" fillId="12" borderId="23" xfId="0" applyFont="1" applyFill="1" applyBorder="1" applyAlignment="1">
      <alignment horizontal="center" vertical="center"/>
    </xf>
    <xf numFmtId="0" fontId="7" fillId="0" borderId="15" xfId="0" applyFont="1" applyBorder="1" applyAlignment="1">
      <alignment vertical="center"/>
    </xf>
    <xf numFmtId="0" fontId="7" fillId="0" borderId="11" xfId="0" applyFont="1" applyBorder="1" applyAlignment="1">
      <alignment vertical="center"/>
    </xf>
    <xf numFmtId="0" fontId="7" fillId="0" borderId="11" xfId="0" applyFont="1" applyBorder="1" applyAlignment="1">
      <alignment vertical="center" wrapText="1"/>
    </xf>
    <xf numFmtId="0" fontId="7" fillId="0" borderId="16" xfId="0" applyFont="1" applyBorder="1"/>
    <xf numFmtId="0" fontId="7" fillId="0" borderId="12" xfId="0" applyFont="1" applyBorder="1"/>
    <xf numFmtId="0" fontId="7" fillId="0" borderId="12" xfId="0" applyFont="1" applyBorder="1" applyAlignment="1">
      <alignment wrapText="1"/>
    </xf>
    <xf numFmtId="0" fontId="7" fillId="12" borderId="0" xfId="0" applyFont="1" applyFill="1"/>
    <xf numFmtId="0" fontId="7" fillId="12" borderId="13" xfId="0" applyFont="1" applyFill="1" applyBorder="1"/>
    <xf numFmtId="0" fontId="7" fillId="12" borderId="13" xfId="0" applyFont="1" applyFill="1" applyBorder="1" applyAlignment="1">
      <alignment wrapText="1"/>
    </xf>
    <xf numFmtId="0" fontId="7" fillId="0" borderId="15" xfId="0" applyFont="1" applyBorder="1"/>
    <xf numFmtId="0" fontId="7" fillId="0" borderId="11" xfId="0" applyFont="1" applyBorder="1" applyAlignment="1">
      <alignment wrapText="1"/>
    </xf>
    <xf numFmtId="0" fontId="7" fillId="12" borderId="15" xfId="0" applyFont="1" applyFill="1" applyBorder="1"/>
    <xf numFmtId="0" fontId="7" fillId="12" borderId="11" xfId="0" applyFont="1" applyFill="1" applyBorder="1"/>
    <xf numFmtId="0" fontId="7" fillId="12" borderId="11" xfId="0" applyFont="1" applyFill="1" applyBorder="1" applyAlignment="1">
      <alignment wrapText="1"/>
    </xf>
    <xf numFmtId="0" fontId="0" fillId="0" borderId="30" xfId="0" applyBorder="1"/>
    <xf numFmtId="0" fontId="0" fillId="0" borderId="31" xfId="0" applyBorder="1"/>
    <xf numFmtId="0" fontId="0" fillId="0" borderId="32" xfId="0" applyBorder="1"/>
    <xf numFmtId="164" fontId="0" fillId="0" borderId="32" xfId="0" applyNumberFormat="1" applyBorder="1"/>
    <xf numFmtId="0" fontId="0" fillId="0" borderId="32" xfId="0" applyBorder="1" applyAlignment="1">
      <alignment wrapText="1"/>
    </xf>
    <xf numFmtId="0" fontId="13" fillId="5" borderId="33" xfId="0" applyFont="1" applyFill="1" applyBorder="1"/>
    <xf numFmtId="0" fontId="0" fillId="5" borderId="33" xfId="0" applyFill="1" applyBorder="1"/>
    <xf numFmtId="164" fontId="13" fillId="5" borderId="33" xfId="0" applyNumberFormat="1" applyFont="1" applyFill="1" applyBorder="1"/>
    <xf numFmtId="0" fontId="13" fillId="5" borderId="33" xfId="0" applyFont="1" applyFill="1" applyBorder="1" applyAlignment="1">
      <alignment wrapText="1"/>
    </xf>
    <xf numFmtId="0" fontId="13" fillId="5" borderId="17" xfId="0" applyFont="1" applyFill="1" applyBorder="1"/>
    <xf numFmtId="0" fontId="13" fillId="0" borderId="33" xfId="0" applyFont="1" applyBorder="1"/>
    <xf numFmtId="0" fontId="0" fillId="0" borderId="33" xfId="0" applyBorder="1"/>
    <xf numFmtId="164" fontId="13" fillId="0" borderId="33" xfId="0" applyNumberFormat="1" applyFont="1" applyBorder="1"/>
    <xf numFmtId="0" fontId="13" fillId="0" borderId="33" xfId="0" applyFont="1" applyBorder="1" applyAlignment="1">
      <alignment wrapText="1"/>
    </xf>
    <xf numFmtId="0" fontId="13" fillId="0" borderId="15" xfId="0" applyFont="1" applyBorder="1"/>
    <xf numFmtId="164" fontId="0" fillId="5" borderId="33" xfId="0" applyNumberFormat="1" applyFill="1" applyBorder="1"/>
    <xf numFmtId="0" fontId="0" fillId="5" borderId="33" xfId="0" applyFill="1" applyBorder="1" applyAlignment="1">
      <alignment wrapText="1"/>
    </xf>
    <xf numFmtId="0" fontId="0" fillId="5" borderId="15" xfId="0" applyFill="1" applyBorder="1"/>
    <xf numFmtId="164" fontId="0" fillId="0" borderId="33" xfId="0" applyNumberFormat="1" applyBorder="1"/>
    <xf numFmtId="0" fontId="0" fillId="0" borderId="33" xfId="0" applyBorder="1" applyAlignment="1">
      <alignment wrapText="1"/>
    </xf>
    <xf numFmtId="0" fontId="0" fillId="0" borderId="33" xfId="0" applyBorder="1" applyAlignment="1">
      <alignment vertical="center"/>
    </xf>
    <xf numFmtId="0" fontId="0" fillId="5" borderId="33" xfId="0" applyFill="1" applyBorder="1" applyAlignment="1">
      <alignment vertical="center"/>
    </xf>
    <xf numFmtId="0" fontId="24" fillId="11" borderId="0" xfId="3"/>
    <xf numFmtId="0" fontId="23" fillId="10" borderId="33" xfId="2" applyBorder="1"/>
    <xf numFmtId="0" fontId="23" fillId="10" borderId="33" xfId="2" applyBorder="1" applyAlignment="1">
      <alignment vertical="center"/>
    </xf>
    <xf numFmtId="8" fontId="23" fillId="10" borderId="33" xfId="2" applyNumberFormat="1" applyBorder="1"/>
    <xf numFmtId="164" fontId="23" fillId="10" borderId="33" xfId="2" applyNumberFormat="1" applyBorder="1"/>
    <xf numFmtId="0" fontId="23" fillId="10" borderId="33" xfId="2" applyBorder="1" applyAlignment="1">
      <alignment wrapText="1"/>
    </xf>
    <xf numFmtId="0" fontId="23" fillId="10" borderId="15" xfId="2" applyBorder="1"/>
    <xf numFmtId="0" fontId="23" fillId="10" borderId="11" xfId="2" applyBorder="1"/>
    <xf numFmtId="0" fontId="0" fillId="13" borderId="33" xfId="0" applyFill="1" applyBorder="1"/>
    <xf numFmtId="8" fontId="24" fillId="11" borderId="33" xfId="3" applyNumberFormat="1" applyBorder="1"/>
    <xf numFmtId="8" fontId="0" fillId="5" borderId="33" xfId="0" applyNumberFormat="1" applyFill="1" applyBorder="1"/>
    <xf numFmtId="8" fontId="24" fillId="11" borderId="33" xfId="3" applyNumberFormat="1" applyBorder="1" applyAlignment="1">
      <alignment horizontal="right"/>
    </xf>
    <xf numFmtId="0" fontId="0" fillId="0" borderId="34" xfId="0" applyBorder="1"/>
    <xf numFmtId="164" fontId="0" fillId="0" borderId="13" xfId="0" applyNumberFormat="1" applyBorder="1"/>
    <xf numFmtId="0" fontId="0" fillId="0" borderId="11" xfId="0" applyBorder="1" applyAlignment="1">
      <alignment horizontal="center" vertical="center" wrapText="1"/>
    </xf>
    <xf numFmtId="164" fontId="0" fillId="0" borderId="11" xfId="0" applyNumberFormat="1" applyBorder="1" applyAlignment="1">
      <alignment horizontal="center" vertical="center" wrapText="1"/>
    </xf>
    <xf numFmtId="0" fontId="7" fillId="0" borderId="35" xfId="0" applyFont="1" applyBorder="1"/>
    <xf numFmtId="0" fontId="7" fillId="12" borderId="36" xfId="0" applyFont="1" applyFill="1" applyBorder="1"/>
    <xf numFmtId="0" fontId="7" fillId="12" borderId="23" xfId="0" applyFont="1" applyFill="1" applyBorder="1"/>
    <xf numFmtId="0" fontId="7" fillId="0" borderId="23" xfId="0" applyFont="1" applyBorder="1"/>
    <xf numFmtId="0" fontId="7" fillId="0" borderId="36" xfId="0" applyFont="1" applyBorder="1"/>
    <xf numFmtId="0" fontId="0" fillId="0" borderId="0" xfId="0" applyAlignment="1">
      <alignment wrapText="1"/>
    </xf>
    <xf numFmtId="9" fontId="0" fillId="0" borderId="0" xfId="4" applyFont="1" applyAlignment="1">
      <alignment wrapText="1"/>
    </xf>
    <xf numFmtId="0" fontId="0" fillId="0" borderId="0" xfId="0" applyAlignment="1">
      <alignment horizontal="center" wrapText="1"/>
    </xf>
    <xf numFmtId="9" fontId="0" fillId="0" borderId="0" xfId="4" applyFont="1"/>
    <xf numFmtId="0" fontId="26" fillId="14" borderId="38" xfId="5"/>
    <xf numFmtId="9" fontId="0" fillId="0" borderId="0" xfId="0" applyNumberFormat="1"/>
    <xf numFmtId="0" fontId="23" fillId="10" borderId="0" xfId="2"/>
    <xf numFmtId="9" fontId="24" fillId="11" borderId="0" xfId="4" applyFont="1" applyFill="1"/>
    <xf numFmtId="0" fontId="8" fillId="0" borderId="34" xfId="0" applyFont="1" applyBorder="1" applyAlignment="1">
      <alignment vertical="center"/>
    </xf>
    <xf numFmtId="0" fontId="8" fillId="0" borderId="2" xfId="0" applyFon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37"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vertical="center"/>
    </xf>
    <xf numFmtId="0" fontId="0" fillId="0" borderId="2" xfId="0" applyBorder="1" applyAlignment="1">
      <alignment horizontal="center" vertical="center"/>
    </xf>
    <xf numFmtId="0" fontId="0" fillId="0" borderId="3" xfId="0" applyBorder="1" applyAlignment="1">
      <alignment horizontal="left" vertical="center"/>
    </xf>
    <xf numFmtId="0" fontId="2" fillId="0" borderId="5" xfId="0" applyFont="1" applyBorder="1"/>
    <xf numFmtId="0" fontId="0" fillId="0" borderId="5" xfId="0" applyBorder="1" applyAlignment="1">
      <alignment horizontal="center"/>
    </xf>
    <xf numFmtId="14" fontId="0" fillId="0" borderId="5" xfId="0" applyNumberFormat="1" applyBorder="1"/>
    <xf numFmtId="0" fontId="27" fillId="6" borderId="33" xfId="0" applyFont="1" applyFill="1" applyBorder="1" applyAlignment="1">
      <alignment horizontal="center" vertical="center" wrapText="1"/>
    </xf>
    <xf numFmtId="49" fontId="27" fillId="6" borderId="33" xfId="0" applyNumberFormat="1" applyFont="1" applyFill="1" applyBorder="1" applyAlignment="1">
      <alignment horizontal="center" vertical="center" wrapText="1"/>
    </xf>
    <xf numFmtId="0" fontId="28" fillId="6" borderId="33" xfId="0" applyFont="1" applyFill="1" applyBorder="1" applyAlignment="1">
      <alignment horizontal="center" vertical="center" wrapText="1"/>
    </xf>
    <xf numFmtId="0" fontId="0" fillId="0" borderId="33" xfId="0" applyBorder="1" applyAlignment="1">
      <alignment horizontal="center" vertical="center" wrapText="1"/>
    </xf>
    <xf numFmtId="49" fontId="0" fillId="0" borderId="33" xfId="0" applyNumberFormat="1" applyBorder="1" applyAlignment="1">
      <alignment horizontal="center" vertical="center" wrapText="1"/>
    </xf>
    <xf numFmtId="0" fontId="27" fillId="6" borderId="39" xfId="0" applyFont="1" applyFill="1" applyBorder="1" applyAlignment="1">
      <alignment horizontal="center" vertical="center" wrapText="1"/>
    </xf>
    <xf numFmtId="0" fontId="0" fillId="0" borderId="39" xfId="0" applyBorder="1" applyAlignment="1">
      <alignment horizontal="center" vertical="center" wrapText="1"/>
    </xf>
    <xf numFmtId="2" fontId="0" fillId="0" borderId="0" xfId="0" applyNumberFormat="1"/>
    <xf numFmtId="164" fontId="7" fillId="0" borderId="11" xfId="0" applyNumberFormat="1" applyFont="1" applyBorder="1" applyAlignment="1">
      <alignment vertical="center"/>
    </xf>
    <xf numFmtId="164" fontId="7" fillId="0" borderId="12" xfId="0" applyNumberFormat="1" applyFont="1" applyBorder="1"/>
    <xf numFmtId="164" fontId="7" fillId="12" borderId="13" xfId="0" applyNumberFormat="1" applyFont="1" applyFill="1" applyBorder="1"/>
    <xf numFmtId="164" fontId="7" fillId="12" borderId="11" xfId="0" applyNumberFormat="1" applyFont="1" applyFill="1" applyBorder="1"/>
    <xf numFmtId="0" fontId="0" fillId="0" borderId="5" xfId="0" applyBorder="1" applyAlignment="1">
      <alignment horizontal="left" vertical="top" wrapText="1"/>
    </xf>
    <xf numFmtId="167" fontId="0" fillId="2" borderId="5" xfId="0" applyNumberFormat="1" applyFill="1" applyBorder="1"/>
    <xf numFmtId="49" fontId="0" fillId="0" borderId="5" xfId="0" applyNumberFormat="1" applyBorder="1" applyAlignment="1">
      <alignment wrapText="1"/>
    </xf>
    <xf numFmtId="17" fontId="18" fillId="2" borderId="4" xfId="0" applyNumberFormat="1" applyFont="1" applyFill="1" applyBorder="1"/>
    <xf numFmtId="17" fontId="18" fillId="15" borderId="4" xfId="0" applyNumberFormat="1" applyFont="1" applyFill="1" applyBorder="1"/>
    <xf numFmtId="2" fontId="0" fillId="0" borderId="5" xfId="0" applyNumberFormat="1" applyBorder="1" applyAlignment="1">
      <alignment wrapText="1"/>
    </xf>
    <xf numFmtId="168" fontId="7" fillId="0" borderId="11" xfId="4" applyNumberFormat="1" applyFont="1" applyBorder="1"/>
    <xf numFmtId="168" fontId="7" fillId="12" borderId="13" xfId="4" applyNumberFormat="1" applyFont="1" applyFill="1" applyBorder="1"/>
    <xf numFmtId="168" fontId="7" fillId="12" borderId="11" xfId="4" applyNumberFormat="1" applyFont="1" applyFill="1" applyBorder="1"/>
    <xf numFmtId="17" fontId="7" fillId="0" borderId="15" xfId="0" applyNumberFormat="1" applyFont="1" applyBorder="1"/>
    <xf numFmtId="17" fontId="7" fillId="12" borderId="15" xfId="0" applyNumberFormat="1" applyFont="1" applyFill="1" applyBorder="1"/>
    <xf numFmtId="17" fontId="7" fillId="12" borderId="0" xfId="0" applyNumberFormat="1" applyFont="1" applyFill="1"/>
    <xf numFmtId="164" fontId="7" fillId="0" borderId="11" xfId="0" applyNumberFormat="1" applyFont="1" applyBorder="1" applyAlignment="1">
      <alignment horizontal="right"/>
    </xf>
    <xf numFmtId="169" fontId="7" fillId="0" borderId="11" xfId="6" applyNumberFormat="1" applyFont="1" applyBorder="1"/>
    <xf numFmtId="9" fontId="7" fillId="0" borderId="11" xfId="0" applyNumberFormat="1" applyFont="1" applyBorder="1"/>
    <xf numFmtId="14" fontId="7" fillId="0" borderId="11" xfId="0" applyNumberFormat="1" applyFont="1" applyBorder="1"/>
    <xf numFmtId="2" fontId="7" fillId="12" borderId="13" xfId="0" applyNumberFormat="1" applyFont="1" applyFill="1" applyBorder="1"/>
    <xf numFmtId="164" fontId="7" fillId="12" borderId="11" xfId="0" applyNumberFormat="1" applyFont="1" applyFill="1" applyBorder="1" applyAlignment="1">
      <alignment horizontal="right"/>
    </xf>
    <xf numFmtId="0" fontId="7" fillId="0" borderId="11" xfId="0" applyFont="1" applyBorder="1" applyAlignment="1">
      <alignment horizontal="right"/>
    </xf>
    <xf numFmtId="164" fontId="7" fillId="15" borderId="11" xfId="0" applyNumberFormat="1" applyFont="1" applyFill="1" applyBorder="1"/>
    <xf numFmtId="170" fontId="7" fillId="0" borderId="11" xfId="0" applyNumberFormat="1" applyFont="1" applyBorder="1"/>
    <xf numFmtId="170" fontId="7" fillId="12" borderId="11" xfId="0" applyNumberFormat="1" applyFont="1" applyFill="1" applyBorder="1"/>
    <xf numFmtId="170" fontId="7" fillId="12" borderId="13" xfId="0" applyNumberFormat="1" applyFont="1" applyFill="1" applyBorder="1"/>
    <xf numFmtId="0" fontId="7" fillId="12" borderId="17" xfId="0" applyFont="1" applyFill="1" applyBorder="1"/>
    <xf numFmtId="0" fontId="7" fillId="12" borderId="17" xfId="0" applyFont="1" applyFill="1" applyBorder="1" applyAlignment="1">
      <alignment horizontal="right"/>
    </xf>
    <xf numFmtId="0" fontId="7" fillId="12" borderId="13" xfId="0" applyFont="1" applyFill="1" applyBorder="1" applyAlignment="1">
      <alignment horizontal="right"/>
    </xf>
    <xf numFmtId="164" fontId="7" fillId="12" borderId="13" xfId="0" applyNumberFormat="1" applyFont="1" applyFill="1" applyBorder="1" applyAlignment="1">
      <alignment horizontal="right"/>
    </xf>
    <xf numFmtId="9" fontId="7" fillId="12" borderId="13" xfId="0" applyNumberFormat="1" applyFont="1" applyFill="1" applyBorder="1"/>
    <xf numFmtId="14" fontId="7" fillId="12" borderId="13" xfId="0" applyNumberFormat="1" applyFont="1" applyFill="1" applyBorder="1"/>
    <xf numFmtId="0" fontId="7" fillId="12" borderId="41" xfId="0" applyFont="1" applyFill="1" applyBorder="1"/>
    <xf numFmtId="17" fontId="7" fillId="12" borderId="41" xfId="0" applyNumberFormat="1" applyFont="1" applyFill="1" applyBorder="1"/>
    <xf numFmtId="0" fontId="7" fillId="12" borderId="32" xfId="0" applyFont="1" applyFill="1" applyBorder="1"/>
    <xf numFmtId="0" fontId="7" fillId="12" borderId="32" xfId="0" applyFont="1" applyFill="1" applyBorder="1" applyAlignment="1">
      <alignment horizontal="right"/>
    </xf>
    <xf numFmtId="164" fontId="7" fillId="12" borderId="32" xfId="0" applyNumberFormat="1" applyFont="1" applyFill="1" applyBorder="1" applyAlignment="1">
      <alignment horizontal="right"/>
    </xf>
    <xf numFmtId="164" fontId="7" fillId="12" borderId="32" xfId="0" applyNumberFormat="1" applyFont="1" applyFill="1" applyBorder="1"/>
    <xf numFmtId="170" fontId="7" fillId="12" borderId="32" xfId="0" applyNumberFormat="1" applyFont="1" applyFill="1" applyBorder="1"/>
    <xf numFmtId="169" fontId="7" fillId="12" borderId="32" xfId="6" applyNumberFormat="1" applyFont="1" applyFill="1" applyBorder="1"/>
    <xf numFmtId="9" fontId="7" fillId="12" borderId="32" xfId="0" applyNumberFormat="1" applyFont="1" applyFill="1" applyBorder="1"/>
    <xf numFmtId="14" fontId="7" fillId="12" borderId="32" xfId="0" applyNumberFormat="1" applyFont="1" applyFill="1" applyBorder="1"/>
    <xf numFmtId="0" fontId="7" fillId="0" borderId="42" xfId="0" applyFont="1" applyBorder="1"/>
    <xf numFmtId="0" fontId="7" fillId="15" borderId="42" xfId="0" applyFont="1" applyFill="1" applyBorder="1" applyAlignment="1">
      <alignment horizontal="right"/>
    </xf>
    <xf numFmtId="0" fontId="7" fillId="0" borderId="43" xfId="0" applyFont="1" applyBorder="1"/>
    <xf numFmtId="0" fontId="7" fillId="0" borderId="43" xfId="0" applyFont="1" applyBorder="1" applyAlignment="1">
      <alignment horizontal="right"/>
    </xf>
    <xf numFmtId="164" fontId="7" fillId="15" borderId="43" xfId="0" applyNumberFormat="1" applyFont="1" applyFill="1" applyBorder="1" applyAlignment="1">
      <alignment horizontal="right"/>
    </xf>
    <xf numFmtId="164" fontId="7" fillId="15" borderId="43" xfId="0" applyNumberFormat="1" applyFont="1" applyFill="1" applyBorder="1"/>
    <xf numFmtId="170" fontId="7" fillId="15" borderId="43" xfId="0" applyNumberFormat="1" applyFont="1" applyFill="1" applyBorder="1"/>
    <xf numFmtId="169" fontId="7" fillId="0" borderId="43" xfId="6" applyNumberFormat="1" applyFont="1" applyBorder="1"/>
    <xf numFmtId="9" fontId="7" fillId="0" borderId="43" xfId="0" applyNumberFormat="1" applyFont="1" applyBorder="1"/>
    <xf numFmtId="14" fontId="7" fillId="0" borderId="43" xfId="0" applyNumberFormat="1" applyFont="1" applyBorder="1"/>
    <xf numFmtId="0" fontId="7" fillId="12" borderId="25" xfId="0" applyFont="1" applyFill="1" applyBorder="1"/>
    <xf numFmtId="0" fontId="7" fillId="12" borderId="25" xfId="0" applyFont="1" applyFill="1" applyBorder="1" applyAlignment="1">
      <alignment horizontal="right"/>
    </xf>
    <xf numFmtId="0" fontId="7" fillId="12" borderId="44" xfId="0" applyFont="1" applyFill="1" applyBorder="1"/>
    <xf numFmtId="0" fontId="7" fillId="12" borderId="44" xfId="0" applyFont="1" applyFill="1" applyBorder="1" applyAlignment="1">
      <alignment horizontal="right"/>
    </xf>
    <xf numFmtId="168" fontId="7" fillId="12" borderId="32" xfId="4" applyNumberFormat="1" applyFont="1" applyFill="1" applyBorder="1"/>
    <xf numFmtId="164" fontId="7" fillId="12" borderId="44" xfId="0" applyNumberFormat="1" applyFont="1" applyFill="1" applyBorder="1" applyAlignment="1">
      <alignment horizontal="right"/>
    </xf>
    <xf numFmtId="164" fontId="7" fillId="12" borderId="44" xfId="0" applyNumberFormat="1" applyFont="1" applyFill="1" applyBorder="1"/>
    <xf numFmtId="170" fontId="7" fillId="12" borderId="44" xfId="0" applyNumberFormat="1" applyFont="1" applyFill="1" applyBorder="1"/>
    <xf numFmtId="0" fontId="7" fillId="12" borderId="44" xfId="0" applyFont="1" applyFill="1" applyBorder="1" applyAlignment="1">
      <alignment wrapText="1"/>
    </xf>
    <xf numFmtId="169" fontId="7" fillId="12" borderId="44" xfId="6" applyNumberFormat="1" applyFont="1" applyFill="1" applyBorder="1"/>
    <xf numFmtId="9" fontId="7" fillId="12" borderId="44" xfId="0" applyNumberFormat="1" applyFont="1" applyFill="1" applyBorder="1"/>
    <xf numFmtId="14" fontId="7" fillId="12" borderId="44" xfId="0" applyNumberFormat="1" applyFont="1" applyFill="1" applyBorder="1"/>
    <xf numFmtId="171" fontId="7" fillId="12" borderId="13" xfId="6" applyNumberFormat="1" applyFont="1" applyFill="1" applyBorder="1"/>
    <xf numFmtId="172" fontId="7" fillId="12" borderId="13" xfId="6" applyNumberFormat="1" applyFont="1" applyFill="1" applyBorder="1"/>
    <xf numFmtId="168" fontId="7" fillId="0" borderId="43" xfId="4" applyNumberFormat="1" applyFont="1" applyBorder="1"/>
    <xf numFmtId="164" fontId="7" fillId="0" borderId="43" xfId="0" applyNumberFormat="1" applyFont="1" applyBorder="1" applyAlignment="1">
      <alignment horizontal="right"/>
    </xf>
    <xf numFmtId="164" fontId="7" fillId="0" borderId="43" xfId="0" applyNumberFormat="1" applyFont="1" applyBorder="1"/>
    <xf numFmtId="170" fontId="7" fillId="0" borderId="43" xfId="0" applyNumberFormat="1" applyFont="1" applyBorder="1"/>
    <xf numFmtId="0" fontId="7" fillId="0" borderId="43" xfId="0" applyFont="1" applyBorder="1" applyAlignment="1">
      <alignment wrapText="1"/>
    </xf>
    <xf numFmtId="171" fontId="7" fillId="0" borderId="43" xfId="6" applyNumberFormat="1" applyFont="1" applyBorder="1"/>
    <xf numFmtId="172" fontId="7" fillId="0" borderId="43" xfId="6" applyNumberFormat="1" applyFont="1" applyBorder="1"/>
    <xf numFmtId="0" fontId="7" fillId="12" borderId="46" xfId="0" applyFont="1" applyFill="1" applyBorder="1"/>
    <xf numFmtId="0" fontId="7" fillId="12" borderId="48" xfId="0" applyFont="1" applyFill="1" applyBorder="1"/>
    <xf numFmtId="0" fontId="7" fillId="0" borderId="47" xfId="0" applyFont="1" applyBorder="1"/>
    <xf numFmtId="17" fontId="7" fillId="0" borderId="42" xfId="0" applyNumberFormat="1" applyFont="1" applyBorder="1" applyAlignment="1">
      <alignment horizontal="right"/>
    </xf>
    <xf numFmtId="165" fontId="7" fillId="0" borderId="13" xfId="0" applyNumberFormat="1" applyFont="1" applyBorder="1"/>
    <xf numFmtId="165" fontId="7" fillId="12" borderId="13" xfId="0" applyNumberFormat="1" applyFont="1" applyFill="1" applyBorder="1"/>
    <xf numFmtId="165" fontId="7" fillId="0" borderId="11" xfId="0" applyNumberFormat="1" applyFont="1" applyBorder="1"/>
    <xf numFmtId="0" fontId="7" fillId="0" borderId="32" xfId="0" applyFont="1" applyBorder="1" applyAlignment="1">
      <alignment vertical="center"/>
    </xf>
    <xf numFmtId="0" fontId="7" fillId="0" borderId="32" xfId="0" applyFont="1" applyBorder="1" applyAlignment="1">
      <alignment vertical="center" wrapText="1"/>
    </xf>
    <xf numFmtId="0" fontId="25" fillId="12" borderId="49" xfId="0" applyFont="1" applyFill="1" applyBorder="1" applyAlignment="1">
      <alignment horizontal="center" vertical="center"/>
    </xf>
    <xf numFmtId="0" fontId="7" fillId="0" borderId="41" xfId="0" applyFont="1" applyBorder="1" applyAlignment="1">
      <alignment vertical="center"/>
    </xf>
    <xf numFmtId="0" fontId="7" fillId="0" borderId="22" xfId="0" applyFont="1" applyBorder="1"/>
    <xf numFmtId="0" fontId="7" fillId="0" borderId="50" xfId="0" applyFont="1" applyBorder="1"/>
    <xf numFmtId="0" fontId="7" fillId="12" borderId="51" xfId="0" applyFont="1" applyFill="1" applyBorder="1"/>
    <xf numFmtId="1" fontId="18" fillId="2" borderId="5" xfId="0" applyNumberFormat="1" applyFont="1" applyFill="1" applyBorder="1"/>
    <xf numFmtId="0" fontId="7" fillId="2" borderId="5" xfId="0" applyFont="1" applyFill="1" applyBorder="1"/>
    <xf numFmtId="0" fontId="12" fillId="2" borderId="8" xfId="0" applyFont="1" applyFill="1" applyBorder="1"/>
    <xf numFmtId="0" fontId="12" fillId="0" borderId="20" xfId="0" applyFont="1" applyBorder="1"/>
    <xf numFmtId="0" fontId="12" fillId="2" borderId="4" xfId="0" applyFont="1" applyFill="1" applyBorder="1"/>
    <xf numFmtId="14" fontId="12" fillId="2" borderId="4" xfId="0" applyNumberFormat="1" applyFont="1" applyFill="1" applyBorder="1"/>
    <xf numFmtId="0" fontId="12" fillId="2" borderId="5" xfId="0" applyFont="1" applyFill="1" applyBorder="1"/>
    <xf numFmtId="49" fontId="12" fillId="2" borderId="5" xfId="0" applyNumberFormat="1" applyFont="1" applyFill="1" applyBorder="1"/>
    <xf numFmtId="2" fontId="12" fillId="2" borderId="5" xfId="0" applyNumberFormat="1" applyFont="1" applyFill="1" applyBorder="1"/>
    <xf numFmtId="166" fontId="12" fillId="2" borderId="5" xfId="0" applyNumberFormat="1" applyFont="1" applyFill="1" applyBorder="1"/>
    <xf numFmtId="165" fontId="12" fillId="2" borderId="5" xfId="0" applyNumberFormat="1" applyFont="1" applyFill="1" applyBorder="1"/>
    <xf numFmtId="166" fontId="33" fillId="2" borderId="29" xfId="0" applyNumberFormat="1" applyFont="1" applyFill="1" applyBorder="1"/>
    <xf numFmtId="164" fontId="12" fillId="2" borderId="5" xfId="0" applyNumberFormat="1" applyFont="1" applyFill="1" applyBorder="1"/>
    <xf numFmtId="164" fontId="12" fillId="2" borderId="3" xfId="0" applyNumberFormat="1" applyFont="1" applyFill="1" applyBorder="1"/>
    <xf numFmtId="0" fontId="12" fillId="2" borderId="5" xfId="0" applyFont="1" applyFill="1" applyBorder="1" applyAlignment="1">
      <alignment wrapText="1"/>
    </xf>
    <xf numFmtId="0" fontId="12" fillId="0" borderId="8" xfId="0" applyFont="1" applyBorder="1"/>
    <xf numFmtId="0" fontId="12" fillId="0" borderId="5" xfId="0" applyFont="1" applyBorder="1"/>
    <xf numFmtId="49" fontId="12" fillId="0" borderId="5" xfId="0" applyNumberFormat="1" applyFont="1" applyBorder="1"/>
    <xf numFmtId="2" fontId="12" fillId="0" borderId="5" xfId="0" applyNumberFormat="1" applyFont="1" applyBorder="1"/>
    <xf numFmtId="166" fontId="12" fillId="0" borderId="5" xfId="0" applyNumberFormat="1" applyFont="1" applyBorder="1"/>
    <xf numFmtId="165" fontId="12" fillId="0" borderId="5" xfId="0" applyNumberFormat="1" applyFont="1" applyBorder="1"/>
    <xf numFmtId="166" fontId="33" fillId="0" borderId="29" xfId="0" applyNumberFormat="1" applyFont="1" applyBorder="1"/>
    <xf numFmtId="164" fontId="12" fillId="0" borderId="5" xfId="0" applyNumberFormat="1" applyFont="1" applyBorder="1"/>
    <xf numFmtId="164" fontId="12" fillId="0" borderId="3" xfId="0" applyNumberFormat="1" applyFont="1" applyBorder="1"/>
    <xf numFmtId="0" fontId="12" fillId="0" borderId="5" xfId="0" applyFont="1" applyBorder="1" applyAlignment="1">
      <alignment wrapText="1"/>
    </xf>
    <xf numFmtId="0" fontId="12" fillId="0" borderId="4" xfId="0" applyFont="1" applyBorder="1"/>
    <xf numFmtId="14" fontId="12" fillId="0" borderId="4" xfId="0" applyNumberFormat="1" applyFont="1" applyBorder="1"/>
    <xf numFmtId="0" fontId="5" fillId="0" borderId="5" xfId="0" applyFont="1" applyBorder="1"/>
    <xf numFmtId="14" fontId="7" fillId="12" borderId="15" xfId="0" applyNumberFormat="1" applyFont="1" applyFill="1" applyBorder="1"/>
    <xf numFmtId="14" fontId="7" fillId="0" borderId="15" xfId="0" applyNumberFormat="1" applyFont="1" applyBorder="1"/>
    <xf numFmtId="0" fontId="7" fillId="0" borderId="13" xfId="0" applyFont="1" applyFill="1" applyBorder="1"/>
    <xf numFmtId="0" fontId="7" fillId="0" borderId="43" xfId="0" applyFont="1" applyFill="1" applyBorder="1"/>
    <xf numFmtId="0" fontId="7" fillId="12" borderId="43" xfId="0" applyFont="1" applyFill="1" applyBorder="1"/>
    <xf numFmtId="0" fontId="7" fillId="0" borderId="24" xfId="0" applyFont="1" applyBorder="1"/>
    <xf numFmtId="0" fontId="7" fillId="0" borderId="41" xfId="0" applyFont="1" applyBorder="1"/>
    <xf numFmtId="14" fontId="7" fillId="0" borderId="41" xfId="0" applyNumberFormat="1" applyFont="1" applyBorder="1"/>
    <xf numFmtId="0" fontId="7" fillId="0" borderId="32" xfId="0" applyFont="1" applyBorder="1"/>
    <xf numFmtId="0" fontId="7" fillId="0" borderId="44" xfId="0" applyFont="1" applyFill="1" applyBorder="1"/>
    <xf numFmtId="165" fontId="7" fillId="0" borderId="44" xfId="0" applyNumberFormat="1" applyFont="1" applyBorder="1"/>
    <xf numFmtId="164" fontId="7" fillId="0" borderId="32" xfId="0" applyNumberFormat="1" applyFont="1" applyBorder="1"/>
    <xf numFmtId="0" fontId="7" fillId="0" borderId="32" xfId="0" applyFont="1" applyBorder="1" applyAlignment="1">
      <alignment wrapText="1"/>
    </xf>
    <xf numFmtId="0" fontId="7" fillId="12" borderId="42" xfId="0" applyFont="1" applyFill="1" applyBorder="1"/>
    <xf numFmtId="165" fontId="7" fillId="12" borderId="43" xfId="0" applyNumberFormat="1" applyFont="1" applyFill="1" applyBorder="1"/>
    <xf numFmtId="10" fontId="7" fillId="12" borderId="43" xfId="0" applyNumberFormat="1" applyFont="1" applyFill="1" applyBorder="1"/>
    <xf numFmtId="164" fontId="7" fillId="12" borderId="43" xfId="0" applyNumberFormat="1" applyFont="1" applyFill="1" applyBorder="1"/>
    <xf numFmtId="169" fontId="7" fillId="12" borderId="43" xfId="6" applyNumberFormat="1" applyFont="1" applyFill="1" applyBorder="1"/>
    <xf numFmtId="14" fontId="7" fillId="12" borderId="43" xfId="0" applyNumberFormat="1" applyFont="1" applyFill="1" applyBorder="1"/>
    <xf numFmtId="0" fontId="34" fillId="12" borderId="43" xfId="0" applyFont="1" applyFill="1" applyBorder="1" applyAlignment="1">
      <alignment wrapText="1"/>
    </xf>
    <xf numFmtId="167" fontId="0" fillId="0" borderId="5" xfId="0" applyNumberFormat="1" applyBorder="1"/>
    <xf numFmtId="167" fontId="12" fillId="0" borderId="5" xfId="0" applyNumberFormat="1" applyFont="1" applyBorder="1"/>
    <xf numFmtId="167" fontId="12" fillId="2" borderId="5" xfId="0" applyNumberFormat="1" applyFont="1" applyFill="1" applyBorder="1"/>
    <xf numFmtId="167" fontId="3" fillId="0" borderId="5" xfId="0" applyNumberFormat="1" applyFont="1" applyBorder="1"/>
    <xf numFmtId="0" fontId="0" fillId="0" borderId="0" xfId="0" applyBorder="1" applyAlignment="1">
      <alignment vertical="center"/>
    </xf>
    <xf numFmtId="0" fontId="0" fillId="2" borderId="0" xfId="0" applyFill="1" applyBorder="1" applyAlignment="1">
      <alignment vertical="center"/>
    </xf>
    <xf numFmtId="0" fontId="18" fillId="0" borderId="0" xfId="0" applyFont="1" applyBorder="1" applyAlignment="1">
      <alignment vertical="center"/>
    </xf>
    <xf numFmtId="1" fontId="18" fillId="0" borderId="5" xfId="0" applyNumberFormat="1" applyFont="1" applyBorder="1"/>
    <xf numFmtId="167" fontId="0" fillId="0" borderId="3" xfId="0" applyNumberFormat="1" applyBorder="1"/>
    <xf numFmtId="0" fontId="0" fillId="0" borderId="29" xfId="0" applyBorder="1" applyAlignment="1">
      <alignment vertical="center" wrapText="1"/>
    </xf>
    <xf numFmtId="0" fontId="0" fillId="0" borderId="4" xfId="0" applyFont="1" applyBorder="1"/>
    <xf numFmtId="0" fontId="0" fillId="0" borderId="5" xfId="0" applyFont="1" applyBorder="1"/>
    <xf numFmtId="49" fontId="0" fillId="0" borderId="5" xfId="0" applyNumberFormat="1" applyFont="1" applyBorder="1"/>
    <xf numFmtId="0" fontId="0" fillId="2" borderId="5" xfId="0" applyFont="1" applyFill="1" applyBorder="1"/>
    <xf numFmtId="0" fontId="0" fillId="2" borderId="4" xfId="0" applyFont="1" applyFill="1" applyBorder="1"/>
    <xf numFmtId="0" fontId="0" fillId="0" borderId="5" xfId="0" applyFont="1" applyBorder="1" applyAlignment="1">
      <alignment wrapText="1"/>
    </xf>
    <xf numFmtId="49" fontId="0" fillId="2" borderId="5" xfId="0" applyNumberFormat="1" applyFont="1" applyFill="1" applyBorder="1"/>
    <xf numFmtId="0" fontId="19" fillId="4" borderId="27" xfId="0" applyFont="1" applyFill="1" applyBorder="1"/>
    <xf numFmtId="0" fontId="19" fillId="4" borderId="0" xfId="0" applyFont="1" applyFill="1" applyBorder="1"/>
    <xf numFmtId="0" fontId="19" fillId="4" borderId="28" xfId="0" applyFont="1" applyFill="1" applyBorder="1"/>
    <xf numFmtId="49" fontId="19" fillId="4" borderId="29" xfId="0" applyNumberFormat="1" applyFont="1" applyFill="1" applyBorder="1"/>
    <xf numFmtId="2" fontId="19" fillId="4" borderId="29" xfId="0" applyNumberFormat="1" applyFont="1" applyFill="1" applyBorder="1"/>
    <xf numFmtId="165" fontId="19" fillId="4" borderId="29" xfId="0" applyNumberFormat="1" applyFont="1" applyFill="1" applyBorder="1"/>
    <xf numFmtId="167" fontId="19" fillId="4" borderId="29" xfId="0" applyNumberFormat="1" applyFont="1" applyFill="1" applyBorder="1"/>
    <xf numFmtId="164" fontId="19" fillId="4" borderId="29" xfId="0" applyNumberFormat="1" applyFont="1" applyFill="1" applyBorder="1"/>
    <xf numFmtId="0" fontId="19" fillId="4" borderId="29" xfId="0" applyFont="1" applyFill="1" applyBorder="1" applyAlignment="1">
      <alignment wrapText="1"/>
    </xf>
    <xf numFmtId="0" fontId="0" fillId="2" borderId="8" xfId="0" applyFont="1" applyFill="1" applyBorder="1"/>
    <xf numFmtId="0" fontId="0" fillId="0" borderId="8" xfId="0" applyFont="1" applyBorder="1"/>
    <xf numFmtId="0" fontId="0" fillId="0" borderId="9" xfId="0" applyFont="1" applyBorder="1"/>
    <xf numFmtId="0" fontId="19" fillId="9" borderId="27" xfId="0" applyFont="1" applyFill="1" applyBorder="1"/>
    <xf numFmtId="0" fontId="5" fillId="0" borderId="8" xfId="0" applyFont="1" applyBorder="1"/>
    <xf numFmtId="0" fontId="18" fillId="0" borderId="21" xfId="0" applyFont="1" applyBorder="1"/>
    <xf numFmtId="0" fontId="19" fillId="9" borderId="0" xfId="0" applyFont="1" applyFill="1" applyBorder="1"/>
    <xf numFmtId="0" fontId="18" fillId="0" borderId="6" xfId="0" applyFont="1" applyBorder="1"/>
    <xf numFmtId="0" fontId="19" fillId="9" borderId="28" xfId="0" applyFont="1" applyFill="1" applyBorder="1"/>
    <xf numFmtId="0" fontId="5" fillId="0" borderId="4" xfId="0" applyFont="1" applyBorder="1"/>
    <xf numFmtId="14" fontId="5" fillId="0" borderId="4" xfId="0" applyNumberFormat="1" applyFont="1" applyBorder="1"/>
    <xf numFmtId="49" fontId="18" fillId="0" borderId="7" xfId="0" applyNumberFormat="1" applyFont="1" applyBorder="1"/>
    <xf numFmtId="49" fontId="19" fillId="9" borderId="29" xfId="0" applyNumberFormat="1" applyFont="1" applyFill="1" applyBorder="1"/>
    <xf numFmtId="49" fontId="5" fillId="0" borderId="5" xfId="0" applyNumberFormat="1" applyFont="1" applyBorder="1"/>
    <xf numFmtId="2" fontId="18" fillId="0" borderId="7" xfId="0" applyNumberFormat="1" applyFont="1" applyBorder="1"/>
    <xf numFmtId="2" fontId="19" fillId="9" borderId="29" xfId="0" applyNumberFormat="1" applyFont="1" applyFill="1" applyBorder="1"/>
    <xf numFmtId="2" fontId="5" fillId="0" borderId="5" xfId="0" applyNumberFormat="1" applyFont="1" applyBorder="1"/>
    <xf numFmtId="1" fontId="5" fillId="0" borderId="5" xfId="0" applyNumberFormat="1" applyFont="1" applyBorder="1"/>
    <xf numFmtId="166" fontId="18" fillId="0" borderId="7" xfId="0" applyNumberFormat="1" applyFont="1" applyBorder="1"/>
    <xf numFmtId="166" fontId="5" fillId="0" borderId="5" xfId="0" applyNumberFormat="1" applyFont="1" applyBorder="1"/>
    <xf numFmtId="165" fontId="18" fillId="0" borderId="7" xfId="0" applyNumberFormat="1" applyFont="1" applyBorder="1"/>
    <xf numFmtId="165" fontId="19" fillId="9" borderId="29" xfId="0" applyNumberFormat="1" applyFont="1" applyFill="1" applyBorder="1"/>
    <xf numFmtId="165" fontId="5" fillId="2" borderId="5" xfId="0" applyNumberFormat="1" applyFont="1" applyFill="1" applyBorder="1"/>
    <xf numFmtId="165" fontId="0" fillId="0" borderId="7" xfId="0" applyNumberFormat="1" applyBorder="1"/>
    <xf numFmtId="167" fontId="0" fillId="0" borderId="7" xfId="0" applyNumberFormat="1" applyBorder="1"/>
    <xf numFmtId="167" fontId="19" fillId="9" borderId="29" xfId="0" applyNumberFormat="1" applyFont="1" applyFill="1" applyBorder="1"/>
    <xf numFmtId="167" fontId="5" fillId="2" borderId="5" xfId="0" applyNumberFormat="1" applyFont="1" applyFill="1" applyBorder="1"/>
    <xf numFmtId="165" fontId="18" fillId="6" borderId="7" xfId="0" applyNumberFormat="1" applyFont="1" applyFill="1" applyBorder="1"/>
    <xf numFmtId="165" fontId="5" fillId="0" borderId="5" xfId="0" applyNumberFormat="1" applyFont="1" applyBorder="1"/>
    <xf numFmtId="165" fontId="18" fillId="0" borderId="3" xfId="0" applyNumberFormat="1" applyFont="1" applyBorder="1"/>
    <xf numFmtId="164" fontId="18" fillId="0" borderId="7" xfId="0" applyNumberFormat="1" applyFont="1" applyBorder="1"/>
    <xf numFmtId="164" fontId="5" fillId="0" borderId="3" xfId="0" applyNumberFormat="1" applyFont="1" applyBorder="1"/>
    <xf numFmtId="164" fontId="19" fillId="9" borderId="29" xfId="0" applyNumberFormat="1" applyFont="1" applyFill="1" applyBorder="1"/>
    <xf numFmtId="164" fontId="5" fillId="0" borderId="5" xfId="0" applyNumberFormat="1" applyFont="1" applyBorder="1"/>
    <xf numFmtId="0" fontId="18" fillId="0" borderId="7" xfId="0" applyFont="1" applyBorder="1" applyAlignment="1">
      <alignment wrapText="1"/>
    </xf>
    <xf numFmtId="0" fontId="19" fillId="9" borderId="29" xfId="0" applyFont="1" applyFill="1" applyBorder="1" applyAlignment="1">
      <alignment wrapText="1"/>
    </xf>
    <xf numFmtId="0" fontId="0" fillId="0" borderId="10" xfId="0" applyFont="1" applyBorder="1"/>
    <xf numFmtId="0" fontId="5" fillId="0" borderId="20" xfId="0" applyFont="1" applyBorder="1"/>
    <xf numFmtId="0" fontId="18" fillId="0" borderId="2" xfId="0" applyFont="1" applyBorder="1"/>
    <xf numFmtId="49" fontId="18" fillId="0" borderId="3" xfId="0" applyNumberFormat="1" applyFont="1" applyBorder="1"/>
    <xf numFmtId="2" fontId="18" fillId="0" borderId="3" xfId="0" applyNumberFormat="1" applyFont="1" applyBorder="1"/>
    <xf numFmtId="166" fontId="18" fillId="0" borderId="3" xfId="0" applyNumberFormat="1" applyFont="1" applyBorder="1"/>
    <xf numFmtId="164" fontId="20" fillId="0" borderId="3" xfId="0" applyNumberFormat="1" applyFont="1" applyBorder="1"/>
    <xf numFmtId="0" fontId="18" fillId="0" borderId="3" xfId="0" applyFont="1" applyBorder="1" applyAlignment="1">
      <alignment wrapText="1"/>
    </xf>
    <xf numFmtId="0" fontId="0" fillId="0" borderId="40" xfId="0" applyBorder="1" applyAlignment="1">
      <alignment vertical="center" wrapText="1"/>
    </xf>
    <xf numFmtId="0" fontId="17" fillId="16" borderId="26" xfId="0" applyFont="1" applyFill="1" applyBorder="1" applyAlignment="1">
      <alignment horizontal="left" vertical="center"/>
    </xf>
    <xf numFmtId="1" fontId="0" fillId="0" borderId="5" xfId="0" applyNumberFormat="1" applyFont="1" applyBorder="1"/>
    <xf numFmtId="0" fontId="34" fillId="0" borderId="32" xfId="0" applyFont="1" applyBorder="1" applyAlignment="1">
      <alignment vertical="center"/>
    </xf>
    <xf numFmtId="2" fontId="7" fillId="12" borderId="43" xfId="0" applyNumberFormat="1" applyFont="1" applyFill="1" applyBorder="1" applyAlignment="1">
      <alignment horizontal="right"/>
    </xf>
    <xf numFmtId="2" fontId="7" fillId="0" borderId="13" xfId="0" applyNumberFormat="1" applyFont="1" applyFill="1" applyBorder="1"/>
    <xf numFmtId="164" fontId="7" fillId="12" borderId="43" xfId="0" applyNumberFormat="1" applyFont="1" applyFill="1" applyBorder="1" applyAlignment="1">
      <alignment horizontal="right"/>
    </xf>
    <xf numFmtId="0" fontId="16" fillId="12" borderId="45" xfId="0" applyFont="1" applyFill="1" applyBorder="1"/>
    <xf numFmtId="0" fontId="16" fillId="0" borderId="45" xfId="0" applyFont="1" applyBorder="1"/>
    <xf numFmtId="165" fontId="7" fillId="12" borderId="11" xfId="0" applyNumberFormat="1" applyFont="1" applyFill="1" applyBorder="1"/>
    <xf numFmtId="9" fontId="7" fillId="0" borderId="11" xfId="4" applyFont="1" applyBorder="1"/>
    <xf numFmtId="164" fontId="16" fillId="0" borderId="11" xfId="0" applyNumberFormat="1" applyFont="1" applyBorder="1" applyAlignment="1">
      <alignment horizontal="center"/>
    </xf>
    <xf numFmtId="0" fontId="16" fillId="0" borderId="13" xfId="0" applyFont="1" applyBorder="1"/>
    <xf numFmtId="0" fontId="16" fillId="0" borderId="52" xfId="0" applyFont="1" applyFill="1" applyBorder="1"/>
    <xf numFmtId="0" fontId="16" fillId="0" borderId="15" xfId="0" applyFont="1" applyBorder="1"/>
    <xf numFmtId="14" fontId="16" fillId="0" borderId="41" xfId="0" applyNumberFormat="1" applyFont="1" applyBorder="1"/>
    <xf numFmtId="0" fontId="16" fillId="0" borderId="17" xfId="0" applyFont="1" applyBorder="1"/>
    <xf numFmtId="0" fontId="16" fillId="0" borderId="13" xfId="0" applyFont="1" applyBorder="1" applyAlignment="1">
      <alignment horizontal="right"/>
    </xf>
    <xf numFmtId="165" fontId="16" fillId="0" borderId="13" xfId="0" applyNumberFormat="1" applyFont="1" applyBorder="1"/>
    <xf numFmtId="9" fontId="16" fillId="0" borderId="13" xfId="4" applyFont="1" applyBorder="1"/>
    <xf numFmtId="164" fontId="16" fillId="0" borderId="13" xfId="0" applyNumberFormat="1" applyFont="1" applyBorder="1"/>
    <xf numFmtId="0" fontId="16" fillId="0" borderId="13" xfId="0" applyFont="1" applyBorder="1" applyAlignment="1">
      <alignment wrapText="1"/>
    </xf>
    <xf numFmtId="0" fontId="16" fillId="0" borderId="45" xfId="0" applyFont="1" applyFill="1" applyBorder="1"/>
    <xf numFmtId="165" fontId="16" fillId="0" borderId="13" xfId="0" applyNumberFormat="1" applyFont="1" applyFill="1" applyBorder="1"/>
    <xf numFmtId="164" fontId="7" fillId="0" borderId="43" xfId="0" applyNumberFormat="1" applyFont="1" applyFill="1" applyBorder="1" applyAlignment="1">
      <alignment horizontal="right"/>
    </xf>
    <xf numFmtId="169" fontId="7" fillId="0" borderId="43" xfId="6" applyNumberFormat="1" applyFont="1" applyFill="1" applyBorder="1"/>
    <xf numFmtId="14" fontId="7" fillId="0" borderId="43" xfId="0" applyNumberFormat="1" applyFont="1" applyFill="1" applyBorder="1"/>
    <xf numFmtId="0" fontId="7" fillId="0" borderId="0" xfId="0" applyFont="1" applyBorder="1"/>
    <xf numFmtId="0" fontId="7" fillId="0" borderId="44" xfId="0" applyFont="1" applyBorder="1"/>
    <xf numFmtId="164" fontId="7" fillId="0" borderId="44" xfId="0" applyNumberFormat="1" applyFont="1" applyBorder="1"/>
    <xf numFmtId="0" fontId="7" fillId="0" borderId="44" xfId="0" applyFont="1" applyBorder="1" applyAlignment="1">
      <alignment wrapText="1"/>
    </xf>
    <xf numFmtId="1" fontId="0" fillId="2" borderId="5" xfId="0" applyNumberFormat="1" applyFont="1" applyFill="1" applyBorder="1"/>
    <xf numFmtId="0" fontId="0" fillId="0" borderId="5" xfId="0" applyFont="1" applyBorder="1" applyAlignment="1"/>
    <xf numFmtId="0" fontId="18" fillId="16" borderId="20" xfId="0" applyFont="1" applyFill="1" applyBorder="1" applyAlignment="1">
      <alignment vertical="center"/>
    </xf>
    <xf numFmtId="0" fontId="18" fillId="0" borderId="4" xfId="0" applyFont="1" applyBorder="1" applyAlignment="1">
      <alignment vertical="center"/>
    </xf>
    <xf numFmtId="0" fontId="18" fillId="0" borderId="5" xfId="0" applyFont="1" applyBorder="1" applyAlignment="1">
      <alignment vertical="center"/>
    </xf>
    <xf numFmtId="49" fontId="18" fillId="0" borderId="5" xfId="0" applyNumberFormat="1" applyFont="1" applyBorder="1" applyAlignment="1">
      <alignment vertical="center"/>
    </xf>
    <xf numFmtId="2" fontId="18" fillId="0" borderId="5" xfId="0" applyNumberFormat="1" applyFont="1" applyBorder="1" applyAlignment="1">
      <alignment vertical="center"/>
    </xf>
    <xf numFmtId="0" fontId="0" fillId="0" borderId="5" xfId="0" applyFont="1" applyBorder="1" applyAlignment="1">
      <alignment vertical="center" wrapText="1"/>
    </xf>
    <xf numFmtId="166" fontId="18" fillId="0" borderId="5" xfId="0" applyNumberFormat="1" applyFont="1" applyBorder="1" applyAlignment="1">
      <alignment vertical="center"/>
    </xf>
    <xf numFmtId="0" fontId="0" fillId="0" borderId="5" xfId="0" applyBorder="1" applyAlignment="1">
      <alignment vertical="center"/>
    </xf>
    <xf numFmtId="165" fontId="18" fillId="0" borderId="5" xfId="0" applyNumberFormat="1" applyFont="1" applyBorder="1" applyAlignment="1">
      <alignment vertical="center" wrapText="1"/>
    </xf>
    <xf numFmtId="165" fontId="0" fillId="0" borderId="5" xfId="0" applyNumberFormat="1" applyFont="1" applyBorder="1" applyAlignment="1">
      <alignment vertical="center" wrapText="1"/>
    </xf>
    <xf numFmtId="167" fontId="0" fillId="0" borderId="5" xfId="0" applyNumberFormat="1" applyBorder="1" applyAlignment="1">
      <alignment horizontal="left" vertical="center" wrapText="1"/>
    </xf>
    <xf numFmtId="167" fontId="0" fillId="0" borderId="5" xfId="0" applyNumberFormat="1" applyBorder="1" applyAlignment="1">
      <alignment vertical="center" wrapText="1"/>
    </xf>
    <xf numFmtId="166" fontId="19" fillId="0" borderId="5" xfId="0" applyNumberFormat="1" applyFont="1" applyBorder="1" applyAlignment="1">
      <alignment vertical="center" wrapText="1"/>
    </xf>
    <xf numFmtId="165" fontId="18" fillId="6" borderId="5" xfId="0" applyNumberFormat="1" applyFont="1" applyFill="1" applyBorder="1" applyAlignment="1">
      <alignment vertical="center"/>
    </xf>
    <xf numFmtId="164" fontId="18" fillId="0" borderId="5" xfId="0" applyNumberFormat="1" applyFont="1" applyBorder="1" applyAlignment="1">
      <alignment vertical="center"/>
    </xf>
    <xf numFmtId="0" fontId="18" fillId="0" borderId="5" xfId="0" applyFont="1" applyBorder="1" applyAlignment="1">
      <alignment vertical="center" wrapText="1"/>
    </xf>
    <xf numFmtId="2" fontId="7" fillId="12" borderId="11" xfId="0" applyNumberFormat="1" applyFont="1" applyFill="1" applyBorder="1"/>
    <xf numFmtId="0" fontId="7" fillId="12" borderId="11" xfId="0" applyFont="1" applyFill="1" applyBorder="1" applyAlignment="1">
      <alignment horizontal="right"/>
    </xf>
    <xf numFmtId="0" fontId="0" fillId="2" borderId="5" xfId="0" applyFont="1" applyFill="1" applyBorder="1" applyAlignment="1">
      <alignment wrapText="1"/>
    </xf>
    <xf numFmtId="166" fontId="19" fillId="2" borderId="29" xfId="0" applyNumberFormat="1" applyFont="1" applyFill="1" applyBorder="1" applyAlignment="1">
      <alignment vertical="center"/>
    </xf>
    <xf numFmtId="166" fontId="19" fillId="0" borderId="29" xfId="0" applyNumberFormat="1" applyFont="1" applyBorder="1" applyAlignment="1">
      <alignment vertical="center"/>
    </xf>
    <xf numFmtId="0" fontId="4" fillId="2" borderId="8" xfId="0" applyFont="1" applyFill="1" applyBorder="1" applyAlignment="1">
      <alignment horizontal="center" vertical="center"/>
    </xf>
    <xf numFmtId="0" fontId="4" fillId="0" borderId="8" xfId="0" applyFont="1" applyBorder="1" applyAlignment="1">
      <alignment horizontal="center" vertical="center"/>
    </xf>
    <xf numFmtId="0" fontId="0" fillId="0" borderId="4" xfId="0" applyFont="1" applyBorder="1" applyAlignment="1">
      <alignment vertical="center" wrapText="1"/>
    </xf>
    <xf numFmtId="2" fontId="0" fillId="0" borderId="5" xfId="0" applyNumberFormat="1" applyFont="1" applyBorder="1" applyAlignment="1">
      <alignment vertical="center" wrapText="1"/>
    </xf>
    <xf numFmtId="167" fontId="0" fillId="0" borderId="5" xfId="0" applyNumberFormat="1" applyFont="1" applyBorder="1" applyAlignment="1">
      <alignment horizontal="left" vertical="center" wrapText="1"/>
    </xf>
    <xf numFmtId="167" fontId="0" fillId="0" borderId="5" xfId="0" applyNumberFormat="1" applyFont="1" applyBorder="1" applyAlignment="1">
      <alignment vertical="center" wrapText="1"/>
    </xf>
    <xf numFmtId="164" fontId="0" fillId="0" borderId="5" xfId="0" applyNumberFormat="1" applyFont="1" applyBorder="1" applyAlignment="1">
      <alignment vertical="center" wrapText="1"/>
    </xf>
    <xf numFmtId="0" fontId="0" fillId="0" borderId="21" xfId="0" applyFont="1" applyBorder="1"/>
    <xf numFmtId="0" fontId="0" fillId="0" borderId="6" xfId="0" applyFont="1" applyBorder="1"/>
    <xf numFmtId="0" fontId="0" fillId="0" borderId="7" xfId="0" applyFont="1" applyBorder="1"/>
    <xf numFmtId="2" fontId="0" fillId="0" borderId="7" xfId="0" applyNumberFormat="1" applyFont="1" applyBorder="1"/>
    <xf numFmtId="165" fontId="0" fillId="0" borderId="7" xfId="0" applyNumberFormat="1" applyFont="1" applyBorder="1"/>
    <xf numFmtId="167" fontId="0" fillId="0" borderId="7" xfId="0" applyNumberFormat="1" applyFont="1" applyBorder="1"/>
    <xf numFmtId="166" fontId="0" fillId="0" borderId="7" xfId="0" applyNumberFormat="1" applyFont="1" applyBorder="1"/>
    <xf numFmtId="164" fontId="0" fillId="0" borderId="7" xfId="0" applyNumberFormat="1" applyFont="1" applyBorder="1"/>
    <xf numFmtId="0" fontId="0" fillId="0" borderId="7" xfId="0" applyFont="1" applyBorder="1" applyAlignment="1">
      <alignment wrapText="1"/>
    </xf>
    <xf numFmtId="0" fontId="0" fillId="0" borderId="20" xfId="0" applyFont="1" applyBorder="1" applyAlignment="1">
      <alignment vertical="center"/>
    </xf>
    <xf numFmtId="0" fontId="0" fillId="2" borderId="4" xfId="0" applyFont="1" applyFill="1" applyBorder="1" applyAlignment="1">
      <alignment vertical="center"/>
    </xf>
    <xf numFmtId="14" fontId="0" fillId="2" borderId="4" xfId="0" applyNumberFormat="1" applyFont="1" applyFill="1" applyBorder="1" applyAlignment="1">
      <alignment vertical="center"/>
    </xf>
    <xf numFmtId="0" fontId="0" fillId="2" borderId="5" xfId="0" applyFont="1" applyFill="1" applyBorder="1" applyAlignment="1">
      <alignment vertical="center"/>
    </xf>
    <xf numFmtId="2" fontId="0" fillId="2" borderId="5" xfId="0" applyNumberFormat="1" applyFont="1" applyFill="1" applyBorder="1" applyAlignment="1">
      <alignment vertical="center"/>
    </xf>
    <xf numFmtId="165" fontId="0" fillId="2" borderId="5" xfId="0" applyNumberFormat="1" applyFont="1" applyFill="1" applyBorder="1" applyAlignment="1">
      <alignment vertical="center"/>
    </xf>
    <xf numFmtId="167" fontId="0" fillId="2" borderId="5" xfId="0" applyNumberFormat="1" applyFont="1" applyFill="1" applyBorder="1" applyAlignment="1">
      <alignment vertical="center"/>
    </xf>
    <xf numFmtId="164" fontId="0" fillId="2" borderId="5" xfId="0" applyNumberFormat="1" applyFont="1" applyFill="1" applyBorder="1" applyAlignment="1">
      <alignment vertical="center"/>
    </xf>
    <xf numFmtId="0" fontId="0" fillId="2" borderId="5" xfId="0" applyFont="1" applyFill="1" applyBorder="1" applyAlignment="1">
      <alignment vertical="center" wrapText="1"/>
    </xf>
    <xf numFmtId="0" fontId="0" fillId="0" borderId="4" xfId="0" applyFont="1" applyBorder="1" applyAlignment="1">
      <alignment vertical="center"/>
    </xf>
    <xf numFmtId="14" fontId="0" fillId="0" borderId="4" xfId="0" applyNumberFormat="1" applyFont="1" applyBorder="1" applyAlignment="1">
      <alignment vertical="center"/>
    </xf>
    <xf numFmtId="0" fontId="0" fillId="0" borderId="5" xfId="0" applyFont="1" applyBorder="1" applyAlignment="1">
      <alignment vertical="center"/>
    </xf>
    <xf numFmtId="2" fontId="0" fillId="0" borderId="5" xfId="0" applyNumberFormat="1" applyFont="1" applyBorder="1" applyAlignment="1">
      <alignment vertical="center"/>
    </xf>
    <xf numFmtId="165" fontId="0" fillId="0" borderId="5" xfId="0" applyNumberFormat="1" applyFont="1" applyBorder="1" applyAlignment="1">
      <alignment vertical="center"/>
    </xf>
    <xf numFmtId="167" fontId="0" fillId="0" borderId="5" xfId="0" applyNumberFormat="1" applyFont="1" applyBorder="1" applyAlignment="1">
      <alignment vertical="center"/>
    </xf>
    <xf numFmtId="164" fontId="0" fillId="0" borderId="5" xfId="0" applyNumberFormat="1" applyFont="1" applyBorder="1" applyAlignment="1">
      <alignment vertical="center"/>
    </xf>
    <xf numFmtId="0" fontId="0" fillId="2" borderId="20" xfId="0" applyFont="1" applyFill="1" applyBorder="1" applyAlignment="1">
      <alignment vertical="center"/>
    </xf>
    <xf numFmtId="0" fontId="0" fillId="0" borderId="0" xfId="0" applyFont="1"/>
    <xf numFmtId="0" fontId="0" fillId="0" borderId="0" xfId="0" applyFont="1" applyAlignment="1">
      <alignment wrapText="1"/>
    </xf>
    <xf numFmtId="1" fontId="0" fillId="0" borderId="0" xfId="0" applyNumberFormat="1" applyFont="1"/>
    <xf numFmtId="0" fontId="0" fillId="0" borderId="1" xfId="0" applyFont="1" applyBorder="1" applyAlignment="1">
      <alignment wrapText="1"/>
    </xf>
    <xf numFmtId="0" fontId="0" fillId="0" borderId="5" xfId="0" applyFont="1" applyFill="1" applyBorder="1"/>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0" fillId="0" borderId="37" xfId="0" applyBorder="1" applyAlignment="1">
      <alignment horizontal="left" vertical="center"/>
    </xf>
    <xf numFmtId="0" fontId="0" fillId="0" borderId="2" xfId="0" applyBorder="1" applyAlignment="1">
      <alignment horizontal="left" vertical="center"/>
    </xf>
    <xf numFmtId="0" fontId="0" fillId="0" borderId="37" xfId="0" applyBorder="1" applyAlignment="1">
      <alignment horizontal="center" vertical="center"/>
    </xf>
    <xf numFmtId="0" fontId="0" fillId="0" borderId="2" xfId="0" applyBorder="1" applyAlignment="1">
      <alignment horizontal="center" vertical="center"/>
    </xf>
    <xf numFmtId="0" fontId="8" fillId="3" borderId="24" xfId="0" applyFont="1" applyFill="1" applyBorder="1" applyAlignment="1">
      <alignment horizontal="center"/>
    </xf>
    <xf numFmtId="0" fontId="8" fillId="3" borderId="0" xfId="0" applyFont="1" applyFill="1" applyAlignment="1">
      <alignment horizontal="center"/>
    </xf>
    <xf numFmtId="0" fontId="36" fillId="0" borderId="34" xfId="0" applyFont="1" applyBorder="1" applyAlignment="1">
      <alignment horizontal="center" vertical="center" wrapText="1"/>
    </xf>
  </cellXfs>
  <cellStyles count="7">
    <cellStyle name="Bad" xfId="3" builtinId="27"/>
    <cellStyle name="Calculation" xfId="5" builtinId="22"/>
    <cellStyle name="Currency" xfId="6" builtinId="4"/>
    <cellStyle name="Good" xfId="2" builtinId="26"/>
    <cellStyle name="Hyperlink" xfId="1" builtinId="8"/>
    <cellStyle name="Normal" xfId="0" builtinId="0"/>
    <cellStyle name="Percent" xfId="4" builtinId="5"/>
  </cellStyles>
  <dxfs count="24">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mruColors>
      <color rgb="FFF9C3C4"/>
      <color rgb="FF51F5FD"/>
      <color rgb="FF15FF7F"/>
      <color rgb="FF4F1E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How UTS varies with speed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[1]Sheet1!$I$2</c:f>
              <c:strCache>
                <c:ptCount val="1"/>
                <c:pt idx="0">
                  <c:v>45</c:v>
                </c:pt>
              </c:strCache>
            </c:strRef>
          </c:tx>
          <c:spPr>
            <a:ln w="22225" cap="rnd" cmpd="sng" algn="ctr">
              <a:solidFill>
                <a:schemeClr val="accent1"/>
              </a:solidFill>
              <a:round/>
            </a:ln>
            <a:effectLst/>
          </c:spPr>
          <c:marker>
            <c:symbol val="none"/>
          </c:marker>
          <c:errBars>
            <c:errDir val="y"/>
            <c:errBarType val="both"/>
            <c:errValType val="stdErr"/>
            <c:noEndCap val="0"/>
            <c:spPr>
              <a:noFill/>
              <a:ln w="9525">
                <a:solidFill>
                  <a:schemeClr val="dk1">
                    <a:lumMod val="65000"/>
                    <a:lumOff val="35000"/>
                  </a:schemeClr>
                </a:solidFill>
              </a:ln>
              <a:effectLst/>
            </c:spPr>
          </c:errBars>
          <c:cat>
            <c:numRef>
              <c:f>[1]Sheet1!$H$3:$H$7</c:f>
              <c:numCache>
                <c:formatCode>General</c:formatCode>
                <c:ptCount val="5"/>
                <c:pt idx="0">
                  <c:v>200</c:v>
                </c:pt>
                <c:pt idx="1">
                  <c:v>400</c:v>
                </c:pt>
                <c:pt idx="2">
                  <c:v>600</c:v>
                </c:pt>
                <c:pt idx="3">
                  <c:v>800</c:v>
                </c:pt>
                <c:pt idx="4">
                  <c:v>1000</c:v>
                </c:pt>
              </c:numCache>
            </c:numRef>
          </c:cat>
          <c:val>
            <c:numRef>
              <c:f>[1]Sheet1!$I$3:$I$7</c:f>
              <c:numCache>
                <c:formatCode>General</c:formatCode>
                <c:ptCount val="5"/>
                <c:pt idx="0">
                  <c:v>2.5032666666666668</c:v>
                </c:pt>
                <c:pt idx="1">
                  <c:v>3.2329666666666665</c:v>
                </c:pt>
                <c:pt idx="2">
                  <c:v>3.6484000000000001</c:v>
                </c:pt>
                <c:pt idx="3">
                  <c:v>3.1846666666666668</c:v>
                </c:pt>
                <c:pt idx="4">
                  <c:v>3.0479000000000003</c:v>
                </c:pt>
              </c:numCache>
            </c:numRef>
          </c:val>
          <c:smooth val="0"/>
          <c:extLst>
            <c:ext xmlns:c16="http://schemas.microsoft.com/office/drawing/2014/chart" uri="{C3380CC4-5D6E-409C-BE32-E72D297353CC}">
              <c16:uniqueId val="{00000000-9789-4C64-95A4-9B6A55E54FB3}"/>
            </c:ext>
          </c:extLst>
        </c:ser>
        <c:ser>
          <c:idx val="1"/>
          <c:order val="1"/>
          <c:tx>
            <c:strRef>
              <c:f>[1]Sheet1!$J$2</c:f>
              <c:strCache>
                <c:ptCount val="1"/>
                <c:pt idx="0">
                  <c:v>75</c:v>
                </c:pt>
              </c:strCache>
            </c:strRef>
          </c:tx>
          <c:spPr>
            <a:ln w="22225" cap="rnd" cmpd="sng" algn="ctr">
              <a:solidFill>
                <a:schemeClr val="accent2"/>
              </a:solidFill>
              <a:round/>
            </a:ln>
            <a:effectLst/>
          </c:spPr>
          <c:marker>
            <c:symbol val="none"/>
          </c:marker>
          <c:errBars>
            <c:errDir val="y"/>
            <c:errBarType val="both"/>
            <c:errValType val="stdErr"/>
            <c:noEndCap val="0"/>
            <c:spPr>
              <a:noFill/>
              <a:ln w="9525">
                <a:solidFill>
                  <a:schemeClr val="dk1">
                    <a:lumMod val="65000"/>
                    <a:lumOff val="35000"/>
                  </a:schemeClr>
                </a:solidFill>
              </a:ln>
              <a:effectLst/>
            </c:spPr>
          </c:errBars>
          <c:cat>
            <c:numRef>
              <c:f>[1]Sheet1!$H$3:$H$7</c:f>
              <c:numCache>
                <c:formatCode>General</c:formatCode>
                <c:ptCount val="5"/>
                <c:pt idx="0">
                  <c:v>200</c:v>
                </c:pt>
                <c:pt idx="1">
                  <c:v>400</c:v>
                </c:pt>
                <c:pt idx="2">
                  <c:v>600</c:v>
                </c:pt>
                <c:pt idx="3">
                  <c:v>800</c:v>
                </c:pt>
                <c:pt idx="4">
                  <c:v>1000</c:v>
                </c:pt>
              </c:numCache>
            </c:numRef>
          </c:cat>
          <c:val>
            <c:numRef>
              <c:f>[1]Sheet1!$J$3:$J$7</c:f>
              <c:numCache>
                <c:formatCode>General</c:formatCode>
                <c:ptCount val="5"/>
                <c:pt idx="0">
                  <c:v>3.2067999999999999</c:v>
                </c:pt>
                <c:pt idx="1">
                  <c:v>4.4976999999999991</c:v>
                </c:pt>
                <c:pt idx="2">
                  <c:v>3.6034666666666673</c:v>
                </c:pt>
                <c:pt idx="3">
                  <c:v>2.7160666666666664</c:v>
                </c:pt>
                <c:pt idx="4">
                  <c:v>2.7721666666666671</c:v>
                </c:pt>
              </c:numCache>
            </c:numRef>
          </c:val>
          <c:smooth val="0"/>
          <c:extLst>
            <c:ext xmlns:c16="http://schemas.microsoft.com/office/drawing/2014/chart" uri="{C3380CC4-5D6E-409C-BE32-E72D297353CC}">
              <c16:uniqueId val="{00000001-9789-4C64-95A4-9B6A55E54FB3}"/>
            </c:ext>
          </c:extLst>
        </c:ser>
        <c:ser>
          <c:idx val="2"/>
          <c:order val="2"/>
          <c:tx>
            <c:strRef>
              <c:f>[1]Sheet1!$K$2</c:f>
              <c:strCache>
                <c:ptCount val="1"/>
                <c:pt idx="0">
                  <c:v>110</c:v>
                </c:pt>
              </c:strCache>
            </c:strRef>
          </c:tx>
          <c:spPr>
            <a:ln w="22225" cap="rnd" cmpd="sng" algn="ctr">
              <a:solidFill>
                <a:schemeClr val="accent3"/>
              </a:solidFill>
              <a:round/>
            </a:ln>
            <a:effectLst/>
          </c:spPr>
          <c:marker>
            <c:symbol val="none"/>
          </c:marker>
          <c:errBars>
            <c:errDir val="y"/>
            <c:errBarType val="both"/>
            <c:errValType val="stdErr"/>
            <c:noEndCap val="0"/>
            <c:spPr>
              <a:noFill/>
              <a:ln w="9525">
                <a:solidFill>
                  <a:schemeClr val="dk1">
                    <a:lumMod val="65000"/>
                    <a:lumOff val="35000"/>
                  </a:schemeClr>
                </a:solidFill>
              </a:ln>
              <a:effectLst/>
            </c:spPr>
          </c:errBars>
          <c:cat>
            <c:numRef>
              <c:f>[1]Sheet1!$H$3:$H$7</c:f>
              <c:numCache>
                <c:formatCode>General</c:formatCode>
                <c:ptCount val="5"/>
                <c:pt idx="0">
                  <c:v>200</c:v>
                </c:pt>
                <c:pt idx="1">
                  <c:v>400</c:v>
                </c:pt>
                <c:pt idx="2">
                  <c:v>600</c:v>
                </c:pt>
                <c:pt idx="3">
                  <c:v>800</c:v>
                </c:pt>
                <c:pt idx="4">
                  <c:v>1000</c:v>
                </c:pt>
              </c:numCache>
            </c:numRef>
          </c:cat>
          <c:val>
            <c:numRef>
              <c:f>[1]Sheet1!$K$3:$K$7</c:f>
              <c:numCache>
                <c:formatCode>General</c:formatCode>
                <c:ptCount val="5"/>
                <c:pt idx="0">
                  <c:v>3.837333333333333</c:v>
                </c:pt>
                <c:pt idx="1">
                  <c:v>4.5179666666666662</c:v>
                </c:pt>
                <c:pt idx="2">
                  <c:v>4.1548666666666669</c:v>
                </c:pt>
                <c:pt idx="3">
                  <c:v>3.3667666666666669</c:v>
                </c:pt>
                <c:pt idx="4">
                  <c:v>3.5436000000000001</c:v>
                </c:pt>
              </c:numCache>
            </c:numRef>
          </c:val>
          <c:smooth val="0"/>
          <c:extLst>
            <c:ext xmlns:c16="http://schemas.microsoft.com/office/drawing/2014/chart" uri="{C3380CC4-5D6E-409C-BE32-E72D297353CC}">
              <c16:uniqueId val="{00000002-9789-4C64-95A4-9B6A55E54FB3}"/>
            </c:ext>
          </c:extLst>
        </c:ser>
        <c:ser>
          <c:idx val="3"/>
          <c:order val="3"/>
          <c:tx>
            <c:strRef>
              <c:f>[1]Sheet1!$L$2</c:f>
              <c:strCache>
                <c:ptCount val="1"/>
                <c:pt idx="0">
                  <c:v>150</c:v>
                </c:pt>
              </c:strCache>
            </c:strRef>
          </c:tx>
          <c:spPr>
            <a:ln w="22225" cap="rnd" cmpd="sng" algn="ctr">
              <a:solidFill>
                <a:schemeClr val="accent4"/>
              </a:solidFill>
              <a:round/>
            </a:ln>
            <a:effectLst/>
          </c:spPr>
          <c:marker>
            <c:symbol val="none"/>
          </c:marker>
          <c:errBars>
            <c:errDir val="y"/>
            <c:errBarType val="both"/>
            <c:errValType val="stdErr"/>
            <c:noEndCap val="0"/>
            <c:spPr>
              <a:noFill/>
              <a:ln w="9525">
                <a:solidFill>
                  <a:schemeClr val="dk1">
                    <a:lumMod val="65000"/>
                    <a:lumOff val="35000"/>
                  </a:schemeClr>
                </a:solidFill>
              </a:ln>
              <a:effectLst/>
            </c:spPr>
          </c:errBars>
          <c:cat>
            <c:numRef>
              <c:f>[1]Sheet1!$H$3:$H$7</c:f>
              <c:numCache>
                <c:formatCode>General</c:formatCode>
                <c:ptCount val="5"/>
                <c:pt idx="0">
                  <c:v>200</c:v>
                </c:pt>
                <c:pt idx="1">
                  <c:v>400</c:v>
                </c:pt>
                <c:pt idx="2">
                  <c:v>600</c:v>
                </c:pt>
                <c:pt idx="3">
                  <c:v>800</c:v>
                </c:pt>
                <c:pt idx="4">
                  <c:v>1000</c:v>
                </c:pt>
              </c:numCache>
            </c:numRef>
          </c:cat>
          <c:val>
            <c:numRef>
              <c:f>[1]Sheet1!$L$3:$L$7</c:f>
              <c:numCache>
                <c:formatCode>General</c:formatCode>
                <c:ptCount val="5"/>
                <c:pt idx="0">
                  <c:v>5.5411999999999999</c:v>
                </c:pt>
                <c:pt idx="1">
                  <c:v>5.1703333333333328</c:v>
                </c:pt>
                <c:pt idx="2">
                  <c:v>4.3536000000000001</c:v>
                </c:pt>
                <c:pt idx="3">
                  <c:v>4.3409000000000004</c:v>
                </c:pt>
                <c:pt idx="4">
                  <c:v>4.3281999999999998</c:v>
                </c:pt>
              </c:numCache>
            </c:numRef>
          </c:val>
          <c:smooth val="0"/>
          <c:extLst>
            <c:ext xmlns:c16="http://schemas.microsoft.com/office/drawing/2014/chart" uri="{C3380CC4-5D6E-409C-BE32-E72D297353CC}">
              <c16:uniqueId val="{00000003-9789-4C64-95A4-9B6A55E54FB3}"/>
            </c:ext>
          </c:extLst>
        </c:ser>
        <c:ser>
          <c:idx val="4"/>
          <c:order val="4"/>
          <c:tx>
            <c:strRef>
              <c:f>'Joints Trends'!$M$2</c:f>
              <c:strCache>
                <c:ptCount val="1"/>
                <c:pt idx="0">
                  <c:v>170</c:v>
                </c:pt>
              </c:strCache>
            </c:strRef>
          </c:tx>
          <c:spPr>
            <a:ln w="22225" cap="rnd" cmpd="sng" algn="ctr">
              <a:solidFill>
                <a:schemeClr val="accent5"/>
              </a:solidFill>
              <a:round/>
            </a:ln>
            <a:effectLst/>
          </c:spPr>
          <c:marker>
            <c:symbol val="none"/>
          </c:marker>
          <c:val>
            <c:numRef>
              <c:f>'Joints Trends'!$M$3:$M$7</c:f>
              <c:numCache>
                <c:formatCode>0.00</c:formatCode>
                <c:ptCount val="5"/>
                <c:pt idx="0">
                  <c:v>4.4672999999999998</c:v>
                </c:pt>
                <c:pt idx="1">
                  <c:v>3.8102666666666667</c:v>
                </c:pt>
                <c:pt idx="2">
                  <c:v>4.1620333333333335</c:v>
                </c:pt>
                <c:pt idx="3">
                  <c:v>3.9698666666666664</c:v>
                </c:pt>
                <c:pt idx="4">
                  <c:v>2.8250666666666668</c:v>
                </c:pt>
              </c:numCache>
            </c:numRef>
          </c:val>
          <c:smooth val="0"/>
          <c:extLst>
            <c:ext xmlns:c16="http://schemas.microsoft.com/office/drawing/2014/chart" uri="{C3380CC4-5D6E-409C-BE32-E72D297353CC}">
              <c16:uniqueId val="{00000000-F015-4EAB-9950-F20D319CB4D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63621663"/>
        <c:axId val="81727631"/>
      </c:lineChart>
      <c:catAx>
        <c:axId val="2636216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Speed (mm/min)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727631"/>
        <c:crosses val="autoZero"/>
        <c:auto val="1"/>
        <c:lblAlgn val="ctr"/>
        <c:lblOffset val="100"/>
        <c:noMultiLvlLbl val="0"/>
      </c:catAx>
      <c:valAx>
        <c:axId val="81727631"/>
        <c:scaling>
          <c:orientation val="minMax"/>
          <c:max val="6"/>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UTS (kN)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36216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 Variance</a:t>
            </a:r>
            <a:r>
              <a:rPr lang="en-GB" baseline="0"/>
              <a:t> in Samples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[1]Sheet1!$I$25</c:f>
              <c:strCache>
                <c:ptCount val="1"/>
                <c:pt idx="0">
                  <c:v>45</c:v>
                </c:pt>
              </c:strCache>
            </c:strRef>
          </c:tx>
          <c:spPr>
            <a:solidFill>
              <a:schemeClr val="accent1"/>
            </a:solidFill>
            <a:ln>
              <a:noFill/>
            </a:ln>
            <a:effectLst/>
          </c:spPr>
          <c:invertIfNegative val="0"/>
          <c:cat>
            <c:numRef>
              <c:f>[1]Sheet1!$H$26:$H$30</c:f>
              <c:numCache>
                <c:formatCode>General</c:formatCode>
                <c:ptCount val="5"/>
                <c:pt idx="0">
                  <c:v>200</c:v>
                </c:pt>
                <c:pt idx="1">
                  <c:v>400</c:v>
                </c:pt>
                <c:pt idx="2">
                  <c:v>600</c:v>
                </c:pt>
                <c:pt idx="3">
                  <c:v>800</c:v>
                </c:pt>
                <c:pt idx="4">
                  <c:v>1000</c:v>
                </c:pt>
              </c:numCache>
            </c:numRef>
          </c:cat>
          <c:val>
            <c:numRef>
              <c:f>[1]Sheet1!$I$26:$I$30</c:f>
              <c:numCache>
                <c:formatCode>General</c:formatCode>
                <c:ptCount val="5"/>
                <c:pt idx="0">
                  <c:v>5.9482276492050311E-2</c:v>
                </c:pt>
                <c:pt idx="1">
                  <c:v>5.8924207899864835E-2</c:v>
                </c:pt>
                <c:pt idx="2">
                  <c:v>0.17635127727222885</c:v>
                </c:pt>
                <c:pt idx="3">
                  <c:v>0.15800711743772231</c:v>
                </c:pt>
                <c:pt idx="4">
                  <c:v>0.31736605531677553</c:v>
                </c:pt>
              </c:numCache>
            </c:numRef>
          </c:val>
          <c:extLst>
            <c:ext xmlns:c16="http://schemas.microsoft.com/office/drawing/2014/chart" uri="{C3380CC4-5D6E-409C-BE32-E72D297353CC}">
              <c16:uniqueId val="{00000000-41A5-4A28-85E0-816933BC015F}"/>
            </c:ext>
          </c:extLst>
        </c:ser>
        <c:ser>
          <c:idx val="1"/>
          <c:order val="1"/>
          <c:tx>
            <c:strRef>
              <c:f>[1]Sheet1!$J$25</c:f>
              <c:strCache>
                <c:ptCount val="1"/>
                <c:pt idx="0">
                  <c:v>75</c:v>
                </c:pt>
              </c:strCache>
            </c:strRef>
          </c:tx>
          <c:spPr>
            <a:solidFill>
              <a:schemeClr val="accent2"/>
            </a:solidFill>
            <a:ln>
              <a:noFill/>
            </a:ln>
            <a:effectLst/>
          </c:spPr>
          <c:invertIfNegative val="0"/>
          <c:cat>
            <c:numRef>
              <c:f>[1]Sheet1!$H$26:$H$30</c:f>
              <c:numCache>
                <c:formatCode>General</c:formatCode>
                <c:ptCount val="5"/>
                <c:pt idx="0">
                  <c:v>200</c:v>
                </c:pt>
                <c:pt idx="1">
                  <c:v>400</c:v>
                </c:pt>
                <c:pt idx="2">
                  <c:v>600</c:v>
                </c:pt>
                <c:pt idx="3">
                  <c:v>800</c:v>
                </c:pt>
                <c:pt idx="4">
                  <c:v>1000</c:v>
                </c:pt>
              </c:numCache>
            </c:numRef>
          </c:cat>
          <c:val>
            <c:numRef>
              <c:f>[1]Sheet1!$J$26:$J$30</c:f>
              <c:numCache>
                <c:formatCode>General</c:formatCode>
                <c:ptCount val="5"/>
                <c:pt idx="0">
                  <c:v>0.25252588249968821</c:v>
                </c:pt>
                <c:pt idx="1">
                  <c:v>0.16159370344842899</c:v>
                </c:pt>
                <c:pt idx="2">
                  <c:v>0.30925775179456821</c:v>
                </c:pt>
                <c:pt idx="3">
                  <c:v>0.35293684494735039</c:v>
                </c:pt>
                <c:pt idx="4">
                  <c:v>0.388721216858053</c:v>
                </c:pt>
              </c:numCache>
            </c:numRef>
          </c:val>
          <c:extLst>
            <c:ext xmlns:c16="http://schemas.microsoft.com/office/drawing/2014/chart" uri="{C3380CC4-5D6E-409C-BE32-E72D297353CC}">
              <c16:uniqueId val="{00000001-41A5-4A28-85E0-816933BC015F}"/>
            </c:ext>
          </c:extLst>
        </c:ser>
        <c:ser>
          <c:idx val="2"/>
          <c:order val="2"/>
          <c:tx>
            <c:strRef>
              <c:f>[1]Sheet1!$K$25</c:f>
              <c:strCache>
                <c:ptCount val="1"/>
                <c:pt idx="0">
                  <c:v>110</c:v>
                </c:pt>
              </c:strCache>
            </c:strRef>
          </c:tx>
          <c:spPr>
            <a:solidFill>
              <a:schemeClr val="accent3"/>
            </a:solidFill>
            <a:ln>
              <a:noFill/>
            </a:ln>
            <a:effectLst/>
          </c:spPr>
          <c:invertIfNegative val="0"/>
          <c:cat>
            <c:numRef>
              <c:f>[1]Sheet1!$H$26:$H$30</c:f>
              <c:numCache>
                <c:formatCode>General</c:formatCode>
                <c:ptCount val="5"/>
                <c:pt idx="0">
                  <c:v>200</c:v>
                </c:pt>
                <c:pt idx="1">
                  <c:v>400</c:v>
                </c:pt>
                <c:pt idx="2">
                  <c:v>600</c:v>
                </c:pt>
                <c:pt idx="3">
                  <c:v>800</c:v>
                </c:pt>
                <c:pt idx="4">
                  <c:v>1000</c:v>
                </c:pt>
              </c:numCache>
            </c:numRef>
          </c:cat>
          <c:val>
            <c:numRef>
              <c:f>[1]Sheet1!$K$26:$K$30</c:f>
              <c:numCache>
                <c:formatCode>General</c:formatCode>
                <c:ptCount val="5"/>
                <c:pt idx="0">
                  <c:v>0.26669562195969426</c:v>
                </c:pt>
                <c:pt idx="1">
                  <c:v>6.3037207003150325E-2</c:v>
                </c:pt>
                <c:pt idx="2">
                  <c:v>0.27993678096368907</c:v>
                </c:pt>
                <c:pt idx="3">
                  <c:v>0.14574814609467068</c:v>
                </c:pt>
                <c:pt idx="4">
                  <c:v>0.25934078338412903</c:v>
                </c:pt>
              </c:numCache>
            </c:numRef>
          </c:val>
          <c:extLst>
            <c:ext xmlns:c16="http://schemas.microsoft.com/office/drawing/2014/chart" uri="{C3380CC4-5D6E-409C-BE32-E72D297353CC}">
              <c16:uniqueId val="{00000002-41A5-4A28-85E0-816933BC015F}"/>
            </c:ext>
          </c:extLst>
        </c:ser>
        <c:ser>
          <c:idx val="3"/>
          <c:order val="3"/>
          <c:tx>
            <c:strRef>
              <c:f>[1]Sheet1!$L$25</c:f>
              <c:strCache>
                <c:ptCount val="1"/>
                <c:pt idx="0">
                  <c:v>150</c:v>
                </c:pt>
              </c:strCache>
            </c:strRef>
          </c:tx>
          <c:spPr>
            <a:solidFill>
              <a:schemeClr val="accent4"/>
            </a:solidFill>
            <a:ln>
              <a:noFill/>
            </a:ln>
            <a:effectLst/>
          </c:spPr>
          <c:invertIfNegative val="0"/>
          <c:cat>
            <c:numRef>
              <c:f>[1]Sheet1!$H$26:$H$30</c:f>
              <c:numCache>
                <c:formatCode>General</c:formatCode>
                <c:ptCount val="5"/>
                <c:pt idx="0">
                  <c:v>200</c:v>
                </c:pt>
                <c:pt idx="1">
                  <c:v>400</c:v>
                </c:pt>
                <c:pt idx="2">
                  <c:v>600</c:v>
                </c:pt>
                <c:pt idx="3">
                  <c:v>800</c:v>
                </c:pt>
                <c:pt idx="4">
                  <c:v>1000</c:v>
                </c:pt>
              </c:numCache>
            </c:numRef>
          </c:cat>
          <c:val>
            <c:numRef>
              <c:f>[1]Sheet1!$L$26:$L$30</c:f>
              <c:numCache>
                <c:formatCode>General</c:formatCode>
                <c:ptCount val="5"/>
                <c:pt idx="0">
                  <c:v>0.16027214321807545</c:v>
                </c:pt>
                <c:pt idx="1">
                  <c:v>0.31912836051834176</c:v>
                </c:pt>
                <c:pt idx="2">
                  <c:v>0.29580117603822131</c:v>
                </c:pt>
                <c:pt idx="3">
                  <c:v>0.3</c:v>
                </c:pt>
                <c:pt idx="4">
                  <c:v>0.30132618640543418</c:v>
                </c:pt>
              </c:numCache>
            </c:numRef>
          </c:val>
          <c:extLst>
            <c:ext xmlns:c16="http://schemas.microsoft.com/office/drawing/2014/chart" uri="{C3380CC4-5D6E-409C-BE32-E72D297353CC}">
              <c16:uniqueId val="{00000003-41A5-4A28-85E0-816933BC015F}"/>
            </c:ext>
          </c:extLst>
        </c:ser>
        <c:dLbls>
          <c:showLegendKey val="0"/>
          <c:showVal val="0"/>
          <c:showCatName val="0"/>
          <c:showSerName val="0"/>
          <c:showPercent val="0"/>
          <c:showBubbleSize val="0"/>
        </c:dLbls>
        <c:gapWidth val="219"/>
        <c:overlap val="-27"/>
        <c:axId val="319892831"/>
        <c:axId val="382976207"/>
      </c:barChart>
      <c:catAx>
        <c:axId val="3198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76207"/>
        <c:crosses val="autoZero"/>
        <c:auto val="1"/>
        <c:lblAlgn val="ctr"/>
        <c:lblOffset val="100"/>
        <c:noMultiLvlLbl val="0"/>
      </c:catAx>
      <c:valAx>
        <c:axId val="38297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92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47625</xdr:colOff>
      <xdr:row>42</xdr:row>
      <xdr:rowOff>38100</xdr:rowOff>
    </xdr:from>
    <xdr:to>
      <xdr:col>10</xdr:col>
      <xdr:colOff>190500</xdr:colOff>
      <xdr:row>53</xdr:row>
      <xdr:rowOff>180975</xdr:rowOff>
    </xdr:to>
    <xdr:sp macro="" textlink="">
      <xdr:nvSpPr>
        <xdr:cNvPr id="2" name="TextBox 1">
          <a:extLst>
            <a:ext uri="{FF2B5EF4-FFF2-40B4-BE49-F238E27FC236}">
              <a16:creationId xmlns:a16="http://schemas.microsoft.com/office/drawing/2014/main" id="{0FBFA3F9-C098-479E-87BE-069884CD29C7}"/>
            </a:ext>
          </a:extLst>
        </xdr:cNvPr>
        <xdr:cNvSpPr txBox="1"/>
      </xdr:nvSpPr>
      <xdr:spPr>
        <a:xfrm>
          <a:off x="2524125" y="9448800"/>
          <a:ext cx="803910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Yarn notes and ideas</a:t>
          </a:r>
        </a:p>
        <a:p>
          <a:pPr marL="171450" indent="-171450">
            <a:buFont typeface="Arial" panose="020B0604020202020204" pitchFamily="34" charset="0"/>
            <a:buChar char="•"/>
          </a:pPr>
          <a:r>
            <a:rPr lang="en-GB" sz="1100"/>
            <a:t>Want to use a ~50%</a:t>
          </a:r>
          <a:r>
            <a:rPr lang="en-GB" sz="1100" baseline="0"/>
            <a:t> stronger yarn than necessary to begin with, because the cost increase is small as it is only a small component of the product, and we can always scale back down as a cost-saving measure after production is running successfully.</a:t>
          </a:r>
        </a:p>
        <a:p>
          <a:pPr marL="171450" indent="-171450">
            <a:buFont typeface="Arial" panose="020B0604020202020204" pitchFamily="34" charset="0"/>
            <a:buChar char="•"/>
          </a:pPr>
          <a:r>
            <a:rPr lang="en-GB" sz="1100" baseline="0"/>
            <a:t>We want to use a standard denier value of yarn that the supplying company has, because we have enough flexibility to allow this, and it will allow for a cheaper product (also bearing in mind that due to the Maliwatt production method the quantity of yarn we are using is not huge)</a:t>
          </a:r>
          <a:endParaRPr lang="en-GB" sz="1100"/>
        </a:p>
        <a:p>
          <a:pPr marL="171450" indent="-171450">
            <a:buFont typeface="Arial" panose="020B0604020202020204" pitchFamily="34" charset="0"/>
            <a:buChar char="•"/>
          </a:pPr>
          <a:r>
            <a:rPr lang="en-GB" sz="1100"/>
            <a:t>Potential idea to reduce</a:t>
          </a:r>
          <a:r>
            <a:rPr lang="en-GB" sz="1100" baseline="0"/>
            <a:t> jets of cement escaping from the holes that the needles have punched for the yarns:</a:t>
          </a:r>
        </a:p>
        <a:p>
          <a:pPr marL="628650" lvl="1" indent="-171450">
            <a:buFont typeface="Wingdings" panose="05000000000000000000" pitchFamily="2" charset="2"/>
            <a:buChar char="§"/>
          </a:pPr>
          <a:r>
            <a:rPr lang="en-GB" sz="1100"/>
            <a:t>Use</a:t>
          </a:r>
          <a:r>
            <a:rPr lang="en-GB" sz="1100" baseline="0"/>
            <a:t> texturised yarn (fluffier yarn) to help block the holes more due to their larger C.S.A.</a:t>
          </a:r>
        </a:p>
        <a:p>
          <a:pPr marL="628650" lvl="1" indent="-171450">
            <a:buFont typeface="Wingdings" panose="05000000000000000000" pitchFamily="2" charset="2"/>
            <a:buChar char="§"/>
          </a:pPr>
          <a:r>
            <a:rPr lang="en-GB" sz="1100" baseline="0"/>
            <a:t>Potential issues/disadvantages:</a:t>
          </a:r>
        </a:p>
        <a:p>
          <a:pPr marL="1085850" lvl="2" indent="-171450">
            <a:buFont typeface="Wingdings" panose="05000000000000000000" pitchFamily="2" charset="2"/>
            <a:buChar char="§"/>
          </a:pPr>
          <a:r>
            <a:rPr lang="en-GB" sz="1100" baseline="0"/>
            <a:t>Since the yarns have to be under high tension, this may reduce the fluffiness as they are pulled taught</a:t>
          </a:r>
        </a:p>
        <a:p>
          <a:pPr marL="1085850" lvl="2" indent="-171450">
            <a:buFont typeface="Wingdings" panose="05000000000000000000" pitchFamily="2" charset="2"/>
            <a:buChar char="§"/>
          </a:pPr>
          <a:r>
            <a:rPr lang="en-GB" sz="1100" baseline="0"/>
            <a:t>HTY has a lower tenacity meaning we will need to use an even higher denier, which means higher cost, more material usage and higher chance of the yarns getting snagged on the needles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1</xdr:row>
      <xdr:rowOff>7620</xdr:rowOff>
    </xdr:from>
    <xdr:to>
      <xdr:col>25</xdr:col>
      <xdr:colOff>601980</xdr:colOff>
      <xdr:row>25</xdr:row>
      <xdr:rowOff>114300</xdr:rowOff>
    </xdr:to>
    <xdr:graphicFrame macro="">
      <xdr:nvGraphicFramePr>
        <xdr:cNvPr id="2" name="Chart 1">
          <a:extLst>
            <a:ext uri="{FF2B5EF4-FFF2-40B4-BE49-F238E27FC236}">
              <a16:creationId xmlns:a16="http://schemas.microsoft.com/office/drawing/2014/main" id="{5AB493D9-AB1D-400D-96A6-03039632B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xdr:colOff>
      <xdr:row>25</xdr:row>
      <xdr:rowOff>45720</xdr:rowOff>
    </xdr:from>
    <xdr:to>
      <xdr:col>24</xdr:col>
      <xdr:colOff>312420</xdr:colOff>
      <xdr:row>42</xdr:row>
      <xdr:rowOff>38100</xdr:rowOff>
    </xdr:to>
    <xdr:graphicFrame macro="">
      <xdr:nvGraphicFramePr>
        <xdr:cNvPr id="3" name="Chart 2">
          <a:extLst>
            <a:ext uri="{FF2B5EF4-FFF2-40B4-BE49-F238E27FC236}">
              <a16:creationId xmlns:a16="http://schemas.microsoft.com/office/drawing/2014/main" id="{F1C6B112-A137-4BFA-A682-CB2BE0A4D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PR-2017-07/2.%20Mark%20Savage/UW%20tesnile%20testing%20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I2">
            <v>45</v>
          </cell>
          <cell r="J2">
            <v>75</v>
          </cell>
          <cell r="K2">
            <v>110</v>
          </cell>
          <cell r="L2">
            <v>150</v>
          </cell>
        </row>
        <row r="3">
          <cell r="H3">
            <v>200</v>
          </cell>
          <cell r="I3">
            <v>2.5032666666666668</v>
          </cell>
          <cell r="J3">
            <v>3.2067999999999999</v>
          </cell>
          <cell r="K3">
            <v>3.837333333333333</v>
          </cell>
          <cell r="L3">
            <v>5.5411999999999999</v>
          </cell>
        </row>
        <row r="4">
          <cell r="H4">
            <v>400</v>
          </cell>
          <cell r="I4">
            <v>3.2329666666666665</v>
          </cell>
          <cell r="J4">
            <v>4.4976999999999991</v>
          </cell>
          <cell r="K4">
            <v>4.5179666666666662</v>
          </cell>
          <cell r="L4">
            <v>5.1703333333333328</v>
          </cell>
        </row>
        <row r="5">
          <cell r="H5">
            <v>600</v>
          </cell>
          <cell r="I5">
            <v>3.6484000000000001</v>
          </cell>
          <cell r="J5">
            <v>3.6034666666666673</v>
          </cell>
          <cell r="K5">
            <v>4.1548666666666669</v>
          </cell>
          <cell r="L5">
            <v>4.3536000000000001</v>
          </cell>
        </row>
        <row r="6">
          <cell r="H6">
            <v>800</v>
          </cell>
          <cell r="I6">
            <v>3.1846666666666668</v>
          </cell>
          <cell r="J6">
            <v>2.7160666666666664</v>
          </cell>
          <cell r="K6">
            <v>3.3667666666666669</v>
          </cell>
          <cell r="L6">
            <v>4.3409000000000004</v>
          </cell>
        </row>
        <row r="7">
          <cell r="H7">
            <v>1000</v>
          </cell>
          <cell r="I7">
            <v>3.0479000000000003</v>
          </cell>
          <cell r="J7">
            <v>2.7721666666666671</v>
          </cell>
          <cell r="K7">
            <v>3.5436000000000001</v>
          </cell>
          <cell r="L7">
            <v>4.3281999999999998</v>
          </cell>
        </row>
        <row r="25">
          <cell r="I25">
            <v>45</v>
          </cell>
          <cell r="J25">
            <v>75</v>
          </cell>
          <cell r="K25">
            <v>110</v>
          </cell>
          <cell r="L25">
            <v>150</v>
          </cell>
        </row>
        <row r="26">
          <cell r="H26">
            <v>200</v>
          </cell>
          <cell r="I26">
            <v>5.9482276492050311E-2</v>
          </cell>
          <cell r="J26">
            <v>0.25252588249968821</v>
          </cell>
          <cell r="K26">
            <v>0.26669562195969426</v>
          </cell>
          <cell r="L26">
            <v>0.16027214321807545</v>
          </cell>
        </row>
        <row r="27">
          <cell r="H27">
            <v>400</v>
          </cell>
          <cell r="I27">
            <v>5.8924207899864835E-2</v>
          </cell>
          <cell r="J27">
            <v>0.16159370344842899</v>
          </cell>
          <cell r="K27">
            <v>6.3037207003150325E-2</v>
          </cell>
          <cell r="L27">
            <v>0.31912836051834176</v>
          </cell>
        </row>
        <row r="28">
          <cell r="H28">
            <v>600</v>
          </cell>
          <cell r="I28">
            <v>0.17635127727222885</v>
          </cell>
          <cell r="J28">
            <v>0.30925775179456821</v>
          </cell>
          <cell r="K28">
            <v>0.27993678096368907</v>
          </cell>
          <cell r="L28">
            <v>0.29580117603822131</v>
          </cell>
        </row>
        <row r="29">
          <cell r="H29">
            <v>800</v>
          </cell>
          <cell r="I29">
            <v>0.15800711743772231</v>
          </cell>
          <cell r="J29">
            <v>0.35293684494735039</v>
          </cell>
          <cell r="K29">
            <v>0.14574814609467068</v>
          </cell>
          <cell r="L29">
            <v>0.3</v>
          </cell>
        </row>
        <row r="30">
          <cell r="H30">
            <v>1000</v>
          </cell>
          <cell r="I30">
            <v>0.31736605531677553</v>
          </cell>
          <cell r="J30">
            <v>0.388721216858053</v>
          </cell>
          <cell r="K30">
            <v>0.25934078338412903</v>
          </cell>
          <cell r="L30">
            <v>0.30132618640543418</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l-vorbeck@g-o-friedrich.com" TargetMode="External"/><Relationship Id="rId1" Type="http://schemas.openxmlformats.org/officeDocument/2006/relationships/hyperlink" Target="mailto:richard.leather@fybagrate.co.uk"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A1:AB327"/>
  <sheetViews>
    <sheetView tabSelected="1" zoomScale="90" zoomScaleNormal="90" workbookViewId="0">
      <pane xSplit="1" ySplit="2" topLeftCell="B201" activePane="bottomRight" state="frozen"/>
      <selection pane="topRight" activeCell="B1" sqref="B1"/>
      <selection pane="bottomLeft" activeCell="A3" sqref="A3"/>
      <selection pane="bottomRight" activeCell="C233" sqref="C233"/>
    </sheetView>
  </sheetViews>
  <sheetFormatPr defaultColWidth="9.140625" defaultRowHeight="15" x14ac:dyDescent="0.25"/>
  <cols>
    <col min="1" max="1" width="12.42578125" style="252" customWidth="1"/>
    <col min="2" max="2" width="8.42578125" style="224" customWidth="1"/>
    <col min="3" max="3" width="34" style="225" customWidth="1"/>
    <col min="4" max="4" width="12" style="225" customWidth="1"/>
    <col min="5" max="5" width="25.42578125" style="226" customWidth="1"/>
    <col min="6" max="6" width="18.28515625" style="227" customWidth="1"/>
    <col min="7" max="7" width="19.7109375" style="226" bestFit="1" customWidth="1"/>
    <col min="8" max="8" width="7.28515625" style="228" customWidth="1"/>
    <col min="9" max="9" width="9.42578125" style="226" bestFit="1" customWidth="1"/>
    <col min="10" max="10" width="7.42578125" style="226" customWidth="1"/>
    <col min="11" max="11" width="7.42578125" style="229" customWidth="1"/>
    <col min="12" max="12" width="7.42578125" style="228" customWidth="1"/>
    <col min="13" max="13" width="7.42578125" style="226" customWidth="1"/>
    <col min="14" max="14" width="18.42578125" style="226" bestFit="1" customWidth="1"/>
    <col min="15" max="15" width="12.42578125" style="226" customWidth="1"/>
    <col min="16" max="16" width="17.85546875" style="226" customWidth="1"/>
    <col min="17" max="18" width="12.28515625" style="230" customWidth="1"/>
    <col min="19" max="20" width="12.28515625" style="535" customWidth="1"/>
    <col min="21" max="21" width="12.28515625" style="229" customWidth="1"/>
    <col min="22" max="25" width="5.42578125" style="230" customWidth="1"/>
    <col min="26" max="27" width="10" style="231" customWidth="1"/>
    <col min="28" max="28" width="173.140625" style="232" customWidth="1"/>
    <col min="29" max="16384" width="9.140625" style="226"/>
  </cols>
  <sheetData>
    <row r="1" spans="1:28" s="637" customFormat="1" ht="45" customHeight="1" x14ac:dyDescent="0.25">
      <c r="A1" s="603" t="s">
        <v>597</v>
      </c>
      <c r="B1" s="635"/>
      <c r="C1" s="636" t="s">
        <v>130</v>
      </c>
      <c r="D1" s="636" t="s">
        <v>796</v>
      </c>
      <c r="E1" s="637" t="s">
        <v>33</v>
      </c>
      <c r="F1" s="638" t="s">
        <v>52</v>
      </c>
      <c r="G1" s="637" t="s">
        <v>0</v>
      </c>
      <c r="H1" s="639" t="s">
        <v>617</v>
      </c>
      <c r="I1" s="640" t="s">
        <v>1672</v>
      </c>
      <c r="J1" s="637" t="s">
        <v>704</v>
      </c>
      <c r="K1" s="641" t="s">
        <v>262</v>
      </c>
      <c r="L1" s="639" t="s">
        <v>295</v>
      </c>
      <c r="M1" s="637" t="s">
        <v>263</v>
      </c>
      <c r="N1" s="642" t="s">
        <v>1382</v>
      </c>
      <c r="O1" s="637" t="s">
        <v>57</v>
      </c>
      <c r="P1" s="637" t="s">
        <v>79</v>
      </c>
      <c r="Q1" s="643" t="s">
        <v>349</v>
      </c>
      <c r="R1" s="644" t="s">
        <v>1689</v>
      </c>
      <c r="S1" s="645" t="s">
        <v>431</v>
      </c>
      <c r="T1" s="646" t="s">
        <v>1690</v>
      </c>
      <c r="U1" s="647" t="s">
        <v>635</v>
      </c>
      <c r="V1" s="648" t="s">
        <v>351</v>
      </c>
      <c r="W1" s="648" t="s">
        <v>353</v>
      </c>
      <c r="X1" s="648" t="s">
        <v>352</v>
      </c>
      <c r="Y1" s="648" t="s">
        <v>354</v>
      </c>
      <c r="Z1" s="649" t="s">
        <v>50</v>
      </c>
      <c r="AA1" s="649" t="s">
        <v>779</v>
      </c>
      <c r="AB1" s="650" t="s">
        <v>1</v>
      </c>
    </row>
    <row r="2" spans="1:28" s="233" customFormat="1" ht="18" thickBot="1" x14ac:dyDescent="0.3">
      <c r="A2" s="560" t="s">
        <v>1579</v>
      </c>
      <c r="B2" s="563" t="s">
        <v>289</v>
      </c>
      <c r="C2" s="565"/>
      <c r="D2" s="565"/>
      <c r="F2" s="569"/>
      <c r="H2" s="572" t="s">
        <v>31</v>
      </c>
      <c r="I2" s="233" t="s">
        <v>2</v>
      </c>
      <c r="J2" s="233" t="s">
        <v>705</v>
      </c>
      <c r="K2" s="576" t="s">
        <v>31</v>
      </c>
      <c r="L2" s="572" t="s">
        <v>293</v>
      </c>
      <c r="M2" s="233" t="s">
        <v>31</v>
      </c>
      <c r="Q2" s="578" t="s">
        <v>516</v>
      </c>
      <c r="R2" s="581" t="s">
        <v>516</v>
      </c>
      <c r="S2" s="582" t="s">
        <v>984</v>
      </c>
      <c r="T2" s="582" t="s">
        <v>984</v>
      </c>
      <c r="U2" s="576" t="s">
        <v>636</v>
      </c>
      <c r="V2" s="585" t="s">
        <v>350</v>
      </c>
      <c r="W2" s="585" t="s">
        <v>350</v>
      </c>
      <c r="X2" s="585"/>
      <c r="Y2" s="585"/>
      <c r="Z2" s="588" t="s">
        <v>541</v>
      </c>
      <c r="AA2" s="588" t="s">
        <v>780</v>
      </c>
      <c r="AB2" s="592"/>
    </row>
    <row r="3" spans="1:28" s="234" customFormat="1" ht="13.5" customHeight="1" thickTop="1" x14ac:dyDescent="0.2">
      <c r="A3" s="561" t="s">
        <v>1547</v>
      </c>
      <c r="B3" s="564"/>
      <c r="C3" s="566"/>
      <c r="D3" s="566"/>
      <c r="E3" s="236" t="s">
        <v>873</v>
      </c>
      <c r="F3" s="570"/>
      <c r="G3" s="236" t="s">
        <v>274</v>
      </c>
      <c r="H3" s="573"/>
      <c r="I3" s="236"/>
      <c r="J3" s="236">
        <v>12</v>
      </c>
      <c r="K3" s="237"/>
      <c r="L3" s="573"/>
      <c r="M3" s="236"/>
      <c r="N3" s="236" t="s">
        <v>147</v>
      </c>
      <c r="O3" s="236" t="s">
        <v>76</v>
      </c>
      <c r="P3" s="236"/>
      <c r="Q3" s="579">
        <v>25.5</v>
      </c>
      <c r="R3" s="579">
        <v>15.2</v>
      </c>
      <c r="S3" s="583">
        <v>39.75</v>
      </c>
      <c r="T3" s="583">
        <v>18.75</v>
      </c>
      <c r="U3" s="237" t="str">
        <f t="shared" ref="U3:U8" si="0">IF(I3&gt;0,AVERAGE(Q3:R3)/I3,"")</f>
        <v/>
      </c>
      <c r="V3" s="236"/>
      <c r="W3" s="236"/>
      <c r="X3" s="236"/>
      <c r="Y3" s="236"/>
      <c r="Z3" s="590"/>
      <c r="AA3" s="590"/>
      <c r="AB3" s="593"/>
    </row>
    <row r="4" spans="1:28" s="236" customFormat="1" ht="12.75" customHeight="1" x14ac:dyDescent="0.2">
      <c r="A4" s="549" t="s">
        <v>1548</v>
      </c>
      <c r="B4" s="550"/>
      <c r="C4" s="551"/>
      <c r="D4" s="551"/>
      <c r="E4" s="234" t="s">
        <v>873</v>
      </c>
      <c r="F4" s="552"/>
      <c r="G4" s="234" t="s">
        <v>274</v>
      </c>
      <c r="H4" s="553"/>
      <c r="I4" s="234"/>
      <c r="J4" s="234"/>
      <c r="K4" s="235"/>
      <c r="L4" s="553"/>
      <c r="M4" s="234"/>
      <c r="N4" s="234" t="s">
        <v>147</v>
      </c>
      <c r="O4" s="234" t="s">
        <v>76</v>
      </c>
      <c r="P4" s="234"/>
      <c r="Q4" s="554">
        <v>7.9</v>
      </c>
      <c r="R4" s="554">
        <v>5.8</v>
      </c>
      <c r="S4" s="555">
        <v>21</v>
      </c>
      <c r="T4" s="555">
        <v>12.75</v>
      </c>
      <c r="U4" s="235" t="str">
        <f t="shared" si="0"/>
        <v/>
      </c>
      <c r="V4" s="234"/>
      <c r="W4" s="234"/>
      <c r="X4" s="234"/>
      <c r="Y4" s="234"/>
      <c r="Z4" s="556"/>
      <c r="AA4" s="556"/>
      <c r="AB4" s="557"/>
    </row>
    <row r="5" spans="1:28" s="234" customFormat="1" ht="12.75" customHeight="1" x14ac:dyDescent="0.2">
      <c r="A5" s="561" t="s">
        <v>1549</v>
      </c>
      <c r="B5" s="564"/>
      <c r="C5" s="566"/>
      <c r="D5" s="566"/>
      <c r="E5" s="236" t="s">
        <v>873</v>
      </c>
      <c r="F5" s="570"/>
      <c r="G5" s="236" t="s">
        <v>274</v>
      </c>
      <c r="H5" s="573"/>
      <c r="I5" s="236"/>
      <c r="J5" s="236">
        <v>28</v>
      </c>
      <c r="K5" s="237"/>
      <c r="L5" s="573"/>
      <c r="M5" s="236"/>
      <c r="N5" s="236" t="s">
        <v>147</v>
      </c>
      <c r="O5" s="236" t="s">
        <v>76</v>
      </c>
      <c r="P5" s="236"/>
      <c r="Q5" s="579">
        <v>14</v>
      </c>
      <c r="R5" s="579">
        <v>12.4</v>
      </c>
      <c r="S5" s="583">
        <v>36</v>
      </c>
      <c r="T5" s="583">
        <v>19.5</v>
      </c>
      <c r="U5" s="237" t="str">
        <f t="shared" si="0"/>
        <v/>
      </c>
      <c r="V5" s="236"/>
      <c r="W5" s="236"/>
      <c r="X5" s="236"/>
      <c r="Y5" s="236"/>
      <c r="Z5" s="590"/>
      <c r="AA5" s="590"/>
      <c r="AB5" s="593"/>
    </row>
    <row r="6" spans="1:28" s="236" customFormat="1" ht="12.75" customHeight="1" x14ac:dyDescent="0.2">
      <c r="A6" s="549" t="s">
        <v>1550</v>
      </c>
      <c r="B6" s="550"/>
      <c r="C6" s="551"/>
      <c r="D6" s="551"/>
      <c r="E6" s="234" t="s">
        <v>873</v>
      </c>
      <c r="F6" s="552"/>
      <c r="G6" s="234" t="s">
        <v>274</v>
      </c>
      <c r="H6" s="553"/>
      <c r="I6" s="234"/>
      <c r="J6" s="234"/>
      <c r="K6" s="235"/>
      <c r="L6" s="553"/>
      <c r="M6" s="234"/>
      <c r="N6" s="234" t="s">
        <v>147</v>
      </c>
      <c r="O6" s="234" t="s">
        <v>76</v>
      </c>
      <c r="P6" s="234"/>
      <c r="Q6" s="554">
        <v>7.1</v>
      </c>
      <c r="R6" s="554">
        <v>1.8</v>
      </c>
      <c r="S6" s="555">
        <v>20</v>
      </c>
      <c r="T6" s="555">
        <v>17.25</v>
      </c>
      <c r="U6" s="235" t="str">
        <f t="shared" si="0"/>
        <v/>
      </c>
      <c r="V6" s="234"/>
      <c r="W6" s="234"/>
      <c r="X6" s="234"/>
      <c r="Y6" s="234"/>
      <c r="Z6" s="556"/>
      <c r="AA6" s="556"/>
      <c r="AB6" s="557"/>
    </row>
    <row r="7" spans="1:28" s="234" customFormat="1" ht="12.75" customHeight="1" x14ac:dyDescent="0.2">
      <c r="A7" s="561" t="s">
        <v>1551</v>
      </c>
      <c r="B7" s="564"/>
      <c r="C7" s="566"/>
      <c r="D7" s="566"/>
      <c r="E7" s="236" t="s">
        <v>873</v>
      </c>
      <c r="F7" s="570"/>
      <c r="G7" s="236" t="s">
        <v>274</v>
      </c>
      <c r="H7" s="573"/>
      <c r="I7" s="236"/>
      <c r="J7" s="236">
        <v>16</v>
      </c>
      <c r="K7" s="237"/>
      <c r="L7" s="573"/>
      <c r="M7" s="236"/>
      <c r="N7" s="236" t="s">
        <v>147</v>
      </c>
      <c r="O7" s="236" t="s">
        <v>76</v>
      </c>
      <c r="P7" s="236"/>
      <c r="Q7" s="579">
        <v>27.2</v>
      </c>
      <c r="R7" s="579">
        <v>21.7</v>
      </c>
      <c r="S7" s="583">
        <v>39.75</v>
      </c>
      <c r="T7" s="583">
        <v>20.25</v>
      </c>
      <c r="U7" s="237" t="str">
        <f t="shared" si="0"/>
        <v/>
      </c>
      <c r="V7" s="236"/>
      <c r="W7" s="236"/>
      <c r="X7" s="236"/>
      <c r="Y7" s="236"/>
      <c r="Z7" s="590"/>
      <c r="AA7" s="590"/>
      <c r="AB7" s="593"/>
    </row>
    <row r="8" spans="1:28" s="236" customFormat="1" ht="12.75" customHeight="1" x14ac:dyDescent="0.2">
      <c r="A8" s="549" t="s">
        <v>1552</v>
      </c>
      <c r="B8" s="550"/>
      <c r="C8" s="551"/>
      <c r="D8" s="551"/>
      <c r="E8" s="234" t="s">
        <v>873</v>
      </c>
      <c r="F8" s="552"/>
      <c r="G8" s="234" t="s">
        <v>274</v>
      </c>
      <c r="H8" s="553"/>
      <c r="I8" s="234"/>
      <c r="J8" s="234"/>
      <c r="K8" s="235"/>
      <c r="L8" s="553"/>
      <c r="M8" s="234"/>
      <c r="N8" s="234" t="s">
        <v>147</v>
      </c>
      <c r="O8" s="234" t="s">
        <v>76</v>
      </c>
      <c r="P8" s="234"/>
      <c r="Q8" s="554">
        <v>8.1</v>
      </c>
      <c r="R8" s="554">
        <v>4</v>
      </c>
      <c r="S8" s="555">
        <v>22.5</v>
      </c>
      <c r="T8" s="555">
        <v>22.5</v>
      </c>
      <c r="U8" s="235" t="str">
        <f t="shared" si="0"/>
        <v/>
      </c>
      <c r="V8" s="234"/>
      <c r="W8" s="234"/>
      <c r="X8" s="234"/>
      <c r="Y8" s="234"/>
      <c r="Z8" s="556"/>
      <c r="AA8" s="556"/>
      <c r="AB8" s="557"/>
    </row>
    <row r="9" spans="1:28" s="238" customFormat="1" ht="15" customHeight="1" x14ac:dyDescent="0.25">
      <c r="A9" s="594" t="s">
        <v>1553</v>
      </c>
      <c r="B9" s="538">
        <v>1</v>
      </c>
      <c r="C9" s="596" t="s">
        <v>131</v>
      </c>
      <c r="D9" s="596"/>
      <c r="E9" s="238" t="str">
        <f>Manufacturers!$B$6</f>
        <v>Trutzscler</v>
      </c>
      <c r="F9" s="597" t="s">
        <v>77</v>
      </c>
      <c r="H9" s="598"/>
      <c r="I9" s="238">
        <v>55</v>
      </c>
      <c r="K9" s="599"/>
      <c r="L9" s="598"/>
      <c r="N9" s="238" t="s">
        <v>488</v>
      </c>
      <c r="O9" s="238" t="s">
        <v>76</v>
      </c>
      <c r="P9" s="238" t="s">
        <v>80</v>
      </c>
      <c r="Q9" s="587"/>
      <c r="R9" s="587"/>
      <c r="S9" s="540" t="s">
        <v>983</v>
      </c>
      <c r="T9" s="540" t="s">
        <v>983</v>
      </c>
      <c r="U9" s="239" t="str">
        <f t="shared" ref="U9:U40" si="1">IF(AND((I9&gt;0),Q9&gt;0),AVERAGE(Q9:R9)/I9,"")</f>
        <v/>
      </c>
      <c r="V9" s="587"/>
      <c r="W9" s="587"/>
      <c r="X9" s="587" t="str">
        <f t="shared" ref="X9:X50" si="2">IF(R9&gt;0,Q9/R9,"")</f>
        <v/>
      </c>
      <c r="Y9" s="587" t="str">
        <f t="shared" ref="Y9:Y50" si="3">IF(W9&gt;0,AVERAGE(V9/Q9,W9/R9),"")</f>
        <v/>
      </c>
      <c r="Z9" s="240"/>
      <c r="AA9" s="240" t="str">
        <f t="shared" ref="AA9:AA40" si="4">IF(AND(I9&gt;0,Z9&gt;0),1000*(Z9/I9),"")</f>
        <v/>
      </c>
      <c r="AB9" s="601" t="s">
        <v>208</v>
      </c>
    </row>
    <row r="10" spans="1:28" s="243" customFormat="1" ht="15" customHeight="1" x14ac:dyDescent="0.25">
      <c r="A10" s="558" t="s">
        <v>1554</v>
      </c>
      <c r="B10" s="538">
        <v>2</v>
      </c>
      <c r="C10" s="242" t="s">
        <v>132</v>
      </c>
      <c r="D10" s="242"/>
      <c r="E10" s="243" t="str">
        <f>Manufacturers!$B$6</f>
        <v>Trutzscler</v>
      </c>
      <c r="F10" s="244" t="s">
        <v>78</v>
      </c>
      <c r="G10" s="259" t="s">
        <v>174</v>
      </c>
      <c r="H10" s="245"/>
      <c r="I10" s="243">
        <v>163</v>
      </c>
      <c r="K10" s="246"/>
      <c r="L10" s="245"/>
      <c r="N10" s="243" t="s">
        <v>243</v>
      </c>
      <c r="O10" s="243" t="s">
        <v>76</v>
      </c>
      <c r="P10" s="243" t="s">
        <v>80</v>
      </c>
      <c r="Q10" s="247"/>
      <c r="R10" s="247"/>
      <c r="S10" s="401" t="s">
        <v>983</v>
      </c>
      <c r="T10" s="401" t="s">
        <v>983</v>
      </c>
      <c r="U10" s="248" t="str">
        <f t="shared" si="1"/>
        <v/>
      </c>
      <c r="V10" s="247"/>
      <c r="W10" s="247"/>
      <c r="X10" s="249" t="str">
        <f t="shared" si="2"/>
        <v/>
      </c>
      <c r="Y10" s="249" t="str">
        <f t="shared" si="3"/>
        <v/>
      </c>
      <c r="Z10" s="250"/>
      <c r="AA10" s="240" t="str">
        <f t="shared" si="4"/>
        <v/>
      </c>
      <c r="AB10" s="251"/>
    </row>
    <row r="11" spans="1:28" ht="15" customHeight="1" x14ac:dyDescent="0.25">
      <c r="A11" s="559" t="s">
        <v>1555</v>
      </c>
      <c r="B11" s="538">
        <v>5</v>
      </c>
      <c r="C11" s="225" t="s">
        <v>133</v>
      </c>
      <c r="E11" s="226" t="s">
        <v>82</v>
      </c>
      <c r="F11" s="227" t="s">
        <v>53</v>
      </c>
      <c r="G11" s="11" t="s">
        <v>274</v>
      </c>
      <c r="I11" s="226">
        <v>121</v>
      </c>
      <c r="K11" s="229">
        <v>1.9E-2</v>
      </c>
      <c r="N11" s="226" t="s">
        <v>243</v>
      </c>
      <c r="O11" s="226" t="s">
        <v>81</v>
      </c>
      <c r="P11" s="226" t="s">
        <v>83</v>
      </c>
      <c r="Q11" s="230">
        <v>2.7231459865123084</v>
      </c>
      <c r="R11" s="230">
        <v>5.7275616310283644</v>
      </c>
      <c r="S11" s="532" t="s">
        <v>983</v>
      </c>
      <c r="T11" s="532" t="s">
        <v>983</v>
      </c>
      <c r="U11" s="239">
        <f t="shared" si="1"/>
        <v>3.4920279411325091E-2</v>
      </c>
      <c r="X11" s="587">
        <f t="shared" si="2"/>
        <v>0.47544595098898601</v>
      </c>
      <c r="Y11" s="587" t="str">
        <f t="shared" si="3"/>
        <v/>
      </c>
      <c r="Z11" s="600"/>
      <c r="AA11" s="240" t="str">
        <f t="shared" si="4"/>
        <v/>
      </c>
      <c r="AB11" s="232" t="s">
        <v>257</v>
      </c>
    </row>
    <row r="12" spans="1:28" s="243" customFormat="1" ht="15" customHeight="1" x14ac:dyDescent="0.25">
      <c r="A12" s="558" t="s">
        <v>1556</v>
      </c>
      <c r="B12" s="538">
        <v>1</v>
      </c>
      <c r="C12" s="242" t="s">
        <v>84</v>
      </c>
      <c r="D12" s="242"/>
      <c r="E12" s="243" t="s">
        <v>82</v>
      </c>
      <c r="F12" s="244"/>
      <c r="G12" s="243" t="s">
        <v>84</v>
      </c>
      <c r="H12" s="245"/>
      <c r="K12" s="246"/>
      <c r="L12" s="245"/>
      <c r="N12" s="243" t="s">
        <v>85</v>
      </c>
      <c r="O12" s="243" t="s">
        <v>62</v>
      </c>
      <c r="P12" s="243" t="s">
        <v>83</v>
      </c>
      <c r="Q12" s="247"/>
      <c r="R12" s="247"/>
      <c r="S12" s="401" t="s">
        <v>983</v>
      </c>
      <c r="T12" s="401" t="s">
        <v>983</v>
      </c>
      <c r="U12" s="248" t="str">
        <f t="shared" si="1"/>
        <v/>
      </c>
      <c r="V12" s="247"/>
      <c r="W12" s="247"/>
      <c r="X12" s="249" t="str">
        <f t="shared" si="2"/>
        <v/>
      </c>
      <c r="Y12" s="249" t="str">
        <f t="shared" si="3"/>
        <v/>
      </c>
      <c r="Z12" s="250"/>
      <c r="AA12" s="240" t="str">
        <f t="shared" si="4"/>
        <v/>
      </c>
      <c r="AB12" s="251"/>
    </row>
    <row r="13" spans="1:28" ht="15" customHeight="1" x14ac:dyDescent="0.25">
      <c r="A13" s="559" t="s">
        <v>1557</v>
      </c>
      <c r="B13" s="538">
        <v>1</v>
      </c>
      <c r="C13" s="225" t="s">
        <v>134</v>
      </c>
      <c r="E13" s="226" t="str">
        <f>Manufacturers!$B$5</f>
        <v>Gentug</v>
      </c>
      <c r="F13" s="227" t="s">
        <v>86</v>
      </c>
      <c r="G13" s="226" t="s">
        <v>274</v>
      </c>
      <c r="I13" s="226">
        <v>120</v>
      </c>
      <c r="K13" s="229">
        <v>1.2999999999999999E-2</v>
      </c>
      <c r="N13" s="226" t="s">
        <v>243</v>
      </c>
      <c r="O13" s="226" t="s">
        <v>76</v>
      </c>
      <c r="P13" s="226" t="s">
        <v>83</v>
      </c>
      <c r="Q13" s="230">
        <v>3.9</v>
      </c>
      <c r="R13" s="230">
        <v>3.4</v>
      </c>
      <c r="S13" s="532">
        <v>5.25</v>
      </c>
      <c r="T13" s="532">
        <v>1.2749999999999999</v>
      </c>
      <c r="U13" s="239">
        <f t="shared" si="1"/>
        <v>3.0416666666666665E-2</v>
      </c>
      <c r="X13" s="587">
        <f t="shared" si="2"/>
        <v>1.1470588235294117</v>
      </c>
      <c r="Y13" s="587" t="str">
        <f t="shared" si="3"/>
        <v/>
      </c>
      <c r="Z13" s="231">
        <v>0.2</v>
      </c>
      <c r="AA13" s="240">
        <f t="shared" si="4"/>
        <v>1.6666666666666667</v>
      </c>
    </row>
    <row r="14" spans="1:28" s="243" customFormat="1" ht="15" customHeight="1" x14ac:dyDescent="0.25">
      <c r="A14" s="558" t="s">
        <v>1558</v>
      </c>
      <c r="B14" s="538">
        <v>1</v>
      </c>
      <c r="C14" s="242" t="s">
        <v>135</v>
      </c>
      <c r="D14" s="242"/>
      <c r="E14" s="243" t="str">
        <f>Manufacturers!$B$8</f>
        <v>Renolit</v>
      </c>
      <c r="F14" s="244"/>
      <c r="G14" s="243" t="s">
        <v>137</v>
      </c>
      <c r="H14" s="245">
        <v>0.95</v>
      </c>
      <c r="I14" s="243">
        <v>1200</v>
      </c>
      <c r="K14" s="246"/>
      <c r="L14" s="245"/>
      <c r="N14" s="243" t="s">
        <v>59</v>
      </c>
      <c r="O14" s="243" t="s">
        <v>138</v>
      </c>
      <c r="P14" s="243" t="s">
        <v>83</v>
      </c>
      <c r="Q14" s="247">
        <v>14.8</v>
      </c>
      <c r="R14" s="247">
        <v>12.3</v>
      </c>
      <c r="S14" s="401">
        <v>15</v>
      </c>
      <c r="T14" s="401">
        <v>15</v>
      </c>
      <c r="U14" s="248">
        <f t="shared" si="1"/>
        <v>1.1291666666666667E-2</v>
      </c>
      <c r="V14" s="247"/>
      <c r="W14" s="247"/>
      <c r="X14" s="249">
        <f t="shared" si="2"/>
        <v>1.2032520325203251</v>
      </c>
      <c r="Y14" s="249" t="str">
        <f t="shared" si="3"/>
        <v/>
      </c>
      <c r="Z14" s="250"/>
      <c r="AA14" s="240" t="str">
        <f t="shared" si="4"/>
        <v/>
      </c>
      <c r="AB14" s="251"/>
    </row>
    <row r="15" spans="1:28" ht="15" customHeight="1" x14ac:dyDescent="0.25">
      <c r="A15" s="559" t="s">
        <v>1559</v>
      </c>
      <c r="B15" s="538">
        <v>1</v>
      </c>
      <c r="C15" s="225" t="s">
        <v>143</v>
      </c>
      <c r="E15" s="226" t="str">
        <f>Manufacturers!$B$60</f>
        <v>Fleximas</v>
      </c>
      <c r="F15" s="227" t="s">
        <v>144</v>
      </c>
      <c r="G15" s="11" t="s">
        <v>174</v>
      </c>
      <c r="N15" s="226" t="s">
        <v>655</v>
      </c>
      <c r="O15" s="226" t="s">
        <v>62</v>
      </c>
      <c r="P15" s="226" t="s">
        <v>83</v>
      </c>
      <c r="S15" s="532" t="s">
        <v>983</v>
      </c>
      <c r="T15" s="532" t="s">
        <v>983</v>
      </c>
      <c r="U15" s="239" t="str">
        <f t="shared" si="1"/>
        <v/>
      </c>
      <c r="X15" s="587" t="str">
        <f t="shared" si="2"/>
        <v/>
      </c>
      <c r="Y15" s="587" t="str">
        <f t="shared" si="3"/>
        <v/>
      </c>
      <c r="AA15" s="240" t="str">
        <f t="shared" si="4"/>
        <v/>
      </c>
    </row>
    <row r="16" spans="1:28" s="259" customFormat="1" ht="15" customHeight="1" x14ac:dyDescent="0.25">
      <c r="A16" s="265" t="s">
        <v>1560</v>
      </c>
      <c r="B16" s="536">
        <v>1</v>
      </c>
      <c r="C16" s="258" t="s">
        <v>148</v>
      </c>
      <c r="D16" s="258"/>
      <c r="E16" s="259" t="str">
        <f>Manufacturers!$B$60</f>
        <v>Fleximas</v>
      </c>
      <c r="F16" s="262" t="s">
        <v>149</v>
      </c>
      <c r="G16" s="259" t="s">
        <v>174</v>
      </c>
      <c r="H16" s="266"/>
      <c r="K16" s="267"/>
      <c r="L16" s="266"/>
      <c r="N16" s="259" t="s">
        <v>655</v>
      </c>
      <c r="O16" s="259" t="s">
        <v>76</v>
      </c>
      <c r="P16" s="259" t="s">
        <v>83</v>
      </c>
      <c r="Q16" s="268"/>
      <c r="R16" s="268"/>
      <c r="S16" s="401" t="s">
        <v>983</v>
      </c>
      <c r="T16" s="401" t="s">
        <v>983</v>
      </c>
      <c r="U16" s="248" t="str">
        <f t="shared" si="1"/>
        <v/>
      </c>
      <c r="V16" s="268"/>
      <c r="W16" s="268"/>
      <c r="X16" s="269" t="str">
        <f t="shared" si="2"/>
        <v/>
      </c>
      <c r="Y16" s="269" t="str">
        <f t="shared" si="3"/>
        <v/>
      </c>
      <c r="Z16" s="270"/>
      <c r="AA16" s="271" t="str">
        <f t="shared" si="4"/>
        <v/>
      </c>
      <c r="AB16" s="263"/>
    </row>
    <row r="17" spans="1:28" s="11" customFormat="1" ht="15" customHeight="1" x14ac:dyDescent="0.25">
      <c r="A17" s="264" t="s">
        <v>1561</v>
      </c>
      <c r="B17" s="536">
        <v>1</v>
      </c>
      <c r="C17" s="260" t="s">
        <v>150</v>
      </c>
      <c r="D17" s="260"/>
      <c r="E17" s="260" t="str">
        <f>Manufacturers!$B$60</f>
        <v>Fleximas</v>
      </c>
      <c r="F17" s="261" t="s">
        <v>151</v>
      </c>
      <c r="G17" s="11" t="s">
        <v>174</v>
      </c>
      <c r="H17" s="272"/>
      <c r="K17" s="273"/>
      <c r="L17" s="272"/>
      <c r="N17" s="11" t="s">
        <v>655</v>
      </c>
      <c r="O17" s="11" t="s">
        <v>76</v>
      </c>
      <c r="P17" s="11" t="s">
        <v>83</v>
      </c>
      <c r="Q17" s="274"/>
      <c r="R17" s="274"/>
      <c r="S17" s="532" t="s">
        <v>983</v>
      </c>
      <c r="T17" s="532" t="s">
        <v>983</v>
      </c>
      <c r="U17" s="239" t="str">
        <f t="shared" si="1"/>
        <v/>
      </c>
      <c r="V17" s="274"/>
      <c r="W17" s="274"/>
      <c r="X17" s="275" t="str">
        <f t="shared" si="2"/>
        <v/>
      </c>
      <c r="Y17" s="275" t="str">
        <f t="shared" si="3"/>
        <v/>
      </c>
      <c r="Z17" s="276"/>
      <c r="AA17" s="271" t="str">
        <f t="shared" si="4"/>
        <v/>
      </c>
      <c r="AB17" s="257"/>
    </row>
    <row r="18" spans="1:28" s="259" customFormat="1" ht="15" customHeight="1" x14ac:dyDescent="0.25">
      <c r="A18" s="265" t="s">
        <v>1562</v>
      </c>
      <c r="B18" s="536">
        <v>3</v>
      </c>
      <c r="C18" s="258" t="s">
        <v>242</v>
      </c>
      <c r="D18" s="277">
        <v>42390</v>
      </c>
      <c r="E18" s="259" t="str">
        <f>Manufacturers!$B$10</f>
        <v>FYBAGrate</v>
      </c>
      <c r="F18" s="262"/>
      <c r="G18" s="259" t="s">
        <v>174</v>
      </c>
      <c r="H18" s="266"/>
      <c r="I18" s="259">
        <v>120</v>
      </c>
      <c r="K18" s="267">
        <v>3.1E-2</v>
      </c>
      <c r="L18" s="266">
        <f>1000*(10000/4)*950*PI()*(K18/1000)^2</f>
        <v>7.1702925327370046</v>
      </c>
      <c r="N18" s="259" t="s">
        <v>243</v>
      </c>
      <c r="O18" s="259" t="s">
        <v>76</v>
      </c>
      <c r="P18" s="259" t="s">
        <v>83</v>
      </c>
      <c r="Q18" s="268">
        <v>6.0300373613589091</v>
      </c>
      <c r="R18" s="268">
        <v>6.2946427294752434</v>
      </c>
      <c r="S18" s="401" t="s">
        <v>983</v>
      </c>
      <c r="T18" s="401" t="s">
        <v>983</v>
      </c>
      <c r="U18" s="248">
        <f t="shared" si="1"/>
        <v>5.1352833711808973E-2</v>
      </c>
      <c r="V18" s="268"/>
      <c r="W18" s="268"/>
      <c r="X18" s="269">
        <f t="shared" si="2"/>
        <v>0.95796340165943095</v>
      </c>
      <c r="Y18" s="269" t="str">
        <f t="shared" si="3"/>
        <v/>
      </c>
      <c r="Z18" s="270">
        <f>0.67/1.1</f>
        <v>0.60909090909090913</v>
      </c>
      <c r="AA18" s="271">
        <f t="shared" si="4"/>
        <v>5.0757575757575761</v>
      </c>
      <c r="AB18" s="263" t="s">
        <v>325</v>
      </c>
    </row>
    <row r="19" spans="1:28" s="11" customFormat="1" ht="15" customHeight="1" x14ac:dyDescent="0.25">
      <c r="A19" s="264" t="s">
        <v>1563</v>
      </c>
      <c r="B19" s="536">
        <v>4.5</v>
      </c>
      <c r="C19" s="260" t="s">
        <v>244</v>
      </c>
      <c r="D19" s="278">
        <v>42390</v>
      </c>
      <c r="E19" s="11" t="str">
        <f>Manufacturers!$B$10</f>
        <v>FYBAGrate</v>
      </c>
      <c r="F19" s="261"/>
      <c r="G19" s="11" t="s">
        <v>174</v>
      </c>
      <c r="H19" s="272"/>
      <c r="I19" s="11">
        <v>160</v>
      </c>
      <c r="K19" s="273">
        <v>2.5000000000000001E-2</v>
      </c>
      <c r="L19" s="272">
        <f>1000*(10000/4)*950*PI()*(K19/1000)^2</f>
        <v>4.6633015951723493</v>
      </c>
      <c r="N19" s="11" t="s">
        <v>243</v>
      </c>
      <c r="O19" s="11" t="s">
        <v>76</v>
      </c>
      <c r="P19" s="11" t="s">
        <v>83</v>
      </c>
      <c r="Q19" s="274">
        <v>5.2615792929901399</v>
      </c>
      <c r="R19" s="274">
        <v>13.26535714440581</v>
      </c>
      <c r="S19" s="532" t="s">
        <v>983</v>
      </c>
      <c r="T19" s="532" t="s">
        <v>983</v>
      </c>
      <c r="U19" s="239">
        <f t="shared" si="1"/>
        <v>5.789667636686234E-2</v>
      </c>
      <c r="V19" s="274"/>
      <c r="W19" s="274"/>
      <c r="X19" s="275">
        <f t="shared" si="2"/>
        <v>0.39664060573062088</v>
      </c>
      <c r="Y19" s="275" t="str">
        <f t="shared" si="3"/>
        <v/>
      </c>
      <c r="Z19" s="276">
        <f>0.8/1.1</f>
        <v>0.72727272727272729</v>
      </c>
      <c r="AA19" s="271">
        <f t="shared" si="4"/>
        <v>4.545454545454545</v>
      </c>
      <c r="AB19" s="257" t="s">
        <v>330</v>
      </c>
    </row>
    <row r="20" spans="1:28" s="259" customFormat="1" ht="15" customHeight="1" x14ac:dyDescent="0.25">
      <c r="A20" s="265" t="s">
        <v>1564</v>
      </c>
      <c r="B20" s="536">
        <v>4</v>
      </c>
      <c r="C20" s="258" t="s">
        <v>245</v>
      </c>
      <c r="D20" s="277">
        <v>42390</v>
      </c>
      <c r="E20" s="259" t="str">
        <f>Manufacturers!$B$10</f>
        <v>FYBAGrate</v>
      </c>
      <c r="F20" s="262"/>
      <c r="G20" s="259" t="s">
        <v>174</v>
      </c>
      <c r="H20" s="266"/>
      <c r="I20" s="259">
        <v>285</v>
      </c>
      <c r="K20" s="267">
        <v>2.3E-2</v>
      </c>
      <c r="L20" s="266">
        <f>1000*(10000/4)*950*PI()*(K20/1000)^2</f>
        <v>3.9470184701538766</v>
      </c>
      <c r="N20" s="259" t="s">
        <v>243</v>
      </c>
      <c r="O20" s="259" t="s">
        <v>76</v>
      </c>
      <c r="P20" s="259" t="s">
        <v>83</v>
      </c>
      <c r="Q20" s="268">
        <v>12.047970895011975</v>
      </c>
      <c r="R20" s="268">
        <v>20.168919902954375</v>
      </c>
      <c r="S20" s="401" t="s">
        <v>983</v>
      </c>
      <c r="T20" s="401" t="s">
        <v>983</v>
      </c>
      <c r="U20" s="248">
        <f t="shared" si="1"/>
        <v>5.6520861049063773E-2</v>
      </c>
      <c r="V20" s="268"/>
      <c r="W20" s="268"/>
      <c r="X20" s="269">
        <f t="shared" si="2"/>
        <v>0.59735330166327694</v>
      </c>
      <c r="Y20" s="269" t="str">
        <f t="shared" si="3"/>
        <v/>
      </c>
      <c r="Z20" s="270">
        <f>1.15/1.1</f>
        <v>1.0454545454545452</v>
      </c>
      <c r="AA20" s="271">
        <f t="shared" si="4"/>
        <v>3.6682615629984041</v>
      </c>
      <c r="AB20" s="263" t="s">
        <v>326</v>
      </c>
    </row>
    <row r="21" spans="1:28" s="11" customFormat="1" ht="15" customHeight="1" x14ac:dyDescent="0.25">
      <c r="A21" s="265" t="s">
        <v>1565</v>
      </c>
      <c r="B21" s="536">
        <v>2</v>
      </c>
      <c r="C21" s="258" t="s">
        <v>246</v>
      </c>
      <c r="D21" s="277">
        <v>42390</v>
      </c>
      <c r="E21" s="259" t="str">
        <f>Manufacturers!$B$10</f>
        <v>FYBAGrate</v>
      </c>
      <c r="F21" s="262" t="s">
        <v>1302</v>
      </c>
      <c r="G21" s="259" t="s">
        <v>274</v>
      </c>
      <c r="H21" s="266"/>
      <c r="I21" s="259">
        <v>300</v>
      </c>
      <c r="J21" s="259"/>
      <c r="K21" s="267">
        <v>2.5000000000000001E-2</v>
      </c>
      <c r="L21" s="266">
        <f>1000*(10000/4)*1400*PI()*(K21/1000)^2</f>
        <v>6.8722339297276722</v>
      </c>
      <c r="M21" s="259"/>
      <c r="N21" s="259" t="s">
        <v>243</v>
      </c>
      <c r="O21" s="259" t="s">
        <v>247</v>
      </c>
      <c r="P21" s="259" t="s">
        <v>83</v>
      </c>
      <c r="Q21" s="268">
        <v>9.5639947855640148</v>
      </c>
      <c r="R21" s="268">
        <v>16.636461136284591</v>
      </c>
      <c r="S21" s="401" t="s">
        <v>983</v>
      </c>
      <c r="T21" s="401" t="s">
        <v>983</v>
      </c>
      <c r="U21" s="248">
        <f t="shared" si="1"/>
        <v>4.3667426536414346E-2</v>
      </c>
      <c r="V21" s="268"/>
      <c r="W21" s="268"/>
      <c r="X21" s="269">
        <f t="shared" si="2"/>
        <v>0.57488156328539564</v>
      </c>
      <c r="Y21" s="269" t="str">
        <f t="shared" si="3"/>
        <v/>
      </c>
      <c r="Z21" s="270">
        <f>1.05/1.1</f>
        <v>0.95454545454545447</v>
      </c>
      <c r="AA21" s="271">
        <f t="shared" si="4"/>
        <v>3.1818181818181817</v>
      </c>
      <c r="AB21" s="263" t="s">
        <v>328</v>
      </c>
    </row>
    <row r="22" spans="1:28" s="259" customFormat="1" ht="15" customHeight="1" x14ac:dyDescent="0.25">
      <c r="A22" s="264" t="s">
        <v>1566</v>
      </c>
      <c r="B22" s="536">
        <v>1</v>
      </c>
      <c r="C22" s="260" t="s">
        <v>258</v>
      </c>
      <c r="D22" s="260"/>
      <c r="E22" s="11" t="str">
        <f>Manufacturers!$B$9</f>
        <v>British Felt</v>
      </c>
      <c r="F22" s="261" t="s">
        <v>255</v>
      </c>
      <c r="G22" s="11" t="s">
        <v>274</v>
      </c>
      <c r="H22" s="272"/>
      <c r="I22" s="11">
        <v>242</v>
      </c>
      <c r="J22" s="11"/>
      <c r="K22" s="273">
        <v>1.7000000000000001E-2</v>
      </c>
      <c r="L22" s="272">
        <f>1000*(10000/4)*1400*PI()*(K22/1000)^2</f>
        <v>3.1777209691060757</v>
      </c>
      <c r="M22" s="11"/>
      <c r="N22" s="11" t="s">
        <v>656</v>
      </c>
      <c r="O22" s="11" t="s">
        <v>62</v>
      </c>
      <c r="P22" s="11" t="s">
        <v>251</v>
      </c>
      <c r="Q22" s="274"/>
      <c r="R22" s="274"/>
      <c r="S22" s="532" t="s">
        <v>983</v>
      </c>
      <c r="T22" s="532" t="s">
        <v>983</v>
      </c>
      <c r="U22" s="239" t="str">
        <f t="shared" si="1"/>
        <v/>
      </c>
      <c r="V22" s="274"/>
      <c r="W22" s="274"/>
      <c r="X22" s="275" t="str">
        <f t="shared" si="2"/>
        <v/>
      </c>
      <c r="Y22" s="275" t="str">
        <f t="shared" si="3"/>
        <v/>
      </c>
      <c r="Z22" s="276"/>
      <c r="AA22" s="271" t="str">
        <f t="shared" si="4"/>
        <v/>
      </c>
      <c r="AB22" s="257" t="s">
        <v>256</v>
      </c>
    </row>
    <row r="23" spans="1:28" s="11" customFormat="1" ht="15" customHeight="1" x14ac:dyDescent="0.25">
      <c r="A23" s="265" t="s">
        <v>1567</v>
      </c>
      <c r="B23" s="536">
        <v>1</v>
      </c>
      <c r="C23" s="258" t="s">
        <v>259</v>
      </c>
      <c r="D23" s="258"/>
      <c r="E23" s="259" t="str">
        <f>Manufacturers!$B$9</f>
        <v>British Felt</v>
      </c>
      <c r="F23" s="262" t="s">
        <v>252</v>
      </c>
      <c r="G23" s="259" t="s">
        <v>274</v>
      </c>
      <c r="H23" s="266"/>
      <c r="I23" s="259">
        <v>350</v>
      </c>
      <c r="J23" s="259"/>
      <c r="K23" s="267">
        <v>1.4999999999999999E-2</v>
      </c>
      <c r="L23" s="266">
        <f>1000*(10000/4)*1400*PI()*(K23/1000)^2</f>
        <v>2.4740042147019619</v>
      </c>
      <c r="M23" s="259"/>
      <c r="N23" s="259" t="s">
        <v>656</v>
      </c>
      <c r="O23" s="259" t="s">
        <v>62</v>
      </c>
      <c r="P23" s="259" t="s">
        <v>251</v>
      </c>
      <c r="Q23" s="268"/>
      <c r="R23" s="268"/>
      <c r="S23" s="401" t="s">
        <v>983</v>
      </c>
      <c r="T23" s="401" t="s">
        <v>983</v>
      </c>
      <c r="U23" s="248" t="str">
        <f t="shared" si="1"/>
        <v/>
      </c>
      <c r="V23" s="268"/>
      <c r="W23" s="268"/>
      <c r="X23" s="269" t="str">
        <f t="shared" si="2"/>
        <v/>
      </c>
      <c r="Y23" s="269" t="str">
        <f t="shared" si="3"/>
        <v/>
      </c>
      <c r="Z23" s="270"/>
      <c r="AA23" s="271" t="str">
        <f t="shared" si="4"/>
        <v/>
      </c>
      <c r="AB23" s="263"/>
    </row>
    <row r="24" spans="1:28" s="259" customFormat="1" ht="15" customHeight="1" x14ac:dyDescent="0.25">
      <c r="A24" s="264" t="s">
        <v>1568</v>
      </c>
      <c r="B24" s="536">
        <v>1</v>
      </c>
      <c r="C24" s="260" t="s">
        <v>260</v>
      </c>
      <c r="D24" s="260"/>
      <c r="E24" s="11" t="str">
        <f>Manufacturers!$B$9</f>
        <v>British Felt</v>
      </c>
      <c r="F24" s="261" t="s">
        <v>253</v>
      </c>
      <c r="G24" s="11" t="s">
        <v>274</v>
      </c>
      <c r="H24" s="272"/>
      <c r="I24" s="11">
        <v>414</v>
      </c>
      <c r="J24" s="11"/>
      <c r="K24" s="273">
        <v>1.7000000000000001E-2</v>
      </c>
      <c r="L24" s="272">
        <f>1000*(10000/4)*1400*PI()*(K24/1000)^2</f>
        <v>3.1777209691060757</v>
      </c>
      <c r="M24" s="11"/>
      <c r="N24" s="11" t="s">
        <v>656</v>
      </c>
      <c r="O24" s="11" t="s">
        <v>62</v>
      </c>
      <c r="P24" s="11" t="s">
        <v>251</v>
      </c>
      <c r="Q24" s="274"/>
      <c r="R24" s="274"/>
      <c r="S24" s="532" t="s">
        <v>983</v>
      </c>
      <c r="T24" s="532" t="s">
        <v>983</v>
      </c>
      <c r="U24" s="239" t="str">
        <f t="shared" si="1"/>
        <v/>
      </c>
      <c r="V24" s="274"/>
      <c r="W24" s="274"/>
      <c r="X24" s="275" t="str">
        <f t="shared" si="2"/>
        <v/>
      </c>
      <c r="Y24" s="275" t="str">
        <f t="shared" si="3"/>
        <v/>
      </c>
      <c r="Z24" s="276"/>
      <c r="AA24" s="271" t="str">
        <f t="shared" si="4"/>
        <v/>
      </c>
      <c r="AB24" s="257"/>
    </row>
    <row r="25" spans="1:28" s="11" customFormat="1" ht="15" customHeight="1" x14ac:dyDescent="0.25">
      <c r="A25" s="265" t="s">
        <v>1569</v>
      </c>
      <c r="B25" s="536">
        <v>1</v>
      </c>
      <c r="C25" s="258" t="s">
        <v>261</v>
      </c>
      <c r="D25" s="258"/>
      <c r="E25" s="259" t="str">
        <f>Manufacturers!$B$9</f>
        <v>British Felt</v>
      </c>
      <c r="F25" s="262" t="s">
        <v>254</v>
      </c>
      <c r="G25" s="259" t="s">
        <v>274</v>
      </c>
      <c r="H25" s="266"/>
      <c r="I25" s="259">
        <v>500</v>
      </c>
      <c r="J25" s="259"/>
      <c r="K25" s="267">
        <v>2.4E-2</v>
      </c>
      <c r="L25" s="266">
        <f>1000*(10000/4)*1400*PI()*(K25/1000)^2</f>
        <v>6.3334507896370233</v>
      </c>
      <c r="M25" s="259"/>
      <c r="N25" s="259" t="s">
        <v>656</v>
      </c>
      <c r="O25" s="259" t="s">
        <v>62</v>
      </c>
      <c r="P25" s="259" t="s">
        <v>251</v>
      </c>
      <c r="Q25" s="268"/>
      <c r="R25" s="268"/>
      <c r="S25" s="401" t="s">
        <v>983</v>
      </c>
      <c r="T25" s="401" t="s">
        <v>983</v>
      </c>
      <c r="U25" s="248" t="str">
        <f t="shared" si="1"/>
        <v/>
      </c>
      <c r="V25" s="268"/>
      <c r="W25" s="268"/>
      <c r="X25" s="269" t="str">
        <f t="shared" si="2"/>
        <v/>
      </c>
      <c r="Y25" s="269" t="str">
        <f t="shared" si="3"/>
        <v/>
      </c>
      <c r="Z25" s="270"/>
      <c r="AA25" s="271" t="str">
        <f t="shared" si="4"/>
        <v/>
      </c>
      <c r="AB25" s="263"/>
    </row>
    <row r="26" spans="1:28" s="259" customFormat="1" ht="15" customHeight="1" x14ac:dyDescent="0.25">
      <c r="A26" s="264" t="s">
        <v>1570</v>
      </c>
      <c r="B26" s="536">
        <v>1</v>
      </c>
      <c r="C26" s="260" t="s">
        <v>264</v>
      </c>
      <c r="D26" s="260"/>
      <c r="E26" s="11" t="str">
        <f>Manufacturers!$B$15</f>
        <v>Fleximas</v>
      </c>
      <c r="F26" s="261"/>
      <c r="G26" s="11" t="s">
        <v>174</v>
      </c>
      <c r="H26" s="272"/>
      <c r="I26" s="11">
        <v>90</v>
      </c>
      <c r="J26" s="11"/>
      <c r="K26" s="273">
        <v>2.4E-2</v>
      </c>
      <c r="L26" s="272"/>
      <c r="M26" s="11"/>
      <c r="N26" s="11" t="s">
        <v>656</v>
      </c>
      <c r="O26" s="11" t="s">
        <v>76</v>
      </c>
      <c r="P26" s="11" t="s">
        <v>266</v>
      </c>
      <c r="Q26" s="274"/>
      <c r="R26" s="274"/>
      <c r="S26" s="532" t="s">
        <v>983</v>
      </c>
      <c r="T26" s="532" t="s">
        <v>983</v>
      </c>
      <c r="U26" s="239" t="str">
        <f t="shared" si="1"/>
        <v/>
      </c>
      <c r="V26" s="274"/>
      <c r="W26" s="274"/>
      <c r="X26" s="275" t="str">
        <f t="shared" si="2"/>
        <v/>
      </c>
      <c r="Y26" s="275" t="str">
        <f t="shared" si="3"/>
        <v/>
      </c>
      <c r="Z26" s="276"/>
      <c r="AA26" s="271" t="str">
        <f t="shared" si="4"/>
        <v/>
      </c>
      <c r="AB26" s="257" t="s">
        <v>267</v>
      </c>
    </row>
    <row r="27" spans="1:28" s="11" customFormat="1" ht="15" customHeight="1" x14ac:dyDescent="0.25">
      <c r="A27" s="265" t="s">
        <v>1571</v>
      </c>
      <c r="B27" s="536">
        <v>1</v>
      </c>
      <c r="C27" s="258" t="s">
        <v>265</v>
      </c>
      <c r="D27" s="258"/>
      <c r="E27" s="259" t="str">
        <f>Manufacturers!$B$15</f>
        <v>Fleximas</v>
      </c>
      <c r="F27" s="262"/>
      <c r="G27" s="259" t="s">
        <v>174</v>
      </c>
      <c r="H27" s="266"/>
      <c r="I27" s="259">
        <v>110</v>
      </c>
      <c r="J27" s="259"/>
      <c r="K27" s="267">
        <v>2.5999999999999999E-2</v>
      </c>
      <c r="L27" s="266"/>
      <c r="M27" s="259"/>
      <c r="N27" s="259" t="s">
        <v>656</v>
      </c>
      <c r="O27" s="259" t="s">
        <v>76</v>
      </c>
      <c r="P27" s="259" t="s">
        <v>266</v>
      </c>
      <c r="Q27" s="268"/>
      <c r="R27" s="268"/>
      <c r="S27" s="401" t="s">
        <v>983</v>
      </c>
      <c r="T27" s="401" t="s">
        <v>983</v>
      </c>
      <c r="U27" s="248" t="str">
        <f t="shared" si="1"/>
        <v/>
      </c>
      <c r="V27" s="268"/>
      <c r="W27" s="268"/>
      <c r="X27" s="269" t="str">
        <f t="shared" si="2"/>
        <v/>
      </c>
      <c r="Y27" s="269" t="str">
        <f t="shared" si="3"/>
        <v/>
      </c>
      <c r="Z27" s="270"/>
      <c r="AA27" s="271" t="str">
        <f t="shared" si="4"/>
        <v/>
      </c>
      <c r="AB27" s="263" t="s">
        <v>267</v>
      </c>
    </row>
    <row r="28" spans="1:28" s="259" customFormat="1" ht="15" customHeight="1" x14ac:dyDescent="0.25">
      <c r="A28" s="264" t="s">
        <v>1572</v>
      </c>
      <c r="B28" s="536">
        <v>3</v>
      </c>
      <c r="C28" s="260" t="s">
        <v>268</v>
      </c>
      <c r="D28" s="260"/>
      <c r="E28" s="11" t="str">
        <f>Manufacturers!$B$10</f>
        <v>FYBAGrate</v>
      </c>
      <c r="F28" s="261"/>
      <c r="G28" s="11" t="s">
        <v>274</v>
      </c>
      <c r="H28" s="272"/>
      <c r="I28" s="11">
        <v>100</v>
      </c>
      <c r="J28" s="11"/>
      <c r="K28" s="273">
        <v>2.1000000000000001E-2</v>
      </c>
      <c r="L28" s="272">
        <f>1000*(10000/4)*1400*PI()*(K28/1000)^2</f>
        <v>4.8490482608158461</v>
      </c>
      <c r="M28" s="11"/>
      <c r="N28" s="11" t="s">
        <v>243</v>
      </c>
      <c r="O28" s="11" t="s">
        <v>76</v>
      </c>
      <c r="P28" s="11" t="s">
        <v>83</v>
      </c>
      <c r="Q28" s="274">
        <v>2.4757027680075399</v>
      </c>
      <c r="R28" s="274">
        <v>4.067478919029659</v>
      </c>
      <c r="S28" s="532" t="s">
        <v>983</v>
      </c>
      <c r="T28" s="532" t="s">
        <v>983</v>
      </c>
      <c r="U28" s="239">
        <f t="shared" si="1"/>
        <v>3.2715908435185993E-2</v>
      </c>
      <c r="V28" s="274"/>
      <c r="W28" s="274"/>
      <c r="X28" s="275">
        <f t="shared" si="2"/>
        <v>0.60865779941107734</v>
      </c>
      <c r="Y28" s="275" t="str">
        <f t="shared" si="3"/>
        <v/>
      </c>
      <c r="Z28" s="276">
        <v>0.63</v>
      </c>
      <c r="AA28" s="271">
        <f t="shared" si="4"/>
        <v>6.3</v>
      </c>
      <c r="AB28" s="257" t="s">
        <v>329</v>
      </c>
    </row>
    <row r="29" spans="1:28" s="11" customFormat="1" ht="15" customHeight="1" x14ac:dyDescent="0.25">
      <c r="A29" s="264" t="s">
        <v>1573</v>
      </c>
      <c r="B29" s="536">
        <v>5</v>
      </c>
      <c r="C29" s="260" t="s">
        <v>579</v>
      </c>
      <c r="D29" s="278">
        <v>42390</v>
      </c>
      <c r="E29" s="11" t="str">
        <f>Manufacturers!$B$10</f>
        <v>FYBAGrate</v>
      </c>
      <c r="F29" s="261" t="s">
        <v>578</v>
      </c>
      <c r="G29" s="11" t="s">
        <v>274</v>
      </c>
      <c r="H29" s="272"/>
      <c r="I29" s="11">
        <v>175</v>
      </c>
      <c r="K29" s="273">
        <v>1.6E-2</v>
      </c>
      <c r="L29" s="272">
        <f>1000*(10000/4)*950*PI()*(K29/1000)^2</f>
        <v>1.9100883333825942</v>
      </c>
      <c r="N29" s="11" t="s">
        <v>243</v>
      </c>
      <c r="O29" s="11" t="s">
        <v>76</v>
      </c>
      <c r="P29" s="11" t="s">
        <v>577</v>
      </c>
      <c r="Q29" s="274">
        <v>3.8801213464536701</v>
      </c>
      <c r="R29" s="274">
        <v>12.852929360391791</v>
      </c>
      <c r="S29" s="532" t="s">
        <v>983</v>
      </c>
      <c r="T29" s="532" t="s">
        <v>983</v>
      </c>
      <c r="U29" s="239">
        <f t="shared" si="1"/>
        <v>4.7808716305272746E-2</v>
      </c>
      <c r="V29" s="274"/>
      <c r="W29" s="274"/>
      <c r="X29" s="275">
        <f t="shared" si="2"/>
        <v>0.30188614888142462</v>
      </c>
      <c r="Y29" s="275" t="str">
        <f t="shared" si="3"/>
        <v/>
      </c>
      <c r="Z29" s="276">
        <f>0.75/1.1</f>
        <v>0.68181818181818177</v>
      </c>
      <c r="AA29" s="271">
        <f t="shared" si="4"/>
        <v>3.8961038961038956</v>
      </c>
      <c r="AB29" s="257" t="s">
        <v>327</v>
      </c>
    </row>
    <row r="30" spans="1:28" s="259" customFormat="1" ht="15" customHeight="1" x14ac:dyDescent="0.25">
      <c r="A30" s="265" t="s">
        <v>1574</v>
      </c>
      <c r="B30" s="536">
        <v>4</v>
      </c>
      <c r="C30" s="258" t="s">
        <v>275</v>
      </c>
      <c r="D30" s="258"/>
      <c r="E30" s="259" t="str">
        <f>Manufacturers!$B$15</f>
        <v>Fleximas</v>
      </c>
      <c r="F30" s="262"/>
      <c r="G30" s="259" t="s">
        <v>274</v>
      </c>
      <c r="H30" s="266"/>
      <c r="I30" s="259">
        <v>200</v>
      </c>
      <c r="K30" s="267">
        <v>0.02</v>
      </c>
      <c r="L30" s="266">
        <f>1000*(10000/4)*1400*PI()*(K30/1000)^2</f>
        <v>4.3982297150257113</v>
      </c>
      <c r="N30" s="259" t="s">
        <v>243</v>
      </c>
      <c r="O30" s="259" t="s">
        <v>62</v>
      </c>
      <c r="P30" s="259" t="s">
        <v>83</v>
      </c>
      <c r="Q30" s="268">
        <v>2.8402083036364338</v>
      </c>
      <c r="R30" s="268">
        <v>2.984462934644919</v>
      </c>
      <c r="S30" s="401" t="s">
        <v>983</v>
      </c>
      <c r="T30" s="401" t="s">
        <v>983</v>
      </c>
      <c r="U30" s="248">
        <f t="shared" si="1"/>
        <v>1.4561678095703381E-2</v>
      </c>
      <c r="V30" s="268"/>
      <c r="W30" s="268"/>
      <c r="X30" s="269">
        <f t="shared" si="2"/>
        <v>0.95166479391185732</v>
      </c>
      <c r="Y30" s="269" t="str">
        <f t="shared" si="3"/>
        <v/>
      </c>
      <c r="Z30" s="270"/>
      <c r="AA30" s="271" t="str">
        <f t="shared" si="4"/>
        <v/>
      </c>
      <c r="AB30" s="263" t="s">
        <v>276</v>
      </c>
    </row>
    <row r="31" spans="1:28" s="11" customFormat="1" ht="15" customHeight="1" x14ac:dyDescent="0.25">
      <c r="A31" s="264" t="s">
        <v>1575</v>
      </c>
      <c r="B31" s="536">
        <v>4.5</v>
      </c>
      <c r="C31" s="260" t="s">
        <v>277</v>
      </c>
      <c r="D31" s="260"/>
      <c r="E31" s="11" t="str">
        <f>Manufacturers!$B$5</f>
        <v>Gentug</v>
      </c>
      <c r="F31" s="261"/>
      <c r="G31" s="11" t="s">
        <v>278</v>
      </c>
      <c r="H31" s="272"/>
      <c r="I31" s="11">
        <v>150</v>
      </c>
      <c r="K31" s="273">
        <v>1.4999999999999999E-2</v>
      </c>
      <c r="L31" s="272">
        <f>1000*(10000/4)*1400*PI()*(K31/1000)^2</f>
        <v>2.4740042147019619</v>
      </c>
      <c r="M31" s="11">
        <v>38</v>
      </c>
      <c r="N31" s="11" t="s">
        <v>243</v>
      </c>
      <c r="O31" s="11" t="s">
        <v>76</v>
      </c>
      <c r="P31" s="11" t="s">
        <v>83</v>
      </c>
      <c r="Q31" s="274">
        <v>5.0397292730773833</v>
      </c>
      <c r="R31" s="274">
        <v>5.3878986508922075</v>
      </c>
      <c r="S31" s="532" t="s">
        <v>983</v>
      </c>
      <c r="T31" s="532" t="s">
        <v>983</v>
      </c>
      <c r="U31" s="239">
        <f t="shared" si="1"/>
        <v>3.4758759746565303E-2</v>
      </c>
      <c r="V31" s="274"/>
      <c r="W31" s="274"/>
      <c r="X31" s="275">
        <f t="shared" si="2"/>
        <v>0.9353793750821261</v>
      </c>
      <c r="Y31" s="275" t="str">
        <f t="shared" si="3"/>
        <v/>
      </c>
      <c r="Z31" s="276">
        <v>0.3</v>
      </c>
      <c r="AA31" s="271">
        <f t="shared" si="4"/>
        <v>2</v>
      </c>
      <c r="AB31" s="257" t="s">
        <v>294</v>
      </c>
    </row>
    <row r="32" spans="1:28" s="259" customFormat="1" ht="15" customHeight="1" x14ac:dyDescent="0.25">
      <c r="A32" s="265" t="s">
        <v>1576</v>
      </c>
      <c r="B32" s="536"/>
      <c r="C32" s="258" t="s">
        <v>318</v>
      </c>
      <c r="D32" s="258"/>
      <c r="E32" s="259" t="str">
        <f>Manufacturers!$B$19</f>
        <v>Exxon Mobil</v>
      </c>
      <c r="F32" s="262"/>
      <c r="G32" s="259" t="s">
        <v>320</v>
      </c>
      <c r="H32" s="266"/>
      <c r="I32" s="259">
        <v>110</v>
      </c>
      <c r="K32" s="267"/>
      <c r="L32" s="266"/>
      <c r="N32" s="259" t="s">
        <v>488</v>
      </c>
      <c r="O32" s="259" t="s">
        <v>76</v>
      </c>
      <c r="P32" s="259" t="s">
        <v>322</v>
      </c>
      <c r="Q32" s="268"/>
      <c r="R32" s="268"/>
      <c r="S32" s="401" t="s">
        <v>983</v>
      </c>
      <c r="T32" s="401" t="s">
        <v>983</v>
      </c>
      <c r="U32" s="248" t="str">
        <f t="shared" si="1"/>
        <v/>
      </c>
      <c r="V32" s="268"/>
      <c r="W32" s="268"/>
      <c r="X32" s="269" t="str">
        <f t="shared" si="2"/>
        <v/>
      </c>
      <c r="Y32" s="269" t="str">
        <f t="shared" si="3"/>
        <v/>
      </c>
      <c r="Z32" s="270"/>
      <c r="AA32" s="271" t="str">
        <f t="shared" si="4"/>
        <v/>
      </c>
      <c r="AB32" s="263" t="s">
        <v>324</v>
      </c>
    </row>
    <row r="33" spans="1:28" s="11" customFormat="1" ht="15" customHeight="1" x14ac:dyDescent="0.25">
      <c r="A33" s="264" t="s">
        <v>1577</v>
      </c>
      <c r="B33" s="536"/>
      <c r="C33" s="260" t="s">
        <v>319</v>
      </c>
      <c r="D33" s="260"/>
      <c r="E33" s="11" t="str">
        <f>Manufacturers!$B$20</f>
        <v>Fi-Tech</v>
      </c>
      <c r="F33" s="261" t="s">
        <v>323</v>
      </c>
      <c r="G33" s="11" t="s">
        <v>321</v>
      </c>
      <c r="H33" s="272"/>
      <c r="I33" s="11">
        <v>124</v>
      </c>
      <c r="K33" s="273"/>
      <c r="L33" s="272"/>
      <c r="N33" s="11" t="s">
        <v>85</v>
      </c>
      <c r="O33" s="11" t="s">
        <v>76</v>
      </c>
      <c r="P33" s="11" t="s">
        <v>322</v>
      </c>
      <c r="Q33" s="274"/>
      <c r="R33" s="274"/>
      <c r="S33" s="532" t="s">
        <v>983</v>
      </c>
      <c r="T33" s="532" t="s">
        <v>983</v>
      </c>
      <c r="U33" s="239" t="str">
        <f t="shared" si="1"/>
        <v/>
      </c>
      <c r="V33" s="274"/>
      <c r="W33" s="274"/>
      <c r="X33" s="275" t="str">
        <f t="shared" si="2"/>
        <v/>
      </c>
      <c r="Y33" s="275" t="str">
        <f t="shared" si="3"/>
        <v/>
      </c>
      <c r="Z33" s="276"/>
      <c r="AA33" s="271" t="str">
        <f t="shared" si="4"/>
        <v/>
      </c>
      <c r="AB33" s="257"/>
    </row>
    <row r="34" spans="1:28" s="259" customFormat="1" ht="15" customHeight="1" x14ac:dyDescent="0.25">
      <c r="A34" s="265" t="s">
        <v>1578</v>
      </c>
      <c r="B34" s="536">
        <v>4</v>
      </c>
      <c r="C34" s="258" t="s">
        <v>332</v>
      </c>
      <c r="D34" s="258"/>
      <c r="E34" s="259" t="str">
        <f>Manufacturers!$B$15</f>
        <v>Fleximas</v>
      </c>
      <c r="F34" s="262"/>
      <c r="G34" s="259" t="s">
        <v>342</v>
      </c>
      <c r="H34" s="266"/>
      <c r="I34" s="259">
        <v>84</v>
      </c>
      <c r="K34" s="267"/>
      <c r="L34" s="266"/>
      <c r="N34" s="259" t="s">
        <v>85</v>
      </c>
      <c r="O34" s="259" t="s">
        <v>62</v>
      </c>
      <c r="P34" s="259" t="s">
        <v>333</v>
      </c>
      <c r="Q34" s="268">
        <v>20.991679261427077</v>
      </c>
      <c r="R34" s="268">
        <v>11.851978220841437</v>
      </c>
      <c r="S34" s="401">
        <v>58.5</v>
      </c>
      <c r="T34" s="401">
        <v>42</v>
      </c>
      <c r="U34" s="248">
        <f t="shared" si="1"/>
        <v>0.19549796120397925</v>
      </c>
      <c r="V34" s="268">
        <v>13.225340723527429</v>
      </c>
      <c r="W34" s="268">
        <v>5.8507020117876269</v>
      </c>
      <c r="X34" s="269">
        <f t="shared" si="2"/>
        <v>1.7711540529591661</v>
      </c>
      <c r="Y34" s="269">
        <f t="shared" si="3"/>
        <v>0.56183774081630711</v>
      </c>
      <c r="Z34" s="270"/>
      <c r="AA34" s="271" t="str">
        <f t="shared" si="4"/>
        <v/>
      </c>
      <c r="AB34" s="263" t="s">
        <v>337</v>
      </c>
    </row>
    <row r="35" spans="1:28" s="11" customFormat="1" ht="15" customHeight="1" x14ac:dyDescent="0.25">
      <c r="A35" s="264" t="s">
        <v>158</v>
      </c>
      <c r="B35" s="536">
        <v>4</v>
      </c>
      <c r="C35" s="260" t="s">
        <v>334</v>
      </c>
      <c r="D35" s="260"/>
      <c r="E35" s="11" t="s">
        <v>82</v>
      </c>
      <c r="F35" s="261"/>
      <c r="G35" s="11" t="s">
        <v>343</v>
      </c>
      <c r="H35" s="272"/>
      <c r="I35" s="11">
        <v>200</v>
      </c>
      <c r="K35" s="273"/>
      <c r="L35" s="272"/>
      <c r="N35" s="11" t="s">
        <v>85</v>
      </c>
      <c r="O35" s="11" t="s">
        <v>76</v>
      </c>
      <c r="P35" s="11" t="s">
        <v>333</v>
      </c>
      <c r="Q35" s="274">
        <v>47.201612571285253</v>
      </c>
      <c r="R35" s="274">
        <v>30.787597078725163</v>
      </c>
      <c r="S35" s="532">
        <v>92.25</v>
      </c>
      <c r="T35" s="532">
        <v>92.25</v>
      </c>
      <c r="U35" s="239">
        <f t="shared" si="1"/>
        <v>0.19497302412502607</v>
      </c>
      <c r="V35" s="274">
        <v>29.070675436909077</v>
      </c>
      <c r="W35" s="274">
        <v>20.431577210854439</v>
      </c>
      <c r="X35" s="275">
        <f t="shared" si="2"/>
        <v>1.533137271174128</v>
      </c>
      <c r="Y35" s="275">
        <f t="shared" si="3"/>
        <v>0.63975661717628318</v>
      </c>
      <c r="Z35" s="276"/>
      <c r="AA35" s="271" t="str">
        <f t="shared" si="4"/>
        <v/>
      </c>
      <c r="AB35" s="257" t="s">
        <v>335</v>
      </c>
    </row>
    <row r="36" spans="1:28" s="259" customFormat="1" ht="15" customHeight="1" x14ac:dyDescent="0.25">
      <c r="A36" s="265" t="s">
        <v>159</v>
      </c>
      <c r="B36" s="537">
        <v>4.5</v>
      </c>
      <c r="C36" s="258" t="s">
        <v>376</v>
      </c>
      <c r="D36" s="258"/>
      <c r="E36" s="259" t="s">
        <v>82</v>
      </c>
      <c r="F36" s="262"/>
      <c r="G36" s="259" t="s">
        <v>343</v>
      </c>
      <c r="H36" s="266"/>
      <c r="I36" s="259">
        <v>80</v>
      </c>
      <c r="K36" s="267"/>
      <c r="L36" s="266"/>
      <c r="N36" s="259" t="s">
        <v>85</v>
      </c>
      <c r="O36" s="259" t="s">
        <v>76</v>
      </c>
      <c r="P36" s="259" t="s">
        <v>333</v>
      </c>
      <c r="Q36" s="268">
        <v>10.469163716154826</v>
      </c>
      <c r="R36" s="268">
        <v>11.765446299047033</v>
      </c>
      <c r="S36" s="401">
        <v>37.5</v>
      </c>
      <c r="T36" s="401">
        <v>37.5</v>
      </c>
      <c r="U36" s="248">
        <f t="shared" si="1"/>
        <v>0.13896631259501163</v>
      </c>
      <c r="V36" s="268">
        <v>6.0647159945388562</v>
      </c>
      <c r="W36" s="268">
        <v>7.3554744479552223</v>
      </c>
      <c r="X36" s="269">
        <f t="shared" si="2"/>
        <v>0.88982291449520257</v>
      </c>
      <c r="Y36" s="269">
        <f t="shared" si="3"/>
        <v>0.60223462194288602</v>
      </c>
      <c r="Z36" s="270"/>
      <c r="AA36" s="271" t="str">
        <f t="shared" si="4"/>
        <v/>
      </c>
      <c r="AB36" s="263" t="s">
        <v>336</v>
      </c>
    </row>
    <row r="37" spans="1:28" s="11" customFormat="1" ht="15" customHeight="1" x14ac:dyDescent="0.25">
      <c r="A37" s="264" t="s">
        <v>160</v>
      </c>
      <c r="B37" s="536">
        <v>4</v>
      </c>
      <c r="C37" s="260" t="s">
        <v>340</v>
      </c>
      <c r="D37" s="260"/>
      <c r="E37" s="11" t="s">
        <v>82</v>
      </c>
      <c r="F37" s="261"/>
      <c r="G37" s="11" t="s">
        <v>547</v>
      </c>
      <c r="H37" s="272"/>
      <c r="I37" s="11">
        <v>400</v>
      </c>
      <c r="K37" s="273"/>
      <c r="L37" s="272"/>
      <c r="N37" s="11" t="s">
        <v>85</v>
      </c>
      <c r="O37" s="11" t="s">
        <v>76</v>
      </c>
      <c r="P37" s="11" t="s">
        <v>348</v>
      </c>
      <c r="Q37" s="274">
        <v>44.455882338957558</v>
      </c>
      <c r="R37" s="274">
        <v>48.85445405576268</v>
      </c>
      <c r="S37" s="532">
        <v>120</v>
      </c>
      <c r="T37" s="532">
        <v>120</v>
      </c>
      <c r="U37" s="239">
        <f t="shared" si="1"/>
        <v>0.1166379204934003</v>
      </c>
      <c r="V37" s="274">
        <v>25.241805415885956</v>
      </c>
      <c r="W37" s="274">
        <v>33.772703335936662</v>
      </c>
      <c r="X37" s="275">
        <f t="shared" si="2"/>
        <v>0.90996579939702993</v>
      </c>
      <c r="Y37" s="275">
        <f t="shared" si="3"/>
        <v>0.62954335241839698</v>
      </c>
      <c r="Z37" s="276"/>
      <c r="AA37" s="271" t="str">
        <f t="shared" si="4"/>
        <v/>
      </c>
      <c r="AB37" s="257"/>
    </row>
    <row r="38" spans="1:28" s="259" customFormat="1" ht="15" customHeight="1" x14ac:dyDescent="0.25">
      <c r="A38" s="265" t="s">
        <v>161</v>
      </c>
      <c r="B38" s="537">
        <v>4</v>
      </c>
      <c r="C38" s="258" t="s">
        <v>341</v>
      </c>
      <c r="D38" s="258"/>
      <c r="E38" s="259" t="s">
        <v>82</v>
      </c>
      <c r="F38" s="262"/>
      <c r="G38" s="259" t="s">
        <v>547</v>
      </c>
      <c r="H38" s="266"/>
      <c r="I38" s="259">
        <v>260</v>
      </c>
      <c r="K38" s="267"/>
      <c r="L38" s="266"/>
      <c r="N38" s="259" t="s">
        <v>85</v>
      </c>
      <c r="O38" s="259" t="s">
        <v>76</v>
      </c>
      <c r="P38" s="259" t="s">
        <v>348</v>
      </c>
      <c r="Q38" s="268">
        <v>28.66056621651493</v>
      </c>
      <c r="R38" s="268">
        <v>21.466554785993782</v>
      </c>
      <c r="S38" s="401">
        <v>75</v>
      </c>
      <c r="T38" s="401">
        <v>75</v>
      </c>
      <c r="U38" s="248">
        <f t="shared" si="1"/>
        <v>9.6398309620209066E-2</v>
      </c>
      <c r="V38" s="268">
        <v>18.274511197181209</v>
      </c>
      <c r="W38" s="268">
        <v>15.607681116385157</v>
      </c>
      <c r="X38" s="269">
        <f t="shared" si="2"/>
        <v>1.3351265027034054</v>
      </c>
      <c r="Y38" s="269">
        <f t="shared" si="3"/>
        <v>0.68234415897325817</v>
      </c>
      <c r="Z38" s="270"/>
      <c r="AA38" s="271" t="str">
        <f t="shared" si="4"/>
        <v/>
      </c>
      <c r="AB38" s="263"/>
    </row>
    <row r="39" spans="1:28" s="11" customFormat="1" ht="15" customHeight="1" x14ac:dyDescent="0.25">
      <c r="A39" s="264" t="s">
        <v>162</v>
      </c>
      <c r="B39" s="536">
        <v>4</v>
      </c>
      <c r="C39" s="260" t="s">
        <v>514</v>
      </c>
      <c r="D39" s="260"/>
      <c r="E39" s="11" t="s">
        <v>82</v>
      </c>
      <c r="F39" s="261"/>
      <c r="G39" s="11" t="s">
        <v>515</v>
      </c>
      <c r="H39" s="272"/>
      <c r="I39" s="11">
        <v>170</v>
      </c>
      <c r="K39" s="273"/>
      <c r="L39" s="272"/>
      <c r="N39" s="11" t="s">
        <v>85</v>
      </c>
      <c r="O39" s="11" t="s">
        <v>345</v>
      </c>
      <c r="P39" s="11" t="s">
        <v>348</v>
      </c>
      <c r="Q39" s="274">
        <v>21.847352582151654</v>
      </c>
      <c r="R39" s="274">
        <v>21.034694295457431</v>
      </c>
      <c r="S39" s="532">
        <v>58.5</v>
      </c>
      <c r="T39" s="532">
        <v>58.5</v>
      </c>
      <c r="U39" s="239">
        <f t="shared" si="1"/>
        <v>0.12612366728708554</v>
      </c>
      <c r="V39" s="274">
        <v>13.775608668221642</v>
      </c>
      <c r="W39" s="274">
        <v>14.839208373124455</v>
      </c>
      <c r="X39" s="275">
        <f t="shared" si="2"/>
        <v>1.0386341857542338</v>
      </c>
      <c r="Y39" s="275">
        <f t="shared" si="3"/>
        <v>0.66800125242462105</v>
      </c>
      <c r="Z39" s="276"/>
      <c r="AA39" s="271" t="str">
        <f t="shared" si="4"/>
        <v/>
      </c>
      <c r="AB39" s="257"/>
    </row>
    <row r="40" spans="1:28" s="259" customFormat="1" ht="15" customHeight="1" x14ac:dyDescent="0.25">
      <c r="A40" s="265" t="s">
        <v>163</v>
      </c>
      <c r="B40" s="537">
        <v>3.5</v>
      </c>
      <c r="C40" s="258" t="s">
        <v>346</v>
      </c>
      <c r="D40" s="258"/>
      <c r="E40" s="259" t="s">
        <v>82</v>
      </c>
      <c r="F40" s="262"/>
      <c r="G40" s="259" t="s">
        <v>344</v>
      </c>
      <c r="H40" s="266"/>
      <c r="I40" s="259">
        <v>65</v>
      </c>
      <c r="K40" s="267"/>
      <c r="L40" s="266"/>
      <c r="N40" s="259" t="s">
        <v>85</v>
      </c>
      <c r="O40" s="259" t="s">
        <v>138</v>
      </c>
      <c r="P40" s="259" t="s">
        <v>348</v>
      </c>
      <c r="Q40" s="268">
        <v>8.0573781085060698</v>
      </c>
      <c r="R40" s="268">
        <v>3.7349201629124527</v>
      </c>
      <c r="S40" s="401">
        <v>41.25</v>
      </c>
      <c r="T40" s="401">
        <v>15</v>
      </c>
      <c r="U40" s="248">
        <f t="shared" si="1"/>
        <v>9.0709986703219406E-2</v>
      </c>
      <c r="V40" s="268">
        <v>5.0660614517858837</v>
      </c>
      <c r="W40" s="268">
        <v>3.418066018021916</v>
      </c>
      <c r="X40" s="269">
        <f t="shared" si="2"/>
        <v>2.1573093284604532</v>
      </c>
      <c r="Y40" s="269">
        <f t="shared" si="3"/>
        <v>0.77195627350698681</v>
      </c>
      <c r="Z40" s="270"/>
      <c r="AA40" s="271" t="str">
        <f t="shared" si="4"/>
        <v/>
      </c>
      <c r="AB40" s="263"/>
    </row>
    <row r="41" spans="1:28" s="11" customFormat="1" ht="15" customHeight="1" x14ac:dyDescent="0.25">
      <c r="A41" s="264" t="s">
        <v>164</v>
      </c>
      <c r="B41" s="536">
        <v>3</v>
      </c>
      <c r="C41" s="260" t="s">
        <v>347</v>
      </c>
      <c r="D41" s="260"/>
      <c r="E41" s="11" t="s">
        <v>82</v>
      </c>
      <c r="F41" s="261"/>
      <c r="G41" s="11" t="s">
        <v>427</v>
      </c>
      <c r="H41" s="272"/>
      <c r="I41" s="11">
        <v>80</v>
      </c>
      <c r="K41" s="273"/>
      <c r="L41" s="272"/>
      <c r="N41" s="11" t="s">
        <v>85</v>
      </c>
      <c r="O41" s="11" t="s">
        <v>76</v>
      </c>
      <c r="P41" s="11" t="s">
        <v>348</v>
      </c>
      <c r="Q41" s="274">
        <v>9.0294428661314807</v>
      </c>
      <c r="R41" s="274">
        <v>11.862158104532528</v>
      </c>
      <c r="S41" s="532">
        <v>71.25</v>
      </c>
      <c r="T41" s="532">
        <v>47.25</v>
      </c>
      <c r="U41" s="239">
        <f t="shared" ref="U41:U72" si="5">IF(AND((I41&gt;0),Q41&gt;0),AVERAGE(Q41:R41)/I41,"")</f>
        <v>0.13057250606665005</v>
      </c>
      <c r="V41" s="274">
        <v>5.0821033850356194</v>
      </c>
      <c r="W41" s="274">
        <v>6.8991126310821542</v>
      </c>
      <c r="X41" s="275">
        <f t="shared" si="2"/>
        <v>0.76119731220589049</v>
      </c>
      <c r="Y41" s="275">
        <f t="shared" si="3"/>
        <v>0.57222187069712127</v>
      </c>
      <c r="Z41" s="276"/>
      <c r="AA41" s="271" t="str">
        <f t="shared" ref="AA41:AA72" si="6">IF(AND(I41&gt;0,Z41&gt;0),1000*(Z41/I41),"")</f>
        <v/>
      </c>
      <c r="AB41" s="257"/>
    </row>
    <row r="42" spans="1:28" s="259" customFormat="1" ht="15" customHeight="1" x14ac:dyDescent="0.25">
      <c r="A42" s="265" t="s">
        <v>165</v>
      </c>
      <c r="B42" s="7">
        <v>5</v>
      </c>
      <c r="C42" s="258" t="s">
        <v>428</v>
      </c>
      <c r="D42" s="258"/>
      <c r="E42" s="259" t="str">
        <f>Manufacturers!$B$10</f>
        <v>FYBAGrate</v>
      </c>
      <c r="F42" s="262"/>
      <c r="G42" s="259" t="s">
        <v>274</v>
      </c>
      <c r="H42" s="266"/>
      <c r="I42" s="259">
        <v>340</v>
      </c>
      <c r="K42" s="267">
        <f>L42*($K$31/$L$31)</f>
        <v>0.10307177266903698</v>
      </c>
      <c r="L42" s="266">
        <v>17</v>
      </c>
      <c r="N42" s="259" t="s">
        <v>243</v>
      </c>
      <c r="O42" s="259" t="s">
        <v>76</v>
      </c>
      <c r="P42" s="259" t="s">
        <v>83</v>
      </c>
      <c r="Q42" s="268">
        <v>8</v>
      </c>
      <c r="R42" s="268">
        <v>11</v>
      </c>
      <c r="S42" s="401">
        <v>1.5</v>
      </c>
      <c r="T42" s="401">
        <v>1.5</v>
      </c>
      <c r="U42" s="248">
        <f t="shared" si="5"/>
        <v>2.7941176470588237E-2</v>
      </c>
      <c r="V42" s="268"/>
      <c r="W42" s="268"/>
      <c r="X42" s="269">
        <f t="shared" si="2"/>
        <v>0.72727272727272729</v>
      </c>
      <c r="Y42" s="269" t="str">
        <f t="shared" si="3"/>
        <v/>
      </c>
      <c r="Z42" s="270"/>
      <c r="AA42" s="271" t="str">
        <f t="shared" si="6"/>
        <v/>
      </c>
      <c r="AB42" s="263" t="s">
        <v>429</v>
      </c>
    </row>
    <row r="43" spans="1:28" s="11" customFormat="1" ht="15" customHeight="1" x14ac:dyDescent="0.25">
      <c r="A43" s="264" t="s">
        <v>166</v>
      </c>
      <c r="B43" s="536"/>
      <c r="C43" s="260" t="s">
        <v>432</v>
      </c>
      <c r="D43" s="260"/>
      <c r="E43" s="11" t="str">
        <f>Manufacturers!$B$10</f>
        <v>FYBAGrate</v>
      </c>
      <c r="F43" s="261"/>
      <c r="G43" s="11" t="s">
        <v>274</v>
      </c>
      <c r="H43" s="272"/>
      <c r="I43" s="11">
        <v>100</v>
      </c>
      <c r="K43" s="273"/>
      <c r="L43" s="272"/>
      <c r="N43" s="11" t="s">
        <v>243</v>
      </c>
      <c r="O43" s="11" t="s">
        <v>76</v>
      </c>
      <c r="P43" s="11" t="s">
        <v>83</v>
      </c>
      <c r="Q43" s="274">
        <v>8</v>
      </c>
      <c r="R43" s="274">
        <v>3.5</v>
      </c>
      <c r="S43" s="532">
        <v>24.75</v>
      </c>
      <c r="T43" s="532">
        <v>15</v>
      </c>
      <c r="U43" s="239">
        <f t="shared" si="5"/>
        <v>5.7500000000000002E-2</v>
      </c>
      <c r="V43" s="274"/>
      <c r="W43" s="274"/>
      <c r="X43" s="275">
        <f t="shared" si="2"/>
        <v>2.2857142857142856</v>
      </c>
      <c r="Y43" s="275" t="str">
        <f t="shared" si="3"/>
        <v/>
      </c>
      <c r="Z43" s="276"/>
      <c r="AA43" s="271" t="str">
        <f t="shared" si="6"/>
        <v/>
      </c>
      <c r="AB43" s="257" t="s">
        <v>430</v>
      </c>
    </row>
    <row r="44" spans="1:28" s="259" customFormat="1" ht="15" customHeight="1" x14ac:dyDescent="0.25">
      <c r="A44" s="265" t="s">
        <v>167</v>
      </c>
      <c r="B44" s="7"/>
      <c r="C44" s="258" t="s">
        <v>433</v>
      </c>
      <c r="D44" s="258"/>
      <c r="E44" s="259" t="str">
        <f>Manufacturers!$B$10</f>
        <v>FYBAGrate</v>
      </c>
      <c r="F44" s="262"/>
      <c r="G44" s="259" t="s">
        <v>274</v>
      </c>
      <c r="H44" s="266"/>
      <c r="I44" s="259">
        <v>350</v>
      </c>
      <c r="K44" s="267">
        <f>L44*($K$31/$L$31)</f>
        <v>0.16976527263135502</v>
      </c>
      <c r="L44" s="266">
        <v>28</v>
      </c>
      <c r="N44" s="259" t="s">
        <v>243</v>
      </c>
      <c r="O44" s="259" t="s">
        <v>76</v>
      </c>
      <c r="P44" s="259" t="s">
        <v>83</v>
      </c>
      <c r="Q44" s="268">
        <v>10</v>
      </c>
      <c r="R44" s="268">
        <v>10</v>
      </c>
      <c r="S44" s="401">
        <v>1.5</v>
      </c>
      <c r="T44" s="401">
        <v>1.5</v>
      </c>
      <c r="U44" s="248">
        <f t="shared" si="5"/>
        <v>2.8571428571428571E-2</v>
      </c>
      <c r="V44" s="268"/>
      <c r="W44" s="268"/>
      <c r="X44" s="269">
        <f t="shared" si="2"/>
        <v>1</v>
      </c>
      <c r="Y44" s="269" t="str">
        <f t="shared" si="3"/>
        <v/>
      </c>
      <c r="Z44" s="270"/>
      <c r="AA44" s="271" t="str">
        <f t="shared" si="6"/>
        <v/>
      </c>
      <c r="AB44" s="263"/>
    </row>
    <row r="45" spans="1:28" s="11" customFormat="1" ht="15" customHeight="1" x14ac:dyDescent="0.25">
      <c r="A45" s="264" t="s">
        <v>168</v>
      </c>
      <c r="B45" s="536"/>
      <c r="C45" s="260" t="s">
        <v>435</v>
      </c>
      <c r="D45" s="260"/>
      <c r="E45" s="11" t="str">
        <f>Manufacturers!$B$10</f>
        <v>FYBAGrate</v>
      </c>
      <c r="F45" s="261"/>
      <c r="G45" s="11" t="s">
        <v>274</v>
      </c>
      <c r="H45" s="272"/>
      <c r="I45" s="11">
        <v>40</v>
      </c>
      <c r="K45" s="273"/>
      <c r="L45" s="272"/>
      <c r="N45" s="11" t="s">
        <v>655</v>
      </c>
      <c r="O45" s="11" t="s">
        <v>76</v>
      </c>
      <c r="P45" s="11" t="s">
        <v>434</v>
      </c>
      <c r="Q45" s="274">
        <v>1</v>
      </c>
      <c r="R45" s="274">
        <v>0</v>
      </c>
      <c r="S45" s="532">
        <v>2.25</v>
      </c>
      <c r="T45" s="532" t="s">
        <v>983</v>
      </c>
      <c r="U45" s="239">
        <f t="shared" si="5"/>
        <v>1.2500000000000001E-2</v>
      </c>
      <c r="V45" s="274"/>
      <c r="W45" s="274"/>
      <c r="X45" s="275" t="str">
        <f t="shared" si="2"/>
        <v/>
      </c>
      <c r="Y45" s="275" t="str">
        <f t="shared" si="3"/>
        <v/>
      </c>
      <c r="Z45" s="276"/>
      <c r="AA45" s="271" t="str">
        <f t="shared" si="6"/>
        <v/>
      </c>
      <c r="AB45" s="257"/>
    </row>
    <row r="46" spans="1:28" s="259" customFormat="1" ht="15" customHeight="1" x14ac:dyDescent="0.25">
      <c r="A46" s="265" t="s">
        <v>169</v>
      </c>
      <c r="B46" s="537">
        <v>2</v>
      </c>
      <c r="C46" s="258" t="s">
        <v>513</v>
      </c>
      <c r="D46" s="277">
        <v>42649</v>
      </c>
      <c r="E46" s="259" t="str">
        <f>Manufacturers!$B$26</f>
        <v>Don &amp; Low/Thrace</v>
      </c>
      <c r="F46" s="262" t="s">
        <v>530</v>
      </c>
      <c r="G46" s="259" t="s">
        <v>174</v>
      </c>
      <c r="H46" s="266"/>
      <c r="I46" s="259">
        <v>107</v>
      </c>
      <c r="K46" s="267"/>
      <c r="L46" s="266"/>
      <c r="N46" s="259" t="s">
        <v>85</v>
      </c>
      <c r="O46" s="259" t="s">
        <v>76</v>
      </c>
      <c r="P46" s="259" t="s">
        <v>526</v>
      </c>
      <c r="Q46" s="268">
        <v>28.6</v>
      </c>
      <c r="R46" s="268">
        <v>33.299999999999997</v>
      </c>
      <c r="S46" s="401">
        <v>71.25</v>
      </c>
      <c r="T46" s="401">
        <v>71.25</v>
      </c>
      <c r="U46" s="248">
        <f t="shared" si="5"/>
        <v>0.2892523364485981</v>
      </c>
      <c r="V46" s="268"/>
      <c r="W46" s="268"/>
      <c r="X46" s="269">
        <f t="shared" si="2"/>
        <v>0.85885885885885893</v>
      </c>
      <c r="Y46" s="269" t="str">
        <f t="shared" si="3"/>
        <v/>
      </c>
      <c r="Z46" s="270">
        <v>0.7</v>
      </c>
      <c r="AA46" s="271">
        <f t="shared" si="6"/>
        <v>6.5420560747663545</v>
      </c>
      <c r="AB46" s="263" t="s">
        <v>529</v>
      </c>
    </row>
    <row r="47" spans="1:28" s="11" customFormat="1" ht="15" customHeight="1" x14ac:dyDescent="0.25">
      <c r="A47" s="264" t="s">
        <v>170</v>
      </c>
      <c r="B47" s="536">
        <v>2</v>
      </c>
      <c r="C47" s="260" t="s">
        <v>437</v>
      </c>
      <c r="D47" s="260"/>
      <c r="E47" s="11" t="str">
        <f>Manufacturers!B6</f>
        <v>Trutzscler</v>
      </c>
      <c r="F47" s="261"/>
      <c r="G47" s="11" t="s">
        <v>174</v>
      </c>
      <c r="H47" s="272"/>
      <c r="I47" s="11">
        <v>150</v>
      </c>
      <c r="K47" s="273"/>
      <c r="L47" s="272"/>
      <c r="N47" s="11" t="s">
        <v>243</v>
      </c>
      <c r="O47" s="11" t="s">
        <v>76</v>
      </c>
      <c r="P47" s="11" t="s">
        <v>80</v>
      </c>
      <c r="Q47" s="274">
        <v>6</v>
      </c>
      <c r="R47" s="274">
        <v>10</v>
      </c>
      <c r="S47" s="532" t="s">
        <v>983</v>
      </c>
      <c r="T47" s="532" t="s">
        <v>983</v>
      </c>
      <c r="U47" s="239">
        <f t="shared" si="5"/>
        <v>5.3333333333333337E-2</v>
      </c>
      <c r="V47" s="274"/>
      <c r="W47" s="274"/>
      <c r="X47" s="275">
        <f t="shared" si="2"/>
        <v>0.6</v>
      </c>
      <c r="Y47" s="275" t="str">
        <f t="shared" si="3"/>
        <v/>
      </c>
      <c r="Z47" s="276"/>
      <c r="AA47" s="271" t="str">
        <f t="shared" si="6"/>
        <v/>
      </c>
      <c r="AB47" s="257"/>
    </row>
    <row r="48" spans="1:28" s="259" customFormat="1" ht="15" customHeight="1" x14ac:dyDescent="0.25">
      <c r="A48" s="265" t="s">
        <v>171</v>
      </c>
      <c r="B48" s="537">
        <v>4</v>
      </c>
      <c r="C48" s="258"/>
      <c r="D48" s="258"/>
      <c r="E48" s="259" t="str">
        <f>Manufacturers!$B$21</f>
        <v>AMR</v>
      </c>
      <c r="F48" s="262"/>
      <c r="G48" s="259" t="s">
        <v>174</v>
      </c>
      <c r="H48" s="266"/>
      <c r="I48" s="259">
        <v>190</v>
      </c>
      <c r="K48" s="267">
        <f t="shared" ref="K48:K54" si="7">L48*($K$31/$L$31)</f>
        <v>3.6378272706718937E-2</v>
      </c>
      <c r="L48" s="266">
        <v>6</v>
      </c>
      <c r="N48" s="259" t="s">
        <v>243</v>
      </c>
      <c r="O48" s="259" t="s">
        <v>76</v>
      </c>
      <c r="P48" s="259" t="s">
        <v>476</v>
      </c>
      <c r="Q48" s="268"/>
      <c r="R48" s="268"/>
      <c r="S48" s="401" t="s">
        <v>983</v>
      </c>
      <c r="T48" s="401" t="s">
        <v>983</v>
      </c>
      <c r="U48" s="248" t="str">
        <f t="shared" si="5"/>
        <v/>
      </c>
      <c r="V48" s="268"/>
      <c r="W48" s="268"/>
      <c r="X48" s="269" t="str">
        <f t="shared" si="2"/>
        <v/>
      </c>
      <c r="Y48" s="269" t="str">
        <f t="shared" si="3"/>
        <v/>
      </c>
      <c r="Z48" s="270">
        <v>0.42</v>
      </c>
      <c r="AA48" s="271">
        <f t="shared" si="6"/>
        <v>2.2105263157894735</v>
      </c>
      <c r="AB48" s="263" t="s">
        <v>444</v>
      </c>
    </row>
    <row r="49" spans="1:28" s="11" customFormat="1" ht="15" customHeight="1" x14ac:dyDescent="0.25">
      <c r="A49" s="264" t="s">
        <v>172</v>
      </c>
      <c r="B49" s="40">
        <v>3</v>
      </c>
      <c r="C49" s="260"/>
      <c r="D49" s="260"/>
      <c r="E49" s="11" t="str">
        <f>Manufacturers!$B$21</f>
        <v>AMR</v>
      </c>
      <c r="F49" s="261"/>
      <c r="G49" s="11" t="s">
        <v>274</v>
      </c>
      <c r="H49" s="272"/>
      <c r="I49" s="11">
        <v>150</v>
      </c>
      <c r="K49" s="273">
        <f t="shared" si="7"/>
        <v>3.6378272706718937E-2</v>
      </c>
      <c r="L49" s="272">
        <v>6</v>
      </c>
      <c r="N49" s="11" t="s">
        <v>243</v>
      </c>
      <c r="O49" s="11" t="s">
        <v>76</v>
      </c>
      <c r="P49" s="11" t="s">
        <v>441</v>
      </c>
      <c r="Q49" s="274"/>
      <c r="R49" s="274"/>
      <c r="S49" s="532" t="s">
        <v>983</v>
      </c>
      <c r="T49" s="532" t="s">
        <v>983</v>
      </c>
      <c r="U49" s="239" t="str">
        <f t="shared" si="5"/>
        <v/>
      </c>
      <c r="V49" s="274"/>
      <c r="W49" s="274"/>
      <c r="X49" s="275" t="str">
        <f t="shared" si="2"/>
        <v/>
      </c>
      <c r="Y49" s="275" t="str">
        <f t="shared" si="3"/>
        <v/>
      </c>
      <c r="Z49" s="276">
        <v>0.3</v>
      </c>
      <c r="AA49" s="271">
        <f t="shared" si="6"/>
        <v>2</v>
      </c>
      <c r="AB49" s="257" t="s">
        <v>445</v>
      </c>
    </row>
    <row r="50" spans="1:28" s="259" customFormat="1" ht="15" customHeight="1" x14ac:dyDescent="0.25">
      <c r="A50" s="265" t="s">
        <v>173</v>
      </c>
      <c r="B50" s="259">
        <v>5</v>
      </c>
      <c r="C50" s="258"/>
      <c r="D50" s="258"/>
      <c r="E50" s="259" t="str">
        <f>Manufacturers!$B$21</f>
        <v>AMR</v>
      </c>
      <c r="F50" s="262"/>
      <c r="G50" s="259" t="s">
        <v>274</v>
      </c>
      <c r="H50" s="266"/>
      <c r="I50" s="259">
        <v>200</v>
      </c>
      <c r="K50" s="267">
        <f t="shared" si="7"/>
        <v>3.6378272706718937E-2</v>
      </c>
      <c r="L50" s="266">
        <v>6</v>
      </c>
      <c r="N50" s="259" t="s">
        <v>243</v>
      </c>
      <c r="O50" s="259" t="s">
        <v>76</v>
      </c>
      <c r="P50" s="259" t="s">
        <v>441</v>
      </c>
      <c r="Q50" s="268"/>
      <c r="R50" s="268"/>
      <c r="S50" s="401" t="s">
        <v>983</v>
      </c>
      <c r="T50" s="401" t="s">
        <v>983</v>
      </c>
      <c r="U50" s="248" t="str">
        <f t="shared" si="5"/>
        <v/>
      </c>
      <c r="V50" s="268"/>
      <c r="W50" s="268"/>
      <c r="X50" s="269" t="str">
        <f t="shared" si="2"/>
        <v/>
      </c>
      <c r="Y50" s="269" t="str">
        <f t="shared" si="3"/>
        <v/>
      </c>
      <c r="Z50" s="270">
        <v>0.4</v>
      </c>
      <c r="AA50" s="271">
        <f t="shared" si="6"/>
        <v>2</v>
      </c>
      <c r="AB50" s="263" t="s">
        <v>442</v>
      </c>
    </row>
    <row r="51" spans="1:28" s="11" customFormat="1" ht="15" customHeight="1" x14ac:dyDescent="0.25">
      <c r="A51" s="264" t="s">
        <v>438</v>
      </c>
      <c r="B51" s="40">
        <v>3</v>
      </c>
      <c r="C51" s="260"/>
      <c r="D51" s="260"/>
      <c r="E51" s="11" t="str">
        <f>Manufacturers!$B$21</f>
        <v>AMR</v>
      </c>
      <c r="F51" s="261"/>
      <c r="G51" s="11" t="s">
        <v>274</v>
      </c>
      <c r="H51" s="272"/>
      <c r="I51" s="11">
        <v>200</v>
      </c>
      <c r="K51" s="273">
        <f t="shared" si="7"/>
        <v>3.6378272706718937E-2</v>
      </c>
      <c r="L51" s="272">
        <v>6</v>
      </c>
      <c r="N51" s="11" t="s">
        <v>243</v>
      </c>
      <c r="O51" s="11" t="s">
        <v>76</v>
      </c>
      <c r="P51" s="11" t="s">
        <v>441</v>
      </c>
      <c r="Q51" s="274"/>
      <c r="R51" s="274"/>
      <c r="S51" s="532" t="s">
        <v>983</v>
      </c>
      <c r="T51" s="532" t="s">
        <v>983</v>
      </c>
      <c r="U51" s="239" t="str">
        <f t="shared" si="5"/>
        <v/>
      </c>
      <c r="V51" s="274"/>
      <c r="W51" s="274"/>
      <c r="X51" s="274"/>
      <c r="Y51" s="274"/>
      <c r="Z51" s="276">
        <v>0.4</v>
      </c>
      <c r="AA51" s="271">
        <f t="shared" si="6"/>
        <v>2</v>
      </c>
      <c r="AB51" s="257" t="s">
        <v>443</v>
      </c>
    </row>
    <row r="52" spans="1:28" s="259" customFormat="1" ht="15" customHeight="1" x14ac:dyDescent="0.25">
      <c r="A52" s="265" t="s">
        <v>439</v>
      </c>
      <c r="B52" s="279">
        <v>3</v>
      </c>
      <c r="C52" s="258"/>
      <c r="D52" s="258"/>
      <c r="E52" s="259" t="str">
        <f>Manufacturers!$B$21</f>
        <v>AMR</v>
      </c>
      <c r="F52" s="262"/>
      <c r="G52" s="259" t="s">
        <v>274</v>
      </c>
      <c r="H52" s="266"/>
      <c r="I52" s="259">
        <v>300</v>
      </c>
      <c r="K52" s="267">
        <f t="shared" si="7"/>
        <v>3.6378272706718937E-2</v>
      </c>
      <c r="L52" s="266">
        <v>6</v>
      </c>
      <c r="N52" s="259" t="s">
        <v>243</v>
      </c>
      <c r="O52" s="259" t="s">
        <v>76</v>
      </c>
      <c r="P52" s="259" t="s">
        <v>441</v>
      </c>
      <c r="Q52" s="268"/>
      <c r="R52" s="268"/>
      <c r="S52" s="401" t="s">
        <v>983</v>
      </c>
      <c r="T52" s="401" t="s">
        <v>983</v>
      </c>
      <c r="U52" s="248" t="str">
        <f t="shared" si="5"/>
        <v/>
      </c>
      <c r="V52" s="268"/>
      <c r="W52" s="268"/>
      <c r="X52" s="268"/>
      <c r="Y52" s="268"/>
      <c r="Z52" s="270">
        <v>0.6</v>
      </c>
      <c r="AA52" s="271">
        <f t="shared" si="6"/>
        <v>2</v>
      </c>
      <c r="AB52" s="263" t="s">
        <v>446</v>
      </c>
    </row>
    <row r="53" spans="1:28" s="11" customFormat="1" ht="15" customHeight="1" x14ac:dyDescent="0.25">
      <c r="A53" s="264" t="s">
        <v>440</v>
      </c>
      <c r="B53" s="40">
        <v>3</v>
      </c>
      <c r="C53" s="260"/>
      <c r="D53" s="260"/>
      <c r="E53" s="11" t="str">
        <f>Manufacturers!$B$21</f>
        <v>AMR</v>
      </c>
      <c r="F53" s="261"/>
      <c r="G53" s="11" t="s">
        <v>274</v>
      </c>
      <c r="H53" s="272"/>
      <c r="I53" s="11">
        <v>330</v>
      </c>
      <c r="K53" s="273">
        <f t="shared" si="7"/>
        <v>9.0945681766797334E-2</v>
      </c>
      <c r="L53" s="272">
        <v>15</v>
      </c>
      <c r="N53" s="11" t="s">
        <v>243</v>
      </c>
      <c r="O53" s="11" t="s">
        <v>76</v>
      </c>
      <c r="P53" s="11" t="s">
        <v>441</v>
      </c>
      <c r="Q53" s="274"/>
      <c r="R53" s="274"/>
      <c r="S53" s="532" t="s">
        <v>983</v>
      </c>
      <c r="T53" s="532" t="s">
        <v>983</v>
      </c>
      <c r="U53" s="239" t="str">
        <f t="shared" si="5"/>
        <v/>
      </c>
      <c r="V53" s="274"/>
      <c r="W53" s="274"/>
      <c r="X53" s="274"/>
      <c r="Y53" s="274"/>
      <c r="Z53" s="276">
        <v>0.66</v>
      </c>
      <c r="AA53" s="271">
        <f t="shared" si="6"/>
        <v>2</v>
      </c>
      <c r="AB53" s="257" t="s">
        <v>447</v>
      </c>
    </row>
    <row r="54" spans="1:28" s="259" customFormat="1" ht="15" customHeight="1" x14ac:dyDescent="0.25">
      <c r="A54" s="265" t="s">
        <v>448</v>
      </c>
      <c r="B54" s="279">
        <v>3</v>
      </c>
      <c r="C54" s="258" t="s">
        <v>473</v>
      </c>
      <c r="D54" s="258"/>
      <c r="E54" s="259" t="str">
        <f>Manufacturers!B10</f>
        <v>FYBAGrate</v>
      </c>
      <c r="F54" s="262"/>
      <c r="G54" s="259" t="s">
        <v>174</v>
      </c>
      <c r="H54" s="266"/>
      <c r="I54" s="259">
        <v>250</v>
      </c>
      <c r="K54" s="267">
        <f t="shared" si="7"/>
        <v>0.10307177266903698</v>
      </c>
      <c r="L54" s="266">
        <v>17</v>
      </c>
      <c r="N54" s="259" t="s">
        <v>243</v>
      </c>
      <c r="O54" s="259" t="s">
        <v>76</v>
      </c>
      <c r="P54" s="259" t="s">
        <v>474</v>
      </c>
      <c r="Q54" s="268">
        <v>4.0999999999999996</v>
      </c>
      <c r="R54" s="268">
        <v>1.9</v>
      </c>
      <c r="S54" s="401">
        <v>1.5</v>
      </c>
      <c r="T54" s="401">
        <v>1.5</v>
      </c>
      <c r="U54" s="248">
        <f t="shared" si="5"/>
        <v>1.2E-2</v>
      </c>
      <c r="V54" s="268"/>
      <c r="W54" s="268"/>
      <c r="X54" s="268"/>
      <c r="Y54" s="268"/>
      <c r="Z54" s="270"/>
      <c r="AA54" s="271" t="str">
        <f t="shared" si="6"/>
        <v/>
      </c>
      <c r="AB54" s="263" t="s">
        <v>492</v>
      </c>
    </row>
    <row r="55" spans="1:28" s="11" customFormat="1" ht="15" customHeight="1" x14ac:dyDescent="0.25">
      <c r="A55" s="264" t="s">
        <v>449</v>
      </c>
      <c r="B55" s="40">
        <v>4</v>
      </c>
      <c r="C55" s="260" t="s">
        <v>533</v>
      </c>
      <c r="D55" s="260"/>
      <c r="E55" s="11" t="str">
        <f>Manufacturers!B26</f>
        <v>Don &amp; Low/Thrace</v>
      </c>
      <c r="F55" s="261" t="s">
        <v>532</v>
      </c>
      <c r="G55" s="11" t="s">
        <v>174</v>
      </c>
      <c r="H55" s="272"/>
      <c r="I55" s="11">
        <v>100</v>
      </c>
      <c r="K55" s="273"/>
      <c r="L55" s="272"/>
      <c r="N55" s="11" t="s">
        <v>243</v>
      </c>
      <c r="O55" s="11" t="s">
        <v>76</v>
      </c>
      <c r="P55" s="11" t="s">
        <v>80</v>
      </c>
      <c r="Q55" s="274"/>
      <c r="R55" s="274"/>
      <c r="S55" s="532" t="s">
        <v>983</v>
      </c>
      <c r="T55" s="532" t="s">
        <v>983</v>
      </c>
      <c r="U55" s="239" t="str">
        <f t="shared" si="5"/>
        <v/>
      </c>
      <c r="V55" s="274"/>
      <c r="W55" s="274"/>
      <c r="X55" s="274"/>
      <c r="Y55" s="274"/>
      <c r="Z55" s="276"/>
      <c r="AA55" s="271" t="str">
        <f t="shared" si="6"/>
        <v/>
      </c>
      <c r="AB55" s="257" t="s">
        <v>750</v>
      </c>
    </row>
    <row r="56" spans="1:28" s="259" customFormat="1" ht="15" customHeight="1" x14ac:dyDescent="0.25">
      <c r="A56" s="265" t="s">
        <v>450</v>
      </c>
      <c r="B56" s="279">
        <v>4</v>
      </c>
      <c r="C56" s="258" t="s">
        <v>487</v>
      </c>
      <c r="D56" s="258"/>
      <c r="E56" s="259" t="str">
        <f>Manufacturers!B26</f>
        <v>Don &amp; Low/Thrace</v>
      </c>
      <c r="F56" s="262" t="s">
        <v>477</v>
      </c>
      <c r="G56" s="259" t="s">
        <v>174</v>
      </c>
      <c r="H56" s="266"/>
      <c r="I56" s="259">
        <v>150</v>
      </c>
      <c r="K56" s="267"/>
      <c r="L56" s="266"/>
      <c r="N56" s="259" t="s">
        <v>243</v>
      </c>
      <c r="O56" s="259" t="s">
        <v>76</v>
      </c>
      <c r="P56" s="259" t="s">
        <v>80</v>
      </c>
      <c r="Q56" s="268"/>
      <c r="R56" s="268"/>
      <c r="S56" s="401" t="s">
        <v>983</v>
      </c>
      <c r="T56" s="401" t="s">
        <v>983</v>
      </c>
      <c r="U56" s="248" t="str">
        <f t="shared" si="5"/>
        <v/>
      </c>
      <c r="V56" s="268"/>
      <c r="W56" s="268"/>
      <c r="X56" s="268"/>
      <c r="Y56" s="268"/>
      <c r="Z56" s="270"/>
      <c r="AA56" s="271" t="str">
        <f t="shared" si="6"/>
        <v/>
      </c>
      <c r="AB56" s="263" t="s">
        <v>490</v>
      </c>
    </row>
    <row r="57" spans="1:28" s="11" customFormat="1" ht="15" customHeight="1" x14ac:dyDescent="0.25">
      <c r="A57" s="264" t="s">
        <v>451</v>
      </c>
      <c r="B57" s="40">
        <v>1</v>
      </c>
      <c r="C57" s="260" t="s">
        <v>489</v>
      </c>
      <c r="D57" s="260"/>
      <c r="E57" s="11" t="str">
        <f>Manufacturers!B26</f>
        <v>Don &amp; Low/Thrace</v>
      </c>
      <c r="F57" s="261" t="s">
        <v>479</v>
      </c>
      <c r="G57" s="11" t="s">
        <v>174</v>
      </c>
      <c r="H57" s="272"/>
      <c r="I57" s="11">
        <v>200</v>
      </c>
      <c r="K57" s="273"/>
      <c r="L57" s="272"/>
      <c r="N57" s="11" t="s">
        <v>243</v>
      </c>
      <c r="O57" s="11" t="s">
        <v>76</v>
      </c>
      <c r="P57" s="11" t="s">
        <v>80</v>
      </c>
      <c r="Q57" s="274"/>
      <c r="R57" s="274"/>
      <c r="S57" s="532" t="s">
        <v>983</v>
      </c>
      <c r="T57" s="532" t="s">
        <v>983</v>
      </c>
      <c r="U57" s="239" t="str">
        <f t="shared" si="5"/>
        <v/>
      </c>
      <c r="V57" s="274"/>
      <c r="W57" s="274"/>
      <c r="X57" s="274"/>
      <c r="Y57" s="274"/>
      <c r="Z57" s="276"/>
      <c r="AA57" s="271" t="str">
        <f t="shared" si="6"/>
        <v/>
      </c>
      <c r="AB57" s="257" t="s">
        <v>490</v>
      </c>
    </row>
    <row r="58" spans="1:28" s="259" customFormat="1" ht="15" customHeight="1" x14ac:dyDescent="0.25">
      <c r="A58" s="265" t="s">
        <v>452</v>
      </c>
      <c r="B58" s="279">
        <v>1</v>
      </c>
      <c r="C58" s="258"/>
      <c r="D58" s="258"/>
      <c r="E58" s="259" t="str">
        <f>Manufacturers!B26</f>
        <v>Don &amp; Low/Thrace</v>
      </c>
      <c r="F58" s="262" t="s">
        <v>478</v>
      </c>
      <c r="G58" s="259" t="s">
        <v>174</v>
      </c>
      <c r="H58" s="266"/>
      <c r="I58" s="259">
        <v>150</v>
      </c>
      <c r="K58" s="267"/>
      <c r="L58" s="266"/>
      <c r="N58" s="259" t="s">
        <v>874</v>
      </c>
      <c r="O58" s="259" t="s">
        <v>76</v>
      </c>
      <c r="P58" s="259" t="s">
        <v>80</v>
      </c>
      <c r="Q58" s="268"/>
      <c r="R58" s="268"/>
      <c r="S58" s="401" t="s">
        <v>983</v>
      </c>
      <c r="T58" s="401" t="s">
        <v>983</v>
      </c>
      <c r="U58" s="248" t="str">
        <f t="shared" si="5"/>
        <v/>
      </c>
      <c r="V58" s="268"/>
      <c r="W58" s="268"/>
      <c r="X58" s="268"/>
      <c r="Y58" s="268"/>
      <c r="Z58" s="270"/>
      <c r="AA58" s="271" t="str">
        <f t="shared" si="6"/>
        <v/>
      </c>
      <c r="AB58" s="263" t="s">
        <v>491</v>
      </c>
    </row>
    <row r="59" spans="1:28" s="11" customFormat="1" ht="15" customHeight="1" x14ac:dyDescent="0.25">
      <c r="A59" s="264" t="s">
        <v>453</v>
      </c>
      <c r="B59" s="40">
        <v>1</v>
      </c>
      <c r="C59" s="260"/>
      <c r="D59" s="260"/>
      <c r="E59" s="11" t="str">
        <f>Manufacturers!B26</f>
        <v>Don &amp; Low/Thrace</v>
      </c>
      <c r="F59" s="261" t="s">
        <v>480</v>
      </c>
      <c r="G59" s="11" t="s">
        <v>174</v>
      </c>
      <c r="H59" s="272"/>
      <c r="I59" s="11">
        <v>156</v>
      </c>
      <c r="K59" s="273"/>
      <c r="L59" s="272"/>
      <c r="N59" s="11" t="s">
        <v>874</v>
      </c>
      <c r="O59" s="11" t="s">
        <v>76</v>
      </c>
      <c r="P59" s="11" t="s">
        <v>80</v>
      </c>
      <c r="Q59" s="274"/>
      <c r="R59" s="274"/>
      <c r="S59" s="532" t="s">
        <v>983</v>
      </c>
      <c r="T59" s="532" t="s">
        <v>983</v>
      </c>
      <c r="U59" s="239" t="str">
        <f t="shared" si="5"/>
        <v/>
      </c>
      <c r="V59" s="274"/>
      <c r="W59" s="274"/>
      <c r="X59" s="274"/>
      <c r="Y59" s="274"/>
      <c r="Z59" s="276"/>
      <c r="AA59" s="271" t="str">
        <f t="shared" si="6"/>
        <v/>
      </c>
      <c r="AB59" s="257" t="s">
        <v>491</v>
      </c>
    </row>
    <row r="60" spans="1:28" s="259" customFormat="1" ht="15" customHeight="1" x14ac:dyDescent="0.25">
      <c r="A60" s="265" t="s">
        <v>454</v>
      </c>
      <c r="B60" s="279">
        <v>4</v>
      </c>
      <c r="C60" s="258"/>
      <c r="D60" s="258"/>
      <c r="E60" s="259" t="str">
        <f>Manufacturers!B26</f>
        <v>Don &amp; Low/Thrace</v>
      </c>
      <c r="F60" s="262" t="s">
        <v>481</v>
      </c>
      <c r="G60" s="259" t="s">
        <v>174</v>
      </c>
      <c r="H60" s="266"/>
      <c r="I60" s="259">
        <v>87</v>
      </c>
      <c r="K60" s="267"/>
      <c r="L60" s="266"/>
      <c r="N60" s="259" t="s">
        <v>874</v>
      </c>
      <c r="O60" s="259" t="s">
        <v>76</v>
      </c>
      <c r="P60" s="259" t="s">
        <v>531</v>
      </c>
      <c r="Q60" s="268">
        <v>9.1999999999999993</v>
      </c>
      <c r="R60" s="268">
        <v>5.5</v>
      </c>
      <c r="S60" s="401">
        <v>24.75</v>
      </c>
      <c r="T60" s="401">
        <v>11.25</v>
      </c>
      <c r="U60" s="248">
        <f t="shared" si="5"/>
        <v>8.4482758620689657E-2</v>
      </c>
      <c r="V60" s="268"/>
      <c r="W60" s="268"/>
      <c r="X60" s="268"/>
      <c r="Y60" s="268"/>
      <c r="Z60" s="270">
        <v>0.28000000000000003</v>
      </c>
      <c r="AA60" s="271">
        <f t="shared" si="6"/>
        <v>3.2183908045977017</v>
      </c>
      <c r="AB60" s="263" t="s">
        <v>493</v>
      </c>
    </row>
    <row r="61" spans="1:28" s="11" customFormat="1" ht="15" customHeight="1" x14ac:dyDescent="0.25">
      <c r="A61" s="264" t="s">
        <v>455</v>
      </c>
      <c r="B61" s="279"/>
      <c r="C61" s="260"/>
      <c r="D61" s="260"/>
      <c r="E61" s="11" t="str">
        <f>Manufacturers!B26</f>
        <v>Don &amp; Low/Thrace</v>
      </c>
      <c r="F61" s="261" t="s">
        <v>482</v>
      </c>
      <c r="G61" s="11" t="s">
        <v>174</v>
      </c>
      <c r="H61" s="272"/>
      <c r="I61" s="11">
        <v>40</v>
      </c>
      <c r="K61" s="273"/>
      <c r="L61" s="272"/>
      <c r="N61" s="11" t="s">
        <v>655</v>
      </c>
      <c r="O61" s="11" t="s">
        <v>475</v>
      </c>
      <c r="P61" s="11" t="s">
        <v>80</v>
      </c>
      <c r="Q61" s="274"/>
      <c r="R61" s="274"/>
      <c r="S61" s="532" t="s">
        <v>983</v>
      </c>
      <c r="T61" s="532" t="s">
        <v>983</v>
      </c>
      <c r="U61" s="239" t="str">
        <f t="shared" si="5"/>
        <v/>
      </c>
      <c r="V61" s="274"/>
      <c r="W61" s="274"/>
      <c r="X61" s="274"/>
      <c r="Y61" s="274"/>
      <c r="Z61" s="276"/>
      <c r="AA61" s="271" t="str">
        <f t="shared" si="6"/>
        <v/>
      </c>
      <c r="AB61" s="257" t="s">
        <v>527</v>
      </c>
    </row>
    <row r="62" spans="1:28" s="259" customFormat="1" ht="15" customHeight="1" x14ac:dyDescent="0.25">
      <c r="A62" s="265" t="s">
        <v>456</v>
      </c>
      <c r="B62" s="279"/>
      <c r="C62" s="258"/>
      <c r="D62" s="258"/>
      <c r="E62" s="259" t="str">
        <f>Manufacturers!B26</f>
        <v>Don &amp; Low/Thrace</v>
      </c>
      <c r="F62" s="262" t="s">
        <v>483</v>
      </c>
      <c r="G62" s="259" t="s">
        <v>174</v>
      </c>
      <c r="H62" s="266"/>
      <c r="I62" s="259">
        <v>80</v>
      </c>
      <c r="K62" s="267"/>
      <c r="L62" s="266"/>
      <c r="N62" s="259" t="s">
        <v>655</v>
      </c>
      <c r="O62" s="259" t="s">
        <v>76</v>
      </c>
      <c r="P62" s="259" t="s">
        <v>80</v>
      </c>
      <c r="Q62" s="268"/>
      <c r="R62" s="268"/>
      <c r="S62" s="401" t="s">
        <v>983</v>
      </c>
      <c r="T62" s="401" t="s">
        <v>983</v>
      </c>
      <c r="U62" s="248" t="str">
        <f t="shared" si="5"/>
        <v/>
      </c>
      <c r="V62" s="268"/>
      <c r="W62" s="268"/>
      <c r="X62" s="268"/>
      <c r="Y62" s="268"/>
      <c r="Z62" s="270"/>
      <c r="AA62" s="271" t="str">
        <f t="shared" si="6"/>
        <v/>
      </c>
      <c r="AB62" s="263"/>
    </row>
    <row r="63" spans="1:28" s="11" customFormat="1" ht="15" customHeight="1" x14ac:dyDescent="0.25">
      <c r="A63" s="264" t="s">
        <v>457</v>
      </c>
      <c r="B63" s="279">
        <v>4</v>
      </c>
      <c r="C63" s="260" t="s">
        <v>536</v>
      </c>
      <c r="D63" s="260"/>
      <c r="E63" s="11" t="str">
        <f>Manufacturers!B26</f>
        <v>Don &amp; Low/Thrace</v>
      </c>
      <c r="F63" s="261" t="s">
        <v>484</v>
      </c>
      <c r="G63" s="11" t="s">
        <v>174</v>
      </c>
      <c r="H63" s="272"/>
      <c r="I63" s="11">
        <v>40</v>
      </c>
      <c r="K63" s="273"/>
      <c r="L63" s="272"/>
      <c r="N63" s="11" t="s">
        <v>655</v>
      </c>
      <c r="O63" s="11" t="s">
        <v>76</v>
      </c>
      <c r="P63" s="11" t="s">
        <v>526</v>
      </c>
      <c r="Q63" s="274">
        <v>0.7</v>
      </c>
      <c r="R63" s="274">
        <v>0.5</v>
      </c>
      <c r="S63" s="532">
        <v>7.5</v>
      </c>
      <c r="T63" s="532">
        <v>7.5</v>
      </c>
      <c r="U63" s="239">
        <f t="shared" si="5"/>
        <v>1.4999999999999999E-2</v>
      </c>
      <c r="V63" s="274"/>
      <c r="W63" s="274"/>
      <c r="X63" s="274"/>
      <c r="Y63" s="274"/>
      <c r="Z63" s="276">
        <v>0.1</v>
      </c>
      <c r="AA63" s="271">
        <f t="shared" si="6"/>
        <v>2.5</v>
      </c>
      <c r="AB63" s="257" t="s">
        <v>528</v>
      </c>
    </row>
    <row r="64" spans="1:28" s="259" customFormat="1" ht="15" customHeight="1" x14ac:dyDescent="0.25">
      <c r="A64" s="265" t="s">
        <v>458</v>
      </c>
      <c r="B64" s="279"/>
      <c r="C64" s="258"/>
      <c r="D64" s="258"/>
      <c r="E64" s="259" t="str">
        <f>Manufacturers!B26</f>
        <v>Don &amp; Low/Thrace</v>
      </c>
      <c r="F64" s="262" t="s">
        <v>485</v>
      </c>
      <c r="G64" s="259" t="s">
        <v>174</v>
      </c>
      <c r="H64" s="266"/>
      <c r="I64" s="259">
        <v>50</v>
      </c>
      <c r="K64" s="267"/>
      <c r="L64" s="266"/>
      <c r="N64" s="259" t="s">
        <v>655</v>
      </c>
      <c r="O64" s="259" t="s">
        <v>76</v>
      </c>
      <c r="P64" s="259" t="s">
        <v>80</v>
      </c>
      <c r="Q64" s="268"/>
      <c r="R64" s="268"/>
      <c r="S64" s="401" t="s">
        <v>983</v>
      </c>
      <c r="T64" s="401" t="s">
        <v>983</v>
      </c>
      <c r="U64" s="248" t="str">
        <f t="shared" si="5"/>
        <v/>
      </c>
      <c r="V64" s="268"/>
      <c r="W64" s="268"/>
      <c r="X64" s="268"/>
      <c r="Y64" s="268"/>
      <c r="Z64" s="270"/>
      <c r="AA64" s="271" t="str">
        <f t="shared" si="6"/>
        <v/>
      </c>
      <c r="AB64" s="263"/>
    </row>
    <row r="65" spans="1:28" s="11" customFormat="1" ht="15" customHeight="1" x14ac:dyDescent="0.25">
      <c r="A65" s="264" t="s">
        <v>459</v>
      </c>
      <c r="B65" s="279"/>
      <c r="C65" s="260"/>
      <c r="D65" s="260"/>
      <c r="E65" s="11" t="str">
        <f>Manufacturers!B26</f>
        <v>Don &amp; Low/Thrace</v>
      </c>
      <c r="F65" s="261" t="s">
        <v>486</v>
      </c>
      <c r="G65" s="11" t="s">
        <v>174</v>
      </c>
      <c r="H65" s="272"/>
      <c r="I65" s="11">
        <v>60</v>
      </c>
      <c r="K65" s="273"/>
      <c r="L65" s="272"/>
      <c r="N65" s="11" t="s">
        <v>655</v>
      </c>
      <c r="O65" s="11" t="s">
        <v>76</v>
      </c>
      <c r="P65" s="11" t="s">
        <v>80</v>
      </c>
      <c r="Q65" s="274"/>
      <c r="R65" s="274"/>
      <c r="S65" s="532" t="s">
        <v>983</v>
      </c>
      <c r="T65" s="532" t="s">
        <v>983</v>
      </c>
      <c r="U65" s="239" t="str">
        <f t="shared" si="5"/>
        <v/>
      </c>
      <c r="V65" s="274"/>
      <c r="W65" s="274"/>
      <c r="X65" s="274"/>
      <c r="Y65" s="274"/>
      <c r="Z65" s="276"/>
      <c r="AA65" s="271" t="str">
        <f t="shared" si="6"/>
        <v/>
      </c>
      <c r="AB65" s="257"/>
    </row>
    <row r="66" spans="1:28" s="259" customFormat="1" ht="15" customHeight="1" x14ac:dyDescent="0.25">
      <c r="A66" s="265" t="s">
        <v>460</v>
      </c>
      <c r="B66" s="279">
        <v>4</v>
      </c>
      <c r="C66" s="258" t="s">
        <v>519</v>
      </c>
      <c r="D66" s="258"/>
      <c r="E66" s="259" t="str">
        <f>Manufacturers!$B$10</f>
        <v>FYBAGrate</v>
      </c>
      <c r="F66" s="262" t="s">
        <v>522</v>
      </c>
      <c r="G66" s="259" t="s">
        <v>174</v>
      </c>
      <c r="H66" s="266"/>
      <c r="I66" s="259">
        <v>250</v>
      </c>
      <c r="K66" s="267"/>
      <c r="L66" s="266"/>
      <c r="N66" s="259" t="s">
        <v>243</v>
      </c>
      <c r="O66" s="259" t="s">
        <v>76</v>
      </c>
      <c r="P66" s="259" t="s">
        <v>474</v>
      </c>
      <c r="Q66" s="268">
        <v>6.5</v>
      </c>
      <c r="R66" s="268">
        <v>10.9</v>
      </c>
      <c r="S66" s="401">
        <v>6</v>
      </c>
      <c r="T66" s="401">
        <v>3</v>
      </c>
      <c r="U66" s="248">
        <f t="shared" si="5"/>
        <v>3.4799999999999998E-2</v>
      </c>
      <c r="V66" s="268"/>
      <c r="W66" s="268"/>
      <c r="X66" s="268"/>
      <c r="Y66" s="268"/>
      <c r="Z66" s="270"/>
      <c r="AA66" s="271" t="str">
        <f t="shared" si="6"/>
        <v/>
      </c>
      <c r="AB66" s="263" t="s">
        <v>518</v>
      </c>
    </row>
    <row r="67" spans="1:28" s="11" customFormat="1" ht="15" customHeight="1" x14ac:dyDescent="0.25">
      <c r="A67" s="264" t="s">
        <v>461</v>
      </c>
      <c r="B67" s="279">
        <v>4</v>
      </c>
      <c r="C67" s="260" t="s">
        <v>520</v>
      </c>
      <c r="D67" s="260"/>
      <c r="E67" s="11" t="str">
        <f>Manufacturers!$B$10</f>
        <v>FYBAGrate</v>
      </c>
      <c r="F67" s="261" t="s">
        <v>521</v>
      </c>
      <c r="G67" s="11" t="s">
        <v>174</v>
      </c>
      <c r="H67" s="272"/>
      <c r="I67" s="11">
        <v>120</v>
      </c>
      <c r="K67" s="273"/>
      <c r="L67" s="272"/>
      <c r="N67" s="11" t="s">
        <v>243</v>
      </c>
      <c r="O67" s="11" t="s">
        <v>76</v>
      </c>
      <c r="P67" s="11" t="s">
        <v>474</v>
      </c>
      <c r="Q67" s="274">
        <v>3.9</v>
      </c>
      <c r="R67" s="274">
        <v>6.9</v>
      </c>
      <c r="S67" s="532">
        <v>3.75</v>
      </c>
      <c r="T67" s="532">
        <v>3</v>
      </c>
      <c r="U67" s="239">
        <f t="shared" si="5"/>
        <v>4.5000000000000005E-2</v>
      </c>
      <c r="V67" s="274"/>
      <c r="W67" s="274"/>
      <c r="X67" s="274"/>
      <c r="Y67" s="274"/>
      <c r="Z67" s="276"/>
      <c r="AA67" s="271" t="str">
        <f t="shared" si="6"/>
        <v/>
      </c>
      <c r="AB67" s="257" t="s">
        <v>517</v>
      </c>
    </row>
    <row r="68" spans="1:28" s="259" customFormat="1" ht="15" customHeight="1" x14ac:dyDescent="0.25">
      <c r="A68" s="265" t="s">
        <v>462</v>
      </c>
      <c r="B68" s="279">
        <v>4</v>
      </c>
      <c r="C68" s="258" t="s">
        <v>523</v>
      </c>
      <c r="D68" s="258"/>
      <c r="E68" s="259" t="str">
        <f>Manufacturers!$B$26</f>
        <v>Don &amp; Low/Thrace</v>
      </c>
      <c r="F68" s="262" t="s">
        <v>540</v>
      </c>
      <c r="G68" s="259" t="s">
        <v>174</v>
      </c>
      <c r="H68" s="266"/>
      <c r="I68" s="259">
        <v>154</v>
      </c>
      <c r="K68" s="267"/>
      <c r="L68" s="266"/>
      <c r="N68" s="259" t="s">
        <v>85</v>
      </c>
      <c r="O68" s="259" t="s">
        <v>76</v>
      </c>
      <c r="P68" s="259" t="s">
        <v>155</v>
      </c>
      <c r="Q68" s="268">
        <v>36</v>
      </c>
      <c r="R68" s="268">
        <v>24</v>
      </c>
      <c r="S68" s="401" t="s">
        <v>983</v>
      </c>
      <c r="T68" s="401" t="s">
        <v>983</v>
      </c>
      <c r="U68" s="248">
        <f t="shared" si="5"/>
        <v>0.19480519480519481</v>
      </c>
      <c r="V68" s="268"/>
      <c r="W68" s="268"/>
      <c r="X68" s="268"/>
      <c r="Y68" s="268"/>
      <c r="Z68" s="270">
        <v>0.51</v>
      </c>
      <c r="AA68" s="271">
        <f t="shared" si="6"/>
        <v>3.3116883116883118</v>
      </c>
      <c r="AB68" s="263" t="s">
        <v>524</v>
      </c>
    </row>
    <row r="69" spans="1:28" s="11" customFormat="1" ht="15" customHeight="1" x14ac:dyDescent="0.25">
      <c r="A69" s="264" t="s">
        <v>463</v>
      </c>
      <c r="B69" s="40">
        <v>1</v>
      </c>
      <c r="C69" s="260" t="s">
        <v>534</v>
      </c>
      <c r="D69" s="260"/>
      <c r="E69" s="11" t="str">
        <f>Manufacturers!$B$21</f>
        <v>AMR</v>
      </c>
      <c r="F69" s="261"/>
      <c r="G69" s="11" t="s">
        <v>174</v>
      </c>
      <c r="H69" s="272"/>
      <c r="I69" s="11">
        <v>1200</v>
      </c>
      <c r="K69" s="273"/>
      <c r="L69" s="272"/>
      <c r="N69" s="11" t="s">
        <v>59</v>
      </c>
      <c r="O69" s="11" t="s">
        <v>76</v>
      </c>
      <c r="P69" s="11" t="s">
        <v>99</v>
      </c>
      <c r="Q69" s="274">
        <v>37</v>
      </c>
      <c r="R69" s="274">
        <v>34.5</v>
      </c>
      <c r="S69" s="532">
        <v>56.25</v>
      </c>
      <c r="T69" s="532">
        <v>41.25</v>
      </c>
      <c r="U69" s="239">
        <f t="shared" si="5"/>
        <v>2.9791666666666668E-2</v>
      </c>
      <c r="V69" s="274"/>
      <c r="W69" s="274"/>
      <c r="X69" s="274"/>
      <c r="Y69" s="274"/>
      <c r="Z69" s="276"/>
      <c r="AA69" s="271" t="str">
        <f t="shared" si="6"/>
        <v/>
      </c>
      <c r="AB69" s="257" t="s">
        <v>905</v>
      </c>
    </row>
    <row r="70" spans="1:28" s="259" customFormat="1" ht="15" customHeight="1" x14ac:dyDescent="0.25">
      <c r="A70" s="265" t="s">
        <v>464</v>
      </c>
      <c r="B70" s="279">
        <v>4</v>
      </c>
      <c r="C70" s="258" t="s">
        <v>537</v>
      </c>
      <c r="D70" s="258"/>
      <c r="E70" s="259" t="str">
        <f>Manufacturers!$B$21</f>
        <v>AMR</v>
      </c>
      <c r="F70" s="262" t="s">
        <v>538</v>
      </c>
      <c r="G70" s="259" t="s">
        <v>274</v>
      </c>
      <c r="H70" s="266"/>
      <c r="I70" s="259">
        <v>140</v>
      </c>
      <c r="K70" s="267">
        <f>L70*($K$31/$L$31)</f>
        <v>4.0622404522502813E-2</v>
      </c>
      <c r="L70" s="266">
        <v>6.7</v>
      </c>
      <c r="N70" s="259" t="s">
        <v>243</v>
      </c>
      <c r="O70" s="259" t="s">
        <v>76</v>
      </c>
      <c r="P70" s="259" t="s">
        <v>526</v>
      </c>
      <c r="Q70" s="268">
        <v>4.4000000000000004</v>
      </c>
      <c r="R70" s="268">
        <v>4.5999999999999996</v>
      </c>
      <c r="S70" s="401">
        <v>1.5</v>
      </c>
      <c r="T70" s="401">
        <v>1.5</v>
      </c>
      <c r="U70" s="248">
        <f t="shared" si="5"/>
        <v>3.214285714285714E-2</v>
      </c>
      <c r="V70" s="268"/>
      <c r="W70" s="268"/>
      <c r="X70" s="268"/>
      <c r="Y70" s="268"/>
      <c r="Z70" s="270"/>
      <c r="AA70" s="271" t="str">
        <f t="shared" si="6"/>
        <v/>
      </c>
      <c r="AB70" s="263" t="s">
        <v>539</v>
      </c>
    </row>
    <row r="71" spans="1:28" s="286" customFormat="1" ht="15" customHeight="1" x14ac:dyDescent="0.25">
      <c r="A71" s="283" t="s">
        <v>465</v>
      </c>
      <c r="B71" s="284">
        <v>5</v>
      </c>
      <c r="C71" s="285" t="s">
        <v>545</v>
      </c>
      <c r="D71" s="285"/>
      <c r="E71" s="286" t="str">
        <f>Manufacturers!B26</f>
        <v>Don &amp; Low/Thrace</v>
      </c>
      <c r="F71" s="287" t="s">
        <v>546</v>
      </c>
      <c r="G71" s="286" t="s">
        <v>174</v>
      </c>
      <c r="H71" s="288"/>
      <c r="I71" s="286">
        <v>200</v>
      </c>
      <c r="K71" s="289">
        <v>2.8000000000000001E-2</v>
      </c>
      <c r="L71" s="288">
        <f>1000*(10000/4)*950*PI()*(K71/1000)^2</f>
        <v>5.8496455209841951</v>
      </c>
      <c r="N71" s="286" t="s">
        <v>243</v>
      </c>
      <c r="O71" s="286" t="s">
        <v>76</v>
      </c>
      <c r="P71" s="286" t="s">
        <v>526</v>
      </c>
      <c r="Q71" s="290">
        <v>10.3</v>
      </c>
      <c r="R71" s="290">
        <v>15</v>
      </c>
      <c r="S71" s="532">
        <v>9.9749999999999996</v>
      </c>
      <c r="T71" s="532">
        <v>9.9749999999999996</v>
      </c>
      <c r="U71" s="291">
        <f t="shared" si="5"/>
        <v>6.3250000000000001E-2</v>
      </c>
      <c r="V71" s="290"/>
      <c r="W71" s="290"/>
      <c r="X71" s="290"/>
      <c r="Y71" s="290"/>
      <c r="Z71" s="292">
        <v>0.56000000000000005</v>
      </c>
      <c r="AA71" s="293">
        <f t="shared" si="6"/>
        <v>2.8000000000000003</v>
      </c>
      <c r="AB71" s="294" t="s">
        <v>622</v>
      </c>
    </row>
    <row r="72" spans="1:28" s="259" customFormat="1" ht="15" customHeight="1" x14ac:dyDescent="0.25">
      <c r="A72" s="265" t="s">
        <v>466</v>
      </c>
      <c r="B72" s="279">
        <v>2</v>
      </c>
      <c r="C72" s="258"/>
      <c r="D72" s="258"/>
      <c r="E72" s="259" t="str">
        <f>Manufacturers!B26</f>
        <v>Don &amp; Low/Thrace</v>
      </c>
      <c r="F72" s="262" t="s">
        <v>549</v>
      </c>
      <c r="G72" s="259" t="s">
        <v>174</v>
      </c>
      <c r="H72" s="266"/>
      <c r="I72" s="259">
        <v>59</v>
      </c>
      <c r="K72" s="267"/>
      <c r="L72" s="266"/>
      <c r="N72" s="259" t="s">
        <v>85</v>
      </c>
      <c r="O72" s="259" t="s">
        <v>76</v>
      </c>
      <c r="P72" s="259" t="s">
        <v>80</v>
      </c>
      <c r="Q72" s="268">
        <v>12</v>
      </c>
      <c r="R72" s="268">
        <v>12</v>
      </c>
      <c r="S72" s="401" t="s">
        <v>983</v>
      </c>
      <c r="T72" s="401" t="s">
        <v>983</v>
      </c>
      <c r="U72" s="248">
        <f t="shared" si="5"/>
        <v>0.20338983050847459</v>
      </c>
      <c r="V72" s="268"/>
      <c r="W72" s="268"/>
      <c r="X72" s="268"/>
      <c r="Y72" s="268"/>
      <c r="Z72" s="270"/>
      <c r="AA72" s="271" t="str">
        <f t="shared" si="6"/>
        <v/>
      </c>
      <c r="AB72" s="263" t="s">
        <v>552</v>
      </c>
    </row>
    <row r="73" spans="1:28" s="11" customFormat="1" ht="15" customHeight="1" x14ac:dyDescent="0.25">
      <c r="A73" s="264" t="s">
        <v>467</v>
      </c>
      <c r="B73" s="40">
        <v>3</v>
      </c>
      <c r="C73" s="260"/>
      <c r="D73" s="260"/>
      <c r="E73" s="11" t="str">
        <f>Manufacturers!B26</f>
        <v>Don &amp; Low/Thrace</v>
      </c>
      <c r="F73" s="261" t="s">
        <v>550</v>
      </c>
      <c r="G73" s="11" t="s">
        <v>174</v>
      </c>
      <c r="H73" s="272"/>
      <c r="I73" s="11">
        <v>119</v>
      </c>
      <c r="K73" s="273"/>
      <c r="L73" s="272"/>
      <c r="N73" s="11" t="s">
        <v>85</v>
      </c>
      <c r="O73" s="11" t="s">
        <v>548</v>
      </c>
      <c r="P73" s="11" t="s">
        <v>80</v>
      </c>
      <c r="Q73" s="274">
        <v>15.3</v>
      </c>
      <c r="R73" s="274">
        <v>12.9</v>
      </c>
      <c r="S73" s="532" t="s">
        <v>983</v>
      </c>
      <c r="T73" s="532" t="s">
        <v>983</v>
      </c>
      <c r="U73" s="239">
        <f t="shared" ref="U73:U104" si="8">IF(AND((I73&gt;0),Q73&gt;0),AVERAGE(Q73:R73)/I73,"")</f>
        <v>0.1184873949579832</v>
      </c>
      <c r="V73" s="274"/>
      <c r="W73" s="274"/>
      <c r="X73" s="274"/>
      <c r="Y73" s="274"/>
      <c r="Z73" s="276"/>
      <c r="AA73" s="271" t="str">
        <f t="shared" ref="AA73:AA104" si="9">IF(AND(I73&gt;0,Z73&gt;0),1000*(Z73/I73),"")</f>
        <v/>
      </c>
      <c r="AB73" s="257" t="s">
        <v>553</v>
      </c>
    </row>
    <row r="74" spans="1:28" s="259" customFormat="1" ht="15" customHeight="1" x14ac:dyDescent="0.25">
      <c r="A74" s="265" t="s">
        <v>468</v>
      </c>
      <c r="B74" s="279">
        <v>2</v>
      </c>
      <c r="C74" s="258"/>
      <c r="D74" s="258"/>
      <c r="E74" s="259" t="str">
        <f>Manufacturers!B26</f>
        <v>Don &amp; Low/Thrace</v>
      </c>
      <c r="F74" s="262" t="s">
        <v>551</v>
      </c>
      <c r="G74" s="259" t="s">
        <v>174</v>
      </c>
      <c r="H74" s="266"/>
      <c r="I74" s="259">
        <v>91</v>
      </c>
      <c r="K74" s="267"/>
      <c r="L74" s="266"/>
      <c r="N74" s="259" t="s">
        <v>85</v>
      </c>
      <c r="O74" s="259" t="s">
        <v>475</v>
      </c>
      <c r="P74" s="259" t="s">
        <v>80</v>
      </c>
      <c r="Q74" s="268">
        <v>16</v>
      </c>
      <c r="R74" s="268">
        <v>11</v>
      </c>
      <c r="S74" s="401" t="s">
        <v>983</v>
      </c>
      <c r="T74" s="401" t="s">
        <v>983</v>
      </c>
      <c r="U74" s="248">
        <f t="shared" si="8"/>
        <v>0.14835164835164835</v>
      </c>
      <c r="V74" s="268"/>
      <c r="W74" s="268"/>
      <c r="X74" s="268"/>
      <c r="Y74" s="268"/>
      <c r="Z74" s="270"/>
      <c r="AA74" s="271" t="str">
        <f t="shared" si="9"/>
        <v/>
      </c>
      <c r="AB74" s="263" t="s">
        <v>553</v>
      </c>
    </row>
    <row r="75" spans="1:28" s="11" customFormat="1" ht="15" customHeight="1" x14ac:dyDescent="0.25">
      <c r="A75" s="264" t="s">
        <v>469</v>
      </c>
      <c r="B75" s="40">
        <v>4</v>
      </c>
      <c r="C75" s="260" t="s">
        <v>556</v>
      </c>
      <c r="D75" s="260"/>
      <c r="E75" s="11" t="str">
        <f>Manufacturers!B26</f>
        <v>Don &amp; Low/Thrace</v>
      </c>
      <c r="F75" s="261" t="s">
        <v>559</v>
      </c>
      <c r="G75" s="11" t="s">
        <v>174</v>
      </c>
      <c r="H75" s="272"/>
      <c r="I75" s="11">
        <v>85</v>
      </c>
      <c r="K75" s="273"/>
      <c r="L75" s="272"/>
      <c r="N75" s="11" t="s">
        <v>85</v>
      </c>
      <c r="O75" s="11" t="s">
        <v>76</v>
      </c>
      <c r="P75" s="11" t="s">
        <v>557</v>
      </c>
      <c r="Q75" s="274">
        <v>6.3</v>
      </c>
      <c r="R75" s="274">
        <v>13.6</v>
      </c>
      <c r="S75" s="532">
        <v>17.25</v>
      </c>
      <c r="T75" s="532">
        <v>55.5</v>
      </c>
      <c r="U75" s="239">
        <f t="shared" si="8"/>
        <v>0.11705882352941176</v>
      </c>
      <c r="V75" s="274"/>
      <c r="W75" s="274"/>
      <c r="X75" s="274"/>
      <c r="Y75" s="274"/>
      <c r="Z75" s="276">
        <v>0.33500000000000002</v>
      </c>
      <c r="AA75" s="271">
        <f t="shared" si="9"/>
        <v>3.9411764705882351</v>
      </c>
      <c r="AB75" s="257" t="s">
        <v>778</v>
      </c>
    </row>
    <row r="76" spans="1:28" s="259" customFormat="1" ht="15" customHeight="1" x14ac:dyDescent="0.25">
      <c r="A76" s="265" t="s">
        <v>470</v>
      </c>
      <c r="B76" s="279">
        <v>4</v>
      </c>
      <c r="C76" s="258" t="s">
        <v>555</v>
      </c>
      <c r="D76" s="258"/>
      <c r="E76" s="259" t="str">
        <f>Manufacturers!B26</f>
        <v>Don &amp; Low/Thrace</v>
      </c>
      <c r="F76" s="262" t="s">
        <v>560</v>
      </c>
      <c r="G76" s="259" t="s">
        <v>174</v>
      </c>
      <c r="H76" s="266"/>
      <c r="I76" s="259">
        <v>74</v>
      </c>
      <c r="K76" s="267"/>
      <c r="L76" s="266"/>
      <c r="N76" s="259" t="s">
        <v>85</v>
      </c>
      <c r="O76" s="259" t="s">
        <v>475</v>
      </c>
      <c r="P76" s="259" t="s">
        <v>557</v>
      </c>
      <c r="Q76" s="268">
        <v>6.1</v>
      </c>
      <c r="R76" s="268">
        <v>9.6999999999999993</v>
      </c>
      <c r="S76" s="401">
        <v>13.125</v>
      </c>
      <c r="T76" s="401">
        <v>50.25</v>
      </c>
      <c r="U76" s="248">
        <f t="shared" si="8"/>
        <v>0.10675675675675675</v>
      </c>
      <c r="V76" s="268"/>
      <c r="W76" s="268"/>
      <c r="X76" s="268"/>
      <c r="Y76" s="268"/>
      <c r="Z76" s="270"/>
      <c r="AA76" s="271" t="str">
        <f t="shared" si="9"/>
        <v/>
      </c>
      <c r="AB76" s="263"/>
    </row>
    <row r="77" spans="1:28" s="11" customFormat="1" ht="15" customHeight="1" x14ac:dyDescent="0.25">
      <c r="A77" s="264" t="s">
        <v>471</v>
      </c>
      <c r="B77" s="40">
        <v>2</v>
      </c>
      <c r="C77" s="260" t="s">
        <v>554</v>
      </c>
      <c r="D77" s="260"/>
      <c r="E77" s="11" t="str">
        <f>Manufacturers!B26</f>
        <v>Don &amp; Low/Thrace</v>
      </c>
      <c r="F77" s="261" t="s">
        <v>558</v>
      </c>
      <c r="G77" s="11" t="s">
        <v>715</v>
      </c>
      <c r="H77" s="272"/>
      <c r="I77" s="11">
        <v>116</v>
      </c>
      <c r="K77" s="273"/>
      <c r="L77" s="272"/>
      <c r="N77" s="11" t="s">
        <v>85</v>
      </c>
      <c r="O77" s="11" t="s">
        <v>475</v>
      </c>
      <c r="P77" s="11" t="s">
        <v>557</v>
      </c>
      <c r="Q77" s="274">
        <v>19.899999999999999</v>
      </c>
      <c r="R77" s="274">
        <v>18.5</v>
      </c>
      <c r="S77" s="532">
        <v>88.2</v>
      </c>
      <c r="T77" s="532">
        <v>150</v>
      </c>
      <c r="U77" s="239">
        <f t="shared" si="8"/>
        <v>0.16551724137931034</v>
      </c>
      <c r="V77" s="274"/>
      <c r="W77" s="274"/>
      <c r="X77" s="274"/>
      <c r="Y77" s="274"/>
      <c r="Z77" s="276"/>
      <c r="AA77" s="271" t="str">
        <f t="shared" si="9"/>
        <v/>
      </c>
      <c r="AB77" s="257"/>
    </row>
    <row r="78" spans="1:28" s="259" customFormat="1" ht="15" customHeight="1" x14ac:dyDescent="0.25">
      <c r="A78" s="265" t="s">
        <v>472</v>
      </c>
      <c r="B78" s="40"/>
      <c r="C78" s="258" t="s">
        <v>570</v>
      </c>
      <c r="D78" s="258"/>
      <c r="E78" s="259" t="str">
        <f>Manufacturers!B26</f>
        <v>Don &amp; Low/Thrace</v>
      </c>
      <c r="F78" s="262" t="s">
        <v>573</v>
      </c>
      <c r="G78" s="259" t="s">
        <v>174</v>
      </c>
      <c r="H78" s="266"/>
      <c r="I78" s="259">
        <v>116</v>
      </c>
      <c r="K78" s="267"/>
      <c r="L78" s="266"/>
      <c r="N78" s="259" t="s">
        <v>85</v>
      </c>
      <c r="O78" s="259" t="s">
        <v>62</v>
      </c>
      <c r="P78" s="259" t="s">
        <v>572</v>
      </c>
      <c r="Q78" s="268">
        <v>16.399999999999999</v>
      </c>
      <c r="R78" s="268">
        <v>19.899999999999999</v>
      </c>
      <c r="S78" s="401">
        <v>9.9749999999999996</v>
      </c>
      <c r="T78" s="401">
        <v>9.9749999999999996</v>
      </c>
      <c r="U78" s="248">
        <f t="shared" si="8"/>
        <v>0.1564655172413793</v>
      </c>
      <c r="V78" s="268"/>
      <c r="W78" s="268"/>
      <c r="X78" s="268"/>
      <c r="Y78" s="268"/>
      <c r="Z78" s="270"/>
      <c r="AA78" s="271" t="str">
        <f t="shared" si="9"/>
        <v/>
      </c>
      <c r="AB78" s="263"/>
    </row>
    <row r="79" spans="1:28" s="11" customFormat="1" ht="15" customHeight="1" x14ac:dyDescent="0.25">
      <c r="A79" s="264" t="s">
        <v>562</v>
      </c>
      <c r="B79" s="40"/>
      <c r="C79" s="260" t="s">
        <v>571</v>
      </c>
      <c r="D79" s="260"/>
      <c r="E79" s="11" t="str">
        <f>Manufacturers!B26</f>
        <v>Don &amp; Low/Thrace</v>
      </c>
      <c r="F79" s="261" t="s">
        <v>574</v>
      </c>
      <c r="G79" s="11" t="s">
        <v>174</v>
      </c>
      <c r="H79" s="272"/>
      <c r="I79" s="11">
        <v>120</v>
      </c>
      <c r="K79" s="273"/>
      <c r="L79" s="272"/>
      <c r="N79" s="11" t="s">
        <v>85</v>
      </c>
      <c r="O79" s="11" t="s">
        <v>475</v>
      </c>
      <c r="P79" s="11" t="s">
        <v>572</v>
      </c>
      <c r="Q79" s="274">
        <v>22.1</v>
      </c>
      <c r="R79" s="274">
        <v>12.4</v>
      </c>
      <c r="S79" s="532">
        <v>99.974999999999994</v>
      </c>
      <c r="T79" s="532">
        <v>37.5</v>
      </c>
      <c r="U79" s="239">
        <f t="shared" si="8"/>
        <v>0.14374999999999999</v>
      </c>
      <c r="V79" s="274"/>
      <c r="W79" s="274"/>
      <c r="X79" s="274"/>
      <c r="Y79" s="274"/>
      <c r="Z79" s="276"/>
      <c r="AA79" s="271" t="str">
        <f t="shared" si="9"/>
        <v/>
      </c>
      <c r="AB79" s="257"/>
    </row>
    <row r="80" spans="1:28" s="259" customFormat="1" ht="15" customHeight="1" x14ac:dyDescent="0.25">
      <c r="A80" s="265" t="s">
        <v>563</v>
      </c>
      <c r="B80" s="40">
        <v>4</v>
      </c>
      <c r="C80" s="258" t="s">
        <v>575</v>
      </c>
      <c r="D80" s="258"/>
      <c r="E80" s="259" t="s">
        <v>82</v>
      </c>
      <c r="F80" s="262" t="s">
        <v>591</v>
      </c>
      <c r="G80" s="259" t="s">
        <v>576</v>
      </c>
      <c r="H80" s="266">
        <v>0.95</v>
      </c>
      <c r="I80" s="259">
        <v>900</v>
      </c>
      <c r="K80" s="267"/>
      <c r="L80" s="266"/>
      <c r="N80" s="259" t="s">
        <v>59</v>
      </c>
      <c r="O80" s="259" t="s">
        <v>62</v>
      </c>
      <c r="P80" s="259" t="s">
        <v>557</v>
      </c>
      <c r="Q80" s="268">
        <v>24.2</v>
      </c>
      <c r="R80" s="268">
        <v>21.1</v>
      </c>
      <c r="S80" s="401">
        <v>525</v>
      </c>
      <c r="T80" s="401">
        <v>525</v>
      </c>
      <c r="U80" s="248">
        <f t="shared" si="8"/>
        <v>2.5166666666666664E-2</v>
      </c>
      <c r="V80" s="268"/>
      <c r="W80" s="268"/>
      <c r="X80" s="268"/>
      <c r="Y80" s="268"/>
      <c r="Z80" s="270"/>
      <c r="AA80" s="271" t="str">
        <f t="shared" si="9"/>
        <v/>
      </c>
      <c r="AB80" s="263"/>
    </row>
    <row r="81" spans="1:28" s="11" customFormat="1" ht="15" customHeight="1" x14ac:dyDescent="0.25">
      <c r="A81" s="264" t="s">
        <v>564</v>
      </c>
      <c r="B81" s="40"/>
      <c r="C81" s="260" t="s">
        <v>585</v>
      </c>
      <c r="D81" s="260"/>
      <c r="E81" s="11" t="str">
        <f>Manufacturers!$B$27</f>
        <v>IKO Group</v>
      </c>
      <c r="F81" s="261" t="s">
        <v>589</v>
      </c>
      <c r="G81" s="11" t="s">
        <v>583</v>
      </c>
      <c r="H81" s="272">
        <v>1.2</v>
      </c>
      <c r="I81" s="11">
        <v>1450</v>
      </c>
      <c r="K81" s="273"/>
      <c r="L81" s="272"/>
      <c r="N81" s="11" t="s">
        <v>59</v>
      </c>
      <c r="O81" s="11" t="s">
        <v>81</v>
      </c>
      <c r="P81" s="11" t="s">
        <v>557</v>
      </c>
      <c r="Q81" s="274">
        <v>30.9</v>
      </c>
      <c r="R81" s="274">
        <v>24</v>
      </c>
      <c r="S81" s="532">
        <v>202.5</v>
      </c>
      <c r="T81" s="532">
        <v>202.5</v>
      </c>
      <c r="U81" s="239">
        <f t="shared" si="8"/>
        <v>1.8931034482758621E-2</v>
      </c>
      <c r="V81" s="274"/>
      <c r="W81" s="274"/>
      <c r="X81" s="274"/>
      <c r="Y81" s="274"/>
      <c r="Z81" s="276"/>
      <c r="AA81" s="271" t="str">
        <f t="shared" si="9"/>
        <v/>
      </c>
      <c r="AB81" s="257" t="s">
        <v>592</v>
      </c>
    </row>
    <row r="82" spans="1:28" s="259" customFormat="1" ht="15" customHeight="1" x14ac:dyDescent="0.25">
      <c r="A82" s="265" t="s">
        <v>565</v>
      </c>
      <c r="B82" s="40"/>
      <c r="C82" s="258" t="s">
        <v>584</v>
      </c>
      <c r="D82" s="258"/>
      <c r="E82" s="259" t="str">
        <f>Manufacturers!$B$27</f>
        <v>IKO Group</v>
      </c>
      <c r="F82" s="262" t="s">
        <v>588</v>
      </c>
      <c r="G82" s="259" t="s">
        <v>583</v>
      </c>
      <c r="H82" s="266">
        <v>1.5</v>
      </c>
      <c r="I82" s="259">
        <v>1600</v>
      </c>
      <c r="K82" s="267"/>
      <c r="L82" s="266"/>
      <c r="N82" s="259" t="s">
        <v>59</v>
      </c>
      <c r="O82" s="259" t="s">
        <v>81</v>
      </c>
      <c r="P82" s="259" t="s">
        <v>557</v>
      </c>
      <c r="Q82" s="268">
        <v>29.8</v>
      </c>
      <c r="R82" s="268">
        <v>24</v>
      </c>
      <c r="S82" s="401">
        <v>247.5</v>
      </c>
      <c r="T82" s="401">
        <v>247.5</v>
      </c>
      <c r="U82" s="248">
        <f t="shared" si="8"/>
        <v>1.6812499999999998E-2</v>
      </c>
      <c r="V82" s="268"/>
      <c r="W82" s="268"/>
      <c r="X82" s="268"/>
      <c r="Y82" s="268"/>
      <c r="Z82" s="270"/>
      <c r="AA82" s="271" t="str">
        <f t="shared" si="9"/>
        <v/>
      </c>
      <c r="AB82" s="263"/>
    </row>
    <row r="83" spans="1:28" s="11" customFormat="1" ht="15" customHeight="1" x14ac:dyDescent="0.25">
      <c r="A83" s="264" t="s">
        <v>566</v>
      </c>
      <c r="B83" s="40"/>
      <c r="C83" s="260" t="s">
        <v>586</v>
      </c>
      <c r="D83" s="260"/>
      <c r="E83" s="11" t="str">
        <f>Manufacturers!$B$27</f>
        <v>IKO Group</v>
      </c>
      <c r="F83" s="261" t="s">
        <v>590</v>
      </c>
      <c r="G83" s="11" t="s">
        <v>583</v>
      </c>
      <c r="H83" s="272">
        <v>1.1499999999999999</v>
      </c>
      <c r="I83" s="11">
        <v>1450</v>
      </c>
      <c r="K83" s="273"/>
      <c r="L83" s="272"/>
      <c r="N83" s="11" t="s">
        <v>59</v>
      </c>
      <c r="O83" s="11" t="s">
        <v>81</v>
      </c>
      <c r="P83" s="11" t="s">
        <v>557</v>
      </c>
      <c r="Q83" s="274">
        <v>9.1</v>
      </c>
      <c r="R83" s="274">
        <v>8.6999999999999993</v>
      </c>
      <c r="S83" s="532">
        <v>247.5</v>
      </c>
      <c r="T83" s="532">
        <v>247.5</v>
      </c>
      <c r="U83" s="239">
        <f t="shared" si="8"/>
        <v>6.1379310344827579E-3</v>
      </c>
      <c r="V83" s="274"/>
      <c r="W83" s="274"/>
      <c r="X83" s="274"/>
      <c r="Y83" s="274"/>
      <c r="Z83" s="276"/>
      <c r="AA83" s="271" t="str">
        <f t="shared" si="9"/>
        <v/>
      </c>
      <c r="AB83" s="257"/>
    </row>
    <row r="84" spans="1:28" s="259" customFormat="1" ht="15" customHeight="1" x14ac:dyDescent="0.25">
      <c r="A84" s="265" t="s">
        <v>567</v>
      </c>
      <c r="B84" s="40"/>
      <c r="C84" s="258" t="s">
        <v>587</v>
      </c>
      <c r="D84" s="258"/>
      <c r="E84" s="259" t="str">
        <f>Manufacturers!$B$8</f>
        <v>Renolit</v>
      </c>
      <c r="F84" s="262"/>
      <c r="G84" s="259" t="s">
        <v>137</v>
      </c>
      <c r="H84" s="266">
        <v>1.35</v>
      </c>
      <c r="I84" s="259">
        <v>1700</v>
      </c>
      <c r="K84" s="267"/>
      <c r="L84" s="266"/>
      <c r="N84" s="259" t="s">
        <v>59</v>
      </c>
      <c r="O84" s="259" t="s">
        <v>138</v>
      </c>
      <c r="P84" s="259" t="s">
        <v>348</v>
      </c>
      <c r="Q84" s="268">
        <v>21.5</v>
      </c>
      <c r="R84" s="268">
        <v>19.100000000000001</v>
      </c>
      <c r="S84" s="401">
        <v>97.5</v>
      </c>
      <c r="T84" s="401">
        <v>97.5</v>
      </c>
      <c r="U84" s="248">
        <f t="shared" si="8"/>
        <v>1.1941176470588236E-2</v>
      </c>
      <c r="V84" s="268"/>
      <c r="W84" s="268"/>
      <c r="X84" s="268"/>
      <c r="Y84" s="268"/>
      <c r="Z84" s="270"/>
      <c r="AA84" s="271" t="str">
        <f t="shared" si="9"/>
        <v/>
      </c>
      <c r="AB84" s="263"/>
    </row>
    <row r="85" spans="1:28" s="11" customFormat="1" x14ac:dyDescent="0.25">
      <c r="A85" s="264" t="s">
        <v>568</v>
      </c>
      <c r="B85" s="40"/>
      <c r="C85" s="260" t="s">
        <v>620</v>
      </c>
      <c r="D85" s="260"/>
      <c r="E85" s="11" t="str">
        <f>Manufacturers!$B$28</f>
        <v>Atarfil</v>
      </c>
      <c r="F85" s="261" t="s">
        <v>759</v>
      </c>
      <c r="G85" s="11" t="s">
        <v>174</v>
      </c>
      <c r="H85" s="272">
        <v>1.2</v>
      </c>
      <c r="I85" s="11">
        <v>1000</v>
      </c>
      <c r="K85" s="273"/>
      <c r="L85" s="272"/>
      <c r="N85" s="11" t="s">
        <v>59</v>
      </c>
      <c r="O85" s="11" t="s">
        <v>62</v>
      </c>
      <c r="P85" s="11" t="s">
        <v>155</v>
      </c>
      <c r="Q85" s="274">
        <v>15.8</v>
      </c>
      <c r="R85" s="274">
        <v>12.8</v>
      </c>
      <c r="S85" s="532">
        <v>525</v>
      </c>
      <c r="T85" s="532">
        <v>525</v>
      </c>
      <c r="U85" s="239">
        <f t="shared" si="8"/>
        <v>1.43E-2</v>
      </c>
      <c r="V85" s="274"/>
      <c r="W85" s="274"/>
      <c r="X85" s="274"/>
      <c r="Y85" s="274"/>
      <c r="Z85" s="276">
        <v>2.6</v>
      </c>
      <c r="AA85" s="271">
        <f t="shared" si="9"/>
        <v>2.6</v>
      </c>
      <c r="AB85" s="257" t="s">
        <v>1443</v>
      </c>
    </row>
    <row r="86" spans="1:28" s="259" customFormat="1" ht="15" customHeight="1" x14ac:dyDescent="0.25">
      <c r="A86" s="265" t="s">
        <v>569</v>
      </c>
      <c r="B86" s="40"/>
      <c r="C86" s="258" t="s">
        <v>643</v>
      </c>
      <c r="D86" s="258"/>
      <c r="E86" s="259" t="str">
        <f>Manufacturers!$B$28</f>
        <v>Atarfil</v>
      </c>
      <c r="F86" s="262" t="s">
        <v>644</v>
      </c>
      <c r="G86" s="259" t="s">
        <v>633</v>
      </c>
      <c r="H86" s="266">
        <v>0.75</v>
      </c>
      <c r="I86" s="259">
        <v>750</v>
      </c>
      <c r="K86" s="267"/>
      <c r="L86" s="266"/>
      <c r="N86" s="259" t="s">
        <v>59</v>
      </c>
      <c r="O86" s="259" t="s">
        <v>62</v>
      </c>
      <c r="P86" s="259" t="s">
        <v>155</v>
      </c>
      <c r="Q86" s="268">
        <v>13.8</v>
      </c>
      <c r="R86" s="268">
        <v>15.5</v>
      </c>
      <c r="S86" s="401">
        <v>525</v>
      </c>
      <c r="T86" s="401">
        <v>525</v>
      </c>
      <c r="U86" s="248">
        <f t="shared" si="8"/>
        <v>1.9533333333333333E-2</v>
      </c>
      <c r="V86" s="268"/>
      <c r="W86" s="268"/>
      <c r="X86" s="268"/>
      <c r="Y86" s="268"/>
      <c r="Z86" s="270">
        <v>1.1000000000000001</v>
      </c>
      <c r="AA86" s="271">
        <f t="shared" si="9"/>
        <v>1.4666666666666668</v>
      </c>
      <c r="AB86" s="263" t="s">
        <v>777</v>
      </c>
    </row>
    <row r="87" spans="1:28" s="11" customFormat="1" ht="15" customHeight="1" x14ac:dyDescent="0.25">
      <c r="A87" s="264" t="s">
        <v>598</v>
      </c>
      <c r="B87" s="40"/>
      <c r="C87" s="260" t="s">
        <v>621</v>
      </c>
      <c r="D87" s="260"/>
      <c r="E87" s="11" t="str">
        <f>Manufacturers!$B$28</f>
        <v>Atarfil</v>
      </c>
      <c r="F87" s="261" t="s">
        <v>645</v>
      </c>
      <c r="G87" s="11" t="s">
        <v>619</v>
      </c>
      <c r="H87" s="272">
        <v>1.2</v>
      </c>
      <c r="I87" s="11">
        <v>1100</v>
      </c>
      <c r="K87" s="273"/>
      <c r="L87" s="272"/>
      <c r="N87" s="11" t="s">
        <v>59</v>
      </c>
      <c r="O87" s="11" t="s">
        <v>618</v>
      </c>
      <c r="P87" s="11" t="s">
        <v>155</v>
      </c>
      <c r="Q87" s="274">
        <v>37.5</v>
      </c>
      <c r="R87" s="274">
        <v>30.4</v>
      </c>
      <c r="S87" s="532">
        <v>525</v>
      </c>
      <c r="T87" s="532">
        <v>525</v>
      </c>
      <c r="U87" s="239">
        <f t="shared" si="8"/>
        <v>3.0863636363636367E-2</v>
      </c>
      <c r="V87" s="274"/>
      <c r="W87" s="274"/>
      <c r="X87" s="274"/>
      <c r="Y87" s="274"/>
      <c r="Z87" s="276"/>
      <c r="AA87" s="271" t="str">
        <f t="shared" si="9"/>
        <v/>
      </c>
      <c r="AB87" s="257"/>
    </row>
    <row r="88" spans="1:28" s="259" customFormat="1" ht="15" customHeight="1" x14ac:dyDescent="0.25">
      <c r="A88" s="265" t="s">
        <v>599</v>
      </c>
      <c r="B88" s="40">
        <v>5</v>
      </c>
      <c r="C88" s="258" t="s">
        <v>770</v>
      </c>
      <c r="D88" s="258"/>
      <c r="E88" s="259" t="str">
        <f>Manufacturers!$B$29</f>
        <v>HBB Geosales</v>
      </c>
      <c r="F88" s="262" t="s">
        <v>642</v>
      </c>
      <c r="G88" s="259" t="s">
        <v>771</v>
      </c>
      <c r="H88" s="266">
        <v>0.5</v>
      </c>
      <c r="I88" s="259">
        <v>600</v>
      </c>
      <c r="K88" s="267"/>
      <c r="L88" s="266"/>
      <c r="N88" s="259" t="s">
        <v>59</v>
      </c>
      <c r="O88" s="259" t="s">
        <v>62</v>
      </c>
      <c r="P88" s="259" t="s">
        <v>155</v>
      </c>
      <c r="Q88" s="268">
        <v>34.5</v>
      </c>
      <c r="R88" s="268">
        <v>30.6</v>
      </c>
      <c r="S88" s="401">
        <v>142.5</v>
      </c>
      <c r="T88" s="401">
        <v>142.5</v>
      </c>
      <c r="U88" s="248">
        <f t="shared" si="8"/>
        <v>5.4249999999999993E-2</v>
      </c>
      <c r="V88" s="268"/>
      <c r="W88" s="268"/>
      <c r="X88" s="268"/>
      <c r="Y88" s="268"/>
      <c r="Z88" s="270">
        <v>2.95</v>
      </c>
      <c r="AA88" s="271">
        <f t="shared" si="9"/>
        <v>4.916666666666667</v>
      </c>
      <c r="AB88" s="263"/>
    </row>
    <row r="89" spans="1:28" s="11" customFormat="1" ht="15" customHeight="1" x14ac:dyDescent="0.25">
      <c r="A89" s="264" t="s">
        <v>600</v>
      </c>
      <c r="B89" s="40"/>
      <c r="C89" s="260" t="s">
        <v>625</v>
      </c>
      <c r="D89" s="260"/>
      <c r="E89" s="11" t="str">
        <f>Manufacturers!$B$29</f>
        <v>HBB Geosales</v>
      </c>
      <c r="F89" s="261" t="s">
        <v>641</v>
      </c>
      <c r="G89" s="11" t="s">
        <v>650</v>
      </c>
      <c r="H89" s="272">
        <v>0.25</v>
      </c>
      <c r="I89" s="11">
        <v>220</v>
      </c>
      <c r="K89" s="273"/>
      <c r="L89" s="272"/>
      <c r="N89" s="11" t="s">
        <v>631</v>
      </c>
      <c r="O89" s="11" t="s">
        <v>626</v>
      </c>
      <c r="P89" s="11" t="s">
        <v>155</v>
      </c>
      <c r="Q89" s="274">
        <v>23</v>
      </c>
      <c r="R89" s="274">
        <v>19.5</v>
      </c>
      <c r="S89" s="532">
        <v>127.5</v>
      </c>
      <c r="T89" s="532">
        <v>127.5</v>
      </c>
      <c r="U89" s="239">
        <f t="shared" si="8"/>
        <v>9.6590909090909088E-2</v>
      </c>
      <c r="V89" s="274"/>
      <c r="W89" s="274"/>
      <c r="X89" s="274"/>
      <c r="Y89" s="274"/>
      <c r="Z89" s="276"/>
      <c r="AA89" s="271" t="str">
        <f t="shared" si="9"/>
        <v/>
      </c>
      <c r="AB89" s="257"/>
    </row>
    <row r="90" spans="1:28" s="259" customFormat="1" ht="15" customHeight="1" x14ac:dyDescent="0.25">
      <c r="A90" s="265" t="s">
        <v>601</v>
      </c>
      <c r="B90" s="40"/>
      <c r="C90" s="258" t="s">
        <v>628</v>
      </c>
      <c r="D90" s="258"/>
      <c r="E90" s="259" t="str">
        <f>Manufacturers!$B$29</f>
        <v>HBB Geosales</v>
      </c>
      <c r="F90" s="262" t="s">
        <v>640</v>
      </c>
      <c r="G90" s="259" t="s">
        <v>650</v>
      </c>
      <c r="H90" s="266">
        <v>0.35</v>
      </c>
      <c r="I90" s="259">
        <v>240</v>
      </c>
      <c r="K90" s="267"/>
      <c r="L90" s="266"/>
      <c r="N90" s="259" t="s">
        <v>631</v>
      </c>
      <c r="O90" s="259" t="s">
        <v>627</v>
      </c>
      <c r="P90" s="259" t="s">
        <v>155</v>
      </c>
      <c r="Q90" s="268">
        <v>18.2</v>
      </c>
      <c r="R90" s="268">
        <v>17.100000000000001</v>
      </c>
      <c r="S90" s="401">
        <v>127.5</v>
      </c>
      <c r="T90" s="401">
        <v>82.5</v>
      </c>
      <c r="U90" s="248">
        <f t="shared" si="8"/>
        <v>7.3541666666666658E-2</v>
      </c>
      <c r="V90" s="268"/>
      <c r="W90" s="268"/>
      <c r="X90" s="268"/>
      <c r="Y90" s="268"/>
      <c r="Z90" s="270"/>
      <c r="AA90" s="271" t="str">
        <f t="shared" si="9"/>
        <v/>
      </c>
      <c r="AB90" s="263"/>
    </row>
    <row r="91" spans="1:28" s="11" customFormat="1" ht="15" customHeight="1" x14ac:dyDescent="0.25">
      <c r="A91" s="264" t="s">
        <v>602</v>
      </c>
      <c r="B91" s="40"/>
      <c r="C91" s="260" t="s">
        <v>629</v>
      </c>
      <c r="D91" s="260"/>
      <c r="E91" s="11" t="str">
        <f>Manufacturers!$B$29</f>
        <v>HBB Geosales</v>
      </c>
      <c r="F91" s="261" t="s">
        <v>639</v>
      </c>
      <c r="G91" s="11" t="s">
        <v>650</v>
      </c>
      <c r="H91" s="272">
        <v>0.45</v>
      </c>
      <c r="I91" s="11">
        <v>380</v>
      </c>
      <c r="K91" s="273"/>
      <c r="L91" s="272"/>
      <c r="N91" s="11" t="s">
        <v>631</v>
      </c>
      <c r="O91" s="11" t="s">
        <v>627</v>
      </c>
      <c r="P91" s="11" t="s">
        <v>155</v>
      </c>
      <c r="Q91" s="274">
        <v>30.2</v>
      </c>
      <c r="R91" s="274">
        <v>30.2</v>
      </c>
      <c r="S91" s="532">
        <v>202.5</v>
      </c>
      <c r="T91" s="532">
        <v>202.5</v>
      </c>
      <c r="U91" s="239">
        <f t="shared" si="8"/>
        <v>7.9473684210526307E-2</v>
      </c>
      <c r="V91" s="274"/>
      <c r="W91" s="274"/>
      <c r="X91" s="274"/>
      <c r="Y91" s="274"/>
      <c r="Z91" s="276"/>
      <c r="AA91" s="271" t="str">
        <f t="shared" si="9"/>
        <v/>
      </c>
      <c r="AB91" s="257"/>
    </row>
    <row r="92" spans="1:28" s="259" customFormat="1" ht="15" customHeight="1" x14ac:dyDescent="0.25">
      <c r="A92" s="265" t="s">
        <v>603</v>
      </c>
      <c r="B92" s="40"/>
      <c r="C92" s="258" t="s">
        <v>630</v>
      </c>
      <c r="D92" s="258"/>
      <c r="E92" s="259" t="str">
        <f>Manufacturers!$B$29</f>
        <v>HBB Geosales</v>
      </c>
      <c r="F92" s="262" t="s">
        <v>638</v>
      </c>
      <c r="G92" s="259" t="s">
        <v>650</v>
      </c>
      <c r="H92" s="266">
        <v>0.7</v>
      </c>
      <c r="I92" s="259">
        <v>550</v>
      </c>
      <c r="K92" s="267"/>
      <c r="L92" s="266"/>
      <c r="N92" s="259" t="s">
        <v>631</v>
      </c>
      <c r="O92" s="259" t="s">
        <v>62</v>
      </c>
      <c r="P92" s="259" t="s">
        <v>155</v>
      </c>
      <c r="Q92" s="268">
        <v>41</v>
      </c>
      <c r="R92" s="268">
        <v>38.799999999999997</v>
      </c>
      <c r="S92" s="401">
        <v>180</v>
      </c>
      <c r="T92" s="401">
        <v>180</v>
      </c>
      <c r="U92" s="248">
        <f t="shared" si="8"/>
        <v>7.2545454545454538E-2</v>
      </c>
      <c r="V92" s="268"/>
      <c r="W92" s="268"/>
      <c r="X92" s="268"/>
      <c r="Y92" s="268"/>
      <c r="Z92" s="270"/>
      <c r="AA92" s="271" t="str">
        <f t="shared" si="9"/>
        <v/>
      </c>
      <c r="AB92" s="263"/>
    </row>
    <row r="93" spans="1:28" s="11" customFormat="1" ht="15" customHeight="1" x14ac:dyDescent="0.25">
      <c r="A93" s="264" t="s">
        <v>604</v>
      </c>
      <c r="B93" s="40">
        <v>4</v>
      </c>
      <c r="C93" s="260" t="s">
        <v>632</v>
      </c>
      <c r="D93" s="260"/>
      <c r="E93" s="11" t="s">
        <v>82</v>
      </c>
      <c r="F93" s="261" t="s">
        <v>637</v>
      </c>
      <c r="G93" s="11" t="s">
        <v>633</v>
      </c>
      <c r="H93" s="272">
        <v>1</v>
      </c>
      <c r="I93" s="11">
        <v>950</v>
      </c>
      <c r="K93" s="273"/>
      <c r="L93" s="272"/>
      <c r="N93" s="11" t="s">
        <v>59</v>
      </c>
      <c r="O93" s="11" t="s">
        <v>62</v>
      </c>
      <c r="P93" s="11" t="s">
        <v>557</v>
      </c>
      <c r="Q93" s="274">
        <v>14.1</v>
      </c>
      <c r="R93" s="274">
        <v>14.2</v>
      </c>
      <c r="S93" s="532">
        <v>337.5</v>
      </c>
      <c r="T93" s="532">
        <v>337.5</v>
      </c>
      <c r="U93" s="239">
        <f t="shared" si="8"/>
        <v>1.4894736842105261E-2</v>
      </c>
      <c r="V93" s="274"/>
      <c r="W93" s="274"/>
      <c r="X93" s="274"/>
      <c r="Y93" s="274"/>
      <c r="Z93" s="276"/>
      <c r="AA93" s="271" t="str">
        <f t="shared" si="9"/>
        <v/>
      </c>
      <c r="AB93" s="257"/>
    </row>
    <row r="94" spans="1:28" s="259" customFormat="1" ht="15" customHeight="1" x14ac:dyDescent="0.25">
      <c r="A94" s="265" t="s">
        <v>605</v>
      </c>
      <c r="B94" s="40">
        <v>4</v>
      </c>
      <c r="C94" s="258" t="s">
        <v>634</v>
      </c>
      <c r="D94" s="258"/>
      <c r="E94" s="259" t="s">
        <v>82</v>
      </c>
      <c r="F94" s="262">
        <v>20010113</v>
      </c>
      <c r="G94" s="259" t="s">
        <v>174</v>
      </c>
      <c r="H94" s="266">
        <v>1</v>
      </c>
      <c r="I94" s="259">
        <v>900</v>
      </c>
      <c r="K94" s="267"/>
      <c r="L94" s="266"/>
      <c r="N94" s="259" t="s">
        <v>59</v>
      </c>
      <c r="O94" s="259" t="s">
        <v>62</v>
      </c>
      <c r="P94" s="259" t="s">
        <v>557</v>
      </c>
      <c r="Q94" s="268">
        <v>7.5</v>
      </c>
      <c r="R94" s="268">
        <v>9.5</v>
      </c>
      <c r="S94" s="401">
        <v>210</v>
      </c>
      <c r="T94" s="401">
        <v>210</v>
      </c>
      <c r="U94" s="248">
        <f t="shared" si="8"/>
        <v>9.4444444444444445E-3</v>
      </c>
      <c r="V94" s="268"/>
      <c r="W94" s="268"/>
      <c r="X94" s="268"/>
      <c r="Y94" s="268"/>
      <c r="Z94" s="270"/>
      <c r="AA94" s="271" t="str">
        <f t="shared" si="9"/>
        <v/>
      </c>
      <c r="AB94" s="263"/>
    </row>
    <row r="95" spans="1:28" s="11" customFormat="1" ht="15" customHeight="1" x14ac:dyDescent="0.25">
      <c r="A95" s="264" t="s">
        <v>606</v>
      </c>
      <c r="B95" s="40">
        <v>3</v>
      </c>
      <c r="C95" s="260" t="s">
        <v>646</v>
      </c>
      <c r="D95" s="260"/>
      <c r="E95" s="11" t="str">
        <f>Manufacturers!$B$30</f>
        <v>Lows of Dundee</v>
      </c>
      <c r="F95" s="261" t="s">
        <v>651</v>
      </c>
      <c r="G95" s="11" t="s">
        <v>650</v>
      </c>
      <c r="H95" s="272">
        <v>0.3</v>
      </c>
      <c r="I95" s="11">
        <v>270</v>
      </c>
      <c r="K95" s="273"/>
      <c r="L95" s="272"/>
      <c r="N95" s="11" t="s">
        <v>631</v>
      </c>
      <c r="O95" s="11" t="s">
        <v>62</v>
      </c>
      <c r="P95" s="11" t="s">
        <v>441</v>
      </c>
      <c r="Q95" s="274">
        <v>12.5</v>
      </c>
      <c r="R95" s="274">
        <v>13.5</v>
      </c>
      <c r="S95" s="532" t="s">
        <v>983</v>
      </c>
      <c r="T95" s="532" t="s">
        <v>983</v>
      </c>
      <c r="U95" s="239">
        <f t="shared" si="8"/>
        <v>4.8148148148148148E-2</v>
      </c>
      <c r="V95" s="274"/>
      <c r="W95" s="274"/>
      <c r="X95" s="274"/>
      <c r="Y95" s="274"/>
      <c r="Z95" s="276"/>
      <c r="AA95" s="271" t="str">
        <f t="shared" si="9"/>
        <v/>
      </c>
      <c r="AB95" s="257"/>
    </row>
    <row r="96" spans="1:28" s="259" customFormat="1" ht="15" customHeight="1" x14ac:dyDescent="0.25">
      <c r="A96" s="265" t="s">
        <v>607</v>
      </c>
      <c r="B96" s="40">
        <v>2</v>
      </c>
      <c r="C96" s="258" t="s">
        <v>650</v>
      </c>
      <c r="D96" s="258"/>
      <c r="E96" s="259" t="str">
        <f>Manufacturers!$B$30</f>
        <v>Lows of Dundee</v>
      </c>
      <c r="F96" s="262" t="s">
        <v>652</v>
      </c>
      <c r="G96" s="259" t="s">
        <v>650</v>
      </c>
      <c r="H96" s="266">
        <v>0.2</v>
      </c>
      <c r="I96" s="259">
        <v>200</v>
      </c>
      <c r="K96" s="267"/>
      <c r="L96" s="266"/>
      <c r="N96" s="259" t="s">
        <v>631</v>
      </c>
      <c r="O96" s="259" t="s">
        <v>475</v>
      </c>
      <c r="P96" s="259" t="s">
        <v>441</v>
      </c>
      <c r="Q96" s="268"/>
      <c r="R96" s="268"/>
      <c r="S96" s="401" t="s">
        <v>983</v>
      </c>
      <c r="T96" s="401" t="s">
        <v>983</v>
      </c>
      <c r="U96" s="248" t="str">
        <f t="shared" si="8"/>
        <v/>
      </c>
      <c r="V96" s="268"/>
      <c r="W96" s="268"/>
      <c r="X96" s="268"/>
      <c r="Y96" s="268"/>
      <c r="Z96" s="270"/>
      <c r="AA96" s="271" t="str">
        <f t="shared" si="9"/>
        <v/>
      </c>
      <c r="AB96" s="263"/>
    </row>
    <row r="97" spans="1:28" s="11" customFormat="1" ht="15" customHeight="1" x14ac:dyDescent="0.25">
      <c r="A97" s="264" t="s">
        <v>608</v>
      </c>
      <c r="B97" s="40">
        <v>3</v>
      </c>
      <c r="C97" s="260" t="s">
        <v>653</v>
      </c>
      <c r="D97" s="260"/>
      <c r="E97" s="11" t="str">
        <f>Manufacturers!$B$30</f>
        <v>Lows of Dundee</v>
      </c>
      <c r="F97" s="261" t="s">
        <v>654</v>
      </c>
      <c r="G97" s="11" t="s">
        <v>137</v>
      </c>
      <c r="H97" s="272">
        <v>0.5</v>
      </c>
      <c r="I97" s="11">
        <v>500</v>
      </c>
      <c r="K97" s="273"/>
      <c r="L97" s="272" t="s">
        <v>685</v>
      </c>
      <c r="N97" s="11" t="s">
        <v>59</v>
      </c>
      <c r="O97" s="11" t="s">
        <v>62</v>
      </c>
      <c r="P97" s="11" t="s">
        <v>441</v>
      </c>
      <c r="Q97" s="274"/>
      <c r="R97" s="274"/>
      <c r="S97" s="532" t="s">
        <v>983</v>
      </c>
      <c r="T97" s="532" t="s">
        <v>983</v>
      </c>
      <c r="U97" s="239" t="str">
        <f t="shared" si="8"/>
        <v/>
      </c>
      <c r="V97" s="274"/>
      <c r="W97" s="274"/>
      <c r="X97" s="274"/>
      <c r="Y97" s="274"/>
      <c r="Z97" s="276"/>
      <c r="AA97" s="271" t="str">
        <f t="shared" si="9"/>
        <v/>
      </c>
      <c r="AB97" s="257"/>
    </row>
    <row r="98" spans="1:28" s="259" customFormat="1" ht="15" customHeight="1" x14ac:dyDescent="0.25">
      <c r="A98" s="265" t="s">
        <v>609</v>
      </c>
      <c r="B98" s="40">
        <v>4</v>
      </c>
      <c r="C98" s="258" t="s">
        <v>658</v>
      </c>
      <c r="D98" s="258"/>
      <c r="E98" s="259" t="str">
        <f>Manufacturers!$B$31</f>
        <v>GSE</v>
      </c>
      <c r="F98" s="262" t="s">
        <v>688</v>
      </c>
      <c r="G98" s="259" t="s">
        <v>576</v>
      </c>
      <c r="H98" s="266">
        <v>0.75</v>
      </c>
      <c r="I98" s="259">
        <v>700</v>
      </c>
      <c r="K98" s="267"/>
      <c r="L98" s="266"/>
      <c r="N98" s="259" t="s">
        <v>59</v>
      </c>
      <c r="O98" s="259" t="s">
        <v>62</v>
      </c>
      <c r="P98" s="259" t="s">
        <v>155</v>
      </c>
      <c r="Q98" s="268">
        <v>15.6</v>
      </c>
      <c r="R98" s="268">
        <v>17.8</v>
      </c>
      <c r="S98" s="401">
        <v>487.5</v>
      </c>
      <c r="T98" s="401">
        <v>487.5</v>
      </c>
      <c r="U98" s="248">
        <f t="shared" si="8"/>
        <v>2.3857142857142855E-2</v>
      </c>
      <c r="V98" s="268"/>
      <c r="W98" s="268"/>
      <c r="X98" s="268"/>
      <c r="Y98" s="268"/>
      <c r="Z98" s="270">
        <v>2.2400000000000002</v>
      </c>
      <c r="AA98" s="271">
        <f t="shared" si="9"/>
        <v>3.2</v>
      </c>
      <c r="AB98" s="263" t="s">
        <v>839</v>
      </c>
    </row>
    <row r="99" spans="1:28" s="11" customFormat="1" ht="15" customHeight="1" x14ac:dyDescent="0.25">
      <c r="A99" s="264" t="s">
        <v>610</v>
      </c>
      <c r="B99" s="40">
        <v>4</v>
      </c>
      <c r="C99" s="260" t="s">
        <v>657</v>
      </c>
      <c r="D99" s="260"/>
      <c r="E99" s="11" t="str">
        <f>Manufacturers!$B$31</f>
        <v>GSE</v>
      </c>
      <c r="F99" s="261" t="s">
        <v>689</v>
      </c>
      <c r="G99" s="11" t="s">
        <v>576</v>
      </c>
      <c r="H99" s="272">
        <v>0.5</v>
      </c>
      <c r="I99" s="11">
        <v>475</v>
      </c>
      <c r="K99" s="273"/>
      <c r="L99" s="272"/>
      <c r="N99" s="11" t="s">
        <v>59</v>
      </c>
      <c r="O99" s="11" t="s">
        <v>62</v>
      </c>
      <c r="P99" s="11" t="s">
        <v>155</v>
      </c>
      <c r="Q99" s="274">
        <v>10.9</v>
      </c>
      <c r="R99" s="274">
        <v>13.2</v>
      </c>
      <c r="S99" s="532">
        <v>337.5</v>
      </c>
      <c r="T99" s="532">
        <v>337.5</v>
      </c>
      <c r="U99" s="239">
        <f t="shared" si="8"/>
        <v>2.5368421052631582E-2</v>
      </c>
      <c r="V99" s="274"/>
      <c r="W99" s="274"/>
      <c r="X99" s="274"/>
      <c r="Y99" s="274"/>
      <c r="Z99" s="276"/>
      <c r="AA99" s="271" t="str">
        <f t="shared" si="9"/>
        <v/>
      </c>
      <c r="AB99" s="257"/>
    </row>
    <row r="100" spans="1:28" s="259" customFormat="1" ht="15" customHeight="1" x14ac:dyDescent="0.25">
      <c r="A100" s="265" t="s">
        <v>611</v>
      </c>
      <c r="B100" s="40">
        <v>3</v>
      </c>
      <c r="C100" s="258" t="s">
        <v>686</v>
      </c>
      <c r="D100" s="258"/>
      <c r="E100" s="259" t="str">
        <f>Manufacturers!$B$31</f>
        <v>GSE</v>
      </c>
      <c r="F100" s="262" t="s">
        <v>690</v>
      </c>
      <c r="G100" s="259" t="s">
        <v>174</v>
      </c>
      <c r="H100" s="266">
        <v>0.5</v>
      </c>
      <c r="I100" s="259">
        <v>475</v>
      </c>
      <c r="K100" s="267"/>
      <c r="L100" s="266"/>
      <c r="N100" s="259" t="s">
        <v>59</v>
      </c>
      <c r="O100" s="259" t="s">
        <v>62</v>
      </c>
      <c r="P100" s="259" t="s">
        <v>155</v>
      </c>
      <c r="Q100" s="268">
        <v>5.9</v>
      </c>
      <c r="R100" s="268">
        <v>5.0999999999999996</v>
      </c>
      <c r="S100" s="401">
        <v>127.5</v>
      </c>
      <c r="T100" s="401">
        <v>127.5</v>
      </c>
      <c r="U100" s="248">
        <f t="shared" si="8"/>
        <v>1.1578947368421053E-2</v>
      </c>
      <c r="V100" s="268"/>
      <c r="W100" s="268"/>
      <c r="X100" s="268"/>
      <c r="Y100" s="268"/>
      <c r="Z100" s="270"/>
      <c r="AA100" s="271" t="str">
        <f t="shared" si="9"/>
        <v/>
      </c>
      <c r="AB100" s="263"/>
    </row>
    <row r="101" spans="1:28" s="11" customFormat="1" ht="15" customHeight="1" x14ac:dyDescent="0.25">
      <c r="A101" s="264" t="s">
        <v>665</v>
      </c>
      <c r="B101" s="40">
        <v>3</v>
      </c>
      <c r="C101" s="260" t="s">
        <v>687</v>
      </c>
      <c r="D101" s="260"/>
      <c r="E101" s="11" t="str">
        <f>Manufacturers!$B$31</f>
        <v>GSE</v>
      </c>
      <c r="F101" s="261" t="s">
        <v>691</v>
      </c>
      <c r="G101" s="11" t="s">
        <v>174</v>
      </c>
      <c r="H101" s="272">
        <v>0.75</v>
      </c>
      <c r="I101" s="11">
        <v>650</v>
      </c>
      <c r="K101" s="273"/>
      <c r="L101" s="272"/>
      <c r="N101" s="11" t="s">
        <v>59</v>
      </c>
      <c r="O101" s="11" t="s">
        <v>62</v>
      </c>
      <c r="P101" s="11" t="s">
        <v>155</v>
      </c>
      <c r="Q101" s="274">
        <v>8.4</v>
      </c>
      <c r="R101" s="274">
        <v>7.1</v>
      </c>
      <c r="S101" s="532">
        <v>165</v>
      </c>
      <c r="T101" s="532">
        <v>127.5</v>
      </c>
      <c r="U101" s="239">
        <f t="shared" si="8"/>
        <v>1.1923076923076923E-2</v>
      </c>
      <c r="V101" s="274"/>
      <c r="W101" s="274"/>
      <c r="X101" s="274"/>
      <c r="Y101" s="274"/>
      <c r="Z101" s="276"/>
      <c r="AA101" s="271" t="str">
        <f t="shared" si="9"/>
        <v/>
      </c>
      <c r="AB101" s="257"/>
    </row>
    <row r="102" spans="1:28" s="259" customFormat="1" ht="15" customHeight="1" x14ac:dyDescent="0.25">
      <c r="A102" s="265" t="s">
        <v>666</v>
      </c>
      <c r="B102" s="40">
        <v>4</v>
      </c>
      <c r="C102" s="258" t="s">
        <v>658</v>
      </c>
      <c r="D102" s="258"/>
      <c r="E102" s="259" t="str">
        <f>Manufacturers!B28</f>
        <v>Atarfil</v>
      </c>
      <c r="F102" s="262" t="s">
        <v>692</v>
      </c>
      <c r="G102" s="259" t="s">
        <v>576</v>
      </c>
      <c r="H102" s="266">
        <v>0.75</v>
      </c>
      <c r="I102" s="259">
        <v>700</v>
      </c>
      <c r="K102" s="267"/>
      <c r="L102" s="266"/>
      <c r="N102" s="259" t="s">
        <v>59</v>
      </c>
      <c r="O102" s="259" t="s">
        <v>62</v>
      </c>
      <c r="P102" s="259" t="s">
        <v>155</v>
      </c>
      <c r="Q102" s="268">
        <v>13.4</v>
      </c>
      <c r="R102" s="268">
        <v>14.4</v>
      </c>
      <c r="S102" s="401">
        <v>337.5</v>
      </c>
      <c r="T102" s="401">
        <v>337.5</v>
      </c>
      <c r="U102" s="248">
        <f t="shared" si="8"/>
        <v>1.9857142857142858E-2</v>
      </c>
      <c r="V102" s="268"/>
      <c r="W102" s="268"/>
      <c r="X102" s="268"/>
      <c r="Y102" s="268"/>
      <c r="Z102" s="270">
        <v>1.05</v>
      </c>
      <c r="AA102" s="271">
        <f t="shared" si="9"/>
        <v>1.5</v>
      </c>
      <c r="AB102" s="263" t="s">
        <v>1442</v>
      </c>
    </row>
    <row r="103" spans="1:28" s="11" customFormat="1" ht="15" customHeight="1" x14ac:dyDescent="0.25">
      <c r="A103" s="264" t="s">
        <v>667</v>
      </c>
      <c r="B103" s="40">
        <v>2</v>
      </c>
      <c r="C103" s="260" t="s">
        <v>693</v>
      </c>
      <c r="D103" s="260"/>
      <c r="E103" s="11" t="s">
        <v>694</v>
      </c>
      <c r="F103" s="261"/>
      <c r="G103" s="11" t="s">
        <v>695</v>
      </c>
      <c r="H103" s="272"/>
      <c r="I103" s="11">
        <v>300</v>
      </c>
      <c r="K103" s="273"/>
      <c r="L103" s="272"/>
      <c r="N103" s="11" t="s">
        <v>696</v>
      </c>
      <c r="O103" s="11" t="s">
        <v>697</v>
      </c>
      <c r="P103" s="11" t="s">
        <v>698</v>
      </c>
      <c r="Q103" s="274">
        <v>2.7</v>
      </c>
      <c r="R103" s="274">
        <v>1</v>
      </c>
      <c r="S103" s="532">
        <v>5.625</v>
      </c>
      <c r="T103" s="532">
        <v>3.75</v>
      </c>
      <c r="U103" s="239">
        <f t="shared" si="8"/>
        <v>6.1666666666666667E-3</v>
      </c>
      <c r="V103" s="274"/>
      <c r="W103" s="274"/>
      <c r="X103" s="274"/>
      <c r="Y103" s="274"/>
      <c r="Z103" s="276"/>
      <c r="AA103" s="271" t="str">
        <f t="shared" si="9"/>
        <v/>
      </c>
      <c r="AB103" s="257"/>
    </row>
    <row r="104" spans="1:28" s="259" customFormat="1" ht="15" customHeight="1" x14ac:dyDescent="0.25">
      <c r="A104" s="265" t="s">
        <v>668</v>
      </c>
      <c r="B104" s="40">
        <v>4</v>
      </c>
      <c r="C104" s="258" t="s">
        <v>702</v>
      </c>
      <c r="D104" s="277">
        <v>42786</v>
      </c>
      <c r="E104" s="259" t="str">
        <f>Manufacturers!$B$32</f>
        <v>Stonebridge NWs</v>
      </c>
      <c r="F104" s="262" t="s">
        <v>706</v>
      </c>
      <c r="G104" s="259" t="s">
        <v>274</v>
      </c>
      <c r="H104" s="266"/>
      <c r="I104" s="259">
        <v>100</v>
      </c>
      <c r="J104" s="259">
        <v>15</v>
      </c>
      <c r="K104" s="267"/>
      <c r="L104" s="266">
        <v>3</v>
      </c>
      <c r="M104" s="259">
        <v>100</v>
      </c>
      <c r="N104" s="259" t="s">
        <v>696</v>
      </c>
      <c r="O104" s="259" t="s">
        <v>76</v>
      </c>
      <c r="P104" s="259" t="s">
        <v>155</v>
      </c>
      <c r="Q104" s="268">
        <v>1.9</v>
      </c>
      <c r="R104" s="268">
        <v>4.7</v>
      </c>
      <c r="S104" s="401">
        <v>2.625</v>
      </c>
      <c r="T104" s="401">
        <v>2.625</v>
      </c>
      <c r="U104" s="248">
        <f t="shared" si="8"/>
        <v>3.3000000000000002E-2</v>
      </c>
      <c r="V104" s="268"/>
      <c r="W104" s="268"/>
      <c r="X104" s="268"/>
      <c r="Y104" s="268"/>
      <c r="Z104" s="270">
        <v>0.25</v>
      </c>
      <c r="AA104" s="271">
        <f t="shared" si="9"/>
        <v>2.5</v>
      </c>
      <c r="AB104" s="263"/>
    </row>
    <row r="105" spans="1:28" s="11" customFormat="1" ht="15" customHeight="1" x14ac:dyDescent="0.25">
      <c r="A105" s="264" t="s">
        <v>669</v>
      </c>
      <c r="B105" s="40">
        <v>4</v>
      </c>
      <c r="C105" s="260" t="s">
        <v>707</v>
      </c>
      <c r="D105" s="278">
        <v>42786</v>
      </c>
      <c r="E105" s="11" t="str">
        <f>Manufacturers!$B$32</f>
        <v>Stonebridge NWs</v>
      </c>
      <c r="F105" s="261"/>
      <c r="G105" s="11" t="s">
        <v>274</v>
      </c>
      <c r="H105" s="272"/>
      <c r="I105" s="11">
        <v>150</v>
      </c>
      <c r="J105" s="11">
        <v>15</v>
      </c>
      <c r="K105" s="273"/>
      <c r="L105" s="272">
        <v>3</v>
      </c>
      <c r="M105" s="11">
        <v>100</v>
      </c>
      <c r="N105" s="11" t="s">
        <v>696</v>
      </c>
      <c r="O105" s="11" t="s">
        <v>76</v>
      </c>
      <c r="P105" s="11" t="s">
        <v>155</v>
      </c>
      <c r="Q105" s="274">
        <v>2.5</v>
      </c>
      <c r="R105" s="274">
        <v>6.6</v>
      </c>
      <c r="S105" s="532">
        <v>2.625</v>
      </c>
      <c r="T105" s="532">
        <v>2.625</v>
      </c>
      <c r="U105" s="239">
        <f t="shared" ref="U105:U131" si="10">IF(AND((I105&gt;0),Q105&gt;0),AVERAGE(Q105:R105)/I105,"")</f>
        <v>3.0333333333333334E-2</v>
      </c>
      <c r="V105" s="274"/>
      <c r="W105" s="274"/>
      <c r="X105" s="274"/>
      <c r="Y105" s="274"/>
      <c r="Z105" s="276"/>
      <c r="AA105" s="271" t="str">
        <f t="shared" ref="AA105:AA131" si="11">IF(AND(I105&gt;0,Z105&gt;0),1000*(Z105/I105),"")</f>
        <v/>
      </c>
      <c r="AB105" s="257"/>
    </row>
    <row r="106" spans="1:28" s="259" customFormat="1" ht="15" customHeight="1" x14ac:dyDescent="0.25">
      <c r="A106" s="265" t="s">
        <v>670</v>
      </c>
      <c r="B106" s="40">
        <v>4</v>
      </c>
      <c r="C106" s="258" t="s">
        <v>708</v>
      </c>
      <c r="D106" s="277">
        <v>42786</v>
      </c>
      <c r="E106" s="259" t="str">
        <f>Manufacturers!$B$32</f>
        <v>Stonebridge NWs</v>
      </c>
      <c r="F106" s="262"/>
      <c r="G106" s="259" t="s">
        <v>274</v>
      </c>
      <c r="H106" s="266"/>
      <c r="I106" s="259">
        <v>130</v>
      </c>
      <c r="J106" s="259">
        <v>15</v>
      </c>
      <c r="K106" s="267"/>
      <c r="L106" s="266">
        <v>3</v>
      </c>
      <c r="M106" s="259">
        <v>100</v>
      </c>
      <c r="N106" s="259" t="s">
        <v>696</v>
      </c>
      <c r="O106" s="259" t="s">
        <v>76</v>
      </c>
      <c r="P106" s="259" t="s">
        <v>155</v>
      </c>
      <c r="Q106" s="268">
        <v>2.2000000000000002</v>
      </c>
      <c r="R106" s="268">
        <v>7.6</v>
      </c>
      <c r="S106" s="401">
        <v>2.625</v>
      </c>
      <c r="T106" s="401">
        <v>2.625</v>
      </c>
      <c r="U106" s="248">
        <f t="shared" si="10"/>
        <v>3.7692307692307692E-2</v>
      </c>
      <c r="V106" s="268"/>
      <c r="W106" s="268"/>
      <c r="X106" s="268"/>
      <c r="Y106" s="268"/>
      <c r="Z106" s="270">
        <v>0.4</v>
      </c>
      <c r="AA106" s="271">
        <f t="shared" si="11"/>
        <v>3.0769230769230771</v>
      </c>
      <c r="AB106" s="263"/>
    </row>
    <row r="107" spans="1:28" s="11" customFormat="1" ht="15" customHeight="1" x14ac:dyDescent="0.25">
      <c r="A107" s="264" t="s">
        <v>671</v>
      </c>
      <c r="B107" s="40">
        <v>4</v>
      </c>
      <c r="C107" s="260" t="s">
        <v>709</v>
      </c>
      <c r="D107" s="278">
        <v>42786</v>
      </c>
      <c r="E107" s="11" t="str">
        <f>Manufacturers!$B$32</f>
        <v>Stonebridge NWs</v>
      </c>
      <c r="F107" s="261"/>
      <c r="G107" s="11" t="s">
        <v>274</v>
      </c>
      <c r="H107" s="272"/>
      <c r="I107" s="11">
        <v>200</v>
      </c>
      <c r="J107" s="11">
        <v>15</v>
      </c>
      <c r="K107" s="273"/>
      <c r="L107" s="272">
        <v>3</v>
      </c>
      <c r="M107" s="11">
        <v>100</v>
      </c>
      <c r="N107" s="11" t="s">
        <v>696</v>
      </c>
      <c r="O107" s="11" t="s">
        <v>76</v>
      </c>
      <c r="P107" s="11" t="s">
        <v>155</v>
      </c>
      <c r="Q107" s="274">
        <v>1.6</v>
      </c>
      <c r="R107" s="274">
        <v>3</v>
      </c>
      <c r="S107" s="532">
        <v>1.875</v>
      </c>
      <c r="T107" s="532">
        <v>1.875</v>
      </c>
      <c r="U107" s="239">
        <f t="shared" si="10"/>
        <v>1.15E-2</v>
      </c>
      <c r="V107" s="274"/>
      <c r="W107" s="274"/>
      <c r="X107" s="274"/>
      <c r="Y107" s="274"/>
      <c r="Z107" s="276"/>
      <c r="AA107" s="271" t="str">
        <f t="shared" si="11"/>
        <v/>
      </c>
      <c r="AB107" s="257"/>
    </row>
    <row r="108" spans="1:28" s="259" customFormat="1" ht="15" customHeight="1" x14ac:dyDescent="0.25">
      <c r="A108" s="265" t="s">
        <v>672</v>
      </c>
      <c r="B108" s="40">
        <v>4</v>
      </c>
      <c r="C108" s="258" t="s">
        <v>710</v>
      </c>
      <c r="D108" s="277">
        <v>42786</v>
      </c>
      <c r="E108" s="259" t="str">
        <f>Manufacturers!$B$32</f>
        <v>Stonebridge NWs</v>
      </c>
      <c r="F108" s="262"/>
      <c r="G108" s="259" t="s">
        <v>274</v>
      </c>
      <c r="H108" s="266"/>
      <c r="I108" s="259">
        <v>170</v>
      </c>
      <c r="J108" s="259">
        <v>15</v>
      </c>
      <c r="K108" s="267"/>
      <c r="L108" s="266">
        <v>3</v>
      </c>
      <c r="M108" s="259">
        <v>100</v>
      </c>
      <c r="N108" s="259" t="s">
        <v>696</v>
      </c>
      <c r="O108" s="259" t="s">
        <v>76</v>
      </c>
      <c r="P108" s="259" t="s">
        <v>155</v>
      </c>
      <c r="Q108" s="268">
        <v>1.2</v>
      </c>
      <c r="R108" s="268">
        <v>2.5</v>
      </c>
      <c r="S108" s="401">
        <v>1.5</v>
      </c>
      <c r="T108" s="401">
        <v>1.5</v>
      </c>
      <c r="U108" s="248">
        <f t="shared" si="10"/>
        <v>1.0882352941176471E-2</v>
      </c>
      <c r="V108" s="268"/>
      <c r="W108" s="268"/>
      <c r="X108" s="268"/>
      <c r="Y108" s="268"/>
      <c r="Z108" s="270"/>
      <c r="AA108" s="271" t="str">
        <f t="shared" si="11"/>
        <v/>
      </c>
      <c r="AB108" s="263"/>
    </row>
    <row r="109" spans="1:28" s="11" customFormat="1" ht="15" customHeight="1" x14ac:dyDescent="0.25">
      <c r="A109" s="264" t="s">
        <v>673</v>
      </c>
      <c r="B109" s="40">
        <v>2</v>
      </c>
      <c r="C109" s="260" t="s">
        <v>711</v>
      </c>
      <c r="D109" s="278">
        <v>42786</v>
      </c>
      <c r="E109" s="11" t="str">
        <f>Manufacturers!$B$32</f>
        <v>Stonebridge NWs</v>
      </c>
      <c r="F109" s="261"/>
      <c r="G109" s="11" t="s">
        <v>716</v>
      </c>
      <c r="H109" s="272"/>
      <c r="I109" s="11">
        <v>290</v>
      </c>
      <c r="J109" s="11">
        <v>15</v>
      </c>
      <c r="K109" s="273"/>
      <c r="L109" s="272">
        <v>3</v>
      </c>
      <c r="M109" s="11">
        <v>100</v>
      </c>
      <c r="N109" s="11" t="s">
        <v>696</v>
      </c>
      <c r="O109" s="11" t="s">
        <v>76</v>
      </c>
      <c r="P109" s="11" t="s">
        <v>155</v>
      </c>
      <c r="Q109" s="274">
        <v>13.1</v>
      </c>
      <c r="R109" s="274">
        <v>11.3</v>
      </c>
      <c r="S109" s="532">
        <v>52.5</v>
      </c>
      <c r="T109" s="532">
        <v>142.5</v>
      </c>
      <c r="U109" s="239">
        <f t="shared" si="10"/>
        <v>4.2068965517241375E-2</v>
      </c>
      <c r="V109" s="274"/>
      <c r="W109" s="274"/>
      <c r="X109" s="274"/>
      <c r="Y109" s="274"/>
      <c r="Z109" s="276"/>
      <c r="AA109" s="271" t="str">
        <f t="shared" si="11"/>
        <v/>
      </c>
      <c r="AB109" s="257"/>
    </row>
    <row r="110" spans="1:28" s="259" customFormat="1" ht="15" customHeight="1" x14ac:dyDescent="0.25">
      <c r="A110" s="265" t="s">
        <v>674</v>
      </c>
      <c r="B110" s="40">
        <v>3</v>
      </c>
      <c r="C110" s="258" t="s">
        <v>712</v>
      </c>
      <c r="D110" s="277">
        <v>42786</v>
      </c>
      <c r="E110" s="259" t="str">
        <f>Manufacturers!$B$32</f>
        <v>Stonebridge NWs</v>
      </c>
      <c r="F110" s="262"/>
      <c r="G110" s="259" t="s">
        <v>274</v>
      </c>
      <c r="H110" s="266"/>
      <c r="I110" s="259">
        <v>260</v>
      </c>
      <c r="J110" s="259">
        <v>15</v>
      </c>
      <c r="K110" s="267"/>
      <c r="L110" s="266">
        <v>3</v>
      </c>
      <c r="M110" s="259">
        <v>100</v>
      </c>
      <c r="N110" s="259" t="s">
        <v>696</v>
      </c>
      <c r="O110" s="259" t="s">
        <v>76</v>
      </c>
      <c r="P110" s="259" t="s">
        <v>155</v>
      </c>
      <c r="Q110" s="268"/>
      <c r="R110" s="268"/>
      <c r="S110" s="401" t="s">
        <v>983</v>
      </c>
      <c r="T110" s="401" t="s">
        <v>983</v>
      </c>
      <c r="U110" s="248" t="str">
        <f t="shared" si="10"/>
        <v/>
      </c>
      <c r="V110" s="268"/>
      <c r="W110" s="268"/>
      <c r="X110" s="268"/>
      <c r="Y110" s="268"/>
      <c r="Z110" s="270"/>
      <c r="AA110" s="271" t="str">
        <f t="shared" si="11"/>
        <v/>
      </c>
      <c r="AB110" s="263"/>
    </row>
    <row r="111" spans="1:28" s="11" customFormat="1" ht="15" customHeight="1" x14ac:dyDescent="0.25">
      <c r="A111" s="264" t="s">
        <v>675</v>
      </c>
      <c r="B111" s="40">
        <v>2</v>
      </c>
      <c r="C111" s="260" t="s">
        <v>713</v>
      </c>
      <c r="D111" s="278">
        <v>42786</v>
      </c>
      <c r="E111" s="11" t="str">
        <f>Manufacturers!$B$32</f>
        <v>Stonebridge NWs</v>
      </c>
      <c r="F111" s="261"/>
      <c r="G111" s="11" t="s">
        <v>715</v>
      </c>
      <c r="H111" s="272"/>
      <c r="I111" s="11">
        <v>110</v>
      </c>
      <c r="J111" s="11">
        <v>9</v>
      </c>
      <c r="K111" s="273"/>
      <c r="L111" s="272"/>
      <c r="N111" s="11" t="s">
        <v>696</v>
      </c>
      <c r="O111" s="11" t="s">
        <v>76</v>
      </c>
      <c r="P111" s="11" t="s">
        <v>155</v>
      </c>
      <c r="Q111" s="274">
        <v>4.5</v>
      </c>
      <c r="R111" s="274">
        <v>8.1</v>
      </c>
      <c r="S111" s="532">
        <v>11.25</v>
      </c>
      <c r="T111" s="532">
        <v>11.25</v>
      </c>
      <c r="U111" s="239">
        <f t="shared" si="10"/>
        <v>5.7272727272727274E-2</v>
      </c>
      <c r="V111" s="274"/>
      <c r="W111" s="274"/>
      <c r="X111" s="274"/>
      <c r="Y111" s="274"/>
      <c r="Z111" s="276"/>
      <c r="AA111" s="271" t="str">
        <f t="shared" si="11"/>
        <v/>
      </c>
      <c r="AB111" s="257"/>
    </row>
    <row r="112" spans="1:28" s="259" customFormat="1" ht="15" customHeight="1" x14ac:dyDescent="0.25">
      <c r="A112" s="265" t="s">
        <v>676</v>
      </c>
      <c r="B112" s="279">
        <v>2</v>
      </c>
      <c r="C112" s="258" t="s">
        <v>714</v>
      </c>
      <c r="D112" s="277">
        <v>42786</v>
      </c>
      <c r="E112" s="259" t="str">
        <f>Manufacturers!$B$32</f>
        <v>Stonebridge NWs</v>
      </c>
      <c r="F112" s="262"/>
      <c r="G112" s="259" t="s">
        <v>274</v>
      </c>
      <c r="H112" s="266"/>
      <c r="I112" s="259">
        <v>200</v>
      </c>
      <c r="J112" s="259">
        <v>9</v>
      </c>
      <c r="K112" s="267"/>
      <c r="L112" s="266"/>
      <c r="N112" s="259" t="s">
        <v>696</v>
      </c>
      <c r="O112" s="259" t="s">
        <v>331</v>
      </c>
      <c r="P112" s="259" t="s">
        <v>155</v>
      </c>
      <c r="Q112" s="268">
        <v>5.5</v>
      </c>
      <c r="R112" s="268">
        <v>0.7</v>
      </c>
      <c r="S112" s="401">
        <v>22.5</v>
      </c>
      <c r="T112" s="401">
        <v>1.875</v>
      </c>
      <c r="U112" s="248">
        <f t="shared" si="10"/>
        <v>1.55E-2</v>
      </c>
      <c r="V112" s="268"/>
      <c r="W112" s="268"/>
      <c r="X112" s="268"/>
      <c r="Y112" s="268"/>
      <c r="Z112" s="270"/>
      <c r="AA112" s="271" t="str">
        <f t="shared" si="11"/>
        <v/>
      </c>
      <c r="AB112" s="263"/>
    </row>
    <row r="113" spans="1:28" s="11" customFormat="1" ht="15" customHeight="1" x14ac:dyDescent="0.25">
      <c r="A113" s="264" t="s">
        <v>677</v>
      </c>
      <c r="B113" s="40">
        <v>3</v>
      </c>
      <c r="C113" s="260" t="s">
        <v>721</v>
      </c>
      <c r="D113" s="260"/>
      <c r="E113" s="11" t="str">
        <f>Manufacturers!$B$33</f>
        <v>Tech-Folien</v>
      </c>
      <c r="F113" s="261"/>
      <c r="G113" s="11" t="s">
        <v>633</v>
      </c>
      <c r="H113" s="272">
        <v>7.4999999999999997E-2</v>
      </c>
      <c r="I113" s="11">
        <v>69</v>
      </c>
      <c r="K113" s="273"/>
      <c r="L113" s="272"/>
      <c r="N113" s="11" t="s">
        <v>59</v>
      </c>
      <c r="O113" s="11" t="s">
        <v>76</v>
      </c>
      <c r="P113" s="11" t="s">
        <v>80</v>
      </c>
      <c r="Q113" s="274">
        <v>2.2000000000000002</v>
      </c>
      <c r="R113" s="274">
        <v>1.5</v>
      </c>
      <c r="S113" s="532">
        <v>525</v>
      </c>
      <c r="T113" s="532">
        <v>525</v>
      </c>
      <c r="U113" s="239">
        <f t="shared" si="10"/>
        <v>2.6811594202898553E-2</v>
      </c>
      <c r="V113" s="274"/>
      <c r="W113" s="274"/>
      <c r="X113" s="274"/>
      <c r="Y113" s="274"/>
      <c r="Z113" s="276"/>
      <c r="AA113" s="271" t="str">
        <f t="shared" si="11"/>
        <v/>
      </c>
      <c r="AB113" s="257"/>
    </row>
    <row r="114" spans="1:28" s="259" customFormat="1" ht="15" customHeight="1" x14ac:dyDescent="0.25">
      <c r="A114" s="265" t="s">
        <v>678</v>
      </c>
      <c r="B114" s="279">
        <v>3</v>
      </c>
      <c r="C114" s="258" t="s">
        <v>722</v>
      </c>
      <c r="D114" s="258"/>
      <c r="E114" s="259" t="str">
        <f>Manufacturers!$B$33</f>
        <v>Tech-Folien</v>
      </c>
      <c r="F114" s="262"/>
      <c r="G114" s="259" t="s">
        <v>633</v>
      </c>
      <c r="H114" s="266">
        <v>0.38</v>
      </c>
      <c r="I114" s="259">
        <v>350</v>
      </c>
      <c r="K114" s="267"/>
      <c r="L114" s="266"/>
      <c r="N114" s="259" t="s">
        <v>59</v>
      </c>
      <c r="O114" s="259" t="s">
        <v>725</v>
      </c>
      <c r="P114" s="259" t="s">
        <v>80</v>
      </c>
      <c r="Q114" s="268">
        <v>5.5</v>
      </c>
      <c r="R114" s="268">
        <v>5.7</v>
      </c>
      <c r="S114" s="401">
        <v>525</v>
      </c>
      <c r="T114" s="401">
        <v>525</v>
      </c>
      <c r="U114" s="248">
        <f t="shared" si="10"/>
        <v>1.6E-2</v>
      </c>
      <c r="V114" s="268"/>
      <c r="W114" s="268"/>
      <c r="X114" s="268"/>
      <c r="Y114" s="268"/>
      <c r="Z114" s="270"/>
      <c r="AA114" s="271" t="str">
        <f t="shared" si="11"/>
        <v/>
      </c>
      <c r="AB114" s="263"/>
    </row>
    <row r="115" spans="1:28" s="11" customFormat="1" ht="15" customHeight="1" x14ac:dyDescent="0.25">
      <c r="A115" s="264" t="s">
        <v>726</v>
      </c>
      <c r="B115" s="40">
        <v>4</v>
      </c>
      <c r="C115" s="260" t="s">
        <v>723</v>
      </c>
      <c r="D115" s="260"/>
      <c r="E115" s="11" t="str">
        <f>Manufacturers!$B$33</f>
        <v>Tech-Folien</v>
      </c>
      <c r="F115" s="261"/>
      <c r="G115" s="11" t="s">
        <v>576</v>
      </c>
      <c r="H115" s="272">
        <v>0.08</v>
      </c>
      <c r="I115" s="11">
        <v>77.599999999999994</v>
      </c>
      <c r="K115" s="273"/>
      <c r="L115" s="272"/>
      <c r="N115" s="11" t="s">
        <v>59</v>
      </c>
      <c r="O115" s="11" t="s">
        <v>725</v>
      </c>
      <c r="P115" s="11" t="s">
        <v>80</v>
      </c>
      <c r="Q115" s="274">
        <v>2.1</v>
      </c>
      <c r="R115" s="274">
        <v>2.2000000000000002</v>
      </c>
      <c r="S115" s="532">
        <v>525</v>
      </c>
      <c r="T115" s="532">
        <v>525</v>
      </c>
      <c r="U115" s="239">
        <f t="shared" si="10"/>
        <v>2.7706185567010315E-2</v>
      </c>
      <c r="V115" s="274"/>
      <c r="W115" s="274"/>
      <c r="X115" s="274"/>
      <c r="Y115" s="274"/>
      <c r="Z115" s="276">
        <v>0.14000000000000001</v>
      </c>
      <c r="AA115" s="271">
        <f t="shared" si="11"/>
        <v>1.8041237113402064</v>
      </c>
      <c r="AB115" s="257"/>
    </row>
    <row r="116" spans="1:28" s="259" customFormat="1" ht="15" customHeight="1" x14ac:dyDescent="0.25">
      <c r="A116" s="265" t="s">
        <v>679</v>
      </c>
      <c r="B116" s="279">
        <v>4</v>
      </c>
      <c r="C116" s="258" t="s">
        <v>724</v>
      </c>
      <c r="D116" s="258"/>
      <c r="E116" s="259" t="str">
        <f>Manufacturers!$B$33</f>
        <v>Tech-Folien</v>
      </c>
      <c r="F116" s="262"/>
      <c r="G116" s="259" t="s">
        <v>576</v>
      </c>
      <c r="H116" s="266">
        <v>0.2</v>
      </c>
      <c r="I116" s="259">
        <v>194</v>
      </c>
      <c r="K116" s="267"/>
      <c r="L116" s="266"/>
      <c r="N116" s="259" t="s">
        <v>59</v>
      </c>
      <c r="O116" s="259" t="s">
        <v>76</v>
      </c>
      <c r="P116" s="259" t="s">
        <v>80</v>
      </c>
      <c r="Q116" s="268">
        <v>4.4000000000000004</v>
      </c>
      <c r="R116" s="268">
        <v>4.7</v>
      </c>
      <c r="S116" s="401">
        <v>525</v>
      </c>
      <c r="T116" s="401">
        <v>525</v>
      </c>
      <c r="U116" s="248">
        <f t="shared" si="10"/>
        <v>2.3453608247422684E-2</v>
      </c>
      <c r="V116" s="268"/>
      <c r="W116" s="268"/>
      <c r="X116" s="268"/>
      <c r="Y116" s="268"/>
      <c r="Z116" s="270">
        <v>0.36</v>
      </c>
      <c r="AA116" s="271">
        <f t="shared" si="11"/>
        <v>1.8556701030927834</v>
      </c>
      <c r="AB116" s="263"/>
    </row>
    <row r="117" spans="1:28" s="11" customFormat="1" ht="15" customHeight="1" x14ac:dyDescent="0.25">
      <c r="A117" s="264" t="s">
        <v>680</v>
      </c>
      <c r="B117" s="40">
        <v>3</v>
      </c>
      <c r="C117" s="260" t="s">
        <v>751</v>
      </c>
      <c r="D117" s="260"/>
      <c r="E117" s="11" t="str">
        <f>Manufacturers!$B$21</f>
        <v>AMR</v>
      </c>
      <c r="F117" s="261"/>
      <c r="G117" s="11" t="s">
        <v>174</v>
      </c>
      <c r="H117" s="272"/>
      <c r="I117" s="11">
        <v>200</v>
      </c>
      <c r="K117" s="273"/>
      <c r="L117" s="272"/>
      <c r="N117" s="11" t="s">
        <v>243</v>
      </c>
      <c r="O117" s="11" t="s">
        <v>76</v>
      </c>
      <c r="P117" s="11" t="s">
        <v>727</v>
      </c>
      <c r="Q117" s="274">
        <v>7.2</v>
      </c>
      <c r="R117" s="274">
        <v>7.6</v>
      </c>
      <c r="S117" s="532">
        <v>7.5</v>
      </c>
      <c r="T117" s="532">
        <v>6</v>
      </c>
      <c r="U117" s="239">
        <f t="shared" si="10"/>
        <v>3.7000000000000005E-2</v>
      </c>
      <c r="V117" s="274"/>
      <c r="W117" s="274"/>
      <c r="X117" s="274"/>
      <c r="Y117" s="274"/>
      <c r="Z117" s="276"/>
      <c r="AA117" s="271" t="str">
        <f t="shared" si="11"/>
        <v/>
      </c>
      <c r="AB117" s="257"/>
    </row>
    <row r="118" spans="1:28" s="299" customFormat="1" ht="15" customHeight="1" x14ac:dyDescent="0.25">
      <c r="A118" s="295" t="s">
        <v>681</v>
      </c>
      <c r="B118" s="296">
        <v>4</v>
      </c>
      <c r="C118" s="297" t="s">
        <v>752</v>
      </c>
      <c r="D118" s="297"/>
      <c r="E118" s="299" t="str">
        <f>Manufacturers!$B$21</f>
        <v>AMR</v>
      </c>
      <c r="F118" s="300"/>
      <c r="G118" s="299" t="s">
        <v>174</v>
      </c>
      <c r="H118" s="301"/>
      <c r="I118" s="299">
        <v>200</v>
      </c>
      <c r="K118" s="302"/>
      <c r="L118" s="301"/>
      <c r="N118" s="299" t="s">
        <v>243</v>
      </c>
      <c r="O118" s="299" t="s">
        <v>76</v>
      </c>
      <c r="P118" s="299" t="s">
        <v>727</v>
      </c>
      <c r="Q118" s="303">
        <v>11.2</v>
      </c>
      <c r="R118" s="303">
        <v>21.9</v>
      </c>
      <c r="S118" s="401">
        <v>9.75</v>
      </c>
      <c r="T118" s="401">
        <v>9.75</v>
      </c>
      <c r="U118" s="304">
        <f t="shared" si="10"/>
        <v>8.274999999999999E-2</v>
      </c>
      <c r="V118" s="303"/>
      <c r="W118" s="303"/>
      <c r="X118" s="303"/>
      <c r="Y118" s="303"/>
      <c r="Z118" s="305"/>
      <c r="AA118" s="293" t="str">
        <f t="shared" si="11"/>
        <v/>
      </c>
      <c r="AB118" s="306"/>
    </row>
    <row r="119" spans="1:28" s="11" customFormat="1" ht="15" customHeight="1" x14ac:dyDescent="0.25">
      <c r="A119" s="264" t="s">
        <v>682</v>
      </c>
      <c r="B119" s="40">
        <v>3</v>
      </c>
      <c r="C119" s="260" t="s">
        <v>728</v>
      </c>
      <c r="D119" s="260"/>
      <c r="E119" s="11" t="s">
        <v>659</v>
      </c>
      <c r="F119" s="261" t="s">
        <v>732</v>
      </c>
      <c r="G119" s="11" t="s">
        <v>731</v>
      </c>
      <c r="H119" s="272">
        <v>0.5</v>
      </c>
      <c r="I119" s="11">
        <v>475</v>
      </c>
      <c r="K119" s="273"/>
      <c r="L119" s="272"/>
      <c r="N119" s="11" t="s">
        <v>59</v>
      </c>
      <c r="O119" s="11" t="s">
        <v>62</v>
      </c>
      <c r="P119" s="11" t="s">
        <v>155</v>
      </c>
      <c r="Q119" s="274">
        <v>7.3</v>
      </c>
      <c r="R119" s="274">
        <v>8.9</v>
      </c>
      <c r="S119" s="532">
        <v>225</v>
      </c>
      <c r="T119" s="532">
        <v>225</v>
      </c>
      <c r="U119" s="239">
        <f t="shared" si="10"/>
        <v>1.7052631578947368E-2</v>
      </c>
      <c r="V119" s="274"/>
      <c r="W119" s="274"/>
      <c r="X119" s="274"/>
      <c r="Y119" s="274"/>
      <c r="Z119" s="276">
        <v>1.02</v>
      </c>
      <c r="AA119" s="271">
        <f t="shared" si="11"/>
        <v>2.1473684210526316</v>
      </c>
      <c r="AB119" s="257" t="s">
        <v>836</v>
      </c>
    </row>
    <row r="120" spans="1:28" s="259" customFormat="1" ht="15" customHeight="1" x14ac:dyDescent="0.25">
      <c r="A120" s="265" t="s">
        <v>683</v>
      </c>
      <c r="B120" s="279">
        <v>3</v>
      </c>
      <c r="C120" s="258" t="s">
        <v>729</v>
      </c>
      <c r="D120" s="258"/>
      <c r="E120" s="259" t="s">
        <v>659</v>
      </c>
      <c r="F120" s="262" t="s">
        <v>732</v>
      </c>
      <c r="G120" s="259" t="s">
        <v>731</v>
      </c>
      <c r="H120" s="266">
        <v>0.75</v>
      </c>
      <c r="I120" s="259">
        <v>700</v>
      </c>
      <c r="K120" s="267"/>
      <c r="L120" s="266"/>
      <c r="N120" s="259" t="s">
        <v>59</v>
      </c>
      <c r="O120" s="259" t="s">
        <v>62</v>
      </c>
      <c r="P120" s="259" t="s">
        <v>155</v>
      </c>
      <c r="Q120" s="268">
        <v>12.4</v>
      </c>
      <c r="R120" s="268">
        <v>12.7</v>
      </c>
      <c r="S120" s="401">
        <v>225</v>
      </c>
      <c r="T120" s="401">
        <v>225</v>
      </c>
      <c r="U120" s="248">
        <f t="shared" si="10"/>
        <v>1.7928571428571429E-2</v>
      </c>
      <c r="V120" s="268"/>
      <c r="W120" s="268"/>
      <c r="X120" s="268"/>
      <c r="Y120" s="268"/>
      <c r="Z120" s="270">
        <v>1.49</v>
      </c>
      <c r="AA120" s="271">
        <f t="shared" si="11"/>
        <v>2.1285714285714286</v>
      </c>
      <c r="AB120" s="263" t="s">
        <v>837</v>
      </c>
    </row>
    <row r="121" spans="1:28" s="11" customFormat="1" ht="15" customHeight="1" x14ac:dyDescent="0.25">
      <c r="A121" s="264" t="s">
        <v>684</v>
      </c>
      <c r="B121" s="40">
        <v>3</v>
      </c>
      <c r="C121" s="260" t="s">
        <v>730</v>
      </c>
      <c r="D121" s="260"/>
      <c r="E121" s="11" t="s">
        <v>659</v>
      </c>
      <c r="F121" s="261" t="s">
        <v>732</v>
      </c>
      <c r="G121" s="11" t="s">
        <v>731</v>
      </c>
      <c r="H121" s="272">
        <v>1</v>
      </c>
      <c r="I121" s="11">
        <v>900</v>
      </c>
      <c r="K121" s="273"/>
      <c r="L121" s="272"/>
      <c r="N121" s="11" t="s">
        <v>59</v>
      </c>
      <c r="O121" s="11" t="s">
        <v>62</v>
      </c>
      <c r="P121" s="11" t="s">
        <v>155</v>
      </c>
      <c r="Q121" s="274">
        <v>18.2</v>
      </c>
      <c r="R121" s="274">
        <v>18.2</v>
      </c>
      <c r="S121" s="532">
        <v>300</v>
      </c>
      <c r="T121" s="532">
        <v>300</v>
      </c>
      <c r="U121" s="239">
        <f t="shared" si="10"/>
        <v>2.0222222222222221E-2</v>
      </c>
      <c r="V121" s="274"/>
      <c r="W121" s="274"/>
      <c r="X121" s="274"/>
      <c r="Y121" s="274"/>
      <c r="Z121" s="276">
        <v>1.96</v>
      </c>
      <c r="AA121" s="271">
        <f t="shared" si="11"/>
        <v>2.1777777777777776</v>
      </c>
      <c r="AB121" s="257" t="s">
        <v>838</v>
      </c>
    </row>
    <row r="122" spans="1:28" s="259" customFormat="1" ht="15" customHeight="1" x14ac:dyDescent="0.25">
      <c r="A122" s="265" t="s">
        <v>733</v>
      </c>
      <c r="B122" s="279">
        <v>5</v>
      </c>
      <c r="C122" s="258" t="s">
        <v>758</v>
      </c>
      <c r="D122" s="258"/>
      <c r="E122" s="259" t="str">
        <f>Manufacturers!B26</f>
        <v>Don &amp; Low/Thrace</v>
      </c>
      <c r="F122" s="262" t="s">
        <v>757</v>
      </c>
      <c r="G122" s="259" t="s">
        <v>174</v>
      </c>
      <c r="H122" s="266"/>
      <c r="I122" s="259">
        <v>180</v>
      </c>
      <c r="K122" s="267"/>
      <c r="L122" s="266"/>
      <c r="N122" s="259" t="s">
        <v>656</v>
      </c>
      <c r="O122" s="259" t="s">
        <v>76</v>
      </c>
      <c r="P122" s="259" t="s">
        <v>476</v>
      </c>
      <c r="Q122" s="268">
        <v>23.7</v>
      </c>
      <c r="R122" s="268">
        <v>15.3</v>
      </c>
      <c r="S122" s="401">
        <v>48.75</v>
      </c>
      <c r="T122" s="401">
        <v>17.25</v>
      </c>
      <c r="U122" s="248">
        <f t="shared" si="10"/>
        <v>0.10833333333333334</v>
      </c>
      <c r="V122" s="268"/>
      <c r="W122" s="268"/>
      <c r="X122" s="268"/>
      <c r="Y122" s="268"/>
      <c r="Z122" s="270">
        <v>0.5</v>
      </c>
      <c r="AA122" s="271">
        <f t="shared" si="11"/>
        <v>2.7777777777777777</v>
      </c>
      <c r="AB122" s="263"/>
    </row>
    <row r="123" spans="1:28" s="11" customFormat="1" ht="15" customHeight="1" x14ac:dyDescent="0.25">
      <c r="A123" s="264" t="s">
        <v>734</v>
      </c>
      <c r="B123" s="40">
        <v>3</v>
      </c>
      <c r="C123" s="260" t="s">
        <v>761</v>
      </c>
      <c r="D123" s="260"/>
      <c r="E123" s="11" t="str">
        <f>Manufacturers!$B$33</f>
        <v>Tech-Folien</v>
      </c>
      <c r="F123" s="261"/>
      <c r="G123" s="11" t="s">
        <v>576</v>
      </c>
      <c r="H123" s="272"/>
      <c r="I123" s="11">
        <v>250</v>
      </c>
      <c r="K123" s="273"/>
      <c r="L123" s="272"/>
      <c r="N123" s="11" t="s">
        <v>59</v>
      </c>
      <c r="O123" s="11" t="s">
        <v>76</v>
      </c>
      <c r="P123" s="11" t="s">
        <v>760</v>
      </c>
      <c r="Q123" s="274">
        <v>6.3</v>
      </c>
      <c r="R123" s="274">
        <v>6.9</v>
      </c>
      <c r="S123" s="532">
        <v>300</v>
      </c>
      <c r="T123" s="532">
        <v>300</v>
      </c>
      <c r="U123" s="239">
        <f t="shared" si="10"/>
        <v>2.64E-2</v>
      </c>
      <c r="V123" s="274"/>
      <c r="W123" s="274"/>
      <c r="X123" s="274"/>
      <c r="Y123" s="274"/>
      <c r="Z123" s="276">
        <v>0.45</v>
      </c>
      <c r="AA123" s="271">
        <f t="shared" si="11"/>
        <v>1.8</v>
      </c>
      <c r="AB123" s="257"/>
    </row>
    <row r="124" spans="1:28" s="259" customFormat="1" ht="15" customHeight="1" x14ac:dyDescent="0.25">
      <c r="A124" s="265" t="s">
        <v>735</v>
      </c>
      <c r="B124" s="279">
        <v>3</v>
      </c>
      <c r="C124" s="258" t="s">
        <v>762</v>
      </c>
      <c r="D124" s="258"/>
      <c r="E124" s="259" t="str">
        <f>Manufacturers!$B$33</f>
        <v>Tech-Folien</v>
      </c>
      <c r="F124" s="262"/>
      <c r="G124" s="259" t="s">
        <v>576</v>
      </c>
      <c r="H124" s="266"/>
      <c r="I124" s="259">
        <v>120</v>
      </c>
      <c r="K124" s="267"/>
      <c r="L124" s="266"/>
      <c r="N124" s="259" t="s">
        <v>59</v>
      </c>
      <c r="O124" s="259" t="s">
        <v>76</v>
      </c>
      <c r="P124" s="259" t="s">
        <v>760</v>
      </c>
      <c r="Q124" s="268">
        <v>2.4</v>
      </c>
      <c r="R124" s="268">
        <v>2.7</v>
      </c>
      <c r="S124" s="401">
        <v>300</v>
      </c>
      <c r="T124" s="401">
        <v>300</v>
      </c>
      <c r="U124" s="248">
        <f t="shared" si="10"/>
        <v>2.1249999999999998E-2</v>
      </c>
      <c r="V124" s="268"/>
      <c r="W124" s="268"/>
      <c r="X124" s="268"/>
      <c r="Y124" s="268"/>
      <c r="Z124" s="270">
        <v>0.22</v>
      </c>
      <c r="AA124" s="271">
        <f t="shared" si="11"/>
        <v>1.8333333333333333</v>
      </c>
      <c r="AB124" s="263"/>
    </row>
    <row r="125" spans="1:28" s="11" customFormat="1" x14ac:dyDescent="0.25">
      <c r="A125" s="264" t="s">
        <v>736</v>
      </c>
      <c r="B125" s="40">
        <v>3</v>
      </c>
      <c r="C125" s="260" t="s">
        <v>763</v>
      </c>
      <c r="D125" s="260"/>
      <c r="E125" s="11" t="str">
        <f>Manufacturers!$B$29</f>
        <v>HBB Geosales</v>
      </c>
      <c r="F125" s="261" t="s">
        <v>766</v>
      </c>
      <c r="G125" s="11" t="s">
        <v>772</v>
      </c>
      <c r="H125" s="272">
        <v>0.9</v>
      </c>
      <c r="I125" s="11">
        <v>800</v>
      </c>
      <c r="K125" s="273"/>
      <c r="L125" s="272"/>
      <c r="N125" s="11" t="s">
        <v>59</v>
      </c>
      <c r="O125" s="11" t="s">
        <v>62</v>
      </c>
      <c r="P125" s="11" t="s">
        <v>80</v>
      </c>
      <c r="Q125" s="274">
        <v>31</v>
      </c>
      <c r="R125" s="274">
        <v>35</v>
      </c>
      <c r="S125" s="532" t="s">
        <v>983</v>
      </c>
      <c r="T125" s="532" t="s">
        <v>983</v>
      </c>
      <c r="U125" s="239">
        <f t="shared" si="10"/>
        <v>4.1250000000000002E-2</v>
      </c>
      <c r="V125" s="274"/>
      <c r="W125" s="274"/>
      <c r="X125" s="274"/>
      <c r="Y125" s="274"/>
      <c r="Z125" s="276">
        <v>3.65</v>
      </c>
      <c r="AA125" s="271">
        <f t="shared" si="11"/>
        <v>4.5625</v>
      </c>
      <c r="AB125" s="257"/>
    </row>
    <row r="126" spans="1:28" s="259" customFormat="1" x14ac:dyDescent="0.25">
      <c r="A126" s="265" t="s">
        <v>737</v>
      </c>
      <c r="B126" s="279">
        <v>3</v>
      </c>
      <c r="C126" s="258" t="s">
        <v>764</v>
      </c>
      <c r="D126" s="258"/>
      <c r="E126" s="259" t="str">
        <f>Manufacturers!$B$29</f>
        <v>HBB Geosales</v>
      </c>
      <c r="F126" s="262" t="s">
        <v>767</v>
      </c>
      <c r="G126" s="259" t="s">
        <v>772</v>
      </c>
      <c r="H126" s="266">
        <v>1.1000000000000001</v>
      </c>
      <c r="I126" s="259">
        <v>950</v>
      </c>
      <c r="K126" s="267"/>
      <c r="L126" s="266"/>
      <c r="N126" s="259" t="s">
        <v>59</v>
      </c>
      <c r="O126" s="259" t="s">
        <v>62</v>
      </c>
      <c r="P126" s="259" t="s">
        <v>80</v>
      </c>
      <c r="Q126" s="268">
        <v>32</v>
      </c>
      <c r="R126" s="268">
        <v>35</v>
      </c>
      <c r="S126" s="401" t="s">
        <v>983</v>
      </c>
      <c r="T126" s="401" t="s">
        <v>983</v>
      </c>
      <c r="U126" s="248">
        <f t="shared" si="10"/>
        <v>3.5263157894736843E-2</v>
      </c>
      <c r="V126" s="268"/>
      <c r="W126" s="268"/>
      <c r="X126" s="268"/>
      <c r="Y126" s="268"/>
      <c r="Z126" s="270">
        <v>4.33</v>
      </c>
      <c r="AA126" s="271">
        <f t="shared" si="11"/>
        <v>4.5578947368421057</v>
      </c>
      <c r="AB126" s="263"/>
    </row>
    <row r="127" spans="1:28" s="11" customFormat="1" x14ac:dyDescent="0.25">
      <c r="A127" s="264" t="s">
        <v>738</v>
      </c>
      <c r="B127" s="40">
        <v>2</v>
      </c>
      <c r="C127" s="260" t="s">
        <v>765</v>
      </c>
      <c r="D127" s="260"/>
      <c r="E127" s="11" t="str">
        <f>Manufacturers!$B$29</f>
        <v>HBB Geosales</v>
      </c>
      <c r="F127" s="261" t="s">
        <v>768</v>
      </c>
      <c r="G127" s="11" t="s">
        <v>773</v>
      </c>
      <c r="H127" s="272">
        <v>0.9</v>
      </c>
      <c r="I127" s="11">
        <v>850</v>
      </c>
      <c r="K127" s="273"/>
      <c r="L127" s="272"/>
      <c r="N127" s="11" t="s">
        <v>59</v>
      </c>
      <c r="O127" s="11" t="s">
        <v>62</v>
      </c>
      <c r="P127" s="11" t="s">
        <v>80</v>
      </c>
      <c r="Q127" s="274"/>
      <c r="R127" s="274"/>
      <c r="S127" s="532" t="s">
        <v>983</v>
      </c>
      <c r="T127" s="532" t="s">
        <v>983</v>
      </c>
      <c r="U127" s="239" t="str">
        <f t="shared" si="10"/>
        <v/>
      </c>
      <c r="V127" s="274"/>
      <c r="W127" s="274"/>
      <c r="X127" s="274"/>
      <c r="Y127" s="274"/>
      <c r="Z127" s="276"/>
      <c r="AA127" s="271" t="str">
        <f t="shared" si="11"/>
        <v/>
      </c>
      <c r="AB127" s="257"/>
    </row>
    <row r="128" spans="1:28" s="259" customFormat="1" x14ac:dyDescent="0.25">
      <c r="A128" s="265" t="s">
        <v>739</v>
      </c>
      <c r="B128" s="279">
        <v>2</v>
      </c>
      <c r="C128" s="258" t="s">
        <v>782</v>
      </c>
      <c r="D128" s="258"/>
      <c r="E128" s="259" t="str">
        <f>Manufacturers!$B$34</f>
        <v>Georh+Otto Friedrich</v>
      </c>
      <c r="F128" s="262" t="s">
        <v>788</v>
      </c>
      <c r="G128" s="259" t="s">
        <v>274</v>
      </c>
      <c r="H128" s="266"/>
      <c r="I128" s="259">
        <v>80</v>
      </c>
      <c r="K128" s="267"/>
      <c r="L128" s="266"/>
      <c r="N128" s="259" t="s">
        <v>147</v>
      </c>
      <c r="O128" s="259" t="s">
        <v>76</v>
      </c>
      <c r="P128" s="259" t="s">
        <v>80</v>
      </c>
      <c r="Q128" s="268"/>
      <c r="R128" s="268"/>
      <c r="S128" s="401" t="s">
        <v>983</v>
      </c>
      <c r="T128" s="401" t="s">
        <v>983</v>
      </c>
      <c r="U128" s="248" t="str">
        <f t="shared" si="10"/>
        <v/>
      </c>
      <c r="V128" s="268"/>
      <c r="W128" s="268"/>
      <c r="X128" s="268"/>
      <c r="Y128" s="268"/>
      <c r="Z128" s="270">
        <v>0.4</v>
      </c>
      <c r="AA128" s="271">
        <f t="shared" si="11"/>
        <v>5</v>
      </c>
      <c r="AB128" s="263"/>
    </row>
    <row r="129" spans="1:28" s="11" customFormat="1" x14ac:dyDescent="0.25">
      <c r="A129" s="264" t="s">
        <v>740</v>
      </c>
      <c r="B129" s="40">
        <v>1</v>
      </c>
      <c r="C129" s="260" t="s">
        <v>781</v>
      </c>
      <c r="D129" s="260"/>
      <c r="E129" s="11" t="str">
        <f>Manufacturers!$B$34</f>
        <v>Georh+Otto Friedrich</v>
      </c>
      <c r="F129" s="261" t="s">
        <v>789</v>
      </c>
      <c r="G129" s="11" t="s">
        <v>274</v>
      </c>
      <c r="H129" s="272"/>
      <c r="K129" s="273"/>
      <c r="L129" s="272"/>
      <c r="N129" s="11" t="s">
        <v>147</v>
      </c>
      <c r="O129" s="11" t="s">
        <v>76</v>
      </c>
      <c r="P129" s="11" t="s">
        <v>80</v>
      </c>
      <c r="Q129" s="274"/>
      <c r="R129" s="274"/>
      <c r="S129" s="532" t="s">
        <v>983</v>
      </c>
      <c r="T129" s="532" t="s">
        <v>983</v>
      </c>
      <c r="U129" s="239" t="str">
        <f t="shared" si="10"/>
        <v/>
      </c>
      <c r="V129" s="274"/>
      <c r="W129" s="274"/>
      <c r="X129" s="274"/>
      <c r="Y129" s="274"/>
      <c r="Z129" s="276"/>
      <c r="AA129" s="271" t="str">
        <f t="shared" si="11"/>
        <v/>
      </c>
      <c r="AB129" s="257"/>
    </row>
    <row r="130" spans="1:28" s="259" customFormat="1" x14ac:dyDescent="0.25">
      <c r="A130" s="265" t="s">
        <v>741</v>
      </c>
      <c r="B130" s="279">
        <v>1</v>
      </c>
      <c r="C130" s="258" t="s">
        <v>783</v>
      </c>
      <c r="D130" s="258"/>
      <c r="E130" s="259" t="str">
        <f>Manufacturers!$B$34</f>
        <v>Georh+Otto Friedrich</v>
      </c>
      <c r="F130" s="262" t="s">
        <v>790</v>
      </c>
      <c r="G130" s="259" t="s">
        <v>274</v>
      </c>
      <c r="H130" s="266"/>
      <c r="K130" s="267"/>
      <c r="L130" s="266"/>
      <c r="N130" s="259" t="s">
        <v>147</v>
      </c>
      <c r="O130" s="259" t="s">
        <v>76</v>
      </c>
      <c r="P130" s="259" t="s">
        <v>80</v>
      </c>
      <c r="Q130" s="268"/>
      <c r="R130" s="268"/>
      <c r="S130" s="401" t="s">
        <v>983</v>
      </c>
      <c r="T130" s="401" t="s">
        <v>983</v>
      </c>
      <c r="U130" s="248" t="str">
        <f t="shared" si="10"/>
        <v/>
      </c>
      <c r="V130" s="268"/>
      <c r="W130" s="268"/>
      <c r="X130" s="268"/>
      <c r="Y130" s="268"/>
      <c r="Z130" s="270"/>
      <c r="AA130" s="271" t="str">
        <f t="shared" si="11"/>
        <v/>
      </c>
      <c r="AB130" s="263"/>
    </row>
    <row r="131" spans="1:28" s="286" customFormat="1" x14ac:dyDescent="0.25">
      <c r="A131" s="283" t="s">
        <v>742</v>
      </c>
      <c r="B131" s="284">
        <v>5</v>
      </c>
      <c r="C131" s="285" t="s">
        <v>791</v>
      </c>
      <c r="D131" s="285"/>
      <c r="E131" s="286" t="str">
        <f>Manufacturers!$B$26</f>
        <v>Don &amp; Low/Thrace</v>
      </c>
      <c r="F131" s="287" t="s">
        <v>791</v>
      </c>
      <c r="G131" s="286" t="s">
        <v>174</v>
      </c>
      <c r="H131" s="288"/>
      <c r="I131" s="286">
        <v>200</v>
      </c>
      <c r="K131" s="289"/>
      <c r="L131" s="288"/>
      <c r="N131" s="286" t="s">
        <v>656</v>
      </c>
      <c r="O131" s="286" t="s">
        <v>76</v>
      </c>
      <c r="P131" s="286" t="s">
        <v>792</v>
      </c>
      <c r="Q131" s="290">
        <v>20</v>
      </c>
      <c r="R131" s="290">
        <v>11.3</v>
      </c>
      <c r="S131" s="532">
        <v>37.5</v>
      </c>
      <c r="T131" s="532">
        <v>6.75</v>
      </c>
      <c r="U131" s="291">
        <f t="shared" si="10"/>
        <v>7.825E-2</v>
      </c>
      <c r="V131" s="290"/>
      <c r="W131" s="290"/>
      <c r="X131" s="290"/>
      <c r="Y131" s="290"/>
      <c r="Z131" s="292">
        <v>0.56000000000000005</v>
      </c>
      <c r="AA131" s="293">
        <f t="shared" si="11"/>
        <v>2.8000000000000003</v>
      </c>
      <c r="AB131" s="294"/>
    </row>
    <row r="132" spans="1:28" s="500" customFormat="1" x14ac:dyDescent="0.25">
      <c r="A132" s="499" t="s">
        <v>1514</v>
      </c>
      <c r="B132" s="487"/>
      <c r="C132" s="509" t="s">
        <v>1511</v>
      </c>
      <c r="D132" s="510" t="s">
        <v>1513</v>
      </c>
      <c r="E132" s="500" t="s">
        <v>1401</v>
      </c>
      <c r="F132" s="501"/>
      <c r="H132" s="502"/>
      <c r="K132" s="503"/>
      <c r="L132" s="502"/>
      <c r="P132" s="500" t="s">
        <v>1510</v>
      </c>
      <c r="Q132" s="504"/>
      <c r="R132" s="504"/>
      <c r="S132" s="533"/>
      <c r="T132" s="533"/>
      <c r="U132" s="505"/>
      <c r="V132" s="504"/>
      <c r="W132" s="504"/>
      <c r="X132" s="504"/>
      <c r="Y132" s="504"/>
      <c r="Z132" s="506"/>
      <c r="AA132" s="507"/>
      <c r="AB132" s="508"/>
    </row>
    <row r="133" spans="1:28" s="299" customFormat="1" ht="15" customHeight="1" x14ac:dyDescent="0.25">
      <c r="A133" s="295" t="s">
        <v>743</v>
      </c>
      <c r="B133" s="296">
        <v>4</v>
      </c>
      <c r="C133" s="297" t="s">
        <v>793</v>
      </c>
      <c r="D133" s="298">
        <v>42850</v>
      </c>
      <c r="E133" s="299" t="s">
        <v>1401</v>
      </c>
      <c r="F133" s="300" t="s">
        <v>794</v>
      </c>
      <c r="G133" s="299" t="s">
        <v>174</v>
      </c>
      <c r="H133" s="301"/>
      <c r="I133" s="299">
        <v>185</v>
      </c>
      <c r="K133" s="302">
        <v>2.8000000000000001E-2</v>
      </c>
      <c r="L133" s="301">
        <v>5.8496455209841951</v>
      </c>
      <c r="N133" s="299" t="s">
        <v>243</v>
      </c>
      <c r="O133" s="299" t="s">
        <v>76</v>
      </c>
      <c r="P133" s="299" t="s">
        <v>526</v>
      </c>
      <c r="Q133" s="303">
        <v>11.6</v>
      </c>
      <c r="R133" s="303">
        <v>13.6</v>
      </c>
      <c r="S133" s="401">
        <v>16.5</v>
      </c>
      <c r="T133" s="401">
        <v>10.5</v>
      </c>
      <c r="U133" s="304">
        <v>6.3250000000000001E-2</v>
      </c>
      <c r="V133" s="303"/>
      <c r="W133" s="303"/>
      <c r="X133" s="303"/>
      <c r="Y133" s="303"/>
      <c r="Z133" s="305">
        <v>0.56000000000000005</v>
      </c>
      <c r="AA133" s="293">
        <v>2.8000000000000003</v>
      </c>
      <c r="AB133" s="306" t="s">
        <v>795</v>
      </c>
    </row>
    <row r="134" spans="1:28" s="11" customFormat="1" x14ac:dyDescent="0.25">
      <c r="A134" s="264" t="s">
        <v>744</v>
      </c>
      <c r="B134" s="40">
        <v>2</v>
      </c>
      <c r="C134" s="260" t="s">
        <v>797</v>
      </c>
      <c r="D134" s="278">
        <v>42858</v>
      </c>
      <c r="E134" s="11" t="str">
        <f>Manufacturers!$B$16</f>
        <v>Miliken</v>
      </c>
      <c r="F134" s="261" t="s">
        <v>799</v>
      </c>
      <c r="G134" s="11" t="s">
        <v>274</v>
      </c>
      <c r="H134" s="272"/>
      <c r="I134" s="11">
        <v>100</v>
      </c>
      <c r="K134" s="273"/>
      <c r="L134" s="272"/>
      <c r="N134" s="11" t="s">
        <v>800</v>
      </c>
      <c r="O134" s="11" t="s">
        <v>76</v>
      </c>
      <c r="P134" s="11" t="s">
        <v>80</v>
      </c>
      <c r="Q134" s="274">
        <v>19.600000000000001</v>
      </c>
      <c r="R134" s="274">
        <v>19.600000000000001</v>
      </c>
      <c r="S134" s="532" t="s">
        <v>983</v>
      </c>
      <c r="T134" s="532" t="s">
        <v>983</v>
      </c>
      <c r="U134" s="239">
        <f t="shared" ref="U134:U144" si="12">IF(AND((I134&gt;0),Q134&gt;0),AVERAGE(Q134:R134)/I134,"")</f>
        <v>0.19600000000000001</v>
      </c>
      <c r="V134" s="274"/>
      <c r="W134" s="274"/>
      <c r="X134" s="274"/>
      <c r="Y134" s="274"/>
      <c r="Z134" s="276"/>
      <c r="AA134" s="271" t="str">
        <f>IF(AND(I134&gt;0,Z134&gt;0),1000*(Z134/I134),"")</f>
        <v/>
      </c>
      <c r="AB134" s="257"/>
    </row>
    <row r="135" spans="1:28" s="259" customFormat="1" x14ac:dyDescent="0.25">
      <c r="A135" s="265" t="s">
        <v>745</v>
      </c>
      <c r="B135" s="279">
        <v>2</v>
      </c>
      <c r="C135" s="258" t="s">
        <v>806</v>
      </c>
      <c r="D135" s="277">
        <v>42858</v>
      </c>
      <c r="E135" s="259" t="str">
        <f>Manufacturers!$B$16</f>
        <v>Miliken</v>
      </c>
      <c r="F135" s="262" t="s">
        <v>801</v>
      </c>
      <c r="G135" s="259" t="s">
        <v>274</v>
      </c>
      <c r="H135" s="266"/>
      <c r="I135" s="259">
        <v>140</v>
      </c>
      <c r="K135" s="267"/>
      <c r="L135" s="266"/>
      <c r="N135" s="259" t="s">
        <v>800</v>
      </c>
      <c r="O135" s="259" t="s">
        <v>76</v>
      </c>
      <c r="P135" s="259" t="s">
        <v>80</v>
      </c>
      <c r="Q135" s="268">
        <v>21</v>
      </c>
      <c r="R135" s="268">
        <v>21</v>
      </c>
      <c r="S135" s="401" t="s">
        <v>983</v>
      </c>
      <c r="T135" s="401" t="s">
        <v>983</v>
      </c>
      <c r="U135" s="248">
        <f t="shared" si="12"/>
        <v>0.15</v>
      </c>
      <c r="V135" s="268"/>
      <c r="W135" s="268"/>
      <c r="X135" s="268"/>
      <c r="Y135" s="268"/>
      <c r="Z135" s="270"/>
      <c r="AA135" s="271" t="str">
        <f>IF(AND(I135&gt;0,Z135&gt;0),1000*(Z135/I135),"")</f>
        <v/>
      </c>
      <c r="AB135" s="263"/>
    </row>
    <row r="136" spans="1:28" s="11" customFormat="1" x14ac:dyDescent="0.25">
      <c r="A136" s="264" t="s">
        <v>746</v>
      </c>
      <c r="B136" s="40">
        <v>2</v>
      </c>
      <c r="C136" s="260" t="s">
        <v>807</v>
      </c>
      <c r="D136" s="278">
        <v>42858</v>
      </c>
      <c r="E136" s="11" t="str">
        <f>Manufacturers!$B$16</f>
        <v>Miliken</v>
      </c>
      <c r="F136" s="261" t="s">
        <v>802</v>
      </c>
      <c r="G136" s="11" t="s">
        <v>274</v>
      </c>
      <c r="H136" s="272"/>
      <c r="I136" s="11">
        <v>100</v>
      </c>
      <c r="K136" s="273"/>
      <c r="L136" s="272"/>
      <c r="N136" s="11" t="s">
        <v>147</v>
      </c>
      <c r="O136" s="11" t="s">
        <v>76</v>
      </c>
      <c r="P136" s="11" t="s">
        <v>804</v>
      </c>
      <c r="Q136" s="274">
        <v>22.8</v>
      </c>
      <c r="R136" s="274">
        <v>22.6</v>
      </c>
      <c r="S136" s="532">
        <v>525</v>
      </c>
      <c r="T136" s="532">
        <v>525</v>
      </c>
      <c r="U136" s="239">
        <f t="shared" si="12"/>
        <v>0.22700000000000004</v>
      </c>
      <c r="V136" s="274"/>
      <c r="W136" s="274"/>
      <c r="X136" s="274"/>
      <c r="Y136" s="274"/>
      <c r="Z136" s="276"/>
      <c r="AA136" s="271">
        <v>0.41399999999999998</v>
      </c>
      <c r="AB136" s="257" t="s">
        <v>803</v>
      </c>
    </row>
    <row r="137" spans="1:28" s="259" customFormat="1" x14ac:dyDescent="0.25">
      <c r="A137" s="265" t="s">
        <v>747</v>
      </c>
      <c r="B137" s="279">
        <v>2</v>
      </c>
      <c r="C137" s="258" t="s">
        <v>808</v>
      </c>
      <c r="D137" s="277">
        <v>42858</v>
      </c>
      <c r="E137" s="259" t="str">
        <f>Manufacturers!$B$16</f>
        <v>Miliken</v>
      </c>
      <c r="F137" s="262" t="s">
        <v>805</v>
      </c>
      <c r="G137" s="259" t="s">
        <v>274</v>
      </c>
      <c r="H137" s="266"/>
      <c r="I137" s="259">
        <v>105</v>
      </c>
      <c r="K137" s="267"/>
      <c r="L137" s="266"/>
      <c r="N137" s="259" t="s">
        <v>147</v>
      </c>
      <c r="O137" s="259" t="s">
        <v>76</v>
      </c>
      <c r="P137" s="259" t="s">
        <v>760</v>
      </c>
      <c r="Q137" s="268">
        <v>22.3</v>
      </c>
      <c r="R137" s="268">
        <v>22.3</v>
      </c>
      <c r="S137" s="401">
        <v>525</v>
      </c>
      <c r="T137" s="401">
        <v>525</v>
      </c>
      <c r="U137" s="248">
        <f t="shared" si="12"/>
        <v>0.21238095238095239</v>
      </c>
      <c r="V137" s="268"/>
      <c r="W137" s="268"/>
      <c r="X137" s="268"/>
      <c r="Y137" s="268"/>
      <c r="Z137" s="270"/>
      <c r="AA137" s="271" t="str">
        <f t="shared" ref="AA137:AA159" si="13">IF(AND(I137&gt;0,Z137&gt;0),1000*(Z137/I137),"")</f>
        <v/>
      </c>
      <c r="AB137" s="263"/>
    </row>
    <row r="138" spans="1:28" s="11" customFormat="1" x14ac:dyDescent="0.25">
      <c r="A138" s="264" t="s">
        <v>748</v>
      </c>
      <c r="B138" s="40">
        <v>1</v>
      </c>
      <c r="C138" s="260" t="s">
        <v>841</v>
      </c>
      <c r="D138" s="278">
        <v>42880</v>
      </c>
      <c r="E138" s="11" t="str">
        <f>Manufacturers!B5</f>
        <v>Gentug</v>
      </c>
      <c r="F138" s="261" t="s">
        <v>843</v>
      </c>
      <c r="G138" s="11" t="s">
        <v>274</v>
      </c>
      <c r="H138" s="272"/>
      <c r="I138" s="11">
        <v>170</v>
      </c>
      <c r="K138" s="273"/>
      <c r="L138" s="272"/>
      <c r="N138" s="11" t="s">
        <v>243</v>
      </c>
      <c r="O138" s="11" t="s">
        <v>76</v>
      </c>
      <c r="P138" s="11" t="s">
        <v>80</v>
      </c>
      <c r="Q138" s="274">
        <v>4.8</v>
      </c>
      <c r="R138" s="274">
        <v>4.5</v>
      </c>
      <c r="S138" s="532">
        <v>45</v>
      </c>
      <c r="T138" s="532">
        <v>45</v>
      </c>
      <c r="U138" s="239">
        <f t="shared" si="12"/>
        <v>2.735294117647059E-2</v>
      </c>
      <c r="V138" s="274"/>
      <c r="W138" s="274"/>
      <c r="X138" s="274"/>
      <c r="Y138" s="274"/>
      <c r="Z138" s="276"/>
      <c r="AA138" s="271" t="str">
        <f t="shared" si="13"/>
        <v/>
      </c>
      <c r="AB138" s="257"/>
    </row>
    <row r="139" spans="1:28" s="259" customFormat="1" x14ac:dyDescent="0.25">
      <c r="A139" s="265" t="s">
        <v>749</v>
      </c>
      <c r="B139" s="279">
        <v>1</v>
      </c>
      <c r="C139" s="258" t="s">
        <v>840</v>
      </c>
      <c r="D139" s="277">
        <v>42880</v>
      </c>
      <c r="E139" s="259" t="str">
        <f>Manufacturers!B5</f>
        <v>Gentug</v>
      </c>
      <c r="F139" s="262" t="s">
        <v>842</v>
      </c>
      <c r="G139" s="259" t="s">
        <v>274</v>
      </c>
      <c r="H139" s="266"/>
      <c r="I139" s="259">
        <v>350</v>
      </c>
      <c r="K139" s="267"/>
      <c r="L139" s="266"/>
      <c r="N139" s="259" t="s">
        <v>243</v>
      </c>
      <c r="O139" s="259" t="s">
        <v>76</v>
      </c>
      <c r="P139" s="259" t="s">
        <v>80</v>
      </c>
      <c r="Q139" s="268">
        <v>15.4</v>
      </c>
      <c r="R139" s="268">
        <v>14.2</v>
      </c>
      <c r="S139" s="401">
        <v>24</v>
      </c>
      <c r="T139" s="401">
        <v>12.75</v>
      </c>
      <c r="U139" s="248">
        <f t="shared" si="12"/>
        <v>4.2285714285714288E-2</v>
      </c>
      <c r="V139" s="268"/>
      <c r="W139" s="268"/>
      <c r="X139" s="268"/>
      <c r="Y139" s="268"/>
      <c r="Z139" s="270"/>
      <c r="AA139" s="271" t="str">
        <f t="shared" si="13"/>
        <v/>
      </c>
      <c r="AB139" s="263"/>
    </row>
    <row r="140" spans="1:28" s="11" customFormat="1" x14ac:dyDescent="0.25">
      <c r="A140" s="264" t="s">
        <v>810</v>
      </c>
      <c r="B140" s="40">
        <v>2</v>
      </c>
      <c r="C140" s="260" t="s">
        <v>846</v>
      </c>
      <c r="D140" s="278">
        <v>42882</v>
      </c>
      <c r="E140" s="11" t="str">
        <f>Manufacturers!$B$29</f>
        <v>HBB Geosales</v>
      </c>
      <c r="F140" s="261"/>
      <c r="G140" s="11" t="s">
        <v>731</v>
      </c>
      <c r="H140" s="272">
        <v>0.3</v>
      </c>
      <c r="I140" s="11">
        <v>361</v>
      </c>
      <c r="K140" s="273"/>
      <c r="L140" s="272"/>
      <c r="N140" s="11" t="s">
        <v>59</v>
      </c>
      <c r="O140" s="11" t="s">
        <v>849</v>
      </c>
      <c r="P140" s="11" t="s">
        <v>476</v>
      </c>
      <c r="Q140" s="274">
        <v>5.3</v>
      </c>
      <c r="R140" s="274">
        <v>8</v>
      </c>
      <c r="S140" s="532">
        <v>187.5</v>
      </c>
      <c r="T140" s="532">
        <v>187.5</v>
      </c>
      <c r="U140" s="239">
        <f t="shared" si="12"/>
        <v>1.8421052631578949E-2</v>
      </c>
      <c r="V140" s="274"/>
      <c r="W140" s="274"/>
      <c r="X140" s="274"/>
      <c r="Y140" s="274"/>
      <c r="Z140" s="276">
        <v>1.85</v>
      </c>
      <c r="AA140" s="271">
        <f t="shared" si="13"/>
        <v>5.1246537396121878</v>
      </c>
      <c r="AB140" s="280" t="s">
        <v>855</v>
      </c>
    </row>
    <row r="141" spans="1:28" s="259" customFormat="1" x14ac:dyDescent="0.25">
      <c r="A141" s="265" t="s">
        <v>811</v>
      </c>
      <c r="B141" s="40">
        <v>2</v>
      </c>
      <c r="C141" s="258" t="s">
        <v>844</v>
      </c>
      <c r="D141" s="277">
        <v>42882</v>
      </c>
      <c r="E141" s="259" t="str">
        <f>Manufacturers!$B$29</f>
        <v>HBB Geosales</v>
      </c>
      <c r="F141" s="262" t="s">
        <v>847</v>
      </c>
      <c r="G141" s="259" t="s">
        <v>731</v>
      </c>
      <c r="H141" s="266">
        <v>0.2</v>
      </c>
      <c r="I141" s="259">
        <v>185</v>
      </c>
      <c r="K141" s="267"/>
      <c r="L141" s="266"/>
      <c r="N141" s="259" t="s">
        <v>59</v>
      </c>
      <c r="O141" s="259" t="s">
        <v>62</v>
      </c>
      <c r="P141" s="259" t="s">
        <v>476</v>
      </c>
      <c r="Q141" s="268">
        <v>2.9</v>
      </c>
      <c r="R141" s="268">
        <v>5.0999999999999996</v>
      </c>
      <c r="S141" s="401">
        <v>300</v>
      </c>
      <c r="T141" s="401">
        <v>300</v>
      </c>
      <c r="U141" s="248">
        <f t="shared" si="12"/>
        <v>2.1621621621621623E-2</v>
      </c>
      <c r="V141" s="268"/>
      <c r="W141" s="268"/>
      <c r="X141" s="268"/>
      <c r="Y141" s="268"/>
      <c r="Z141" s="270">
        <v>0.99</v>
      </c>
      <c r="AA141" s="281">
        <f t="shared" si="13"/>
        <v>5.3513513513513518</v>
      </c>
      <c r="AB141" s="282" t="s">
        <v>856</v>
      </c>
    </row>
    <row r="142" spans="1:28" x14ac:dyDescent="0.25">
      <c r="A142" s="252" t="s">
        <v>812</v>
      </c>
      <c r="B142" s="224">
        <v>2</v>
      </c>
      <c r="C142" s="225" t="s">
        <v>845</v>
      </c>
      <c r="D142" s="253">
        <v>42882</v>
      </c>
      <c r="E142" s="226" t="str">
        <f>Manufacturers!$B$29</f>
        <v>HBB Geosales</v>
      </c>
      <c r="F142" s="227" t="s">
        <v>848</v>
      </c>
      <c r="G142" s="226" t="s">
        <v>731</v>
      </c>
      <c r="H142" s="228">
        <v>0.3</v>
      </c>
      <c r="I142" s="226">
        <v>283</v>
      </c>
      <c r="N142" s="226" t="s">
        <v>59</v>
      </c>
      <c r="O142" s="226" t="s">
        <v>62</v>
      </c>
      <c r="P142" s="226" t="s">
        <v>476</v>
      </c>
      <c r="Q142" s="230">
        <v>4.7</v>
      </c>
      <c r="R142" s="230">
        <v>7.2</v>
      </c>
      <c r="S142" s="532">
        <v>525</v>
      </c>
      <c r="T142" s="532">
        <v>525</v>
      </c>
      <c r="U142" s="239">
        <f t="shared" si="12"/>
        <v>2.1024734982332156E-2</v>
      </c>
      <c r="Z142" s="231">
        <v>1.46</v>
      </c>
      <c r="AA142" s="240">
        <f t="shared" si="13"/>
        <v>5.159010600706714</v>
      </c>
      <c r="AB142" s="255" t="s">
        <v>857</v>
      </c>
    </row>
    <row r="143" spans="1:28" s="299" customFormat="1" x14ac:dyDescent="0.25">
      <c r="A143" s="295" t="s">
        <v>813</v>
      </c>
      <c r="B143" s="284">
        <v>5</v>
      </c>
      <c r="C143" s="297" t="s">
        <v>875</v>
      </c>
      <c r="D143" s="298">
        <v>42941</v>
      </c>
      <c r="E143" s="299" t="s">
        <v>612</v>
      </c>
      <c r="F143" s="300"/>
      <c r="G143" s="299" t="s">
        <v>731</v>
      </c>
      <c r="H143" s="301">
        <v>1</v>
      </c>
      <c r="I143" s="299">
        <v>900</v>
      </c>
      <c r="K143" s="302"/>
      <c r="L143" s="301"/>
      <c r="N143" s="299" t="s">
        <v>59</v>
      </c>
      <c r="O143" s="299" t="s">
        <v>62</v>
      </c>
      <c r="P143" s="299" t="s">
        <v>476</v>
      </c>
      <c r="Q143" s="303">
        <v>15.6</v>
      </c>
      <c r="R143" s="303">
        <v>15.6</v>
      </c>
      <c r="S143" s="401">
        <v>525</v>
      </c>
      <c r="T143" s="401">
        <v>525</v>
      </c>
      <c r="U143" s="304">
        <f t="shared" si="12"/>
        <v>1.7333333333333333E-2</v>
      </c>
      <c r="V143" s="303"/>
      <c r="W143" s="303"/>
      <c r="X143" s="303"/>
      <c r="Y143" s="303"/>
      <c r="Z143" s="305">
        <v>1.51</v>
      </c>
      <c r="AA143" s="307">
        <f t="shared" si="13"/>
        <v>1.6777777777777778</v>
      </c>
      <c r="AB143" s="263" t="s">
        <v>1441</v>
      </c>
    </row>
    <row r="144" spans="1:28" x14ac:dyDescent="0.25">
      <c r="A144" s="252" t="s">
        <v>814</v>
      </c>
      <c r="B144" s="224">
        <v>5</v>
      </c>
      <c r="C144" s="225" t="s">
        <v>878</v>
      </c>
      <c r="D144" s="253">
        <v>43017</v>
      </c>
      <c r="E144" s="226" t="str">
        <f>Manufacturers!$C$11</f>
        <v>CHA Technologies Group (Cosmotec)</v>
      </c>
      <c r="F144" s="227" t="s">
        <v>876</v>
      </c>
      <c r="G144" s="226" t="s">
        <v>174</v>
      </c>
      <c r="I144" s="226">
        <v>200</v>
      </c>
      <c r="L144" s="228">
        <v>6.7</v>
      </c>
      <c r="N144" s="226" t="s">
        <v>243</v>
      </c>
      <c r="O144" s="226" t="s">
        <v>76</v>
      </c>
      <c r="P144" s="226" t="s">
        <v>80</v>
      </c>
      <c r="Q144" s="230">
        <v>7</v>
      </c>
      <c r="R144" s="230">
        <v>7</v>
      </c>
      <c r="S144" s="532">
        <v>26.25</v>
      </c>
      <c r="T144" s="532">
        <v>26.25</v>
      </c>
      <c r="U144" s="239">
        <f t="shared" si="12"/>
        <v>3.5000000000000003E-2</v>
      </c>
      <c r="Z144" s="231">
        <v>0.37</v>
      </c>
      <c r="AA144" s="240">
        <f t="shared" si="13"/>
        <v>1.85</v>
      </c>
      <c r="AB144" s="232" t="s">
        <v>877</v>
      </c>
    </row>
    <row r="145" spans="1:28" s="243" customFormat="1" x14ac:dyDescent="0.25">
      <c r="A145" s="241" t="s">
        <v>815</v>
      </c>
      <c r="B145" s="224"/>
      <c r="C145" s="242" t="s">
        <v>879</v>
      </c>
      <c r="D145" s="254">
        <v>43017</v>
      </c>
      <c r="E145" s="243" t="str">
        <f>Manufacturers!$C$11</f>
        <v>CHA Technologies Group (Cosmotec)</v>
      </c>
      <c r="F145" s="244" t="s">
        <v>881</v>
      </c>
      <c r="G145" s="243" t="s">
        <v>174</v>
      </c>
      <c r="H145" s="245"/>
      <c r="I145" s="243">
        <v>170</v>
      </c>
      <c r="K145" s="246"/>
      <c r="L145" s="245">
        <v>6.7</v>
      </c>
      <c r="N145" s="243" t="s">
        <v>656</v>
      </c>
      <c r="O145" s="243" t="s">
        <v>76</v>
      </c>
      <c r="P145" s="243" t="s">
        <v>441</v>
      </c>
      <c r="Q145" s="247">
        <v>7</v>
      </c>
      <c r="R145" s="247">
        <v>7</v>
      </c>
      <c r="S145" s="401">
        <v>26.25</v>
      </c>
      <c r="T145" s="401">
        <v>26.25</v>
      </c>
      <c r="U145" s="248">
        <v>3.5000000000000003E-2</v>
      </c>
      <c r="V145" s="247"/>
      <c r="W145" s="247"/>
      <c r="X145" s="247"/>
      <c r="Y145" s="247"/>
      <c r="Z145" s="250"/>
      <c r="AA145" s="256" t="str">
        <f t="shared" si="13"/>
        <v/>
      </c>
      <c r="AB145" s="251"/>
    </row>
    <row r="146" spans="1:28" x14ac:dyDescent="0.25">
      <c r="A146" s="252" t="s">
        <v>816</v>
      </c>
      <c r="C146" s="225" t="s">
        <v>880</v>
      </c>
      <c r="D146" s="253">
        <v>43017</v>
      </c>
      <c r="E146" s="226" t="str">
        <f>Manufacturers!$C$11</f>
        <v>CHA Technologies Group (Cosmotec)</v>
      </c>
      <c r="F146" s="227" t="s">
        <v>882</v>
      </c>
      <c r="G146" s="226" t="s">
        <v>174</v>
      </c>
      <c r="I146" s="226">
        <v>200</v>
      </c>
      <c r="L146" s="228">
        <v>6.7</v>
      </c>
      <c r="N146" s="226" t="s">
        <v>243</v>
      </c>
      <c r="O146" s="226" t="s">
        <v>122</v>
      </c>
      <c r="P146" s="226" t="s">
        <v>441</v>
      </c>
      <c r="Q146" s="230">
        <v>7</v>
      </c>
      <c r="R146" s="230">
        <v>7</v>
      </c>
      <c r="S146" s="532">
        <v>26.25</v>
      </c>
      <c r="T146" s="532">
        <v>26.25</v>
      </c>
      <c r="U146" s="239">
        <v>3.5000000000000003E-2</v>
      </c>
      <c r="AA146" s="240" t="str">
        <f t="shared" si="13"/>
        <v/>
      </c>
      <c r="AB146" s="232" t="s">
        <v>883</v>
      </c>
    </row>
    <row r="147" spans="1:28" s="243" customFormat="1" x14ac:dyDescent="0.25">
      <c r="A147" s="241" t="s">
        <v>817</v>
      </c>
      <c r="B147" s="224"/>
      <c r="C147" s="242" t="s">
        <v>886</v>
      </c>
      <c r="D147" s="254">
        <v>43025</v>
      </c>
      <c r="E147" s="243" t="str">
        <f>Manufacturers!$C$11</f>
        <v>CHA Technologies Group (Cosmotec)</v>
      </c>
      <c r="F147" s="244" t="s">
        <v>887</v>
      </c>
      <c r="G147" s="243" t="s">
        <v>888</v>
      </c>
      <c r="H147" s="245"/>
      <c r="I147" s="243">
        <v>135</v>
      </c>
      <c r="K147" s="246"/>
      <c r="L147" s="245"/>
      <c r="N147" s="243" t="s">
        <v>656</v>
      </c>
      <c r="O147" s="243" t="s">
        <v>81</v>
      </c>
      <c r="P147" s="243" t="s">
        <v>441</v>
      </c>
      <c r="Q147" s="247">
        <v>15</v>
      </c>
      <c r="R147" s="247">
        <v>20</v>
      </c>
      <c r="S147" s="401" t="s">
        <v>983</v>
      </c>
      <c r="T147" s="401" t="s">
        <v>983</v>
      </c>
      <c r="U147" s="248">
        <f t="shared" ref="U147:U159" si="14">IF(AND((I147&gt;0),Q147&gt;0),AVERAGE(Q147:R147)/I147,"")</f>
        <v>0.12962962962962962</v>
      </c>
      <c r="V147" s="247"/>
      <c r="W147" s="247"/>
      <c r="X147" s="247"/>
      <c r="Y147" s="247"/>
      <c r="Z147" s="250"/>
      <c r="AA147" s="256" t="str">
        <f t="shared" si="13"/>
        <v/>
      </c>
      <c r="AB147" s="251"/>
    </row>
    <row r="148" spans="1:28" x14ac:dyDescent="0.25">
      <c r="A148" s="252" t="s">
        <v>818</v>
      </c>
      <c r="C148" s="225" t="s">
        <v>889</v>
      </c>
      <c r="D148" s="253">
        <v>43025</v>
      </c>
      <c r="E148" s="226" t="str">
        <f>Manufacturers!$C$11</f>
        <v>CHA Technologies Group (Cosmotec)</v>
      </c>
      <c r="F148" s="227" t="s">
        <v>890</v>
      </c>
      <c r="G148" s="226" t="s">
        <v>274</v>
      </c>
      <c r="I148" s="226">
        <v>240</v>
      </c>
      <c r="N148" s="226" t="s">
        <v>243</v>
      </c>
      <c r="O148" s="226" t="s">
        <v>81</v>
      </c>
      <c r="P148" s="226" t="s">
        <v>441</v>
      </c>
      <c r="S148" s="532" t="s">
        <v>983</v>
      </c>
      <c r="T148" s="532" t="s">
        <v>983</v>
      </c>
      <c r="U148" s="239" t="str">
        <f t="shared" si="14"/>
        <v/>
      </c>
      <c r="AA148" s="240" t="str">
        <f t="shared" si="13"/>
        <v/>
      </c>
    </row>
    <row r="149" spans="1:28" s="243" customFormat="1" ht="15.75" customHeight="1" x14ac:dyDescent="0.25">
      <c r="A149" s="241" t="s">
        <v>819</v>
      </c>
      <c r="B149" s="224"/>
      <c r="C149" s="242" t="s">
        <v>891</v>
      </c>
      <c r="D149" s="254">
        <v>43025</v>
      </c>
      <c r="E149" s="243" t="str">
        <f>Manufacturers!$C$11</f>
        <v>CHA Technologies Group (Cosmotec)</v>
      </c>
      <c r="F149" s="244" t="s">
        <v>892</v>
      </c>
      <c r="G149" s="243" t="s">
        <v>274</v>
      </c>
      <c r="H149" s="245">
        <v>2.7</v>
      </c>
      <c r="I149" s="243">
        <v>450</v>
      </c>
      <c r="K149" s="246"/>
      <c r="L149" s="245"/>
      <c r="N149" s="243" t="s">
        <v>893</v>
      </c>
      <c r="O149" s="243" t="s">
        <v>76</v>
      </c>
      <c r="P149" s="243" t="s">
        <v>441</v>
      </c>
      <c r="Q149" s="247">
        <v>15</v>
      </c>
      <c r="R149" s="247">
        <v>8</v>
      </c>
      <c r="S149" s="401" t="s">
        <v>983</v>
      </c>
      <c r="T149" s="401" t="s">
        <v>983</v>
      </c>
      <c r="U149" s="248">
        <f t="shared" si="14"/>
        <v>2.5555555555555557E-2</v>
      </c>
      <c r="V149" s="247"/>
      <c r="W149" s="247"/>
      <c r="X149" s="247"/>
      <c r="Y149" s="247"/>
      <c r="Z149" s="250"/>
      <c r="AA149" s="256" t="str">
        <f t="shared" si="13"/>
        <v/>
      </c>
      <c r="AB149" s="251" t="s">
        <v>894</v>
      </c>
    </row>
    <row r="150" spans="1:28" ht="18" customHeight="1" x14ac:dyDescent="0.25">
      <c r="A150" s="252" t="s">
        <v>820</v>
      </c>
      <c r="C150" s="225" t="s">
        <v>891</v>
      </c>
      <c r="D150" s="253">
        <v>43025</v>
      </c>
      <c r="E150" s="226" t="s">
        <v>425</v>
      </c>
      <c r="F150" s="227" t="s">
        <v>895</v>
      </c>
      <c r="G150" s="226" t="s">
        <v>274</v>
      </c>
      <c r="H150" s="228">
        <v>6.5</v>
      </c>
      <c r="I150" s="226">
        <v>1000</v>
      </c>
      <c r="N150" s="226" t="s">
        <v>893</v>
      </c>
      <c r="O150" s="226" t="s">
        <v>76</v>
      </c>
      <c r="P150" s="226" t="s">
        <v>441</v>
      </c>
      <c r="Q150" s="230">
        <v>20</v>
      </c>
      <c r="R150" s="230">
        <v>17</v>
      </c>
      <c r="S150" s="532" t="s">
        <v>983</v>
      </c>
      <c r="T150" s="532" t="s">
        <v>983</v>
      </c>
      <c r="U150" s="239">
        <f t="shared" si="14"/>
        <v>1.8499999999999999E-2</v>
      </c>
      <c r="AA150" s="240" t="str">
        <f t="shared" si="13"/>
        <v/>
      </c>
      <c r="AB150" s="232" t="s">
        <v>894</v>
      </c>
    </row>
    <row r="151" spans="1:28" s="243" customFormat="1" ht="18.75" customHeight="1" x14ac:dyDescent="0.25">
      <c r="A151" s="241" t="s">
        <v>821</v>
      </c>
      <c r="B151" s="224"/>
      <c r="C151" s="242" t="s">
        <v>896</v>
      </c>
      <c r="D151" s="254">
        <v>43025</v>
      </c>
      <c r="E151" s="259" t="s">
        <v>425</v>
      </c>
      <c r="F151" s="244" t="s">
        <v>897</v>
      </c>
      <c r="G151" s="243" t="s">
        <v>174</v>
      </c>
      <c r="H151" s="245">
        <v>4.2</v>
      </c>
      <c r="I151" s="243">
        <v>520</v>
      </c>
      <c r="K151" s="246"/>
      <c r="L151" s="245"/>
      <c r="N151" s="243" t="s">
        <v>898</v>
      </c>
      <c r="O151" s="243" t="s">
        <v>62</v>
      </c>
      <c r="P151" s="243" t="s">
        <v>441</v>
      </c>
      <c r="Q151" s="247"/>
      <c r="R151" s="247"/>
      <c r="S151" s="401" t="s">
        <v>983</v>
      </c>
      <c r="T151" s="401" t="s">
        <v>983</v>
      </c>
      <c r="U151" s="248" t="str">
        <f t="shared" si="14"/>
        <v/>
      </c>
      <c r="V151" s="247"/>
      <c r="W151" s="247"/>
      <c r="X151" s="247"/>
      <c r="Y151" s="247"/>
      <c r="Z151" s="250"/>
      <c r="AA151" s="256" t="str">
        <f t="shared" si="13"/>
        <v/>
      </c>
      <c r="AB151" s="251" t="s">
        <v>899</v>
      </c>
    </row>
    <row r="152" spans="1:28" ht="18.75" customHeight="1" x14ac:dyDescent="0.25">
      <c r="A152" s="252" t="s">
        <v>822</v>
      </c>
      <c r="C152" s="225" t="s">
        <v>901</v>
      </c>
      <c r="D152" s="253">
        <v>43025</v>
      </c>
      <c r="E152" s="226" t="s">
        <v>425</v>
      </c>
      <c r="F152" s="261" t="s">
        <v>946</v>
      </c>
      <c r="G152" s="226" t="s">
        <v>174</v>
      </c>
      <c r="H152" s="228">
        <v>4</v>
      </c>
      <c r="I152" s="226">
        <v>1000</v>
      </c>
      <c r="N152" s="226" t="s">
        <v>898</v>
      </c>
      <c r="O152" s="226" t="s">
        <v>76</v>
      </c>
      <c r="P152" s="226" t="s">
        <v>441</v>
      </c>
      <c r="S152" s="532" t="s">
        <v>983</v>
      </c>
      <c r="T152" s="532" t="s">
        <v>983</v>
      </c>
      <c r="U152" s="239" t="str">
        <f t="shared" si="14"/>
        <v/>
      </c>
      <c r="AA152" s="240" t="str">
        <f t="shared" si="13"/>
        <v/>
      </c>
      <c r="AB152" s="232" t="s">
        <v>900</v>
      </c>
    </row>
    <row r="153" spans="1:28" s="243" customFormat="1" x14ac:dyDescent="0.25">
      <c r="A153" s="241" t="s">
        <v>823</v>
      </c>
      <c r="B153" s="224"/>
      <c r="C153" s="242" t="s">
        <v>902</v>
      </c>
      <c r="D153" s="254">
        <v>43025</v>
      </c>
      <c r="E153" s="243" t="str">
        <f>Manufacturers!$C$21</f>
        <v>AMR/John Holden Group</v>
      </c>
      <c r="F153" s="244" t="s">
        <v>904</v>
      </c>
      <c r="G153" s="243" t="s">
        <v>174</v>
      </c>
      <c r="H153" s="245"/>
      <c r="I153" s="243">
        <v>150</v>
      </c>
      <c r="K153" s="246"/>
      <c r="L153" s="245"/>
      <c r="N153" s="243" t="s">
        <v>243</v>
      </c>
      <c r="O153" s="243" t="s">
        <v>81</v>
      </c>
      <c r="P153" s="243" t="s">
        <v>80</v>
      </c>
      <c r="Q153" s="247"/>
      <c r="R153" s="247"/>
      <c r="S153" s="401" t="s">
        <v>983</v>
      </c>
      <c r="T153" s="401" t="s">
        <v>983</v>
      </c>
      <c r="U153" s="248" t="str">
        <f t="shared" si="14"/>
        <v/>
      </c>
      <c r="V153" s="247"/>
      <c r="W153" s="247"/>
      <c r="X153" s="247"/>
      <c r="Y153" s="247"/>
      <c r="Z153" s="250"/>
      <c r="AA153" s="256" t="str">
        <f t="shared" si="13"/>
        <v/>
      </c>
      <c r="AB153" s="251"/>
    </row>
    <row r="154" spans="1:28" x14ac:dyDescent="0.25">
      <c r="A154" s="252" t="s">
        <v>824</v>
      </c>
      <c r="C154" s="225" t="s">
        <v>903</v>
      </c>
      <c r="D154" s="253">
        <v>43025</v>
      </c>
      <c r="E154" s="226" t="str">
        <f>Manufacturers!$C$21</f>
        <v>AMR/John Holden Group</v>
      </c>
      <c r="F154" s="227" t="s">
        <v>655</v>
      </c>
      <c r="G154" s="226" t="s">
        <v>174</v>
      </c>
      <c r="I154" s="226">
        <v>130</v>
      </c>
      <c r="N154" s="11" t="s">
        <v>656</v>
      </c>
      <c r="O154" s="226" t="s">
        <v>76</v>
      </c>
      <c r="P154" s="226" t="s">
        <v>99</v>
      </c>
      <c r="S154" s="532" t="s">
        <v>983</v>
      </c>
      <c r="T154" s="532" t="s">
        <v>983</v>
      </c>
      <c r="U154" s="239" t="str">
        <f t="shared" si="14"/>
        <v/>
      </c>
      <c r="AA154" s="240" t="str">
        <f t="shared" si="13"/>
        <v/>
      </c>
    </row>
    <row r="155" spans="1:28" s="243" customFormat="1" x14ac:dyDescent="0.25">
      <c r="A155" s="241" t="s">
        <v>825</v>
      </c>
      <c r="B155" s="224"/>
      <c r="C155" s="258" t="s">
        <v>906</v>
      </c>
      <c r="D155" s="254">
        <v>43039</v>
      </c>
      <c r="E155" s="259" t="s">
        <v>909</v>
      </c>
      <c r="F155" s="244" t="s">
        <v>906</v>
      </c>
      <c r="G155" s="259" t="s">
        <v>82</v>
      </c>
      <c r="H155" s="245"/>
      <c r="I155" s="243">
        <v>250</v>
      </c>
      <c r="K155" s="246"/>
      <c r="L155" s="245"/>
      <c r="N155" s="259" t="s">
        <v>243</v>
      </c>
      <c r="O155" s="259" t="s">
        <v>81</v>
      </c>
      <c r="P155" s="259" t="s">
        <v>911</v>
      </c>
      <c r="Q155" s="247">
        <v>6.5</v>
      </c>
      <c r="R155" s="247">
        <v>5.7</v>
      </c>
      <c r="S155" s="401">
        <v>10.5</v>
      </c>
      <c r="T155" s="401">
        <v>9</v>
      </c>
      <c r="U155" s="248">
        <f t="shared" si="14"/>
        <v>2.4399999999999998E-2</v>
      </c>
      <c r="V155" s="247"/>
      <c r="W155" s="247"/>
      <c r="X155" s="247"/>
      <c r="Y155" s="247"/>
      <c r="Z155" s="250"/>
      <c r="AA155" s="256" t="str">
        <f t="shared" si="13"/>
        <v/>
      </c>
      <c r="AB155" s="251"/>
    </row>
    <row r="156" spans="1:28" x14ac:dyDescent="0.25">
      <c r="A156" s="252" t="s">
        <v>826</v>
      </c>
      <c r="C156" s="260" t="s">
        <v>907</v>
      </c>
      <c r="D156" s="253">
        <v>43039</v>
      </c>
      <c r="E156" s="11" t="s">
        <v>909</v>
      </c>
      <c r="F156" s="227" t="s">
        <v>907</v>
      </c>
      <c r="G156" s="11" t="s">
        <v>82</v>
      </c>
      <c r="I156" s="226">
        <v>150</v>
      </c>
      <c r="N156" s="11" t="s">
        <v>85</v>
      </c>
      <c r="O156" s="11" t="s">
        <v>910</v>
      </c>
      <c r="P156" s="226" t="s">
        <v>911</v>
      </c>
      <c r="Q156" s="230">
        <v>5.2</v>
      </c>
      <c r="R156" s="230">
        <v>6.5</v>
      </c>
      <c r="S156" s="532">
        <v>525</v>
      </c>
      <c r="T156" s="532">
        <v>525</v>
      </c>
      <c r="U156" s="239">
        <f t="shared" si="14"/>
        <v>3.9E-2</v>
      </c>
      <c r="AA156" s="240" t="str">
        <f t="shared" si="13"/>
        <v/>
      </c>
    </row>
    <row r="157" spans="1:28" s="243" customFormat="1" x14ac:dyDescent="0.25">
      <c r="A157" s="241" t="s">
        <v>827</v>
      </c>
      <c r="B157" s="224"/>
      <c r="C157" s="258" t="s">
        <v>908</v>
      </c>
      <c r="D157" s="254">
        <v>43039</v>
      </c>
      <c r="E157" s="259" t="s">
        <v>909</v>
      </c>
      <c r="F157" s="244" t="s">
        <v>908</v>
      </c>
      <c r="G157" s="259" t="s">
        <v>82</v>
      </c>
      <c r="H157" s="245"/>
      <c r="I157" s="243">
        <v>150</v>
      </c>
      <c r="K157" s="246"/>
      <c r="L157" s="245"/>
      <c r="N157" s="259" t="s">
        <v>656</v>
      </c>
      <c r="O157" s="259" t="s">
        <v>81</v>
      </c>
      <c r="P157" s="243" t="s">
        <v>911</v>
      </c>
      <c r="Q157" s="247">
        <v>4.4000000000000004</v>
      </c>
      <c r="R157" s="247">
        <v>4</v>
      </c>
      <c r="S157" s="401">
        <v>0.9</v>
      </c>
      <c r="T157" s="401">
        <v>0.9</v>
      </c>
      <c r="U157" s="248">
        <f t="shared" si="14"/>
        <v>2.8000000000000001E-2</v>
      </c>
      <c r="V157" s="247"/>
      <c r="W157" s="247"/>
      <c r="X157" s="247"/>
      <c r="Y157" s="247"/>
      <c r="Z157" s="250"/>
      <c r="AA157" s="256" t="str">
        <f t="shared" si="13"/>
        <v/>
      </c>
      <c r="AB157" s="251"/>
    </row>
    <row r="158" spans="1:28" x14ac:dyDescent="0.25">
      <c r="A158" s="252" t="s">
        <v>828</v>
      </c>
      <c r="C158" s="260" t="s">
        <v>912</v>
      </c>
      <c r="D158" s="253">
        <v>42817</v>
      </c>
      <c r="E158" s="226" t="str">
        <f>Manufacturers!C32</f>
        <v>Stonebridge Nonwovens</v>
      </c>
      <c r="F158" s="261" t="s">
        <v>913</v>
      </c>
      <c r="G158" s="11" t="s">
        <v>174</v>
      </c>
      <c r="I158" s="226">
        <v>280</v>
      </c>
      <c r="N158" s="11" t="s">
        <v>696</v>
      </c>
      <c r="O158" s="11" t="s">
        <v>76</v>
      </c>
      <c r="P158" s="11" t="s">
        <v>99</v>
      </c>
      <c r="Q158" s="230">
        <v>3.2</v>
      </c>
      <c r="R158" s="230">
        <v>3.9</v>
      </c>
      <c r="S158" s="532">
        <v>9</v>
      </c>
      <c r="T158" s="532">
        <v>5.25</v>
      </c>
      <c r="U158" s="239">
        <f t="shared" si="14"/>
        <v>1.2678571428571428E-2</v>
      </c>
      <c r="AA158" s="240" t="str">
        <f t="shared" si="13"/>
        <v/>
      </c>
    </row>
    <row r="159" spans="1:28" s="299" customFormat="1" ht="15" customHeight="1" x14ac:dyDescent="0.25">
      <c r="A159" s="295" t="s">
        <v>829</v>
      </c>
      <c r="B159" s="284"/>
      <c r="C159" s="297" t="s">
        <v>914</v>
      </c>
      <c r="D159" s="298">
        <v>43040</v>
      </c>
      <c r="E159" s="299" t="str">
        <f>Manufacturers!C26</f>
        <v>Don &amp; Low/Thrace</v>
      </c>
      <c r="F159" s="300" t="s">
        <v>546</v>
      </c>
      <c r="G159" s="299" t="s">
        <v>174</v>
      </c>
      <c r="H159" s="301"/>
      <c r="I159" s="299">
        <v>220</v>
      </c>
      <c r="K159" s="302"/>
      <c r="L159" s="301"/>
      <c r="N159" s="299" t="s">
        <v>243</v>
      </c>
      <c r="O159" s="299" t="s">
        <v>76</v>
      </c>
      <c r="P159" s="299" t="s">
        <v>474</v>
      </c>
      <c r="Q159" s="303">
        <v>13</v>
      </c>
      <c r="R159" s="303">
        <v>8.9</v>
      </c>
      <c r="S159" s="401">
        <v>11.25</v>
      </c>
      <c r="T159" s="401">
        <v>4.5</v>
      </c>
      <c r="U159" s="304">
        <f t="shared" si="14"/>
        <v>4.9772727272727267E-2</v>
      </c>
      <c r="V159" s="303"/>
      <c r="W159" s="303"/>
      <c r="X159" s="303"/>
      <c r="Y159" s="303"/>
      <c r="Z159" s="305"/>
      <c r="AA159" s="307" t="str">
        <f t="shared" si="13"/>
        <v/>
      </c>
      <c r="AB159" s="306" t="s">
        <v>915</v>
      </c>
    </row>
    <row r="160" spans="1:28" s="490" customFormat="1" ht="15" customHeight="1" x14ac:dyDescent="0.25">
      <c r="A160" s="486" t="s">
        <v>1512</v>
      </c>
      <c r="B160" s="487"/>
      <c r="C160" s="488" t="s">
        <v>1511</v>
      </c>
      <c r="D160" s="489" t="s">
        <v>1513</v>
      </c>
      <c r="E160" s="490" t="s">
        <v>1401</v>
      </c>
      <c r="F160" s="491"/>
      <c r="H160" s="492"/>
      <c r="K160" s="493"/>
      <c r="L160" s="492"/>
      <c r="P160" s="490" t="s">
        <v>1510</v>
      </c>
      <c r="Q160" s="494"/>
      <c r="R160" s="494"/>
      <c r="S160" s="534"/>
      <c r="T160" s="534"/>
      <c r="U160" s="495"/>
      <c r="V160" s="494"/>
      <c r="W160" s="494"/>
      <c r="X160" s="494"/>
      <c r="Y160" s="494"/>
      <c r="Z160" s="496"/>
      <c r="AA160" s="497"/>
      <c r="AB160" s="498"/>
    </row>
    <row r="161" spans="1:28" x14ac:dyDescent="0.25">
      <c r="A161" s="252" t="s">
        <v>830</v>
      </c>
      <c r="C161" s="225" t="s">
        <v>916</v>
      </c>
      <c r="D161" s="253">
        <v>43045</v>
      </c>
      <c r="E161" s="11" t="s">
        <v>909</v>
      </c>
      <c r="F161" s="227" t="s">
        <v>916</v>
      </c>
      <c r="G161" s="11" t="s">
        <v>174</v>
      </c>
      <c r="I161" s="226">
        <v>200</v>
      </c>
      <c r="N161" s="11" t="s">
        <v>243</v>
      </c>
      <c r="P161" s="11" t="s">
        <v>80</v>
      </c>
      <c r="Q161" s="230">
        <v>8.5</v>
      </c>
      <c r="R161" s="230">
        <v>10.9</v>
      </c>
      <c r="S161" s="532">
        <v>18.75</v>
      </c>
      <c r="T161" s="532">
        <v>12.75</v>
      </c>
      <c r="U161" s="239">
        <f t="shared" ref="U161:U184" si="15">IF(AND((I161&gt;0),Q161&gt;0),AVERAGE(Q161:R161)/I161,"")</f>
        <v>4.8499999999999995E-2</v>
      </c>
      <c r="AA161" s="240" t="str">
        <f t="shared" ref="AA161:AA179" si="16">IF(AND(I161&gt;0,Z161&gt;0),1000*(Z161/I161),"")</f>
        <v/>
      </c>
    </row>
    <row r="162" spans="1:28" s="243" customFormat="1" x14ac:dyDescent="0.25">
      <c r="A162" s="241" t="s">
        <v>831</v>
      </c>
      <c r="B162" s="224"/>
      <c r="C162" s="242" t="s">
        <v>917</v>
      </c>
      <c r="D162" s="254">
        <v>43045</v>
      </c>
      <c r="E162" s="243" t="s">
        <v>909</v>
      </c>
      <c r="F162" s="244" t="s">
        <v>917</v>
      </c>
      <c r="G162" s="259" t="s">
        <v>174</v>
      </c>
      <c r="H162" s="245"/>
      <c r="I162" s="243">
        <v>200</v>
      </c>
      <c r="K162" s="246"/>
      <c r="L162" s="245"/>
      <c r="N162" s="259" t="s">
        <v>243</v>
      </c>
      <c r="P162" s="259" t="s">
        <v>80</v>
      </c>
      <c r="Q162" s="247">
        <v>9.1999999999999993</v>
      </c>
      <c r="R162" s="247">
        <v>8.9</v>
      </c>
      <c r="S162" s="401">
        <v>15</v>
      </c>
      <c r="T162" s="401">
        <v>11.25</v>
      </c>
      <c r="U162" s="248">
        <f t="shared" si="15"/>
        <v>4.5250000000000005E-2</v>
      </c>
      <c r="V162" s="247"/>
      <c r="W162" s="247"/>
      <c r="X162" s="247"/>
      <c r="Y162" s="247"/>
      <c r="Z162" s="250"/>
      <c r="AA162" s="256" t="str">
        <f t="shared" si="16"/>
        <v/>
      </c>
      <c r="AB162" s="251"/>
    </row>
    <row r="163" spans="1:28" x14ac:dyDescent="0.25">
      <c r="A163" s="252" t="s">
        <v>832</v>
      </c>
      <c r="C163" s="225" t="s">
        <v>918</v>
      </c>
      <c r="D163" s="253">
        <v>43045</v>
      </c>
      <c r="E163" s="226" t="s">
        <v>909</v>
      </c>
      <c r="F163" s="227" t="s">
        <v>918</v>
      </c>
      <c r="G163" s="11" t="s">
        <v>174</v>
      </c>
      <c r="I163" s="226">
        <v>310</v>
      </c>
      <c r="N163" s="11" t="s">
        <v>243</v>
      </c>
      <c r="P163" s="11" t="s">
        <v>80</v>
      </c>
      <c r="Q163" s="230">
        <v>17.899999999999999</v>
      </c>
      <c r="R163" s="230">
        <v>21.4</v>
      </c>
      <c r="S163" s="532">
        <v>41.25</v>
      </c>
      <c r="T163" s="532">
        <v>41.25</v>
      </c>
      <c r="U163" s="239">
        <f t="shared" si="15"/>
        <v>6.3387096774193546E-2</v>
      </c>
      <c r="AA163" s="240" t="str">
        <f t="shared" si="16"/>
        <v/>
      </c>
    </row>
    <row r="164" spans="1:28" s="243" customFormat="1" x14ac:dyDescent="0.25">
      <c r="A164" s="241" t="s">
        <v>833</v>
      </c>
      <c r="B164" s="224"/>
      <c r="C164" s="242" t="s">
        <v>919</v>
      </c>
      <c r="D164" s="254">
        <v>43045</v>
      </c>
      <c r="E164" s="243" t="s">
        <v>909</v>
      </c>
      <c r="F164" s="244" t="s">
        <v>919</v>
      </c>
      <c r="G164" s="259" t="s">
        <v>174</v>
      </c>
      <c r="H164" s="245"/>
      <c r="I164" s="243">
        <v>400</v>
      </c>
      <c r="K164" s="246"/>
      <c r="L164" s="245"/>
      <c r="N164" s="259" t="s">
        <v>243</v>
      </c>
      <c r="P164" s="259" t="s">
        <v>80</v>
      </c>
      <c r="Q164" s="247">
        <v>21.6</v>
      </c>
      <c r="R164" s="247">
        <v>24.9</v>
      </c>
      <c r="S164" s="401">
        <v>33</v>
      </c>
      <c r="T164" s="401">
        <v>33</v>
      </c>
      <c r="U164" s="248">
        <f t="shared" si="15"/>
        <v>5.8125000000000003E-2</v>
      </c>
      <c r="V164" s="247"/>
      <c r="W164" s="247"/>
      <c r="X164" s="247"/>
      <c r="Y164" s="247"/>
      <c r="Z164" s="250"/>
      <c r="AA164" s="256" t="str">
        <f t="shared" si="16"/>
        <v/>
      </c>
      <c r="AB164" s="251"/>
    </row>
    <row r="165" spans="1:28" x14ac:dyDescent="0.25">
      <c r="A165" s="264" t="s">
        <v>834</v>
      </c>
      <c r="C165" s="260" t="s">
        <v>953</v>
      </c>
      <c r="D165" s="253">
        <v>43089</v>
      </c>
      <c r="E165" s="11" t="s">
        <v>952</v>
      </c>
      <c r="G165" s="11" t="s">
        <v>174</v>
      </c>
      <c r="I165" s="226">
        <v>200</v>
      </c>
      <c r="N165" s="11" t="s">
        <v>243</v>
      </c>
      <c r="Q165" s="230">
        <v>8.1</v>
      </c>
      <c r="R165" s="230">
        <v>9.5</v>
      </c>
      <c r="S165" s="532">
        <v>9.75</v>
      </c>
      <c r="T165" s="532">
        <v>9.75</v>
      </c>
      <c r="U165" s="239">
        <f t="shared" si="15"/>
        <v>4.4000000000000004E-2</v>
      </c>
      <c r="AA165" s="240" t="str">
        <f t="shared" si="16"/>
        <v/>
      </c>
    </row>
    <row r="166" spans="1:28" s="243" customFormat="1" x14ac:dyDescent="0.25">
      <c r="A166" s="241" t="s">
        <v>835</v>
      </c>
      <c r="B166" s="224"/>
      <c r="C166" s="258" t="s">
        <v>954</v>
      </c>
      <c r="D166" s="254">
        <v>43089</v>
      </c>
      <c r="E166" s="243" t="s">
        <v>952</v>
      </c>
      <c r="F166" s="244"/>
      <c r="G166" s="259" t="s">
        <v>174</v>
      </c>
      <c r="H166" s="245"/>
      <c r="I166" s="243">
        <v>180</v>
      </c>
      <c r="K166" s="246"/>
      <c r="L166" s="245"/>
      <c r="N166" s="259" t="s">
        <v>243</v>
      </c>
      <c r="Q166" s="247">
        <v>7.35</v>
      </c>
      <c r="R166" s="247">
        <v>9.84</v>
      </c>
      <c r="S166" s="401">
        <v>15</v>
      </c>
      <c r="T166" s="401">
        <v>15</v>
      </c>
      <c r="U166" s="248">
        <f t="shared" si="15"/>
        <v>4.7749999999999994E-2</v>
      </c>
      <c r="V166" s="247"/>
      <c r="W166" s="247"/>
      <c r="X166" s="247"/>
      <c r="Y166" s="247"/>
      <c r="Z166" s="250"/>
      <c r="AA166" s="256" t="str">
        <f t="shared" si="16"/>
        <v/>
      </c>
      <c r="AB166" s="251"/>
    </row>
    <row r="167" spans="1:28" x14ac:dyDescent="0.25">
      <c r="A167" s="264" t="s">
        <v>920</v>
      </c>
      <c r="C167" s="260" t="s">
        <v>955</v>
      </c>
      <c r="D167" s="253">
        <v>43089</v>
      </c>
      <c r="E167" s="226" t="s">
        <v>952</v>
      </c>
      <c r="G167" s="11" t="s">
        <v>174</v>
      </c>
      <c r="I167" s="226">
        <v>220</v>
      </c>
      <c r="N167" s="11" t="s">
        <v>656</v>
      </c>
      <c r="Q167" s="230">
        <v>12.3</v>
      </c>
      <c r="R167" s="230">
        <v>8.8000000000000007</v>
      </c>
      <c r="S167" s="532">
        <v>26.25</v>
      </c>
      <c r="T167" s="532">
        <v>18.75</v>
      </c>
      <c r="U167" s="239">
        <f t="shared" si="15"/>
        <v>4.7954545454545458E-2</v>
      </c>
      <c r="AA167" s="240" t="str">
        <f t="shared" si="16"/>
        <v/>
      </c>
    </row>
    <row r="168" spans="1:28" s="243" customFormat="1" x14ac:dyDescent="0.25">
      <c r="A168" s="265" t="s">
        <v>921</v>
      </c>
      <c r="B168" s="224"/>
      <c r="C168" s="258" t="s">
        <v>956</v>
      </c>
      <c r="D168" s="254">
        <v>43089</v>
      </c>
      <c r="E168" s="243" t="s">
        <v>952</v>
      </c>
      <c r="F168" s="244"/>
      <c r="G168" s="259" t="s">
        <v>731</v>
      </c>
      <c r="H168" s="245"/>
      <c r="I168" s="243">
        <v>180</v>
      </c>
      <c r="K168" s="246"/>
      <c r="L168" s="245"/>
      <c r="N168" s="259" t="s">
        <v>59</v>
      </c>
      <c r="Q168" s="247">
        <v>2.7</v>
      </c>
      <c r="R168" s="247">
        <v>2.6</v>
      </c>
      <c r="S168" s="401">
        <v>525</v>
      </c>
      <c r="T168" s="401">
        <v>525</v>
      </c>
      <c r="U168" s="248">
        <f t="shared" si="15"/>
        <v>1.4722222222222223E-2</v>
      </c>
      <c r="V168" s="247"/>
      <c r="W168" s="247"/>
      <c r="X168" s="247"/>
      <c r="Y168" s="247"/>
      <c r="Z168" s="250"/>
      <c r="AA168" s="256" t="str">
        <f t="shared" si="16"/>
        <v/>
      </c>
      <c r="AB168" s="251"/>
    </row>
    <row r="169" spans="1:28" x14ac:dyDescent="0.25">
      <c r="A169" s="264" t="s">
        <v>922</v>
      </c>
      <c r="C169" s="260" t="s">
        <v>1340</v>
      </c>
      <c r="D169" s="253">
        <v>43124</v>
      </c>
      <c r="E169" s="11" t="s">
        <v>1341</v>
      </c>
      <c r="G169" s="11" t="s">
        <v>174</v>
      </c>
      <c r="I169" s="226">
        <v>970</v>
      </c>
      <c r="N169" s="11" t="s">
        <v>59</v>
      </c>
      <c r="O169" s="11" t="s">
        <v>76</v>
      </c>
      <c r="P169" s="11" t="s">
        <v>1342</v>
      </c>
      <c r="S169" s="532" t="s">
        <v>983</v>
      </c>
      <c r="T169" s="532" t="s">
        <v>983</v>
      </c>
      <c r="U169" s="239" t="str">
        <f t="shared" si="15"/>
        <v/>
      </c>
      <c r="AA169" s="240" t="str">
        <f t="shared" si="16"/>
        <v/>
      </c>
    </row>
    <row r="170" spans="1:28" s="243" customFormat="1" x14ac:dyDescent="0.25">
      <c r="A170" s="265" t="s">
        <v>923</v>
      </c>
      <c r="B170" s="224"/>
      <c r="C170" s="258" t="s">
        <v>1336</v>
      </c>
      <c r="D170" s="254">
        <v>43454</v>
      </c>
      <c r="E170" s="243" t="s">
        <v>952</v>
      </c>
      <c r="F170" s="244"/>
      <c r="G170" s="259" t="s">
        <v>174</v>
      </c>
      <c r="H170" s="245"/>
      <c r="I170" s="243">
        <v>210</v>
      </c>
      <c r="K170" s="246"/>
      <c r="L170" s="245"/>
      <c r="N170" s="259" t="s">
        <v>243</v>
      </c>
      <c r="O170" s="259" t="s">
        <v>76</v>
      </c>
      <c r="P170" s="259" t="s">
        <v>1337</v>
      </c>
      <c r="Q170" s="247">
        <v>4.7</v>
      </c>
      <c r="R170" s="247">
        <v>14.2</v>
      </c>
      <c r="S170" s="401">
        <v>6</v>
      </c>
      <c r="T170" s="401">
        <v>19</v>
      </c>
      <c r="U170" s="248">
        <f t="shared" si="15"/>
        <v>4.4999999999999998E-2</v>
      </c>
      <c r="V170" s="247"/>
      <c r="W170" s="247"/>
      <c r="X170" s="247"/>
      <c r="Y170" s="247"/>
      <c r="Z170" s="250"/>
      <c r="AA170" s="256" t="str">
        <f t="shared" si="16"/>
        <v/>
      </c>
      <c r="AB170" s="251"/>
    </row>
    <row r="171" spans="1:28" x14ac:dyDescent="0.25">
      <c r="A171" s="264" t="s">
        <v>924</v>
      </c>
      <c r="C171" s="260" t="s">
        <v>1338</v>
      </c>
      <c r="D171" s="253">
        <v>43454</v>
      </c>
      <c r="E171" s="11" t="s">
        <v>952</v>
      </c>
      <c r="G171" s="11" t="s">
        <v>174</v>
      </c>
      <c r="I171" s="226">
        <v>115</v>
      </c>
      <c r="N171" s="11" t="s">
        <v>82</v>
      </c>
      <c r="O171" s="11" t="s">
        <v>62</v>
      </c>
      <c r="P171" s="259" t="s">
        <v>1337</v>
      </c>
      <c r="Q171" s="230">
        <v>11.1</v>
      </c>
      <c r="R171" s="230">
        <v>8.8000000000000007</v>
      </c>
      <c r="S171" s="532">
        <v>150</v>
      </c>
      <c r="T171" s="532">
        <v>150</v>
      </c>
      <c r="U171" s="239">
        <f t="shared" si="15"/>
        <v>8.6521739130434774E-2</v>
      </c>
      <c r="AA171" s="240" t="str">
        <f t="shared" si="16"/>
        <v/>
      </c>
    </row>
    <row r="172" spans="1:28" s="243" customFormat="1" x14ac:dyDescent="0.25">
      <c r="A172" s="265" t="s">
        <v>925</v>
      </c>
      <c r="B172" s="224"/>
      <c r="C172" s="258" t="s">
        <v>1339</v>
      </c>
      <c r="D172" s="254">
        <v>43454</v>
      </c>
      <c r="E172" s="243" t="s">
        <v>952</v>
      </c>
      <c r="F172" s="244"/>
      <c r="G172" s="259" t="s">
        <v>731</v>
      </c>
      <c r="H172" s="245"/>
      <c r="I172" s="243">
        <v>225</v>
      </c>
      <c r="K172" s="246"/>
      <c r="L172" s="245"/>
      <c r="N172" s="259" t="s">
        <v>59</v>
      </c>
      <c r="O172" s="259" t="s">
        <v>62</v>
      </c>
      <c r="P172" s="259" t="s">
        <v>1337</v>
      </c>
      <c r="Q172" s="247">
        <v>2.6</v>
      </c>
      <c r="R172" s="247">
        <v>2.7</v>
      </c>
      <c r="S172" s="401">
        <v>45</v>
      </c>
      <c r="T172" s="401">
        <v>63</v>
      </c>
      <c r="U172" s="248">
        <f t="shared" si="15"/>
        <v>1.1777777777777779E-2</v>
      </c>
      <c r="V172" s="247"/>
      <c r="W172" s="247"/>
      <c r="X172" s="247"/>
      <c r="Y172" s="247"/>
      <c r="Z172" s="250"/>
      <c r="AA172" s="256" t="str">
        <f t="shared" si="16"/>
        <v/>
      </c>
      <c r="AB172" s="251"/>
    </row>
    <row r="173" spans="1:28" x14ac:dyDescent="0.25">
      <c r="A173" s="264" t="s">
        <v>926</v>
      </c>
      <c r="C173" s="260" t="s">
        <v>1346</v>
      </c>
      <c r="D173" s="253">
        <v>43151</v>
      </c>
      <c r="E173" s="11" t="s">
        <v>861</v>
      </c>
      <c r="G173" s="11" t="s">
        <v>58</v>
      </c>
      <c r="I173" s="226">
        <v>160</v>
      </c>
      <c r="N173" s="226" t="s">
        <v>243</v>
      </c>
      <c r="O173" s="11" t="s">
        <v>76</v>
      </c>
      <c r="P173" s="226" t="s">
        <v>80</v>
      </c>
      <c r="Q173" s="247">
        <v>3.7</v>
      </c>
      <c r="R173" s="247">
        <v>3.8</v>
      </c>
      <c r="S173" s="401">
        <v>5.3</v>
      </c>
      <c r="T173" s="401">
        <v>3.9</v>
      </c>
      <c r="U173" s="248">
        <f t="shared" si="15"/>
        <v>2.34375E-2</v>
      </c>
      <c r="AA173" s="240" t="str">
        <f t="shared" si="16"/>
        <v/>
      </c>
    </row>
    <row r="174" spans="1:28" s="243" customFormat="1" x14ac:dyDescent="0.25">
      <c r="A174" s="265" t="s">
        <v>927</v>
      </c>
      <c r="B174" s="224"/>
      <c r="C174" s="258" t="s">
        <v>1347</v>
      </c>
      <c r="D174" s="254">
        <v>43150</v>
      </c>
      <c r="E174" s="259" t="s">
        <v>864</v>
      </c>
      <c r="F174" s="244"/>
      <c r="G174" s="259" t="s">
        <v>174</v>
      </c>
      <c r="H174" s="245"/>
      <c r="I174" s="243">
        <v>130</v>
      </c>
      <c r="K174" s="246"/>
      <c r="L174" s="245"/>
      <c r="N174" s="243" t="s">
        <v>243</v>
      </c>
      <c r="O174" s="259" t="s">
        <v>81</v>
      </c>
      <c r="P174" s="243" t="s">
        <v>80</v>
      </c>
      <c r="Q174" s="247">
        <v>5.7</v>
      </c>
      <c r="R174" s="247">
        <v>7.5</v>
      </c>
      <c r="S174" s="401">
        <v>8.1999999999999993</v>
      </c>
      <c r="T174" s="401">
        <v>10.199999999999999</v>
      </c>
      <c r="U174" s="248">
        <f t="shared" si="15"/>
        <v>5.0769230769230768E-2</v>
      </c>
      <c r="V174" s="247"/>
      <c r="W174" s="247"/>
      <c r="X174" s="247"/>
      <c r="Y174" s="247"/>
      <c r="Z174" s="250"/>
      <c r="AA174" s="256" t="str">
        <f t="shared" si="16"/>
        <v/>
      </c>
      <c r="AB174" s="251"/>
    </row>
    <row r="175" spans="1:28" x14ac:dyDescent="0.25">
      <c r="A175" s="264" t="s">
        <v>928</v>
      </c>
      <c r="C175" s="260" t="s">
        <v>1348</v>
      </c>
      <c r="D175" s="253">
        <v>43151</v>
      </c>
      <c r="E175" s="11" t="s">
        <v>861</v>
      </c>
      <c r="F175" s="261" t="s">
        <v>946</v>
      </c>
      <c r="G175" s="11" t="s">
        <v>174</v>
      </c>
      <c r="I175" s="226">
        <v>995</v>
      </c>
      <c r="N175" s="11" t="s">
        <v>1353</v>
      </c>
      <c r="O175" s="11" t="s">
        <v>62</v>
      </c>
      <c r="P175" s="226" t="s">
        <v>80</v>
      </c>
      <c r="Q175" s="247">
        <v>0</v>
      </c>
      <c r="R175" s="247">
        <v>33.5</v>
      </c>
      <c r="S175" s="401">
        <v>0</v>
      </c>
      <c r="T175" s="401">
        <v>92</v>
      </c>
      <c r="U175" s="248" t="str">
        <f t="shared" si="15"/>
        <v/>
      </c>
      <c r="AA175" s="240" t="str">
        <f t="shared" si="16"/>
        <v/>
      </c>
      <c r="AB175" s="268" t="s">
        <v>1360</v>
      </c>
    </row>
    <row r="176" spans="1:28" s="243" customFormat="1" x14ac:dyDescent="0.25">
      <c r="A176" s="265" t="s">
        <v>929</v>
      </c>
      <c r="B176" s="224"/>
      <c r="C176" s="258" t="s">
        <v>1349</v>
      </c>
      <c r="D176" s="254">
        <v>43151</v>
      </c>
      <c r="E176" s="259" t="s">
        <v>861</v>
      </c>
      <c r="F176" s="262" t="s">
        <v>897</v>
      </c>
      <c r="G176" s="259" t="s">
        <v>174</v>
      </c>
      <c r="H176" s="245"/>
      <c r="I176" s="243">
        <v>525</v>
      </c>
      <c r="K176" s="246"/>
      <c r="L176" s="245"/>
      <c r="N176" s="243" t="s">
        <v>1353</v>
      </c>
      <c r="O176" s="259" t="s">
        <v>62</v>
      </c>
      <c r="P176" s="243" t="s">
        <v>80</v>
      </c>
      <c r="Q176" s="247">
        <v>0</v>
      </c>
      <c r="R176" s="247">
        <v>26</v>
      </c>
      <c r="S176" s="401">
        <v>0</v>
      </c>
      <c r="T176" s="401">
        <v>107</v>
      </c>
      <c r="U176" s="248" t="str">
        <f t="shared" si="15"/>
        <v/>
      </c>
      <c r="V176" s="247"/>
      <c r="W176" s="247"/>
      <c r="X176" s="247"/>
      <c r="Y176" s="247"/>
      <c r="Z176" s="250"/>
      <c r="AA176" s="256" t="str">
        <f t="shared" si="16"/>
        <v/>
      </c>
      <c r="AB176" s="268" t="s">
        <v>1360</v>
      </c>
    </row>
    <row r="177" spans="1:28" x14ac:dyDescent="0.25">
      <c r="A177" s="264" t="s">
        <v>930</v>
      </c>
      <c r="C177" s="260" t="s">
        <v>1350</v>
      </c>
      <c r="D177" s="253">
        <v>43151</v>
      </c>
      <c r="E177" s="11" t="s">
        <v>861</v>
      </c>
      <c r="G177" s="11" t="s">
        <v>1352</v>
      </c>
      <c r="I177" s="226">
        <v>415</v>
      </c>
      <c r="N177" s="226" t="s">
        <v>1353</v>
      </c>
      <c r="O177" s="11" t="s">
        <v>1354</v>
      </c>
      <c r="P177" s="226" t="s">
        <v>80</v>
      </c>
      <c r="Q177" s="247">
        <v>6.2</v>
      </c>
      <c r="R177" s="247">
        <v>0</v>
      </c>
      <c r="S177" s="401">
        <v>1270</v>
      </c>
      <c r="T177" s="401">
        <v>0</v>
      </c>
      <c r="U177" s="248">
        <f t="shared" si="15"/>
        <v>7.4698795180722895E-3</v>
      </c>
      <c r="AA177" s="240" t="str">
        <f t="shared" si="16"/>
        <v/>
      </c>
      <c r="AB177" s="268" t="s">
        <v>1360</v>
      </c>
    </row>
    <row r="178" spans="1:28" s="243" customFormat="1" x14ac:dyDescent="0.25">
      <c r="A178" s="265" t="s">
        <v>931</v>
      </c>
      <c r="B178" s="224"/>
      <c r="C178" s="258" t="s">
        <v>1351</v>
      </c>
      <c r="D178" s="254">
        <v>43151</v>
      </c>
      <c r="E178" s="259" t="s">
        <v>861</v>
      </c>
      <c r="F178" s="244"/>
      <c r="G178" s="259" t="s">
        <v>1352</v>
      </c>
      <c r="H178" s="245"/>
      <c r="I178" s="243">
        <v>280</v>
      </c>
      <c r="K178" s="246"/>
      <c r="L178" s="245"/>
      <c r="N178" s="243" t="s">
        <v>1353</v>
      </c>
      <c r="O178" s="259" t="s">
        <v>1355</v>
      </c>
      <c r="P178" s="243" t="s">
        <v>80</v>
      </c>
      <c r="Q178" s="247">
        <v>7.3</v>
      </c>
      <c r="R178" s="247">
        <v>0</v>
      </c>
      <c r="S178" s="401">
        <v>639</v>
      </c>
      <c r="T178" s="401">
        <v>0</v>
      </c>
      <c r="U178" s="248">
        <f t="shared" si="15"/>
        <v>1.3035714285714286E-2</v>
      </c>
      <c r="V178" s="247"/>
      <c r="W178" s="247"/>
      <c r="X178" s="247"/>
      <c r="Y178" s="247"/>
      <c r="Z178" s="250"/>
      <c r="AA178" s="256" t="str">
        <f t="shared" si="16"/>
        <v/>
      </c>
      <c r="AB178" s="268" t="s">
        <v>1360</v>
      </c>
    </row>
    <row r="179" spans="1:28" ht="15" customHeight="1" x14ac:dyDescent="0.25">
      <c r="A179" s="264" t="s">
        <v>932</v>
      </c>
      <c r="C179" s="260" t="s">
        <v>1363</v>
      </c>
      <c r="D179" s="253">
        <v>43171</v>
      </c>
      <c r="E179" s="226" t="s">
        <v>861</v>
      </c>
      <c r="F179" s="261" t="s">
        <v>1361</v>
      </c>
      <c r="G179" s="11" t="s">
        <v>174</v>
      </c>
      <c r="I179" s="226">
        <v>213</v>
      </c>
      <c r="N179" s="11" t="s">
        <v>243</v>
      </c>
      <c r="O179" s="11" t="s">
        <v>1365</v>
      </c>
      <c r="P179" s="11" t="s">
        <v>1366</v>
      </c>
      <c r="Q179" s="247">
        <v>11.1</v>
      </c>
      <c r="R179" s="247">
        <v>15.5</v>
      </c>
      <c r="S179" s="401">
        <v>12.8</v>
      </c>
      <c r="T179" s="401">
        <v>11.6</v>
      </c>
      <c r="U179" s="239">
        <f t="shared" si="15"/>
        <v>6.2441314553990615E-2</v>
      </c>
      <c r="AA179" s="240" t="str">
        <f t="shared" si="16"/>
        <v/>
      </c>
      <c r="AB179" s="602" t="s">
        <v>1531</v>
      </c>
    </row>
    <row r="180" spans="1:28" s="511" customFormat="1" x14ac:dyDescent="0.25">
      <c r="A180" s="562" t="s">
        <v>1580</v>
      </c>
      <c r="B180" s="595"/>
      <c r="C180" s="567" t="s">
        <v>1493</v>
      </c>
      <c r="D180" s="568">
        <v>43495</v>
      </c>
      <c r="E180" s="511" t="s">
        <v>861</v>
      </c>
      <c r="F180" s="571"/>
      <c r="G180" s="511" t="s">
        <v>174</v>
      </c>
      <c r="H180" s="574"/>
      <c r="I180" s="511">
        <v>223</v>
      </c>
      <c r="K180" s="577"/>
      <c r="L180" s="574"/>
      <c r="N180" s="511" t="s">
        <v>243</v>
      </c>
      <c r="O180" s="511" t="s">
        <v>1365</v>
      </c>
      <c r="P180" s="511" t="s">
        <v>1515</v>
      </c>
      <c r="Q180" s="580">
        <v>10.643594742707702</v>
      </c>
      <c r="R180" s="580">
        <v>20.725723331215903</v>
      </c>
      <c r="S180" s="584">
        <v>5.5942597268078575</v>
      </c>
      <c r="T180" s="584">
        <v>9.2991383437136381</v>
      </c>
      <c r="U180" s="239">
        <f t="shared" si="15"/>
        <v>7.0334793887721084E-2</v>
      </c>
      <c r="V180" s="586"/>
      <c r="W180" s="586"/>
      <c r="X180" s="586"/>
      <c r="Y180" s="586"/>
      <c r="Z180" s="591"/>
      <c r="AA180" s="589"/>
      <c r="AB180" s="541" t="s">
        <v>1703</v>
      </c>
    </row>
    <row r="181" spans="1:28" s="243" customFormat="1" x14ac:dyDescent="0.25">
      <c r="A181" s="265" t="s">
        <v>933</v>
      </c>
      <c r="B181" s="224"/>
      <c r="C181" s="258" t="s">
        <v>1364</v>
      </c>
      <c r="D181" s="254">
        <v>43171</v>
      </c>
      <c r="E181" s="243" t="s">
        <v>861</v>
      </c>
      <c r="F181" s="262" t="s">
        <v>1362</v>
      </c>
      <c r="G181" s="259" t="s">
        <v>174</v>
      </c>
      <c r="H181" s="245"/>
      <c r="I181" s="243">
        <v>216</v>
      </c>
      <c r="K181" s="246"/>
      <c r="L181" s="245"/>
      <c r="N181" s="259" t="s">
        <v>243</v>
      </c>
      <c r="O181" s="243" t="s">
        <v>1365</v>
      </c>
      <c r="P181" s="259" t="s">
        <v>1367</v>
      </c>
      <c r="Q181" s="247">
        <v>9.9</v>
      </c>
      <c r="R181" s="247">
        <v>15.6</v>
      </c>
      <c r="S181" s="401">
        <v>7.1</v>
      </c>
      <c r="T181" s="401">
        <v>9.6</v>
      </c>
      <c r="U181" s="248">
        <f t="shared" si="15"/>
        <v>5.9027777777777776E-2</v>
      </c>
      <c r="V181" s="247"/>
      <c r="W181" s="247"/>
      <c r="X181" s="247"/>
      <c r="Y181" s="247"/>
      <c r="Z181" s="250"/>
      <c r="AA181" s="256" t="str">
        <f>IF(AND(I181&gt;0,Z181&gt;0),1000*(Z181/I181),"")</f>
        <v/>
      </c>
      <c r="AB181" s="541" t="s">
        <v>1532</v>
      </c>
    </row>
    <row r="182" spans="1:28" x14ac:dyDescent="0.25">
      <c r="A182" s="264" t="s">
        <v>934</v>
      </c>
      <c r="C182" s="260" t="s">
        <v>1368</v>
      </c>
      <c r="D182" s="253">
        <v>43174</v>
      </c>
      <c r="E182" s="11" t="s">
        <v>864</v>
      </c>
      <c r="G182" s="11" t="s">
        <v>174</v>
      </c>
      <c r="H182" s="228">
        <v>1.95</v>
      </c>
      <c r="I182" s="226">
        <v>212</v>
      </c>
      <c r="N182" s="11" t="s">
        <v>243</v>
      </c>
      <c r="O182" s="11" t="s">
        <v>76</v>
      </c>
      <c r="P182" s="11" t="s">
        <v>1369</v>
      </c>
      <c r="Q182" s="247">
        <v>11.7</v>
      </c>
      <c r="R182" s="247">
        <v>20.399999999999999</v>
      </c>
      <c r="S182" s="401">
        <v>14.5</v>
      </c>
      <c r="T182" s="401">
        <v>22.4</v>
      </c>
      <c r="U182" s="239">
        <f t="shared" si="15"/>
        <v>7.5707547169811304E-2</v>
      </c>
      <c r="AA182" s="240" t="str">
        <f>IF(AND(I182&gt;0,Z182&gt;0),1000*(Z182/I182),"")</f>
        <v/>
      </c>
      <c r="AB182" s="541" t="s">
        <v>1702</v>
      </c>
    </row>
    <row r="183" spans="1:28" s="511" customFormat="1" x14ac:dyDescent="0.25">
      <c r="A183" s="562" t="s">
        <v>1581</v>
      </c>
      <c r="B183" s="595"/>
      <c r="C183" s="567" t="s">
        <v>1494</v>
      </c>
      <c r="D183" s="568">
        <v>43515</v>
      </c>
      <c r="E183" s="511" t="s">
        <v>864</v>
      </c>
      <c r="F183" s="571"/>
      <c r="G183" s="511" t="s">
        <v>174</v>
      </c>
      <c r="H183" s="574"/>
      <c r="I183" s="575">
        <v>206.38205149374016</v>
      </c>
      <c r="K183" s="577"/>
      <c r="L183" s="574"/>
      <c r="N183" s="511" t="s">
        <v>243</v>
      </c>
      <c r="O183" s="511" t="s">
        <v>76</v>
      </c>
      <c r="P183" s="511" t="s">
        <v>1515</v>
      </c>
      <c r="Q183" s="580">
        <v>10.734762733352813</v>
      </c>
      <c r="R183" s="580">
        <v>13.525645544068539</v>
      </c>
      <c r="S183" s="584">
        <v>15.775015897084014</v>
      </c>
      <c r="T183" s="584">
        <v>14.373029418344823</v>
      </c>
      <c r="U183" s="239">
        <f t="shared" si="15"/>
        <v>5.8775479994095325E-2</v>
      </c>
      <c r="V183" s="586"/>
      <c r="W183" s="586"/>
      <c r="X183" s="586"/>
      <c r="Y183" s="586"/>
      <c r="Z183" s="591"/>
      <c r="AA183" s="589"/>
      <c r="AB183" s="541" t="s">
        <v>1532</v>
      </c>
    </row>
    <row r="184" spans="1:28" s="243" customFormat="1" x14ac:dyDescent="0.25">
      <c r="A184" s="265" t="s">
        <v>935</v>
      </c>
      <c r="B184" s="224"/>
      <c r="C184" s="258" t="s">
        <v>1358</v>
      </c>
      <c r="D184" s="254">
        <v>43159</v>
      </c>
      <c r="E184" s="259" t="s">
        <v>82</v>
      </c>
      <c r="F184" s="244"/>
      <c r="G184" s="259" t="s">
        <v>58</v>
      </c>
      <c r="H184" s="245"/>
      <c r="I184" s="243">
        <v>153</v>
      </c>
      <c r="K184" s="246"/>
      <c r="L184" s="245"/>
      <c r="N184" s="243" t="s">
        <v>696</v>
      </c>
      <c r="O184" s="259" t="s">
        <v>81</v>
      </c>
      <c r="Q184" s="247">
        <v>1.8</v>
      </c>
      <c r="R184" s="247">
        <v>5.3</v>
      </c>
      <c r="S184" s="401">
        <v>4.4000000000000004</v>
      </c>
      <c r="T184" s="401">
        <v>11.8</v>
      </c>
      <c r="U184" s="248">
        <f t="shared" si="15"/>
        <v>2.3202614379084965E-2</v>
      </c>
      <c r="V184" s="247"/>
      <c r="W184" s="247"/>
      <c r="X184" s="247"/>
      <c r="Y184" s="247"/>
      <c r="Z184" s="250"/>
      <c r="AA184" s="256" t="str">
        <f t="shared" ref="AA184:AA231" si="17">IF(AND(I184&gt;0,Z184&gt;0),1000*(Z184/I184),"")</f>
        <v/>
      </c>
      <c r="AB184" s="251"/>
    </row>
    <row r="185" spans="1:28" x14ac:dyDescent="0.25">
      <c r="A185" s="264" t="s">
        <v>936</v>
      </c>
      <c r="C185" s="260" t="s">
        <v>1359</v>
      </c>
      <c r="D185" s="253">
        <v>43159</v>
      </c>
      <c r="E185" s="11" t="s">
        <v>82</v>
      </c>
      <c r="G185" s="226" t="s">
        <v>58</v>
      </c>
      <c r="I185" s="226">
        <v>108</v>
      </c>
      <c r="N185" s="226" t="s">
        <v>696</v>
      </c>
      <c r="O185" s="11" t="s">
        <v>122</v>
      </c>
      <c r="Q185" s="247">
        <v>4.9000000000000004</v>
      </c>
      <c r="R185" s="247">
        <v>4.8</v>
      </c>
      <c r="S185" s="401">
        <v>35</v>
      </c>
      <c r="T185" s="401">
        <v>2.7</v>
      </c>
      <c r="U185" s="239">
        <f>IF(AND((I185&gt;0),R184&gt;0),AVERAGE(Q185:R185)/I185,"")</f>
        <v>4.4907407407407403E-2</v>
      </c>
      <c r="AA185" s="240" t="str">
        <f t="shared" si="17"/>
        <v/>
      </c>
    </row>
    <row r="186" spans="1:28" s="243" customFormat="1" x14ac:dyDescent="0.25">
      <c r="A186" s="265" t="s">
        <v>937</v>
      </c>
      <c r="B186" s="224"/>
      <c r="C186" s="258" t="s">
        <v>1377</v>
      </c>
      <c r="D186" s="254">
        <v>43173</v>
      </c>
      <c r="E186" s="259" t="s">
        <v>864</v>
      </c>
      <c r="F186" s="262" t="s">
        <v>1379</v>
      </c>
      <c r="G186" s="259" t="s">
        <v>1381</v>
      </c>
      <c r="H186" s="245">
        <v>2.5</v>
      </c>
      <c r="I186" s="243">
        <f>40.7/(0.202*0.199)</f>
        <v>1012.488183491716</v>
      </c>
      <c r="K186" s="246"/>
      <c r="L186" s="245"/>
      <c r="N186" s="259" t="s">
        <v>1383</v>
      </c>
      <c r="O186" s="259" t="s">
        <v>76</v>
      </c>
      <c r="P186" s="259" t="s">
        <v>1384</v>
      </c>
      <c r="Q186" s="247">
        <v>26.757193864510164</v>
      </c>
      <c r="R186" s="247">
        <v>0</v>
      </c>
      <c r="S186" s="401">
        <v>11.577111855025006</v>
      </c>
      <c r="T186" s="401">
        <v>0</v>
      </c>
      <c r="U186" s="248">
        <f t="shared" ref="U186:U231" si="18">IF(AND((I186&gt;0),Q186&gt;0),AVERAGE(Q186:R186)/I186,"")</f>
        <v>1.3213583279675424E-2</v>
      </c>
      <c r="V186" s="247"/>
      <c r="W186" s="247"/>
      <c r="X186" s="247"/>
      <c r="Y186" s="247"/>
      <c r="Z186" s="250"/>
      <c r="AA186" s="256" t="str">
        <f t="shared" si="17"/>
        <v/>
      </c>
      <c r="AB186" s="251" t="s">
        <v>1360</v>
      </c>
    </row>
    <row r="187" spans="1:28" x14ac:dyDescent="0.25">
      <c r="A187" s="264" t="s">
        <v>938</v>
      </c>
      <c r="C187" s="260" t="s">
        <v>1378</v>
      </c>
      <c r="D187" s="253">
        <v>43173</v>
      </c>
      <c r="E187" s="11" t="s">
        <v>864</v>
      </c>
      <c r="F187" s="261" t="s">
        <v>1380</v>
      </c>
      <c r="G187" s="226" t="s">
        <v>1381</v>
      </c>
      <c r="H187" s="228">
        <v>4</v>
      </c>
      <c r="I187" s="539">
        <f>45.9/(0.1995*0.2015)</f>
        <v>1141.8123472452842</v>
      </c>
      <c r="N187" s="226" t="s">
        <v>1383</v>
      </c>
      <c r="O187" s="11" t="s">
        <v>76</v>
      </c>
      <c r="P187" s="226" t="s">
        <v>1384</v>
      </c>
      <c r="Q187" s="247">
        <v>26.888992820053581</v>
      </c>
      <c r="R187" s="247">
        <v>0</v>
      </c>
      <c r="S187" s="401">
        <v>13.050392159129576</v>
      </c>
      <c r="T187" s="401">
        <v>0</v>
      </c>
      <c r="U187" s="239">
        <f t="shared" si="18"/>
        <v>1.1774698743154021E-2</v>
      </c>
      <c r="AA187" s="240" t="str">
        <f t="shared" si="17"/>
        <v/>
      </c>
      <c r="AB187" s="232" t="s">
        <v>1360</v>
      </c>
    </row>
    <row r="188" spans="1:28" s="243" customFormat="1" x14ac:dyDescent="0.25">
      <c r="A188" s="265" t="s">
        <v>939</v>
      </c>
      <c r="B188" s="224"/>
      <c r="C188" s="258" t="s">
        <v>1400</v>
      </c>
      <c r="D188" s="403">
        <v>43132</v>
      </c>
      <c r="E188" s="259" t="str">
        <f>Manufacturers!$B$26</f>
        <v>Don &amp; Low/Thrace</v>
      </c>
      <c r="F188" s="244"/>
      <c r="G188" s="259" t="s">
        <v>174</v>
      </c>
      <c r="H188" s="245"/>
      <c r="I188" s="243">
        <v>40</v>
      </c>
      <c r="K188" s="246"/>
      <c r="L188" s="245"/>
      <c r="N188" s="259" t="s">
        <v>59</v>
      </c>
      <c r="O188" s="259" t="s">
        <v>138</v>
      </c>
      <c r="P188" s="243" t="s">
        <v>1384</v>
      </c>
      <c r="Q188" s="247">
        <v>1.3287615498788525</v>
      </c>
      <c r="R188" s="247">
        <v>1.0114815762169169</v>
      </c>
      <c r="S188" s="401">
        <v>21.593999237509085</v>
      </c>
      <c r="T188" s="401">
        <v>20.765431447265168</v>
      </c>
      <c r="U188" s="248">
        <f t="shared" si="18"/>
        <v>2.925303907619712E-2</v>
      </c>
      <c r="V188" s="247"/>
      <c r="W188" s="247"/>
      <c r="X188" s="247"/>
      <c r="Y188" s="247"/>
      <c r="Z188" s="250"/>
      <c r="AA188" s="256" t="str">
        <f t="shared" si="17"/>
        <v/>
      </c>
      <c r="AB188" s="259" t="s">
        <v>1431</v>
      </c>
    </row>
    <row r="189" spans="1:28" x14ac:dyDescent="0.25">
      <c r="A189" s="264" t="s">
        <v>940</v>
      </c>
      <c r="C189" s="260" t="s">
        <v>1403</v>
      </c>
      <c r="D189" s="404">
        <v>43132</v>
      </c>
      <c r="E189" s="227" t="str">
        <f>Manufacturers!$B$26</f>
        <v>Don &amp; Low/Thrace</v>
      </c>
      <c r="G189" s="11" t="s">
        <v>174</v>
      </c>
      <c r="I189" s="226">
        <v>136</v>
      </c>
      <c r="N189" s="11" t="s">
        <v>1404</v>
      </c>
      <c r="O189" s="11" t="s">
        <v>76</v>
      </c>
      <c r="P189" s="226" t="s">
        <v>1384</v>
      </c>
      <c r="Q189" s="247">
        <v>12.254375589090868</v>
      </c>
      <c r="R189" s="247">
        <v>12.947465854068605</v>
      </c>
      <c r="S189" s="401">
        <v>73.12394892326455</v>
      </c>
      <c r="T189" s="401">
        <v>90.929333353518174</v>
      </c>
      <c r="U189" s="239">
        <f t="shared" si="18"/>
        <v>9.2653828835145127E-2</v>
      </c>
      <c r="AA189" s="240" t="str">
        <f t="shared" si="17"/>
        <v/>
      </c>
      <c r="AB189" s="11"/>
    </row>
    <row r="190" spans="1:28" s="243" customFormat="1" x14ac:dyDescent="0.25">
      <c r="A190" s="265" t="s">
        <v>941</v>
      </c>
      <c r="B190" s="224"/>
      <c r="C190" s="258" t="s">
        <v>1405</v>
      </c>
      <c r="D190" s="403">
        <v>43132</v>
      </c>
      <c r="E190" s="244" t="str">
        <f>Manufacturers!$B$26</f>
        <v>Don &amp; Low/Thrace</v>
      </c>
      <c r="F190" s="244"/>
      <c r="G190" s="259" t="s">
        <v>1406</v>
      </c>
      <c r="H190" s="245"/>
      <c r="I190" s="243">
        <v>86</v>
      </c>
      <c r="K190" s="246"/>
      <c r="L190" s="245"/>
      <c r="N190" s="243" t="s">
        <v>1404</v>
      </c>
      <c r="O190" s="259" t="s">
        <v>81</v>
      </c>
      <c r="P190" s="243" t="s">
        <v>1384</v>
      </c>
      <c r="Q190" s="247">
        <v>8.0874736091037889</v>
      </c>
      <c r="R190" s="247">
        <v>7.3119769459635293</v>
      </c>
      <c r="S190" s="401">
        <v>71.841853648382966</v>
      </c>
      <c r="T190" s="401">
        <v>60.402093132272093</v>
      </c>
      <c r="U190" s="248">
        <f t="shared" si="18"/>
        <v>8.95316892736472E-2</v>
      </c>
      <c r="V190" s="247"/>
      <c r="W190" s="247"/>
      <c r="X190" s="247"/>
      <c r="Y190" s="247"/>
      <c r="Z190" s="250"/>
      <c r="AA190" s="256" t="str">
        <f t="shared" si="17"/>
        <v/>
      </c>
    </row>
    <row r="191" spans="1:28" x14ac:dyDescent="0.25">
      <c r="A191" s="264" t="s">
        <v>942</v>
      </c>
      <c r="C191" s="260" t="s">
        <v>1407</v>
      </c>
      <c r="D191" s="404">
        <v>43132</v>
      </c>
      <c r="E191" s="227" t="str">
        <f>Manufacturers!$B$26</f>
        <v>Don &amp; Low/Thrace</v>
      </c>
      <c r="G191" s="11" t="s">
        <v>174</v>
      </c>
      <c r="I191" s="226">
        <v>102</v>
      </c>
      <c r="N191" s="11" t="s">
        <v>1410</v>
      </c>
      <c r="O191" s="11" t="s">
        <v>1427</v>
      </c>
      <c r="P191" s="226" t="s">
        <v>1384</v>
      </c>
      <c r="Q191" s="247">
        <v>7.372147819336667</v>
      </c>
      <c r="R191" s="247">
        <v>8.3837338376337556</v>
      </c>
      <c r="S191" s="401">
        <v>55.304159603778267</v>
      </c>
      <c r="T191" s="401">
        <v>127.21040014078315</v>
      </c>
      <c r="U191" s="239">
        <f t="shared" si="18"/>
        <v>7.7234714004756982E-2</v>
      </c>
      <c r="AA191" s="240" t="str">
        <f t="shared" si="17"/>
        <v/>
      </c>
    </row>
    <row r="192" spans="1:28" s="243" customFormat="1" x14ac:dyDescent="0.25">
      <c r="A192" s="265" t="s">
        <v>943</v>
      </c>
      <c r="B192" s="224"/>
      <c r="C192" s="258" t="s">
        <v>1408</v>
      </c>
      <c r="D192" s="403">
        <v>43132</v>
      </c>
      <c r="E192" s="244" t="str">
        <f>Manufacturers!$B$26</f>
        <v>Don &amp; Low/Thrace</v>
      </c>
      <c r="F192" s="244"/>
      <c r="G192" s="259" t="s">
        <v>1409</v>
      </c>
      <c r="H192" s="245"/>
      <c r="I192" s="243">
        <v>75</v>
      </c>
      <c r="K192" s="246"/>
      <c r="L192" s="245"/>
      <c r="N192" s="259" t="s">
        <v>1413</v>
      </c>
      <c r="O192" s="259" t="s">
        <v>62</v>
      </c>
      <c r="P192" s="243" t="s">
        <v>1384</v>
      </c>
      <c r="Q192" s="247">
        <v>3.0385541868002139</v>
      </c>
      <c r="R192" s="247">
        <v>2.0223655937485221</v>
      </c>
      <c r="S192" s="401">
        <v>26.223298144775665</v>
      </c>
      <c r="T192" s="401">
        <v>14.286692515316945</v>
      </c>
      <c r="U192" s="248">
        <f t="shared" si="18"/>
        <v>3.3739465203658239E-2</v>
      </c>
      <c r="V192" s="247"/>
      <c r="W192" s="247"/>
      <c r="X192" s="247"/>
      <c r="Y192" s="247"/>
      <c r="Z192" s="250"/>
      <c r="AA192" s="256" t="str">
        <f t="shared" si="17"/>
        <v/>
      </c>
      <c r="AB192" s="251"/>
    </row>
    <row r="193" spans="1:28" x14ac:dyDescent="0.25">
      <c r="A193" s="264" t="s">
        <v>944</v>
      </c>
      <c r="C193" s="260" t="s">
        <v>1411</v>
      </c>
      <c r="D193" s="404">
        <v>43132</v>
      </c>
      <c r="E193" s="227" t="str">
        <f>Manufacturers!$B$26</f>
        <v>Don &amp; Low/Thrace</v>
      </c>
      <c r="G193" s="11" t="s">
        <v>1412</v>
      </c>
      <c r="I193" s="226">
        <v>85</v>
      </c>
      <c r="N193" s="11" t="s">
        <v>1404</v>
      </c>
      <c r="O193" s="11" t="s">
        <v>1426</v>
      </c>
      <c r="P193" s="226" t="s">
        <v>1384</v>
      </c>
      <c r="Q193" s="247">
        <v>15.52899568336214</v>
      </c>
      <c r="R193" s="247">
        <v>10.640367745714897</v>
      </c>
      <c r="S193" s="401">
        <v>152.42500618411603</v>
      </c>
      <c r="T193" s="401">
        <v>116.44082953093134</v>
      </c>
      <c r="U193" s="239">
        <f t="shared" si="18"/>
        <v>0.15393743193574727</v>
      </c>
      <c r="AA193" s="240" t="str">
        <f t="shared" si="17"/>
        <v/>
      </c>
    </row>
    <row r="194" spans="1:28" s="243" customFormat="1" x14ac:dyDescent="0.25">
      <c r="A194" s="265" t="s">
        <v>945</v>
      </c>
      <c r="B194" s="224"/>
      <c r="C194" s="258" t="s">
        <v>1414</v>
      </c>
      <c r="D194" s="403">
        <v>43132</v>
      </c>
      <c r="E194" s="244" t="str">
        <f>Manufacturers!$B$26</f>
        <v>Don &amp; Low/Thrace</v>
      </c>
      <c r="F194" s="262" t="s">
        <v>1415</v>
      </c>
      <c r="G194" s="259" t="s">
        <v>174</v>
      </c>
      <c r="H194" s="245"/>
      <c r="I194" s="243">
        <v>86</v>
      </c>
      <c r="K194" s="246"/>
      <c r="L194" s="245"/>
      <c r="N194" s="259" t="s">
        <v>1404</v>
      </c>
      <c r="O194" s="259" t="s">
        <v>81</v>
      </c>
      <c r="P194" s="243" t="s">
        <v>1384</v>
      </c>
      <c r="Q194" s="247">
        <v>5.7074092663670744</v>
      </c>
      <c r="R194" s="247">
        <v>8.7873827693263369</v>
      </c>
      <c r="S194" s="401">
        <v>54.420829347951639</v>
      </c>
      <c r="T194" s="401">
        <v>69.568176849293536</v>
      </c>
      <c r="U194" s="248">
        <f t="shared" si="18"/>
        <v>8.4272046719147745E-2</v>
      </c>
      <c r="V194" s="247"/>
      <c r="W194" s="247"/>
      <c r="X194" s="247"/>
      <c r="Y194" s="247"/>
      <c r="Z194" s="250"/>
      <c r="AA194" s="256" t="str">
        <f t="shared" si="17"/>
        <v/>
      </c>
      <c r="AB194" s="251"/>
    </row>
    <row r="195" spans="1:28" x14ac:dyDescent="0.25">
      <c r="A195" s="264" t="s">
        <v>1385</v>
      </c>
      <c r="C195" s="260" t="s">
        <v>1691</v>
      </c>
      <c r="D195" s="404">
        <v>43132</v>
      </c>
      <c r="E195" s="227" t="str">
        <f>Manufacturers!$B$26</f>
        <v>Don &amp; Low/Thrace</v>
      </c>
      <c r="G195" s="11" t="s">
        <v>174</v>
      </c>
      <c r="I195" s="226">
        <v>129</v>
      </c>
      <c r="N195" s="11" t="s">
        <v>1404</v>
      </c>
      <c r="O195" s="11" t="s">
        <v>76</v>
      </c>
      <c r="P195" s="226" t="s">
        <v>1384</v>
      </c>
      <c r="Q195" s="247">
        <v>9.0999287057787122</v>
      </c>
      <c r="R195" s="247">
        <v>8.6246704612608784</v>
      </c>
      <c r="S195" s="401">
        <v>60.022369623534246</v>
      </c>
      <c r="T195" s="401">
        <v>42.681567694208731</v>
      </c>
      <c r="U195" s="239">
        <f t="shared" si="18"/>
        <v>6.8699996771471289E-2</v>
      </c>
      <c r="AA195" s="240" t="str">
        <f t="shared" si="17"/>
        <v/>
      </c>
    </row>
    <row r="196" spans="1:28" s="243" customFormat="1" x14ac:dyDescent="0.25">
      <c r="A196" s="265" t="s">
        <v>1386</v>
      </c>
      <c r="B196" s="224"/>
      <c r="C196" s="258" t="s">
        <v>1416</v>
      </c>
      <c r="D196" s="403">
        <v>43132</v>
      </c>
      <c r="E196" s="244" t="str">
        <f>Manufacturers!$B$26</f>
        <v>Don &amp; Low/Thrace</v>
      </c>
      <c r="F196" s="244"/>
      <c r="G196" s="259" t="s">
        <v>174</v>
      </c>
      <c r="H196" s="245"/>
      <c r="I196" s="243">
        <v>150</v>
      </c>
      <c r="K196" s="246"/>
      <c r="L196" s="245"/>
      <c r="N196" s="243" t="s">
        <v>1404</v>
      </c>
      <c r="O196" s="259" t="s">
        <v>1425</v>
      </c>
      <c r="P196" s="243" t="s">
        <v>1384</v>
      </c>
      <c r="Q196" s="247">
        <v>22.88925965698968</v>
      </c>
      <c r="R196" s="247">
        <v>29.476801735609751</v>
      </c>
      <c r="S196" s="401">
        <v>309.26553621100629</v>
      </c>
      <c r="T196" s="401">
        <v>326.92442536094484</v>
      </c>
      <c r="U196" s="248">
        <f t="shared" si="18"/>
        <v>0.17455353797533144</v>
      </c>
      <c r="V196" s="247"/>
      <c r="W196" s="247"/>
      <c r="X196" s="247"/>
      <c r="Y196" s="247"/>
      <c r="Z196" s="250"/>
      <c r="AA196" s="256" t="str">
        <f t="shared" si="17"/>
        <v/>
      </c>
      <c r="AB196" s="251"/>
    </row>
    <row r="197" spans="1:28" x14ac:dyDescent="0.25">
      <c r="A197" s="264" t="s">
        <v>1387</v>
      </c>
      <c r="C197" s="260" t="s">
        <v>1417</v>
      </c>
      <c r="D197" s="404">
        <v>43132</v>
      </c>
      <c r="E197" s="227" t="str">
        <f>Manufacturers!$B$26</f>
        <v>Don &amp; Low/Thrace</v>
      </c>
      <c r="G197" s="11" t="s">
        <v>174</v>
      </c>
      <c r="I197" s="226">
        <v>52</v>
      </c>
      <c r="N197" s="11" t="s">
        <v>1418</v>
      </c>
      <c r="O197" s="11" t="s">
        <v>81</v>
      </c>
      <c r="P197" s="226" t="s">
        <v>1384</v>
      </c>
      <c r="Q197" s="247">
        <v>5.5957268288054287</v>
      </c>
      <c r="R197" s="247">
        <v>10.259406458438093</v>
      </c>
      <c r="S197" s="401">
        <v>38.24538099528165</v>
      </c>
      <c r="T197" s="401">
        <v>136.99612461293287</v>
      </c>
      <c r="U197" s="239">
        <f t="shared" si="18"/>
        <v>0.15245320468503387</v>
      </c>
      <c r="AA197" s="240" t="str">
        <f t="shared" si="17"/>
        <v/>
      </c>
      <c r="AB197" s="232" t="s">
        <v>1430</v>
      </c>
    </row>
    <row r="198" spans="1:28" s="243" customFormat="1" x14ac:dyDescent="0.25">
      <c r="A198" s="265" t="s">
        <v>1388</v>
      </c>
      <c r="B198" s="224"/>
      <c r="C198" s="258" t="s">
        <v>1419</v>
      </c>
      <c r="D198" s="403">
        <v>43132</v>
      </c>
      <c r="E198" s="244" t="str">
        <f>Manufacturers!$B$26</f>
        <v>Don &amp; Low/Thrace</v>
      </c>
      <c r="F198" s="244"/>
      <c r="G198" s="259" t="s">
        <v>174</v>
      </c>
      <c r="H198" s="245"/>
      <c r="I198" s="243">
        <v>80</v>
      </c>
      <c r="K198" s="246"/>
      <c r="L198" s="245"/>
      <c r="N198" s="259" t="s">
        <v>1413</v>
      </c>
      <c r="P198" s="243" t="s">
        <v>1384</v>
      </c>
      <c r="Q198" s="247">
        <v>3.0574219137712104</v>
      </c>
      <c r="R198" s="247">
        <v>2.2213978759728277</v>
      </c>
      <c r="S198" s="401">
        <v>32.959935907142082</v>
      </c>
      <c r="T198" s="401">
        <v>20.398225901874326</v>
      </c>
      <c r="U198" s="248">
        <f t="shared" si="18"/>
        <v>3.2992623685900238E-2</v>
      </c>
      <c r="V198" s="247"/>
      <c r="W198" s="247"/>
      <c r="X198" s="247"/>
      <c r="Y198" s="247"/>
      <c r="Z198" s="250"/>
      <c r="AA198" s="256" t="str">
        <f t="shared" si="17"/>
        <v/>
      </c>
      <c r="AB198" s="251"/>
    </row>
    <row r="199" spans="1:28" x14ac:dyDescent="0.25">
      <c r="A199" s="264" t="s">
        <v>1389</v>
      </c>
      <c r="C199" s="260" t="s">
        <v>1420</v>
      </c>
      <c r="D199" s="404">
        <v>43132</v>
      </c>
      <c r="E199" s="227" t="str">
        <f>Manufacturers!$B$26</f>
        <v>Don &amp; Low/Thrace</v>
      </c>
      <c r="G199" s="11" t="s">
        <v>174</v>
      </c>
      <c r="I199" s="226">
        <v>72</v>
      </c>
      <c r="N199" s="11" t="s">
        <v>1404</v>
      </c>
      <c r="O199" s="11" t="s">
        <v>1424</v>
      </c>
      <c r="P199" s="226" t="s">
        <v>1384</v>
      </c>
      <c r="Q199" s="247">
        <v>7.1956111151794948</v>
      </c>
      <c r="R199" s="247">
        <v>10.1097097534428</v>
      </c>
      <c r="S199" s="401">
        <v>52.133001553619138</v>
      </c>
      <c r="T199" s="401">
        <v>182.07239750729408</v>
      </c>
      <c r="U199" s="239">
        <f t="shared" si="18"/>
        <v>0.12017583936543261</v>
      </c>
      <c r="AA199" s="240" t="str">
        <f t="shared" si="17"/>
        <v/>
      </c>
    </row>
    <row r="200" spans="1:28" s="243" customFormat="1" x14ac:dyDescent="0.25">
      <c r="A200" s="265" t="s">
        <v>1390</v>
      </c>
      <c r="B200" s="224"/>
      <c r="C200" s="258" t="s">
        <v>1421</v>
      </c>
      <c r="D200" s="403">
        <v>43132</v>
      </c>
      <c r="E200" s="244" t="str">
        <f>Manufacturers!$B$26</f>
        <v>Don &amp; Low/Thrace</v>
      </c>
      <c r="F200" s="244"/>
      <c r="G200" s="259" t="s">
        <v>1422</v>
      </c>
      <c r="H200" s="245"/>
      <c r="I200" s="243">
        <v>135</v>
      </c>
      <c r="K200" s="246"/>
      <c r="L200" s="245"/>
      <c r="N200" s="259" t="s">
        <v>1404</v>
      </c>
      <c r="O200" s="259" t="s">
        <v>1423</v>
      </c>
      <c r="P200" s="243" t="s">
        <v>1384</v>
      </c>
      <c r="Q200" s="247">
        <v>17.656759882298235</v>
      </c>
      <c r="R200" s="247">
        <v>13.505345270162383</v>
      </c>
      <c r="S200" s="401">
        <v>187.47238065413717</v>
      </c>
      <c r="T200" s="401">
        <v>174.37243772523837</v>
      </c>
      <c r="U200" s="248">
        <f t="shared" si="18"/>
        <v>0.11541520426837266</v>
      </c>
      <c r="V200" s="247"/>
      <c r="W200" s="247"/>
      <c r="X200" s="247"/>
      <c r="Y200" s="247"/>
      <c r="Z200" s="250"/>
      <c r="AA200" s="256" t="str">
        <f t="shared" si="17"/>
        <v/>
      </c>
      <c r="AB200" s="251"/>
    </row>
    <row r="201" spans="1:28" x14ac:dyDescent="0.25">
      <c r="A201" s="264" t="s">
        <v>1391</v>
      </c>
      <c r="C201" s="260" t="s">
        <v>1428</v>
      </c>
      <c r="D201" s="404">
        <v>43132</v>
      </c>
      <c r="E201" s="227" t="str">
        <f>Manufacturers!$B$26</f>
        <v>Don &amp; Low/Thrace</v>
      </c>
      <c r="G201" s="11" t="s">
        <v>1422</v>
      </c>
      <c r="I201" s="226">
        <v>160</v>
      </c>
      <c r="N201" s="11" t="s">
        <v>1404</v>
      </c>
      <c r="O201" s="11" t="s">
        <v>76</v>
      </c>
      <c r="P201" s="226" t="s">
        <v>1384</v>
      </c>
      <c r="Q201" s="247">
        <v>14.830421652210182</v>
      </c>
      <c r="R201" s="247">
        <v>13.310203494069537</v>
      </c>
      <c r="S201" s="401">
        <v>130.55209133311718</v>
      </c>
      <c r="T201" s="401">
        <v>169.41073613337619</v>
      </c>
      <c r="U201" s="239">
        <f t="shared" si="18"/>
        <v>8.7939453582124114E-2</v>
      </c>
      <c r="AA201" s="240" t="str">
        <f t="shared" si="17"/>
        <v/>
      </c>
      <c r="AB201" s="257"/>
    </row>
    <row r="202" spans="1:28" s="243" customFormat="1" x14ac:dyDescent="0.25">
      <c r="A202" s="265" t="s">
        <v>1392</v>
      </c>
      <c r="B202" s="224"/>
      <c r="C202" s="258" t="s">
        <v>1432</v>
      </c>
      <c r="D202" s="254">
        <v>43228</v>
      </c>
      <c r="E202" s="259" t="s">
        <v>1433</v>
      </c>
      <c r="F202" s="244"/>
      <c r="G202" s="259" t="s">
        <v>1434</v>
      </c>
      <c r="H202" s="245"/>
      <c r="I202" s="243">
        <v>476</v>
      </c>
      <c r="K202" s="246"/>
      <c r="L202" s="245"/>
      <c r="N202" s="259" t="s">
        <v>1433</v>
      </c>
      <c r="O202" s="259" t="s">
        <v>62</v>
      </c>
      <c r="P202" s="259" t="s">
        <v>82</v>
      </c>
      <c r="Q202" s="247">
        <v>0</v>
      </c>
      <c r="R202" s="247">
        <v>0</v>
      </c>
      <c r="S202" s="401">
        <v>0</v>
      </c>
      <c r="T202" s="401">
        <v>0</v>
      </c>
      <c r="U202" s="248" t="str">
        <f t="shared" si="18"/>
        <v/>
      </c>
      <c r="V202" s="247"/>
      <c r="W202" s="247"/>
      <c r="X202" s="247"/>
      <c r="Y202" s="247"/>
      <c r="Z202" s="250"/>
      <c r="AA202" s="256" t="str">
        <f t="shared" si="17"/>
        <v/>
      </c>
      <c r="AB202" s="251"/>
    </row>
    <row r="203" spans="1:28" x14ac:dyDescent="0.25">
      <c r="A203" s="264" t="s">
        <v>1393</v>
      </c>
      <c r="C203" s="260" t="s">
        <v>1436</v>
      </c>
      <c r="D203" s="253">
        <v>43241</v>
      </c>
      <c r="E203" s="226" t="s">
        <v>1435</v>
      </c>
      <c r="F203" s="261" t="s">
        <v>1438</v>
      </c>
      <c r="G203" s="11" t="s">
        <v>1440</v>
      </c>
      <c r="H203" s="228">
        <v>3.4</v>
      </c>
      <c r="I203" s="226">
        <v>226</v>
      </c>
      <c r="N203" s="11" t="s">
        <v>243</v>
      </c>
      <c r="O203" s="11" t="s">
        <v>76</v>
      </c>
      <c r="P203" s="11" t="s">
        <v>476</v>
      </c>
      <c r="Q203" s="247">
        <v>1</v>
      </c>
      <c r="R203" s="247">
        <v>1.5</v>
      </c>
      <c r="S203" s="401">
        <v>0</v>
      </c>
      <c r="T203" s="401">
        <v>0</v>
      </c>
      <c r="U203" s="239">
        <f t="shared" si="18"/>
        <v>5.5309734513274336E-3</v>
      </c>
      <c r="AA203" s="240" t="str">
        <f t="shared" si="17"/>
        <v/>
      </c>
    </row>
    <row r="204" spans="1:28" s="243" customFormat="1" x14ac:dyDescent="0.25">
      <c r="A204" s="265" t="s">
        <v>1394</v>
      </c>
      <c r="B204" s="224"/>
      <c r="C204" s="258" t="s">
        <v>1437</v>
      </c>
      <c r="D204" s="254">
        <v>43241</v>
      </c>
      <c r="E204" s="243" t="s">
        <v>1435</v>
      </c>
      <c r="F204" s="262" t="s">
        <v>1439</v>
      </c>
      <c r="G204" s="259" t="s">
        <v>1440</v>
      </c>
      <c r="H204" s="228">
        <v>5</v>
      </c>
      <c r="I204" s="243">
        <v>357</v>
      </c>
      <c r="K204" s="246"/>
      <c r="L204" s="245"/>
      <c r="N204" s="259" t="s">
        <v>243</v>
      </c>
      <c r="O204" s="259" t="s">
        <v>76</v>
      </c>
      <c r="P204" s="259" t="s">
        <v>476</v>
      </c>
      <c r="Q204" s="247">
        <v>3</v>
      </c>
      <c r="R204" s="247">
        <v>3.9</v>
      </c>
      <c r="S204" s="401">
        <v>0</v>
      </c>
      <c r="T204" s="401">
        <v>0</v>
      </c>
      <c r="U204" s="248">
        <f t="shared" si="18"/>
        <v>9.6638655462184878E-3</v>
      </c>
      <c r="V204" s="247"/>
      <c r="W204" s="247"/>
      <c r="X204" s="247"/>
      <c r="Y204" s="247"/>
      <c r="Z204" s="250"/>
      <c r="AA204" s="256" t="str">
        <f t="shared" si="17"/>
        <v/>
      </c>
      <c r="AB204" s="251"/>
    </row>
    <row r="205" spans="1:28" x14ac:dyDescent="0.25">
      <c r="A205" s="264" t="s">
        <v>1395</v>
      </c>
      <c r="C205" s="260" t="s">
        <v>1444</v>
      </c>
      <c r="D205" s="253">
        <v>43252</v>
      </c>
      <c r="E205" s="227" t="str">
        <f>Manufacturers!$B$26</f>
        <v>Don &amp; Low/Thrace</v>
      </c>
      <c r="G205" s="11" t="s">
        <v>174</v>
      </c>
      <c r="I205" s="226">
        <v>199</v>
      </c>
      <c r="N205" s="11" t="s">
        <v>243</v>
      </c>
      <c r="O205" s="11" t="s">
        <v>76</v>
      </c>
      <c r="P205" s="11" t="s">
        <v>1445</v>
      </c>
      <c r="Q205" s="247">
        <v>10.199999999999999</v>
      </c>
      <c r="R205" s="247">
        <v>13.5</v>
      </c>
      <c r="S205" s="401">
        <v>10.3</v>
      </c>
      <c r="T205" s="401">
        <v>4.5</v>
      </c>
      <c r="U205" s="239">
        <f t="shared" si="18"/>
        <v>5.9547738693467335E-2</v>
      </c>
      <c r="AA205" s="240" t="str">
        <f t="shared" si="17"/>
        <v/>
      </c>
      <c r="AB205" s="11" t="s">
        <v>1446</v>
      </c>
    </row>
    <row r="206" spans="1:28" s="243" customFormat="1" x14ac:dyDescent="0.25">
      <c r="A206" s="265" t="s">
        <v>1396</v>
      </c>
      <c r="B206" s="224"/>
      <c r="C206" s="258" t="s">
        <v>1506</v>
      </c>
      <c r="D206" s="254">
        <v>43536</v>
      </c>
      <c r="E206" s="259" t="s">
        <v>861</v>
      </c>
      <c r="F206" s="262" t="s">
        <v>1508</v>
      </c>
      <c r="G206" s="259" t="s">
        <v>274</v>
      </c>
      <c r="H206" s="228">
        <v>1.5</v>
      </c>
      <c r="I206" s="484">
        <f>11.7/(0.2035*0.2885)</f>
        <v>199.28546791631715</v>
      </c>
      <c r="K206" s="246"/>
      <c r="L206" s="245"/>
      <c r="N206" s="259" t="s">
        <v>243</v>
      </c>
      <c r="O206" s="259" t="s">
        <v>1509</v>
      </c>
      <c r="P206" s="485" t="s">
        <v>1507</v>
      </c>
      <c r="Q206" s="247">
        <v>6.9</v>
      </c>
      <c r="R206" s="247">
        <v>5.7</v>
      </c>
      <c r="S206" s="401">
        <f>8/0.1325</f>
        <v>60.377358490566031</v>
      </c>
      <c r="T206" s="401">
        <f>7/(0.481)</f>
        <v>14.553014553014554</v>
      </c>
      <c r="U206" s="248">
        <f t="shared" si="18"/>
        <v>3.1612942307692307E-2</v>
      </c>
      <c r="V206" s="247"/>
      <c r="W206" s="247"/>
      <c r="X206" s="247"/>
      <c r="Y206" s="247"/>
      <c r="Z206" s="250"/>
      <c r="AA206" s="256" t="str">
        <f t="shared" si="17"/>
        <v/>
      </c>
      <c r="AB206" s="263" t="s">
        <v>1688</v>
      </c>
    </row>
    <row r="207" spans="1:28" x14ac:dyDescent="0.25">
      <c r="A207" s="264" t="s">
        <v>1397</v>
      </c>
      <c r="C207" s="542" t="s">
        <v>1533</v>
      </c>
      <c r="D207" s="253">
        <v>43602</v>
      </c>
      <c r="E207" s="543" t="s">
        <v>861</v>
      </c>
      <c r="F207" s="544" t="s">
        <v>53</v>
      </c>
      <c r="G207" s="543" t="s">
        <v>1582</v>
      </c>
      <c r="H207" s="228">
        <v>0.79</v>
      </c>
      <c r="I207" s="539">
        <f>13.3/(0.206*0.289)</f>
        <v>223.40175361978035</v>
      </c>
      <c r="N207" s="226" t="s">
        <v>243</v>
      </c>
      <c r="O207" s="543" t="s">
        <v>1365</v>
      </c>
      <c r="P207" s="543" t="s">
        <v>1537</v>
      </c>
      <c r="Q207" s="247">
        <v>6.2</v>
      </c>
      <c r="R207" s="247">
        <v>10.5</v>
      </c>
      <c r="S207" s="401">
        <v>14.814855024211981</v>
      </c>
      <c r="T207" s="401">
        <v>21.498006712591547</v>
      </c>
      <c r="U207" s="239">
        <f t="shared" si="18"/>
        <v>3.7376609022556379E-2</v>
      </c>
      <c r="AA207" s="240" t="str">
        <f t="shared" si="17"/>
        <v/>
      </c>
      <c r="AB207" s="634" t="s">
        <v>1704</v>
      </c>
    </row>
    <row r="208" spans="1:28" s="243" customFormat="1" x14ac:dyDescent="0.25">
      <c r="A208" s="265" t="s">
        <v>1398</v>
      </c>
      <c r="B208" s="224"/>
      <c r="C208" s="546" t="s">
        <v>1535</v>
      </c>
      <c r="D208" s="254">
        <v>43613</v>
      </c>
      <c r="E208" s="545" t="s">
        <v>1534</v>
      </c>
      <c r="F208" s="244" t="s">
        <v>1536</v>
      </c>
      <c r="G208" s="545" t="s">
        <v>274</v>
      </c>
      <c r="H208" s="228">
        <v>2.0699999999999998</v>
      </c>
      <c r="I208" s="484">
        <f>15.7/(0.21*0.295)</f>
        <v>253.43018563357549</v>
      </c>
      <c r="K208" s="246"/>
      <c r="L208" s="245"/>
      <c r="N208" s="243" t="s">
        <v>243</v>
      </c>
      <c r="O208" s="545" t="s">
        <v>76</v>
      </c>
      <c r="P208" s="545" t="s">
        <v>1538</v>
      </c>
      <c r="Q208" s="247">
        <v>6</v>
      </c>
      <c r="R208" s="247">
        <v>5.6</v>
      </c>
      <c r="S208" s="401">
        <v>5.0999758637202586</v>
      </c>
      <c r="T208" s="401">
        <v>1.0101617536753005</v>
      </c>
      <c r="U208" s="248">
        <f t="shared" si="18"/>
        <v>2.2885987261146493E-2</v>
      </c>
      <c r="V208" s="247"/>
      <c r="W208" s="247"/>
      <c r="X208" s="247"/>
      <c r="Y208" s="247"/>
      <c r="Z208" s="250"/>
      <c r="AA208" s="256" t="str">
        <f t="shared" si="17"/>
        <v/>
      </c>
      <c r="AB208" s="251"/>
    </row>
    <row r="209" spans="1:28" x14ac:dyDescent="0.25">
      <c r="A209" s="264" t="s">
        <v>1399</v>
      </c>
      <c r="C209" s="542" t="s">
        <v>1604</v>
      </c>
      <c r="D209" s="253">
        <v>43615</v>
      </c>
      <c r="E209" s="543" t="s">
        <v>1542</v>
      </c>
      <c r="F209" s="544" t="s">
        <v>1539</v>
      </c>
      <c r="G209" s="543" t="s">
        <v>174</v>
      </c>
      <c r="H209" s="228">
        <v>1.157</v>
      </c>
      <c r="I209" s="539">
        <f>15.4/(0.205*0.293)</f>
        <v>256.38891201198703</v>
      </c>
      <c r="N209" s="226" t="s">
        <v>243</v>
      </c>
      <c r="O209" s="543" t="s">
        <v>1365</v>
      </c>
      <c r="P209" s="543" t="s">
        <v>1544</v>
      </c>
      <c r="Q209" s="247">
        <v>7.9378284294478227</v>
      </c>
      <c r="R209" s="247">
        <v>14.738334835403245</v>
      </c>
      <c r="S209" s="401">
        <v>40.944187405784987</v>
      </c>
      <c r="T209" s="401">
        <v>75.024483322239973</v>
      </c>
      <c r="U209" s="239">
        <f t="shared" si="18"/>
        <v>4.4222199561794788E-2</v>
      </c>
      <c r="AA209" s="240" t="str">
        <f t="shared" si="17"/>
        <v/>
      </c>
    </row>
    <row r="210" spans="1:28" s="243" customFormat="1" x14ac:dyDescent="0.25">
      <c r="A210" s="265" t="s">
        <v>1516</v>
      </c>
      <c r="B210" s="224"/>
      <c r="C210" s="546" t="s">
        <v>1535</v>
      </c>
      <c r="D210" s="254">
        <v>43615</v>
      </c>
      <c r="E210" s="243" t="s">
        <v>1542</v>
      </c>
      <c r="F210" s="548" t="s">
        <v>1540</v>
      </c>
      <c r="G210" s="545" t="s">
        <v>274</v>
      </c>
      <c r="H210" s="228">
        <v>1.4949999999999999</v>
      </c>
      <c r="I210" s="484">
        <f>16.45/(0.206*0.289)</f>
        <v>276.31269526657042</v>
      </c>
      <c r="K210" s="246"/>
      <c r="L210" s="245"/>
      <c r="N210" s="243" t="s">
        <v>243</v>
      </c>
      <c r="O210" s="545" t="s">
        <v>76</v>
      </c>
      <c r="P210" s="545" t="s">
        <v>1545</v>
      </c>
      <c r="Q210" s="247">
        <v>10.371036002072163</v>
      </c>
      <c r="R210" s="247">
        <v>15.778148965571244</v>
      </c>
      <c r="S210" s="401">
        <v>69.93454091992642</v>
      </c>
      <c r="T210" s="401">
        <v>62.297037950774623</v>
      </c>
      <c r="U210" s="248">
        <f t="shared" si="18"/>
        <v>4.7318102670628644E-2</v>
      </c>
      <c r="V210" s="247"/>
      <c r="W210" s="247"/>
      <c r="X210" s="247"/>
      <c r="Y210" s="247"/>
      <c r="Z210" s="250"/>
      <c r="AA210" s="256" t="str">
        <f t="shared" si="17"/>
        <v/>
      </c>
      <c r="AB210" s="251"/>
    </row>
    <row r="211" spans="1:28" ht="17.25" x14ac:dyDescent="0.25">
      <c r="A211" s="264" t="s">
        <v>1517</v>
      </c>
      <c r="C211" s="542" t="s">
        <v>1543</v>
      </c>
      <c r="D211" s="253">
        <v>43615</v>
      </c>
      <c r="E211" s="226" t="s">
        <v>1542</v>
      </c>
      <c r="F211" s="544" t="s">
        <v>1541</v>
      </c>
      <c r="G211" s="543" t="s">
        <v>1583</v>
      </c>
      <c r="H211" s="228">
        <v>1.1329999999999998</v>
      </c>
      <c r="I211" s="539">
        <f>19.1/(0.206*0.2925)</f>
        <v>316.98614222886073</v>
      </c>
      <c r="N211" s="226" t="s">
        <v>243</v>
      </c>
      <c r="O211" s="543" t="s">
        <v>697</v>
      </c>
      <c r="P211" s="543" t="s">
        <v>1546</v>
      </c>
      <c r="Q211" s="247">
        <v>1.5077059228989116</v>
      </c>
      <c r="R211" s="247">
        <v>3.1023091147754127</v>
      </c>
      <c r="S211" s="401">
        <v>7.4861993463176795</v>
      </c>
      <c r="T211" s="401">
        <v>10.512655132403617</v>
      </c>
      <c r="U211" s="239">
        <f t="shared" si="18"/>
        <v>7.2716349763106381E-3</v>
      </c>
      <c r="AA211" s="240" t="str">
        <f t="shared" si="17"/>
        <v/>
      </c>
    </row>
    <row r="212" spans="1:28" s="243" customFormat="1" x14ac:dyDescent="0.25">
      <c r="A212" s="265" t="s">
        <v>1518</v>
      </c>
      <c r="B212" s="224"/>
      <c r="C212" s="546" t="s">
        <v>1535</v>
      </c>
      <c r="D212" s="254">
        <v>43612</v>
      </c>
      <c r="E212" s="545" t="s">
        <v>1584</v>
      </c>
      <c r="F212" s="548" t="s">
        <v>1591</v>
      </c>
      <c r="G212" s="545" t="s">
        <v>274</v>
      </c>
      <c r="H212" s="245">
        <v>1.5</v>
      </c>
      <c r="I212" s="484">
        <f>14.3/(0.206*0.288)</f>
        <v>241.03290183387276</v>
      </c>
      <c r="K212" s="246"/>
      <c r="L212" s="245"/>
      <c r="N212" s="243" t="s">
        <v>243</v>
      </c>
      <c r="O212" s="545" t="s">
        <v>76</v>
      </c>
      <c r="P212" s="545" t="s">
        <v>1587</v>
      </c>
      <c r="Q212" s="247">
        <v>8.1994169215947235</v>
      </c>
      <c r="R212" s="247">
        <v>5.799837347571958</v>
      </c>
      <c r="S212" s="401">
        <v>3.9908638384224084</v>
      </c>
      <c r="T212" s="401">
        <v>1.625163386788389</v>
      </c>
      <c r="U212" s="248">
        <f t="shared" si="18"/>
        <v>2.9040131373465759E-2</v>
      </c>
      <c r="V212" s="247"/>
      <c r="W212" s="247"/>
      <c r="X212" s="247"/>
      <c r="Y212" s="247"/>
      <c r="Z212" s="250"/>
      <c r="AA212" s="256" t="str">
        <f t="shared" si="17"/>
        <v/>
      </c>
      <c r="AB212" s="251"/>
    </row>
    <row r="213" spans="1:28" x14ac:dyDescent="0.25">
      <c r="A213" s="264" t="s">
        <v>1519</v>
      </c>
      <c r="C213" s="542" t="s">
        <v>1535</v>
      </c>
      <c r="D213" s="253">
        <v>43613</v>
      </c>
      <c r="E213" s="543" t="s">
        <v>1585</v>
      </c>
      <c r="F213" s="544" t="s">
        <v>1592</v>
      </c>
      <c r="G213" s="543" t="s">
        <v>174</v>
      </c>
      <c r="H213" s="228">
        <v>2.2000000000000002</v>
      </c>
      <c r="I213" s="604">
        <f>12.6/(0.2005*0.277)</f>
        <v>226.86964898223749</v>
      </c>
      <c r="N213" s="226" t="s">
        <v>243</v>
      </c>
      <c r="O213" s="543" t="s">
        <v>76</v>
      </c>
      <c r="P213" s="543" t="s">
        <v>80</v>
      </c>
      <c r="Q213" s="247">
        <v>6.9071664029714599</v>
      </c>
      <c r="R213" s="247">
        <v>8.994003284560014</v>
      </c>
      <c r="S213" s="401">
        <v>1.2474843895146031</v>
      </c>
      <c r="T213" s="401">
        <v>1.5451087571514068</v>
      </c>
      <c r="U213" s="239">
        <f t="shared" si="18"/>
        <v>3.5044726694085995E-2</v>
      </c>
      <c r="AA213" s="240" t="str">
        <f t="shared" si="17"/>
        <v/>
      </c>
    </row>
    <row r="214" spans="1:28" s="243" customFormat="1" x14ac:dyDescent="0.25">
      <c r="A214" s="265" t="s">
        <v>1520</v>
      </c>
      <c r="B214" s="224"/>
      <c r="C214" s="546" t="s">
        <v>1588</v>
      </c>
      <c r="D214" s="254">
        <v>43613</v>
      </c>
      <c r="E214" s="545" t="s">
        <v>1585</v>
      </c>
      <c r="F214" s="548" t="s">
        <v>1593</v>
      </c>
      <c r="G214" s="545" t="s">
        <v>274</v>
      </c>
      <c r="H214" s="245">
        <v>1.4</v>
      </c>
      <c r="I214" s="484">
        <f>14.9/(0.21*0.294)</f>
        <v>241.33462908973115</v>
      </c>
      <c r="K214" s="246"/>
      <c r="L214" s="245"/>
      <c r="N214" s="243" t="s">
        <v>243</v>
      </c>
      <c r="O214" s="545" t="s">
        <v>1365</v>
      </c>
      <c r="P214" s="545" t="s">
        <v>80</v>
      </c>
      <c r="Q214" s="247">
        <v>5.6645311324668279</v>
      </c>
      <c r="R214" s="247">
        <v>9.0957362827184003</v>
      </c>
      <c r="S214" s="401">
        <v>2.8786953012718981</v>
      </c>
      <c r="T214" s="401">
        <v>3.8406766293360906</v>
      </c>
      <c r="U214" s="248">
        <f t="shared" si="18"/>
        <v>3.0580500342736107E-2</v>
      </c>
      <c r="V214" s="247"/>
      <c r="W214" s="247"/>
      <c r="X214" s="247"/>
      <c r="Y214" s="247"/>
      <c r="Z214" s="250"/>
      <c r="AA214" s="256" t="str">
        <f t="shared" si="17"/>
        <v/>
      </c>
      <c r="AB214" s="251"/>
    </row>
    <row r="215" spans="1:28" x14ac:dyDescent="0.25">
      <c r="A215" s="264" t="s">
        <v>1521</v>
      </c>
      <c r="C215" s="542" t="s">
        <v>1589</v>
      </c>
      <c r="D215" s="253">
        <v>43622</v>
      </c>
      <c r="E215" s="543" t="s">
        <v>1586</v>
      </c>
      <c r="F215" s="544" t="s">
        <v>1594</v>
      </c>
      <c r="G215" s="543" t="s">
        <v>274</v>
      </c>
      <c r="H215" s="228">
        <v>1.2</v>
      </c>
      <c r="I215" s="539">
        <f>19.2/(0.21*0.2975)</f>
        <v>307.3229291716687</v>
      </c>
      <c r="N215" s="226" t="s">
        <v>243</v>
      </c>
      <c r="O215" s="543" t="s">
        <v>76</v>
      </c>
      <c r="P215" s="543" t="s">
        <v>80</v>
      </c>
      <c r="Q215" s="247">
        <v>18.643691837833305</v>
      </c>
      <c r="R215" s="247">
        <v>14.070667987534554</v>
      </c>
      <c r="S215" s="401">
        <v>115.17924078971369</v>
      </c>
      <c r="T215" s="401">
        <v>19.682788734959466</v>
      </c>
      <c r="U215" s="239">
        <f t="shared" si="18"/>
        <v>5.3224729950256684E-2</v>
      </c>
      <c r="AA215" s="240" t="str">
        <f t="shared" si="17"/>
        <v/>
      </c>
    </row>
    <row r="216" spans="1:28" x14ac:dyDescent="0.25">
      <c r="A216" s="265" t="s">
        <v>1522</v>
      </c>
      <c r="C216" s="546" t="s">
        <v>1590</v>
      </c>
      <c r="D216" s="254">
        <v>43622</v>
      </c>
      <c r="E216" s="545" t="s">
        <v>1586</v>
      </c>
      <c r="F216" s="548" t="s">
        <v>1595</v>
      </c>
      <c r="G216" s="545" t="s">
        <v>274</v>
      </c>
      <c r="H216" s="245">
        <v>1.2</v>
      </c>
      <c r="I216" s="484">
        <f>19.2/(0.21*0.297)</f>
        <v>307.84030784030784</v>
      </c>
      <c r="J216" s="243"/>
      <c r="K216" s="246"/>
      <c r="L216" s="245"/>
      <c r="M216" s="243"/>
      <c r="N216" s="243" t="s">
        <v>243</v>
      </c>
      <c r="O216" s="545" t="s">
        <v>76</v>
      </c>
      <c r="P216" s="545" t="s">
        <v>80</v>
      </c>
      <c r="Q216" s="247">
        <v>10.810696271159586</v>
      </c>
      <c r="R216" s="247">
        <v>14.924470269313501</v>
      </c>
      <c r="S216" s="401">
        <v>305.34900649289659</v>
      </c>
      <c r="T216" s="401">
        <v>114.13878136455344</v>
      </c>
      <c r="U216" s="248">
        <f t="shared" si="18"/>
        <v>4.179954002940902E-2</v>
      </c>
      <c r="V216" s="247"/>
      <c r="W216" s="247"/>
      <c r="X216" s="247"/>
      <c r="Y216" s="247"/>
      <c r="Z216" s="250"/>
      <c r="AA216" s="256" t="str">
        <f t="shared" si="17"/>
        <v/>
      </c>
      <c r="AB216" s="251"/>
    </row>
    <row r="217" spans="1:28" x14ac:dyDescent="0.25">
      <c r="A217" s="264" t="s">
        <v>1523</v>
      </c>
      <c r="C217" s="542" t="s">
        <v>1602</v>
      </c>
      <c r="D217" s="253">
        <v>43619</v>
      </c>
      <c r="E217" s="543" t="s">
        <v>1596</v>
      </c>
      <c r="F217" s="544" t="s">
        <v>1597</v>
      </c>
      <c r="G217" s="543" t="s">
        <v>174</v>
      </c>
      <c r="H217" s="228">
        <v>1.1000000000000001</v>
      </c>
      <c r="I217" s="539">
        <f>5.5/(0.142*0.202)</f>
        <v>191.74452656533259</v>
      </c>
      <c r="N217" s="543" t="s">
        <v>1600</v>
      </c>
      <c r="O217" s="543" t="s">
        <v>76</v>
      </c>
      <c r="P217" s="543" t="s">
        <v>441</v>
      </c>
      <c r="Q217" s="247">
        <v>0</v>
      </c>
      <c r="R217" s="247">
        <v>0</v>
      </c>
      <c r="S217" s="401">
        <v>0</v>
      </c>
      <c r="T217" s="401">
        <v>0</v>
      </c>
      <c r="U217" s="239" t="str">
        <f t="shared" si="18"/>
        <v/>
      </c>
      <c r="AA217" s="240" t="str">
        <f t="shared" si="17"/>
        <v/>
      </c>
    </row>
    <row r="218" spans="1:28" x14ac:dyDescent="0.25">
      <c r="A218" s="265" t="s">
        <v>1524</v>
      </c>
      <c r="C218" s="546" t="s">
        <v>1603</v>
      </c>
      <c r="D218" s="254">
        <v>43619</v>
      </c>
      <c r="E218" s="545" t="s">
        <v>1596</v>
      </c>
      <c r="F218" s="548" t="s">
        <v>1598</v>
      </c>
      <c r="G218" s="545" t="s">
        <v>1599</v>
      </c>
      <c r="H218" s="245">
        <v>1.85</v>
      </c>
      <c r="I218" s="484">
        <f>16/(0.2025*0.293)</f>
        <v>269.66670880208989</v>
      </c>
      <c r="J218" s="243"/>
      <c r="K218" s="246"/>
      <c r="L218" s="245"/>
      <c r="M218" s="243"/>
      <c r="N218" s="545" t="s">
        <v>1601</v>
      </c>
      <c r="O218" s="545" t="s">
        <v>76</v>
      </c>
      <c r="P218" s="545" t="s">
        <v>80</v>
      </c>
      <c r="Q218" s="247">
        <v>0</v>
      </c>
      <c r="R218" s="247">
        <v>0</v>
      </c>
      <c r="S218" s="401">
        <v>0</v>
      </c>
      <c r="T218" s="401">
        <v>0</v>
      </c>
      <c r="U218" s="248" t="str">
        <f t="shared" si="18"/>
        <v/>
      </c>
      <c r="V218" s="247"/>
      <c r="W218" s="247"/>
      <c r="X218" s="247"/>
      <c r="Y218" s="247"/>
      <c r="Z218" s="250"/>
      <c r="AA218" s="256" t="str">
        <f t="shared" si="17"/>
        <v/>
      </c>
      <c r="AB218" s="251"/>
    </row>
    <row r="219" spans="1:28" x14ac:dyDescent="0.25">
      <c r="A219" s="264" t="s">
        <v>1525</v>
      </c>
      <c r="C219" s="542" t="s">
        <v>1663</v>
      </c>
      <c r="D219" s="253">
        <v>43651</v>
      </c>
      <c r="E219" s="543" t="s">
        <v>1662</v>
      </c>
      <c r="F219" s="544" t="s">
        <v>1665</v>
      </c>
      <c r="G219" s="543" t="s">
        <v>174</v>
      </c>
      <c r="H219" s="228">
        <v>2.6</v>
      </c>
      <c r="I219" s="226">
        <v>180</v>
      </c>
      <c r="N219" s="543" t="s">
        <v>243</v>
      </c>
      <c r="O219" s="543" t="s">
        <v>81</v>
      </c>
      <c r="P219" s="543" t="s">
        <v>80</v>
      </c>
      <c r="Q219" s="247">
        <f>200/50</f>
        <v>4</v>
      </c>
      <c r="R219" s="247">
        <v>6.4</v>
      </c>
      <c r="S219" s="401">
        <f>Q219/0.3</f>
        <v>13.333333333333334</v>
      </c>
      <c r="T219" s="401">
        <f>R219/0.15</f>
        <v>42.666666666666671</v>
      </c>
      <c r="U219" s="239">
        <f t="shared" si="18"/>
        <v>2.8888888888888891E-2</v>
      </c>
      <c r="AA219" s="240" t="str">
        <f t="shared" si="17"/>
        <v/>
      </c>
    </row>
    <row r="220" spans="1:28" x14ac:dyDescent="0.25">
      <c r="A220" s="265" t="s">
        <v>1526</v>
      </c>
      <c r="C220" s="546" t="s">
        <v>1664</v>
      </c>
      <c r="D220" s="254">
        <v>43651</v>
      </c>
      <c r="E220" s="243" t="s">
        <v>1662</v>
      </c>
      <c r="F220" s="548" t="s">
        <v>1666</v>
      </c>
      <c r="G220" s="545" t="s">
        <v>174</v>
      </c>
      <c r="H220" s="245">
        <v>2.5499999999999998</v>
      </c>
      <c r="I220" s="243">
        <v>205</v>
      </c>
      <c r="J220" s="243"/>
      <c r="K220" s="246"/>
      <c r="L220" s="245"/>
      <c r="M220" s="243"/>
      <c r="N220" s="545" t="s">
        <v>243</v>
      </c>
      <c r="O220" s="545" t="s">
        <v>81</v>
      </c>
      <c r="P220" s="545" t="s">
        <v>80</v>
      </c>
      <c r="Q220" s="247">
        <v>4</v>
      </c>
      <c r="R220" s="247">
        <v>6.4</v>
      </c>
      <c r="S220" s="401">
        <f>Q220/0.3</f>
        <v>13.333333333333334</v>
      </c>
      <c r="T220" s="401">
        <f>R220/0.15</f>
        <v>42.666666666666671</v>
      </c>
      <c r="U220" s="248">
        <f t="shared" si="18"/>
        <v>2.5365853658536587E-2</v>
      </c>
      <c r="V220" s="247"/>
      <c r="W220" s="247"/>
      <c r="X220" s="247"/>
      <c r="Y220" s="247"/>
      <c r="Z220" s="250"/>
      <c r="AA220" s="256" t="str">
        <f t="shared" si="17"/>
        <v/>
      </c>
      <c r="AB220" s="251"/>
    </row>
    <row r="221" spans="1:28" x14ac:dyDescent="0.25">
      <c r="A221" s="559" t="s">
        <v>1618</v>
      </c>
      <c r="C221" s="542" t="s">
        <v>1668</v>
      </c>
      <c r="D221" s="253">
        <v>43651</v>
      </c>
      <c r="E221" s="226" t="s">
        <v>1662</v>
      </c>
      <c r="F221" s="544" t="s">
        <v>1667</v>
      </c>
      <c r="G221" s="543" t="s">
        <v>174</v>
      </c>
      <c r="H221" s="228">
        <v>0.8</v>
      </c>
      <c r="I221" s="226">
        <v>210</v>
      </c>
      <c r="N221" s="543" t="s">
        <v>1600</v>
      </c>
      <c r="O221" s="543" t="s">
        <v>81</v>
      </c>
      <c r="P221" s="543" t="s">
        <v>80</v>
      </c>
      <c r="Q221" s="247">
        <v>5.8</v>
      </c>
      <c r="R221" s="247">
        <v>7.8</v>
      </c>
      <c r="S221" s="401">
        <f>Q221/0.3</f>
        <v>19.333333333333332</v>
      </c>
      <c r="T221" s="401">
        <f>R221/0.15</f>
        <v>52</v>
      </c>
      <c r="U221" s="239">
        <f t="shared" si="18"/>
        <v>3.2380952380952378E-2</v>
      </c>
      <c r="AA221" s="240" t="str">
        <f t="shared" si="17"/>
        <v/>
      </c>
    </row>
    <row r="222" spans="1:28" x14ac:dyDescent="0.25">
      <c r="A222" s="558" t="s">
        <v>1619</v>
      </c>
      <c r="C222" s="546" t="s">
        <v>1670</v>
      </c>
      <c r="D222" s="254">
        <v>43671</v>
      </c>
      <c r="E222" s="545" t="s">
        <v>1401</v>
      </c>
      <c r="F222" s="548" t="s">
        <v>1671</v>
      </c>
      <c r="G222" s="545" t="s">
        <v>174</v>
      </c>
      <c r="H222" s="245">
        <v>0.43</v>
      </c>
      <c r="I222" s="484">
        <f>3.7/(0.204*0.29)</f>
        <v>62.542258282623408</v>
      </c>
      <c r="J222" s="243"/>
      <c r="K222" s="246"/>
      <c r="L222" s="245"/>
      <c r="M222" s="243"/>
      <c r="N222" s="545" t="s">
        <v>1673</v>
      </c>
      <c r="O222" s="545" t="s">
        <v>1674</v>
      </c>
      <c r="P222" s="545" t="s">
        <v>1675</v>
      </c>
      <c r="Q222" s="247">
        <v>1.0868808638299032</v>
      </c>
      <c r="R222" s="247">
        <v>0.60608134106792166</v>
      </c>
      <c r="S222" s="401">
        <v>9.375</v>
      </c>
      <c r="T222" s="401">
        <v>6.25</v>
      </c>
      <c r="U222" s="248">
        <f t="shared" si="18"/>
        <v>1.3534546492129096E-2</v>
      </c>
      <c r="V222" s="247"/>
      <c r="W222" s="247"/>
      <c r="X222" s="247"/>
      <c r="Y222" s="247"/>
      <c r="Z222" s="250"/>
      <c r="AA222" s="256" t="str">
        <f t="shared" si="17"/>
        <v/>
      </c>
      <c r="AB222" s="251"/>
    </row>
    <row r="223" spans="1:28" x14ac:dyDescent="0.25">
      <c r="A223" s="559" t="s">
        <v>1620</v>
      </c>
      <c r="C223" s="542" t="s">
        <v>1678</v>
      </c>
      <c r="D223" s="253">
        <v>43677</v>
      </c>
      <c r="E223" s="543" t="s">
        <v>1542</v>
      </c>
      <c r="F223" s="544" t="s">
        <v>1676</v>
      </c>
      <c r="G223" s="543" t="s">
        <v>274</v>
      </c>
      <c r="H223" s="228">
        <v>1.55</v>
      </c>
      <c r="I223" s="539">
        <f>21.6/0.205/0.29</f>
        <v>363.33052985702278</v>
      </c>
      <c r="N223" s="543" t="s">
        <v>1600</v>
      </c>
      <c r="O223" s="543" t="s">
        <v>76</v>
      </c>
      <c r="P223" s="543" t="s">
        <v>1681</v>
      </c>
      <c r="Q223" s="247">
        <v>14.976945931181454</v>
      </c>
      <c r="R223" s="247">
        <v>19.106878061080664</v>
      </c>
      <c r="S223" s="401">
        <v>39.249183453617597</v>
      </c>
      <c r="T223" s="401">
        <v>16.339269607760766</v>
      </c>
      <c r="U223" s="239">
        <f t="shared" si="18"/>
        <v>4.6904706859721819E-2</v>
      </c>
      <c r="AA223" s="240" t="str">
        <f t="shared" si="17"/>
        <v/>
      </c>
    </row>
    <row r="224" spans="1:28" x14ac:dyDescent="0.25">
      <c r="A224" s="558" t="s">
        <v>1621</v>
      </c>
      <c r="C224" s="546" t="s">
        <v>1679</v>
      </c>
      <c r="D224" s="254">
        <v>43678</v>
      </c>
      <c r="E224" s="545" t="s">
        <v>1542</v>
      </c>
      <c r="F224" s="548" t="s">
        <v>1677</v>
      </c>
      <c r="G224" s="545" t="s">
        <v>174</v>
      </c>
      <c r="H224" s="245">
        <v>1.7</v>
      </c>
      <c r="I224" s="633">
        <f>14.9/0.205/0.209</f>
        <v>347.76520014003972</v>
      </c>
      <c r="J224" s="243"/>
      <c r="K224" s="246"/>
      <c r="L224" s="245"/>
      <c r="M224" s="243"/>
      <c r="N224" s="545" t="s">
        <v>1680</v>
      </c>
      <c r="O224" s="545" t="s">
        <v>76</v>
      </c>
      <c r="P224" s="545" t="s">
        <v>1681</v>
      </c>
      <c r="Q224" s="247">
        <v>9.1830240481818901</v>
      </c>
      <c r="R224" s="247">
        <v>10.377739781988472</v>
      </c>
      <c r="S224" s="401">
        <v>35.198789728867681</v>
      </c>
      <c r="T224" s="401">
        <v>12.5149655710325</v>
      </c>
      <c r="U224" s="248">
        <f t="shared" si="18"/>
        <v>2.8123521016900976E-2</v>
      </c>
      <c r="V224" s="247"/>
      <c r="W224" s="247"/>
      <c r="X224" s="247"/>
      <c r="Y224" s="247"/>
      <c r="Z224" s="250"/>
      <c r="AA224" s="256" t="str">
        <f t="shared" si="17"/>
        <v/>
      </c>
      <c r="AB224" s="251"/>
    </row>
    <row r="225" spans="1:28" x14ac:dyDescent="0.25">
      <c r="A225" s="559" t="s">
        <v>1622</v>
      </c>
      <c r="C225" s="542" t="s">
        <v>1683</v>
      </c>
      <c r="D225" s="253">
        <v>43684</v>
      </c>
      <c r="E225" s="543" t="s">
        <v>861</v>
      </c>
      <c r="F225" s="544" t="s">
        <v>1686</v>
      </c>
      <c r="G225" s="543" t="s">
        <v>274</v>
      </c>
      <c r="H225" s="228">
        <v>0.93399999999999994</v>
      </c>
      <c r="I225" s="539">
        <v>201.68325423364132</v>
      </c>
      <c r="N225" s="226" t="s">
        <v>1600</v>
      </c>
      <c r="O225" s="543" t="s">
        <v>1509</v>
      </c>
      <c r="P225" s="543" t="s">
        <v>1685</v>
      </c>
      <c r="Q225" s="247">
        <v>6.4602978168954532</v>
      </c>
      <c r="R225" s="247">
        <v>8.3471447160559897</v>
      </c>
      <c r="S225" s="401">
        <v>34.373865185455045</v>
      </c>
      <c r="T225" s="401">
        <v>10.463208844510749</v>
      </c>
      <c r="U225" s="239">
        <f t="shared" si="18"/>
        <v>3.6709647980485434E-2</v>
      </c>
      <c r="AA225" s="240" t="str">
        <f t="shared" si="17"/>
        <v/>
      </c>
      <c r="AB225" s="547" t="s">
        <v>1687</v>
      </c>
    </row>
    <row r="226" spans="1:28" x14ac:dyDescent="0.25">
      <c r="A226" s="558" t="s">
        <v>1623</v>
      </c>
      <c r="C226" s="546" t="s">
        <v>1684</v>
      </c>
      <c r="D226" s="254">
        <v>43684</v>
      </c>
      <c r="E226" s="545" t="s">
        <v>861</v>
      </c>
      <c r="F226" s="548" t="s">
        <v>1686</v>
      </c>
      <c r="G226" s="545" t="s">
        <v>274</v>
      </c>
      <c r="H226" s="245">
        <v>1.3800000000000001</v>
      </c>
      <c r="I226" s="484">
        <v>210.84458402914515</v>
      </c>
      <c r="J226" s="243"/>
      <c r="K226" s="246"/>
      <c r="L226" s="245"/>
      <c r="M226" s="243"/>
      <c r="N226" s="243" t="s">
        <v>1600</v>
      </c>
      <c r="O226" s="545" t="s">
        <v>1509</v>
      </c>
      <c r="P226" s="243" t="s">
        <v>1685</v>
      </c>
      <c r="Q226" s="247">
        <v>6.7005254344904888</v>
      </c>
      <c r="R226" s="247">
        <v>8.3104843600995935</v>
      </c>
      <c r="S226" s="401">
        <v>9.0811885882595753</v>
      </c>
      <c r="T226" s="401">
        <v>3.741785924954983</v>
      </c>
      <c r="U226" s="248">
        <f t="shared" si="18"/>
        <v>3.5597333134521264E-2</v>
      </c>
      <c r="V226" s="247"/>
      <c r="W226" s="247"/>
      <c r="X226" s="247"/>
      <c r="Y226" s="247"/>
      <c r="Z226" s="250"/>
      <c r="AA226" s="256" t="str">
        <f t="shared" si="17"/>
        <v/>
      </c>
      <c r="AB226" s="251" t="s">
        <v>1687</v>
      </c>
    </row>
    <row r="227" spans="1:28" x14ac:dyDescent="0.25">
      <c r="A227" s="559" t="s">
        <v>1624</v>
      </c>
      <c r="C227" s="542" t="s">
        <v>1701</v>
      </c>
      <c r="D227" s="253">
        <v>43731</v>
      </c>
      <c r="E227" s="543" t="s">
        <v>1695</v>
      </c>
      <c r="F227" s="544" t="s">
        <v>53</v>
      </c>
      <c r="G227" s="543" t="s">
        <v>1696</v>
      </c>
      <c r="H227" s="228">
        <f>AVERAGE(7.2,7.56,7.41,7.64,8.29,8.15)</f>
        <v>7.708333333333333</v>
      </c>
      <c r="I227" s="539">
        <f>53.25/(0.206*0.294)</f>
        <v>879.23518922131973</v>
      </c>
      <c r="N227" s="543" t="s">
        <v>243</v>
      </c>
      <c r="O227" s="543" t="s">
        <v>1699</v>
      </c>
      <c r="P227" s="543" t="s">
        <v>1709</v>
      </c>
      <c r="Q227" s="247">
        <v>0.20542596148836531</v>
      </c>
      <c r="R227" s="247">
        <v>0.55403404742402473</v>
      </c>
      <c r="S227" s="401">
        <v>2.2196774397125285</v>
      </c>
      <c r="T227" s="401">
        <v>12.50498007228841</v>
      </c>
      <c r="U227" s="239">
        <f t="shared" si="18"/>
        <v>4.3188672281474163E-4</v>
      </c>
      <c r="AA227" s="240" t="str">
        <f t="shared" si="17"/>
        <v/>
      </c>
    </row>
    <row r="228" spans="1:28" x14ac:dyDescent="0.25">
      <c r="A228" s="558" t="s">
        <v>1625</v>
      </c>
      <c r="C228" s="546" t="s">
        <v>1692</v>
      </c>
      <c r="D228" s="254">
        <v>43740</v>
      </c>
      <c r="E228" s="545" t="s">
        <v>861</v>
      </c>
      <c r="F228" s="548" t="s">
        <v>1705</v>
      </c>
      <c r="G228" s="545" t="s">
        <v>1694</v>
      </c>
      <c r="H228" s="245">
        <v>1.3660000000000001</v>
      </c>
      <c r="I228" s="484">
        <v>208.35267011958007</v>
      </c>
      <c r="J228" s="243"/>
      <c r="K228" s="246"/>
      <c r="L228" s="245"/>
      <c r="M228" s="243"/>
      <c r="N228" s="243" t="s">
        <v>1600</v>
      </c>
      <c r="O228" s="545" t="s">
        <v>1509</v>
      </c>
      <c r="P228" s="545" t="s">
        <v>1708</v>
      </c>
      <c r="Q228" s="247">
        <v>10.294120594219352</v>
      </c>
      <c r="R228" s="247">
        <v>10.131917504509886</v>
      </c>
      <c r="S228" s="401">
        <v>20.609693351638104</v>
      </c>
      <c r="T228" s="401">
        <v>7.0723154353534214</v>
      </c>
      <c r="U228" s="248">
        <f t="shared" si="18"/>
        <v>4.9017941759532287E-2</v>
      </c>
      <c r="V228" s="247"/>
      <c r="W228" s="247"/>
      <c r="X228" s="247"/>
      <c r="Y228" s="247"/>
      <c r="Z228" s="250"/>
      <c r="AA228" s="256" t="str">
        <f t="shared" si="17"/>
        <v/>
      </c>
      <c r="AB228" s="251"/>
    </row>
    <row r="229" spans="1:28" x14ac:dyDescent="0.25">
      <c r="A229" s="559" t="s">
        <v>1626</v>
      </c>
      <c r="C229" s="542" t="s">
        <v>1693</v>
      </c>
      <c r="D229" s="253">
        <v>43740</v>
      </c>
      <c r="E229" s="543" t="s">
        <v>861</v>
      </c>
      <c r="F229" s="544" t="s">
        <v>1706</v>
      </c>
      <c r="G229" s="543" t="s">
        <v>174</v>
      </c>
      <c r="H229" s="228">
        <v>1.8169999999999997</v>
      </c>
      <c r="I229" s="539">
        <v>236.68122401441002</v>
      </c>
      <c r="N229" s="226" t="s">
        <v>1600</v>
      </c>
      <c r="O229" s="543" t="s">
        <v>1707</v>
      </c>
      <c r="P229" s="226" t="s">
        <v>1708</v>
      </c>
      <c r="Q229" s="247">
        <v>16.457027313365735</v>
      </c>
      <c r="R229" s="247">
        <v>17.541742001970938</v>
      </c>
      <c r="S229" s="401">
        <v>16.379998727760505</v>
      </c>
      <c r="T229" s="401">
        <v>7.0659933598701326</v>
      </c>
      <c r="U229" s="239">
        <f t="shared" si="18"/>
        <v>7.1823967990943594E-2</v>
      </c>
      <c r="AA229" s="240" t="str">
        <f t="shared" si="17"/>
        <v/>
      </c>
    </row>
    <row r="230" spans="1:28" x14ac:dyDescent="0.25">
      <c r="A230" s="558" t="s">
        <v>1627</v>
      </c>
      <c r="C230" s="546" t="s">
        <v>1711</v>
      </c>
      <c r="D230" s="254">
        <v>43756</v>
      </c>
      <c r="E230" s="545" t="s">
        <v>1714</v>
      </c>
      <c r="F230" s="548" t="s">
        <v>53</v>
      </c>
      <c r="G230" s="545" t="s">
        <v>1712</v>
      </c>
      <c r="H230" s="245">
        <v>0.3</v>
      </c>
      <c r="I230" s="484">
        <f>11.1/(0.204*0.288)</f>
        <v>188.92973856209153</v>
      </c>
      <c r="J230" s="243"/>
      <c r="K230" s="246"/>
      <c r="L230" s="245"/>
      <c r="M230" s="243"/>
      <c r="N230" s="545" t="s">
        <v>1715</v>
      </c>
      <c r="O230" s="545" t="s">
        <v>62</v>
      </c>
      <c r="P230" s="545" t="s">
        <v>82</v>
      </c>
      <c r="Q230" s="247">
        <v>2.660229720132802</v>
      </c>
      <c r="R230" s="247">
        <v>2.8308161904749625</v>
      </c>
      <c r="S230" s="401">
        <v>51.436200983565293</v>
      </c>
      <c r="T230" s="401">
        <v>55.922932508238361</v>
      </c>
      <c r="U230" s="248">
        <f t="shared" si="18"/>
        <v>1.4531978799100332E-2</v>
      </c>
      <c r="V230" s="247"/>
      <c r="W230" s="247"/>
      <c r="X230" s="247"/>
      <c r="Y230" s="247"/>
      <c r="Z230" s="250"/>
      <c r="AA230" s="256" t="str">
        <f t="shared" si="17"/>
        <v/>
      </c>
      <c r="AB230" s="653" t="s">
        <v>1713</v>
      </c>
    </row>
    <row r="231" spans="1:28" x14ac:dyDescent="0.25">
      <c r="A231" s="559" t="s">
        <v>1628</v>
      </c>
      <c r="C231" s="542" t="s">
        <v>1716</v>
      </c>
      <c r="D231" s="253">
        <v>43774</v>
      </c>
      <c r="E231" s="693" t="s">
        <v>1714</v>
      </c>
      <c r="Q231" s="247">
        <v>0</v>
      </c>
      <c r="R231" s="247">
        <v>0</v>
      </c>
      <c r="S231" s="401">
        <v>0</v>
      </c>
      <c r="T231" s="401">
        <v>0</v>
      </c>
      <c r="U231" s="239" t="str">
        <f t="shared" si="18"/>
        <v/>
      </c>
      <c r="AA231" s="240" t="str">
        <f t="shared" si="17"/>
        <v/>
      </c>
    </row>
    <row r="232" spans="1:28" x14ac:dyDescent="0.25">
      <c r="A232" s="558" t="s">
        <v>1629</v>
      </c>
      <c r="C232" s="546" t="s">
        <v>1728</v>
      </c>
      <c r="D232" s="242"/>
      <c r="E232" s="243"/>
      <c r="F232" s="244"/>
      <c r="G232" s="243"/>
      <c r="H232" s="245"/>
      <c r="I232" s="243"/>
      <c r="J232" s="243"/>
      <c r="K232" s="246"/>
      <c r="L232" s="245"/>
      <c r="M232" s="243"/>
      <c r="N232" s="243"/>
      <c r="O232" s="243"/>
      <c r="P232" s="243"/>
      <c r="Q232" s="247">
        <v>0</v>
      </c>
      <c r="R232" s="247">
        <v>0</v>
      </c>
      <c r="S232" s="401">
        <v>0</v>
      </c>
      <c r="T232" s="401">
        <v>0</v>
      </c>
      <c r="U232" s="248" t="str">
        <f t="shared" ref="U232:U252" si="19">IF(AND((I232&gt;0),Q232&gt;0),AVERAGE(Q232:R232)/I232,"")</f>
        <v/>
      </c>
      <c r="V232" s="247"/>
      <c r="W232" s="247"/>
      <c r="X232" s="247"/>
      <c r="Y232" s="247"/>
      <c r="Z232" s="250"/>
      <c r="AA232" s="256" t="str">
        <f t="shared" ref="AA232:AA252" si="20">IF(AND(I232&gt;0,Z232&gt;0),1000*(Z232/I232),"")</f>
        <v/>
      </c>
      <c r="AB232" s="251"/>
    </row>
    <row r="233" spans="1:28" x14ac:dyDescent="0.25">
      <c r="A233" s="559" t="s">
        <v>1630</v>
      </c>
      <c r="D233" s="253"/>
      <c r="Q233" s="247">
        <v>0</v>
      </c>
      <c r="R233" s="247">
        <v>0</v>
      </c>
      <c r="S233" s="401">
        <v>0</v>
      </c>
      <c r="T233" s="401">
        <v>0</v>
      </c>
      <c r="U233" s="239" t="str">
        <f t="shared" si="19"/>
        <v/>
      </c>
      <c r="AA233" s="240" t="str">
        <f t="shared" si="20"/>
        <v/>
      </c>
    </row>
    <row r="234" spans="1:28" x14ac:dyDescent="0.25">
      <c r="A234" s="558" t="s">
        <v>1631</v>
      </c>
      <c r="C234" s="242"/>
      <c r="D234" s="242"/>
      <c r="E234" s="243"/>
      <c r="F234" s="244"/>
      <c r="G234" s="243"/>
      <c r="H234" s="245"/>
      <c r="I234" s="243"/>
      <c r="J234" s="243"/>
      <c r="K234" s="246"/>
      <c r="L234" s="245"/>
      <c r="M234" s="243"/>
      <c r="N234" s="243"/>
      <c r="O234" s="243"/>
      <c r="P234" s="243"/>
      <c r="Q234" s="247">
        <v>0</v>
      </c>
      <c r="R234" s="247">
        <v>0</v>
      </c>
      <c r="S234" s="401">
        <v>0</v>
      </c>
      <c r="T234" s="401">
        <v>0</v>
      </c>
      <c r="U234" s="248" t="str">
        <f t="shared" si="19"/>
        <v/>
      </c>
      <c r="V234" s="247"/>
      <c r="W234" s="247"/>
      <c r="X234" s="247"/>
      <c r="Y234" s="247"/>
      <c r="Z234" s="250"/>
      <c r="AA234" s="256" t="str">
        <f t="shared" si="20"/>
        <v/>
      </c>
      <c r="AB234" s="251"/>
    </row>
    <row r="235" spans="1:28" x14ac:dyDescent="0.25">
      <c r="A235" s="559" t="s">
        <v>1632</v>
      </c>
      <c r="D235" s="253"/>
      <c r="Q235" s="247">
        <v>0</v>
      </c>
      <c r="R235" s="247">
        <v>0</v>
      </c>
      <c r="S235" s="401">
        <v>0</v>
      </c>
      <c r="T235" s="401">
        <v>0</v>
      </c>
      <c r="U235" s="239" t="str">
        <f t="shared" si="19"/>
        <v/>
      </c>
      <c r="AA235" s="240" t="str">
        <f t="shared" si="20"/>
        <v/>
      </c>
    </row>
    <row r="236" spans="1:28" x14ac:dyDescent="0.25">
      <c r="A236" s="558" t="s">
        <v>1633</v>
      </c>
      <c r="C236" s="242"/>
      <c r="D236" s="242"/>
      <c r="E236" s="243"/>
      <c r="F236" s="244"/>
      <c r="G236" s="243"/>
      <c r="H236" s="245"/>
      <c r="I236" s="243"/>
      <c r="J236" s="243"/>
      <c r="K236" s="246"/>
      <c r="L236" s="245"/>
      <c r="M236" s="243"/>
      <c r="N236" s="243"/>
      <c r="O236" s="243"/>
      <c r="P236" s="243"/>
      <c r="Q236" s="247">
        <v>0</v>
      </c>
      <c r="R236" s="247">
        <v>0</v>
      </c>
      <c r="S236" s="401">
        <v>0</v>
      </c>
      <c r="T236" s="401">
        <v>0</v>
      </c>
      <c r="U236" s="248" t="str">
        <f t="shared" si="19"/>
        <v/>
      </c>
      <c r="V236" s="247"/>
      <c r="W236" s="247"/>
      <c r="X236" s="247"/>
      <c r="Y236" s="247"/>
      <c r="Z236" s="250"/>
      <c r="AA236" s="256" t="str">
        <f t="shared" si="20"/>
        <v/>
      </c>
      <c r="AB236" s="251"/>
    </row>
    <row r="237" spans="1:28" x14ac:dyDescent="0.25">
      <c r="A237" s="559" t="s">
        <v>1634</v>
      </c>
      <c r="D237" s="253"/>
      <c r="Q237" s="247">
        <v>0</v>
      </c>
      <c r="R237" s="247">
        <v>0</v>
      </c>
      <c r="S237" s="401">
        <v>0</v>
      </c>
      <c r="T237" s="401">
        <v>0</v>
      </c>
      <c r="U237" s="239" t="str">
        <f t="shared" si="19"/>
        <v/>
      </c>
      <c r="AA237" s="240" t="str">
        <f t="shared" si="20"/>
        <v/>
      </c>
    </row>
    <row r="238" spans="1:28" x14ac:dyDescent="0.25">
      <c r="A238" s="558" t="s">
        <v>1635</v>
      </c>
      <c r="C238" s="242"/>
      <c r="D238" s="242"/>
      <c r="E238" s="243"/>
      <c r="F238" s="244"/>
      <c r="G238" s="243"/>
      <c r="H238" s="245"/>
      <c r="I238" s="243"/>
      <c r="J238" s="243"/>
      <c r="K238" s="246"/>
      <c r="L238" s="245"/>
      <c r="M238" s="243"/>
      <c r="N238" s="243"/>
      <c r="O238" s="243"/>
      <c r="P238" s="243"/>
      <c r="Q238" s="247">
        <v>0</v>
      </c>
      <c r="R238" s="247">
        <v>0</v>
      </c>
      <c r="S238" s="401">
        <v>0</v>
      </c>
      <c r="T238" s="401">
        <v>0</v>
      </c>
      <c r="U238" s="248" t="str">
        <f t="shared" si="19"/>
        <v/>
      </c>
      <c r="V238" s="247"/>
      <c r="W238" s="247"/>
      <c r="X238" s="247"/>
      <c r="Y238" s="247"/>
      <c r="Z238" s="250"/>
      <c r="AA238" s="256" t="str">
        <f t="shared" si="20"/>
        <v/>
      </c>
      <c r="AB238" s="251"/>
    </row>
    <row r="239" spans="1:28" x14ac:dyDescent="0.25">
      <c r="A239" s="559" t="s">
        <v>1636</v>
      </c>
      <c r="D239" s="253"/>
      <c r="Q239" s="247">
        <v>0</v>
      </c>
      <c r="R239" s="247">
        <v>0</v>
      </c>
      <c r="S239" s="401">
        <v>0</v>
      </c>
      <c r="T239" s="401">
        <v>0</v>
      </c>
      <c r="U239" s="239" t="str">
        <f t="shared" si="19"/>
        <v/>
      </c>
      <c r="AA239" s="240" t="str">
        <f t="shared" si="20"/>
        <v/>
      </c>
    </row>
    <row r="240" spans="1:28" x14ac:dyDescent="0.25">
      <c r="A240" s="558" t="s">
        <v>1637</v>
      </c>
      <c r="C240" s="242"/>
      <c r="D240" s="242"/>
      <c r="E240" s="243"/>
      <c r="F240" s="244"/>
      <c r="G240" s="243"/>
      <c r="H240" s="245"/>
      <c r="I240" s="243"/>
      <c r="J240" s="243"/>
      <c r="K240" s="246"/>
      <c r="L240" s="245"/>
      <c r="M240" s="243"/>
      <c r="N240" s="243"/>
      <c r="O240" s="243"/>
      <c r="P240" s="243"/>
      <c r="Q240" s="247">
        <v>0</v>
      </c>
      <c r="R240" s="247">
        <v>0</v>
      </c>
      <c r="S240" s="401">
        <v>0</v>
      </c>
      <c r="T240" s="401">
        <v>0</v>
      </c>
      <c r="U240" s="248" t="str">
        <f t="shared" si="19"/>
        <v/>
      </c>
      <c r="V240" s="247"/>
      <c r="W240" s="247"/>
      <c r="X240" s="247"/>
      <c r="Y240" s="247"/>
      <c r="Z240" s="250"/>
      <c r="AA240" s="256" t="str">
        <f t="shared" si="20"/>
        <v/>
      </c>
      <c r="AB240" s="251"/>
    </row>
    <row r="241" spans="1:28" x14ac:dyDescent="0.25">
      <c r="A241" s="559" t="s">
        <v>1638</v>
      </c>
      <c r="D241" s="253"/>
      <c r="Q241" s="247">
        <v>0</v>
      </c>
      <c r="R241" s="247">
        <v>0</v>
      </c>
      <c r="S241" s="401">
        <v>0</v>
      </c>
      <c r="T241" s="401">
        <v>0</v>
      </c>
      <c r="U241" s="239" t="str">
        <f t="shared" si="19"/>
        <v/>
      </c>
      <c r="AA241" s="240" t="str">
        <f t="shared" si="20"/>
        <v/>
      </c>
    </row>
    <row r="242" spans="1:28" x14ac:dyDescent="0.25">
      <c r="A242" s="558" t="s">
        <v>1639</v>
      </c>
      <c r="C242" s="242"/>
      <c r="D242" s="242"/>
      <c r="E242" s="243"/>
      <c r="F242" s="244"/>
      <c r="G242" s="243"/>
      <c r="H242" s="245"/>
      <c r="I242" s="243"/>
      <c r="J242" s="243"/>
      <c r="K242" s="246"/>
      <c r="L242" s="245"/>
      <c r="M242" s="243"/>
      <c r="N242" s="243"/>
      <c r="O242" s="243"/>
      <c r="P242" s="243"/>
      <c r="Q242" s="247">
        <v>0</v>
      </c>
      <c r="R242" s="247">
        <v>0</v>
      </c>
      <c r="S242" s="401">
        <v>0</v>
      </c>
      <c r="T242" s="401">
        <v>0</v>
      </c>
      <c r="U242" s="248" t="str">
        <f t="shared" si="19"/>
        <v/>
      </c>
      <c r="V242" s="247"/>
      <c r="W242" s="247"/>
      <c r="X242" s="247"/>
      <c r="Y242" s="247"/>
      <c r="Z242" s="250"/>
      <c r="AA242" s="256" t="str">
        <f t="shared" si="20"/>
        <v/>
      </c>
      <c r="AB242" s="251"/>
    </row>
    <row r="243" spans="1:28" x14ac:dyDescent="0.25">
      <c r="A243" s="559" t="s">
        <v>1640</v>
      </c>
      <c r="D243" s="253"/>
      <c r="Q243" s="247">
        <v>0</v>
      </c>
      <c r="R243" s="247">
        <v>0</v>
      </c>
      <c r="S243" s="401">
        <v>0</v>
      </c>
      <c r="T243" s="401">
        <v>0</v>
      </c>
      <c r="U243" s="239" t="str">
        <f t="shared" si="19"/>
        <v/>
      </c>
      <c r="AA243" s="240" t="str">
        <f t="shared" si="20"/>
        <v/>
      </c>
    </row>
    <row r="244" spans="1:28" x14ac:dyDescent="0.25">
      <c r="A244" s="558" t="s">
        <v>1641</v>
      </c>
      <c r="C244" s="242"/>
      <c r="D244" s="242"/>
      <c r="E244" s="243"/>
      <c r="F244" s="244"/>
      <c r="G244" s="243"/>
      <c r="H244" s="245"/>
      <c r="I244" s="243"/>
      <c r="J244" s="243"/>
      <c r="K244" s="246"/>
      <c r="L244" s="245"/>
      <c r="M244" s="243"/>
      <c r="N244" s="243"/>
      <c r="O244" s="243"/>
      <c r="P244" s="243"/>
      <c r="Q244" s="247">
        <v>0</v>
      </c>
      <c r="R244" s="247">
        <v>0</v>
      </c>
      <c r="S244" s="401">
        <v>0</v>
      </c>
      <c r="T244" s="401">
        <v>0</v>
      </c>
      <c r="U244" s="248" t="str">
        <f t="shared" si="19"/>
        <v/>
      </c>
      <c r="V244" s="247"/>
      <c r="W244" s="247"/>
      <c r="X244" s="247"/>
      <c r="Y244" s="247"/>
      <c r="Z244" s="250"/>
      <c r="AA244" s="256" t="str">
        <f t="shared" si="20"/>
        <v/>
      </c>
      <c r="AB244" s="251"/>
    </row>
    <row r="245" spans="1:28" x14ac:dyDescent="0.25">
      <c r="A245" s="559" t="s">
        <v>1642</v>
      </c>
      <c r="D245" s="253"/>
      <c r="Q245" s="247">
        <v>0</v>
      </c>
      <c r="R245" s="247">
        <v>0</v>
      </c>
      <c r="S245" s="401">
        <v>0</v>
      </c>
      <c r="T245" s="401">
        <v>0</v>
      </c>
      <c r="U245" s="239" t="str">
        <f t="shared" si="19"/>
        <v/>
      </c>
      <c r="AA245" s="240" t="str">
        <f t="shared" si="20"/>
        <v/>
      </c>
    </row>
    <row r="246" spans="1:28" x14ac:dyDescent="0.25">
      <c r="A246" s="558" t="s">
        <v>1643</v>
      </c>
      <c r="C246" s="242"/>
      <c r="D246" s="242"/>
      <c r="E246" s="243"/>
      <c r="F246" s="244"/>
      <c r="G246" s="243"/>
      <c r="H246" s="245"/>
      <c r="I246" s="243"/>
      <c r="J246" s="243"/>
      <c r="K246" s="246"/>
      <c r="L246" s="245"/>
      <c r="M246" s="243"/>
      <c r="N246" s="243"/>
      <c r="O246" s="243"/>
      <c r="P246" s="243"/>
      <c r="Q246" s="247">
        <v>0</v>
      </c>
      <c r="R246" s="247">
        <v>0</v>
      </c>
      <c r="S246" s="401">
        <v>0</v>
      </c>
      <c r="T246" s="401">
        <v>0</v>
      </c>
      <c r="U246" s="248" t="str">
        <f t="shared" si="19"/>
        <v/>
      </c>
      <c r="V246" s="247"/>
      <c r="W246" s="247"/>
      <c r="X246" s="247"/>
      <c r="Y246" s="247"/>
      <c r="Z246" s="250"/>
      <c r="AA246" s="256" t="str">
        <f t="shared" si="20"/>
        <v/>
      </c>
      <c r="AB246" s="251"/>
    </row>
    <row r="247" spans="1:28" x14ac:dyDescent="0.25">
      <c r="A247" s="559" t="s">
        <v>1644</v>
      </c>
      <c r="D247" s="253"/>
      <c r="Q247" s="247">
        <v>0</v>
      </c>
      <c r="R247" s="247">
        <v>0</v>
      </c>
      <c r="S247" s="401">
        <v>0</v>
      </c>
      <c r="T247" s="401">
        <v>0</v>
      </c>
      <c r="U247" s="239" t="str">
        <f t="shared" si="19"/>
        <v/>
      </c>
      <c r="AA247" s="240" t="str">
        <f t="shared" si="20"/>
        <v/>
      </c>
    </row>
    <row r="248" spans="1:28" x14ac:dyDescent="0.25">
      <c r="A248" s="558" t="s">
        <v>1645</v>
      </c>
      <c r="C248" s="242"/>
      <c r="D248" s="242"/>
      <c r="E248" s="243"/>
      <c r="F248" s="244"/>
      <c r="G248" s="243"/>
      <c r="H248" s="245"/>
      <c r="I248" s="243"/>
      <c r="J248" s="243"/>
      <c r="K248" s="246"/>
      <c r="L248" s="245"/>
      <c r="M248" s="243"/>
      <c r="N248" s="243"/>
      <c r="O248" s="243"/>
      <c r="P248" s="243"/>
      <c r="Q248" s="247">
        <v>0</v>
      </c>
      <c r="R248" s="247">
        <v>0</v>
      </c>
      <c r="S248" s="401">
        <v>0</v>
      </c>
      <c r="T248" s="401">
        <v>0</v>
      </c>
      <c r="U248" s="248" t="str">
        <f t="shared" si="19"/>
        <v/>
      </c>
      <c r="V248" s="247"/>
      <c r="W248" s="247"/>
      <c r="X248" s="247"/>
      <c r="Y248" s="247"/>
      <c r="Z248" s="250"/>
      <c r="AA248" s="256" t="str">
        <f t="shared" si="20"/>
        <v/>
      </c>
      <c r="AB248" s="251"/>
    </row>
    <row r="249" spans="1:28" x14ac:dyDescent="0.25">
      <c r="A249" s="559"/>
      <c r="D249" s="253"/>
      <c r="Q249" s="247">
        <v>0</v>
      </c>
      <c r="R249" s="247">
        <v>0</v>
      </c>
      <c r="S249" s="401">
        <v>0</v>
      </c>
      <c r="T249" s="401">
        <v>0</v>
      </c>
      <c r="U249" s="239" t="str">
        <f t="shared" si="19"/>
        <v/>
      </c>
      <c r="AA249" s="240" t="str">
        <f t="shared" si="20"/>
        <v/>
      </c>
    </row>
    <row r="250" spans="1:28" x14ac:dyDescent="0.25">
      <c r="A250" s="558"/>
      <c r="C250" s="242"/>
      <c r="D250" s="242"/>
      <c r="E250" s="243"/>
      <c r="F250" s="244"/>
      <c r="G250" s="243"/>
      <c r="H250" s="245"/>
      <c r="I250" s="243"/>
      <c r="J250" s="243"/>
      <c r="K250" s="246"/>
      <c r="L250" s="245"/>
      <c r="M250" s="243"/>
      <c r="N250" s="243"/>
      <c r="O250" s="243"/>
      <c r="P250" s="243"/>
      <c r="Q250" s="247">
        <v>0</v>
      </c>
      <c r="R250" s="247">
        <v>0</v>
      </c>
      <c r="S250" s="401">
        <v>0</v>
      </c>
      <c r="T250" s="401">
        <v>0</v>
      </c>
      <c r="U250" s="248" t="str">
        <f t="shared" si="19"/>
        <v/>
      </c>
      <c r="V250" s="247"/>
      <c r="W250" s="247"/>
      <c r="X250" s="247"/>
      <c r="Y250" s="247"/>
      <c r="Z250" s="250"/>
      <c r="AA250" s="256" t="str">
        <f t="shared" si="20"/>
        <v/>
      </c>
      <c r="AB250" s="251"/>
    </row>
    <row r="251" spans="1:28" x14ac:dyDescent="0.25">
      <c r="A251" s="559"/>
      <c r="D251" s="253"/>
      <c r="Q251" s="247">
        <v>0</v>
      </c>
      <c r="R251" s="247">
        <v>0</v>
      </c>
      <c r="S251" s="401">
        <v>0</v>
      </c>
      <c r="T251" s="401">
        <v>0</v>
      </c>
      <c r="U251" s="239" t="str">
        <f t="shared" si="19"/>
        <v/>
      </c>
      <c r="AA251" s="240" t="str">
        <f t="shared" si="20"/>
        <v/>
      </c>
    </row>
    <row r="252" spans="1:28" x14ac:dyDescent="0.25">
      <c r="A252" s="558"/>
      <c r="C252" s="242"/>
      <c r="D252" s="242"/>
      <c r="E252" s="243"/>
      <c r="F252" s="244"/>
      <c r="G252" s="243"/>
      <c r="H252" s="245"/>
      <c r="I252" s="243"/>
      <c r="J252" s="243"/>
      <c r="K252" s="246"/>
      <c r="L252" s="245"/>
      <c r="M252" s="243"/>
      <c r="N252" s="243"/>
      <c r="O252" s="243"/>
      <c r="P252" s="243"/>
      <c r="Q252" s="247">
        <v>0</v>
      </c>
      <c r="R252" s="247">
        <v>0</v>
      </c>
      <c r="S252" s="401">
        <v>0</v>
      </c>
      <c r="T252" s="401">
        <v>0</v>
      </c>
      <c r="U252" s="248" t="str">
        <f t="shared" si="19"/>
        <v/>
      </c>
      <c r="V252" s="247"/>
      <c r="W252" s="247"/>
      <c r="X252" s="247"/>
      <c r="Y252" s="247"/>
      <c r="Z252" s="250"/>
      <c r="AA252" s="256" t="str">
        <f t="shared" si="20"/>
        <v/>
      </c>
      <c r="AB252" s="251"/>
    </row>
    <row r="253" spans="1:28" x14ac:dyDescent="0.25">
      <c r="A253" s="559"/>
      <c r="D253" s="253"/>
      <c r="Q253" s="247">
        <v>0</v>
      </c>
      <c r="R253" s="247">
        <v>0</v>
      </c>
      <c r="S253" s="401">
        <v>0</v>
      </c>
      <c r="T253" s="401">
        <v>0</v>
      </c>
      <c r="U253" s="239" t="str">
        <f t="shared" ref="U253:U260" si="21">IF(AND((I253&gt;0),Q253&gt;0),AVERAGE(Q253:R253)/I253,"")</f>
        <v/>
      </c>
      <c r="AA253" s="240" t="str">
        <f t="shared" ref="AA253:AA260" si="22">IF(AND(I253&gt;0,Z253&gt;0),1000*(Z253/I253),"")</f>
        <v/>
      </c>
    </row>
    <row r="254" spans="1:28" x14ac:dyDescent="0.25">
      <c r="A254" s="558"/>
      <c r="C254" s="242"/>
      <c r="D254" s="242"/>
      <c r="E254" s="243"/>
      <c r="F254" s="244"/>
      <c r="G254" s="243"/>
      <c r="H254" s="245"/>
      <c r="I254" s="243"/>
      <c r="J254" s="243"/>
      <c r="K254" s="246"/>
      <c r="L254" s="245"/>
      <c r="M254" s="243"/>
      <c r="N254" s="243"/>
      <c r="O254" s="243"/>
      <c r="P254" s="243"/>
      <c r="Q254" s="247">
        <v>0</v>
      </c>
      <c r="R254" s="247">
        <v>0</v>
      </c>
      <c r="S254" s="401">
        <v>0</v>
      </c>
      <c r="T254" s="401">
        <v>0</v>
      </c>
      <c r="U254" s="248" t="str">
        <f t="shared" si="21"/>
        <v/>
      </c>
      <c r="V254" s="247"/>
      <c r="W254" s="247"/>
      <c r="X254" s="247"/>
      <c r="Y254" s="247"/>
      <c r="Z254" s="250"/>
      <c r="AA254" s="256" t="str">
        <f t="shared" si="22"/>
        <v/>
      </c>
      <c r="AB254" s="251"/>
    </row>
    <row r="255" spans="1:28" x14ac:dyDescent="0.25">
      <c r="A255" s="559"/>
      <c r="D255" s="253"/>
      <c r="Q255" s="247">
        <v>0</v>
      </c>
      <c r="R255" s="247">
        <v>0</v>
      </c>
      <c r="S255" s="401">
        <v>0</v>
      </c>
      <c r="T255" s="401">
        <v>0</v>
      </c>
      <c r="U255" s="239" t="str">
        <f t="shared" si="21"/>
        <v/>
      </c>
      <c r="AA255" s="240" t="str">
        <f t="shared" si="22"/>
        <v/>
      </c>
    </row>
    <row r="256" spans="1:28" x14ac:dyDescent="0.25">
      <c r="A256" s="558"/>
      <c r="C256" s="242"/>
      <c r="D256" s="242"/>
      <c r="E256" s="243"/>
      <c r="F256" s="244"/>
      <c r="G256" s="243"/>
      <c r="H256" s="245"/>
      <c r="I256" s="243"/>
      <c r="J256" s="243"/>
      <c r="K256" s="246"/>
      <c r="L256" s="245"/>
      <c r="M256" s="243"/>
      <c r="N256" s="243"/>
      <c r="O256" s="243"/>
      <c r="P256" s="243"/>
      <c r="Q256" s="247">
        <v>0</v>
      </c>
      <c r="R256" s="247">
        <v>0</v>
      </c>
      <c r="S256" s="401">
        <v>0</v>
      </c>
      <c r="T256" s="401">
        <v>0</v>
      </c>
      <c r="U256" s="248" t="str">
        <f t="shared" si="21"/>
        <v/>
      </c>
      <c r="V256" s="247"/>
      <c r="W256" s="247"/>
      <c r="X256" s="247"/>
      <c r="Y256" s="247"/>
      <c r="Z256" s="250"/>
      <c r="AA256" s="256" t="str">
        <f t="shared" si="22"/>
        <v/>
      </c>
      <c r="AB256" s="251"/>
    </row>
    <row r="257" spans="1:28" x14ac:dyDescent="0.25">
      <c r="A257" s="559"/>
      <c r="D257" s="253"/>
      <c r="Q257" s="247">
        <v>0</v>
      </c>
      <c r="R257" s="247">
        <v>0</v>
      </c>
      <c r="S257" s="401">
        <v>0</v>
      </c>
      <c r="T257" s="401">
        <v>0</v>
      </c>
      <c r="U257" s="239" t="str">
        <f t="shared" si="21"/>
        <v/>
      </c>
      <c r="AA257" s="240" t="str">
        <f t="shared" si="22"/>
        <v/>
      </c>
    </row>
    <row r="258" spans="1:28" x14ac:dyDescent="0.25">
      <c r="A258" s="558"/>
      <c r="C258" s="242"/>
      <c r="D258" s="242"/>
      <c r="E258" s="243"/>
      <c r="F258" s="244"/>
      <c r="G258" s="243"/>
      <c r="H258" s="245"/>
      <c r="I258" s="243"/>
      <c r="J258" s="243"/>
      <c r="K258" s="246"/>
      <c r="L258" s="245"/>
      <c r="M258" s="243"/>
      <c r="N258" s="243"/>
      <c r="O258" s="243"/>
      <c r="P258" s="243"/>
      <c r="Q258" s="247">
        <v>0</v>
      </c>
      <c r="R258" s="247">
        <v>0</v>
      </c>
      <c r="S258" s="401">
        <v>0</v>
      </c>
      <c r="T258" s="401">
        <v>0</v>
      </c>
      <c r="U258" s="248" t="str">
        <f t="shared" si="21"/>
        <v/>
      </c>
      <c r="V258" s="247"/>
      <c r="W258" s="247"/>
      <c r="X258" s="247"/>
      <c r="Y258" s="247"/>
      <c r="Z258" s="250"/>
      <c r="AA258" s="256" t="str">
        <f t="shared" si="22"/>
        <v/>
      </c>
      <c r="AB258" s="251"/>
    </row>
    <row r="259" spans="1:28" x14ac:dyDescent="0.25">
      <c r="A259" s="559"/>
      <c r="D259" s="253"/>
      <c r="Q259" s="247">
        <v>0</v>
      </c>
      <c r="R259" s="247">
        <v>0</v>
      </c>
      <c r="S259" s="401">
        <v>0</v>
      </c>
      <c r="T259" s="401">
        <v>0</v>
      </c>
      <c r="U259" s="239" t="str">
        <f t="shared" si="21"/>
        <v/>
      </c>
      <c r="AA259" s="240" t="str">
        <f t="shared" si="22"/>
        <v/>
      </c>
    </row>
    <row r="260" spans="1:28" x14ac:dyDescent="0.25">
      <c r="A260" s="558"/>
      <c r="C260" s="242"/>
      <c r="D260" s="242"/>
      <c r="E260" s="243"/>
      <c r="F260" s="244"/>
      <c r="G260" s="243"/>
      <c r="H260" s="245"/>
      <c r="I260" s="243"/>
      <c r="J260" s="243"/>
      <c r="K260" s="246"/>
      <c r="L260" s="245"/>
      <c r="M260" s="243"/>
      <c r="N260" s="243"/>
      <c r="O260" s="243"/>
      <c r="P260" s="243"/>
      <c r="Q260" s="247">
        <v>0</v>
      </c>
      <c r="R260" s="247">
        <v>0</v>
      </c>
      <c r="S260" s="401">
        <v>0</v>
      </c>
      <c r="T260" s="401">
        <v>0</v>
      </c>
      <c r="U260" s="248" t="str">
        <f t="shared" si="21"/>
        <v/>
      </c>
      <c r="V260" s="247"/>
      <c r="W260" s="247"/>
      <c r="X260" s="247"/>
      <c r="Y260" s="247"/>
      <c r="Z260" s="250"/>
      <c r="AA260" s="256" t="str">
        <f t="shared" si="22"/>
        <v/>
      </c>
      <c r="AB260" s="251"/>
    </row>
    <row r="261" spans="1:28" x14ac:dyDescent="0.25">
      <c r="A261" s="559"/>
      <c r="D261" s="253"/>
      <c r="Q261" s="247">
        <v>0</v>
      </c>
      <c r="R261" s="247">
        <v>0</v>
      </c>
      <c r="S261" s="401">
        <v>0</v>
      </c>
      <c r="T261" s="401">
        <v>0</v>
      </c>
      <c r="U261" s="239" t="str">
        <f t="shared" ref="U261:U274" si="23">IF(AND((I261&gt;0),Q261&gt;0),AVERAGE(Q261:R261)/I261,"")</f>
        <v/>
      </c>
      <c r="AA261" s="240" t="str">
        <f t="shared" ref="AA261:AA274" si="24">IF(AND(I261&gt;0,Z261&gt;0),1000*(Z261/I261),"")</f>
        <v/>
      </c>
    </row>
    <row r="262" spans="1:28" x14ac:dyDescent="0.25">
      <c r="A262" s="558"/>
      <c r="C262" s="242"/>
      <c r="D262" s="242"/>
      <c r="E262" s="243"/>
      <c r="F262" s="244"/>
      <c r="G262" s="243"/>
      <c r="H262" s="245"/>
      <c r="I262" s="243"/>
      <c r="J262" s="243"/>
      <c r="K262" s="246"/>
      <c r="L262" s="245"/>
      <c r="M262" s="243"/>
      <c r="N262" s="243"/>
      <c r="O262" s="243"/>
      <c r="P262" s="243"/>
      <c r="Q262" s="247">
        <v>0</v>
      </c>
      <c r="R262" s="247">
        <v>0</v>
      </c>
      <c r="S262" s="401">
        <v>0</v>
      </c>
      <c r="T262" s="401">
        <v>0</v>
      </c>
      <c r="U262" s="248" t="str">
        <f t="shared" si="23"/>
        <v/>
      </c>
      <c r="V262" s="247"/>
      <c r="W262" s="247"/>
      <c r="X262" s="247"/>
      <c r="Y262" s="247"/>
      <c r="Z262" s="250"/>
      <c r="AA262" s="256" t="str">
        <f t="shared" si="24"/>
        <v/>
      </c>
      <c r="AB262" s="251"/>
    </row>
    <row r="263" spans="1:28" x14ac:dyDescent="0.25">
      <c r="A263" s="559"/>
      <c r="D263" s="253"/>
      <c r="Q263" s="247">
        <v>0</v>
      </c>
      <c r="R263" s="247">
        <v>0</v>
      </c>
      <c r="S263" s="401">
        <v>0</v>
      </c>
      <c r="T263" s="401">
        <v>0</v>
      </c>
      <c r="U263" s="239" t="str">
        <f t="shared" si="23"/>
        <v/>
      </c>
      <c r="AA263" s="240" t="str">
        <f t="shared" si="24"/>
        <v/>
      </c>
    </row>
    <row r="264" spans="1:28" x14ac:dyDescent="0.25">
      <c r="A264" s="558"/>
      <c r="C264" s="242"/>
      <c r="D264" s="242"/>
      <c r="E264" s="243"/>
      <c r="F264" s="244"/>
      <c r="G264" s="243"/>
      <c r="H264" s="245"/>
      <c r="I264" s="243"/>
      <c r="J264" s="243"/>
      <c r="K264" s="246"/>
      <c r="L264" s="245"/>
      <c r="M264" s="243"/>
      <c r="N264" s="243"/>
      <c r="O264" s="243"/>
      <c r="P264" s="243"/>
      <c r="Q264" s="247">
        <v>0</v>
      </c>
      <c r="R264" s="247">
        <v>0</v>
      </c>
      <c r="S264" s="401">
        <v>0</v>
      </c>
      <c r="T264" s="401">
        <v>0</v>
      </c>
      <c r="U264" s="248" t="str">
        <f t="shared" si="23"/>
        <v/>
      </c>
      <c r="V264" s="247"/>
      <c r="W264" s="247"/>
      <c r="X264" s="247"/>
      <c r="Y264" s="247"/>
      <c r="Z264" s="250"/>
      <c r="AA264" s="256" t="str">
        <f t="shared" si="24"/>
        <v/>
      </c>
      <c r="AB264" s="251"/>
    </row>
    <row r="265" spans="1:28" x14ac:dyDescent="0.25">
      <c r="A265" s="559"/>
      <c r="D265" s="253"/>
      <c r="Q265" s="247">
        <v>0</v>
      </c>
      <c r="R265" s="247">
        <v>0</v>
      </c>
      <c r="S265" s="401">
        <v>0</v>
      </c>
      <c r="T265" s="401">
        <v>0</v>
      </c>
      <c r="U265" s="239" t="str">
        <f t="shared" si="23"/>
        <v/>
      </c>
      <c r="AA265" s="240" t="str">
        <f t="shared" si="24"/>
        <v/>
      </c>
    </row>
    <row r="266" spans="1:28" x14ac:dyDescent="0.25">
      <c r="A266" s="558"/>
      <c r="C266" s="242"/>
      <c r="D266" s="242"/>
      <c r="E266" s="243"/>
      <c r="F266" s="244"/>
      <c r="G266" s="243"/>
      <c r="H266" s="245"/>
      <c r="I266" s="243"/>
      <c r="J266" s="243"/>
      <c r="K266" s="246"/>
      <c r="L266" s="245"/>
      <c r="M266" s="243"/>
      <c r="N266" s="243"/>
      <c r="O266" s="243"/>
      <c r="P266" s="243"/>
      <c r="Q266" s="247">
        <v>0</v>
      </c>
      <c r="R266" s="247">
        <v>0</v>
      </c>
      <c r="S266" s="401">
        <v>0</v>
      </c>
      <c r="T266" s="401">
        <v>0</v>
      </c>
      <c r="U266" s="248" t="str">
        <f t="shared" si="23"/>
        <v/>
      </c>
      <c r="V266" s="247"/>
      <c r="W266" s="247"/>
      <c r="X266" s="247"/>
      <c r="Y266" s="247"/>
      <c r="Z266" s="250"/>
      <c r="AA266" s="256" t="str">
        <f t="shared" si="24"/>
        <v/>
      </c>
      <c r="AB266" s="251"/>
    </row>
    <row r="267" spans="1:28" x14ac:dyDescent="0.25">
      <c r="A267" s="559"/>
      <c r="D267" s="253"/>
      <c r="Q267" s="247">
        <v>0</v>
      </c>
      <c r="R267" s="247">
        <v>0</v>
      </c>
      <c r="S267" s="401">
        <v>0</v>
      </c>
      <c r="T267" s="401">
        <v>0</v>
      </c>
      <c r="U267" s="239" t="str">
        <f t="shared" si="23"/>
        <v/>
      </c>
      <c r="AA267" s="240" t="str">
        <f t="shared" si="24"/>
        <v/>
      </c>
    </row>
    <row r="268" spans="1:28" x14ac:dyDescent="0.25">
      <c r="A268" s="558"/>
      <c r="C268" s="242"/>
      <c r="D268" s="242"/>
      <c r="E268" s="243"/>
      <c r="F268" s="244"/>
      <c r="G268" s="243"/>
      <c r="H268" s="245"/>
      <c r="I268" s="243"/>
      <c r="J268" s="243"/>
      <c r="K268" s="246"/>
      <c r="L268" s="245"/>
      <c r="M268" s="243"/>
      <c r="N268" s="243"/>
      <c r="O268" s="243"/>
      <c r="P268" s="243"/>
      <c r="Q268" s="247">
        <v>0</v>
      </c>
      <c r="R268" s="247">
        <v>0</v>
      </c>
      <c r="S268" s="401">
        <v>0</v>
      </c>
      <c r="T268" s="401">
        <v>0</v>
      </c>
      <c r="U268" s="248" t="str">
        <f t="shared" si="23"/>
        <v/>
      </c>
      <c r="V268" s="247"/>
      <c r="W268" s="247"/>
      <c r="X268" s="247"/>
      <c r="Y268" s="247"/>
      <c r="Z268" s="250"/>
      <c r="AA268" s="256" t="str">
        <f t="shared" si="24"/>
        <v/>
      </c>
      <c r="AB268" s="251"/>
    </row>
    <row r="269" spans="1:28" x14ac:dyDescent="0.25">
      <c r="A269" s="559"/>
      <c r="D269" s="253"/>
      <c r="Q269" s="247">
        <v>0</v>
      </c>
      <c r="R269" s="247">
        <v>0</v>
      </c>
      <c r="S269" s="401">
        <v>0</v>
      </c>
      <c r="T269" s="401">
        <v>0</v>
      </c>
      <c r="U269" s="239" t="str">
        <f t="shared" si="23"/>
        <v/>
      </c>
      <c r="AA269" s="240" t="str">
        <f t="shared" si="24"/>
        <v/>
      </c>
    </row>
    <row r="270" spans="1:28" x14ac:dyDescent="0.25">
      <c r="A270" s="558"/>
      <c r="C270" s="242"/>
      <c r="D270" s="242"/>
      <c r="E270" s="243"/>
      <c r="F270" s="244"/>
      <c r="G270" s="243"/>
      <c r="H270" s="245"/>
      <c r="I270" s="243"/>
      <c r="J270" s="243"/>
      <c r="K270" s="246"/>
      <c r="L270" s="245"/>
      <c r="M270" s="243"/>
      <c r="N270" s="243"/>
      <c r="O270" s="243"/>
      <c r="P270" s="243"/>
      <c r="Q270" s="247">
        <v>0</v>
      </c>
      <c r="R270" s="247">
        <v>0</v>
      </c>
      <c r="S270" s="401">
        <v>0</v>
      </c>
      <c r="T270" s="401">
        <v>0</v>
      </c>
      <c r="U270" s="248" t="str">
        <f t="shared" si="23"/>
        <v/>
      </c>
      <c r="V270" s="247"/>
      <c r="W270" s="247"/>
      <c r="X270" s="247"/>
      <c r="Y270" s="247"/>
      <c r="Z270" s="250"/>
      <c r="AA270" s="256" t="str">
        <f t="shared" si="24"/>
        <v/>
      </c>
      <c r="AB270" s="251"/>
    </row>
    <row r="271" spans="1:28" x14ac:dyDescent="0.25">
      <c r="A271" s="559"/>
      <c r="D271" s="253"/>
      <c r="Q271" s="247">
        <v>0</v>
      </c>
      <c r="R271" s="247">
        <v>0</v>
      </c>
      <c r="S271" s="401">
        <v>0</v>
      </c>
      <c r="T271" s="401">
        <v>0</v>
      </c>
      <c r="U271" s="239" t="str">
        <f t="shared" si="23"/>
        <v/>
      </c>
      <c r="AA271" s="240" t="str">
        <f t="shared" si="24"/>
        <v/>
      </c>
    </row>
    <row r="272" spans="1:28" x14ac:dyDescent="0.25">
      <c r="A272" s="558"/>
      <c r="C272" s="242"/>
      <c r="D272" s="242"/>
      <c r="E272" s="243"/>
      <c r="F272" s="244"/>
      <c r="G272" s="243"/>
      <c r="H272" s="245"/>
      <c r="I272" s="243"/>
      <c r="J272" s="243"/>
      <c r="K272" s="246"/>
      <c r="L272" s="245"/>
      <c r="M272" s="243"/>
      <c r="N272" s="243"/>
      <c r="O272" s="243"/>
      <c r="P272" s="243"/>
      <c r="Q272" s="247">
        <v>0</v>
      </c>
      <c r="R272" s="247">
        <v>0</v>
      </c>
      <c r="S272" s="401">
        <v>0</v>
      </c>
      <c r="T272" s="401">
        <v>0</v>
      </c>
      <c r="U272" s="248" t="str">
        <f t="shared" si="23"/>
        <v/>
      </c>
      <c r="V272" s="247"/>
      <c r="W272" s="247"/>
      <c r="X272" s="247"/>
      <c r="Y272" s="247"/>
      <c r="Z272" s="250"/>
      <c r="AA272" s="256" t="str">
        <f t="shared" si="24"/>
        <v/>
      </c>
      <c r="AB272" s="251"/>
    </row>
    <row r="273" spans="1:28" x14ac:dyDescent="0.25">
      <c r="A273" s="559"/>
      <c r="D273" s="253"/>
      <c r="Q273" s="247">
        <v>0</v>
      </c>
      <c r="R273" s="247">
        <v>0</v>
      </c>
      <c r="S273" s="401">
        <v>0</v>
      </c>
      <c r="T273" s="401">
        <v>0</v>
      </c>
      <c r="U273" s="239" t="str">
        <f t="shared" si="23"/>
        <v/>
      </c>
      <c r="AA273" s="240" t="str">
        <f t="shared" si="24"/>
        <v/>
      </c>
    </row>
    <row r="274" spans="1:28" x14ac:dyDescent="0.25">
      <c r="A274" s="558"/>
      <c r="C274" s="242"/>
      <c r="D274" s="242"/>
      <c r="E274" s="243"/>
      <c r="F274" s="244"/>
      <c r="G274" s="243"/>
      <c r="H274" s="245"/>
      <c r="I274" s="243"/>
      <c r="J274" s="243"/>
      <c r="K274" s="246"/>
      <c r="L274" s="245"/>
      <c r="M274" s="243"/>
      <c r="N274" s="243"/>
      <c r="O274" s="243"/>
      <c r="P274" s="243"/>
      <c r="Q274" s="247">
        <v>0</v>
      </c>
      <c r="R274" s="247">
        <v>0</v>
      </c>
      <c r="S274" s="401">
        <v>0</v>
      </c>
      <c r="T274" s="401">
        <v>0</v>
      </c>
      <c r="U274" s="248" t="str">
        <f t="shared" si="23"/>
        <v/>
      </c>
      <c r="V274" s="247"/>
      <c r="W274" s="247"/>
      <c r="X274" s="247"/>
      <c r="Y274" s="247"/>
      <c r="Z274" s="250"/>
      <c r="AA274" s="256" t="str">
        <f t="shared" si="24"/>
        <v/>
      </c>
      <c r="AB274" s="251"/>
    </row>
    <row r="275" spans="1:28" x14ac:dyDescent="0.25">
      <c r="A275" s="559"/>
      <c r="D275" s="253"/>
      <c r="Q275" s="247">
        <v>0</v>
      </c>
      <c r="R275" s="247">
        <v>0</v>
      </c>
      <c r="S275" s="401">
        <v>0</v>
      </c>
      <c r="T275" s="401">
        <v>0</v>
      </c>
      <c r="U275" s="239" t="str">
        <f t="shared" ref="U275:U283" si="25">IF(AND((I275&gt;0),Q275&gt;0),AVERAGE(Q275:R275)/I275,"")</f>
        <v/>
      </c>
      <c r="AA275" s="240" t="str">
        <f t="shared" ref="AA275:AA283" si="26">IF(AND(I275&gt;0,Z275&gt;0),1000*(Z275/I275),"")</f>
        <v/>
      </c>
    </row>
    <row r="276" spans="1:28" x14ac:dyDescent="0.25">
      <c r="A276" s="558"/>
      <c r="C276" s="242"/>
      <c r="D276" s="242"/>
      <c r="E276" s="243"/>
      <c r="F276" s="244"/>
      <c r="G276" s="243"/>
      <c r="H276" s="245"/>
      <c r="I276" s="243"/>
      <c r="J276" s="243"/>
      <c r="K276" s="246"/>
      <c r="L276" s="245"/>
      <c r="M276" s="243"/>
      <c r="N276" s="243"/>
      <c r="O276" s="243"/>
      <c r="P276" s="243"/>
      <c r="Q276" s="247">
        <v>0</v>
      </c>
      <c r="R276" s="247">
        <v>0</v>
      </c>
      <c r="S276" s="401">
        <v>0</v>
      </c>
      <c r="T276" s="401">
        <v>0</v>
      </c>
      <c r="U276" s="248" t="str">
        <f t="shared" si="25"/>
        <v/>
      </c>
      <c r="V276" s="247"/>
      <c r="W276" s="247"/>
      <c r="X276" s="247"/>
      <c r="Y276" s="247"/>
      <c r="Z276" s="250"/>
      <c r="AA276" s="256" t="str">
        <f t="shared" si="26"/>
        <v/>
      </c>
      <c r="AB276" s="251"/>
    </row>
    <row r="277" spans="1:28" x14ac:dyDescent="0.25">
      <c r="A277" s="559"/>
      <c r="D277" s="253"/>
      <c r="Q277" s="247">
        <v>0</v>
      </c>
      <c r="R277" s="247">
        <v>0</v>
      </c>
      <c r="S277" s="401">
        <v>0</v>
      </c>
      <c r="T277" s="401">
        <v>0</v>
      </c>
      <c r="U277" s="239" t="str">
        <f t="shared" si="25"/>
        <v/>
      </c>
      <c r="AA277" s="240" t="str">
        <f t="shared" si="26"/>
        <v/>
      </c>
    </row>
    <row r="278" spans="1:28" x14ac:dyDescent="0.25">
      <c r="A278" s="558"/>
      <c r="C278" s="242"/>
      <c r="D278" s="242"/>
      <c r="E278" s="243"/>
      <c r="F278" s="244"/>
      <c r="G278" s="243"/>
      <c r="H278" s="245"/>
      <c r="I278" s="243"/>
      <c r="J278" s="243"/>
      <c r="K278" s="246"/>
      <c r="L278" s="245"/>
      <c r="M278" s="243"/>
      <c r="N278" s="243"/>
      <c r="O278" s="243"/>
      <c r="P278" s="243"/>
      <c r="Q278" s="247">
        <v>0</v>
      </c>
      <c r="R278" s="247">
        <v>0</v>
      </c>
      <c r="S278" s="401">
        <v>0</v>
      </c>
      <c r="T278" s="401">
        <v>0</v>
      </c>
      <c r="U278" s="248" t="str">
        <f t="shared" si="25"/>
        <v/>
      </c>
      <c r="V278" s="247"/>
      <c r="W278" s="247"/>
      <c r="X278" s="247"/>
      <c r="Y278" s="247"/>
      <c r="Z278" s="250"/>
      <c r="AA278" s="256" t="str">
        <f t="shared" si="26"/>
        <v/>
      </c>
      <c r="AB278" s="251"/>
    </row>
    <row r="279" spans="1:28" x14ac:dyDescent="0.25">
      <c r="A279" s="559"/>
      <c r="D279" s="253"/>
      <c r="Q279" s="247">
        <v>0</v>
      </c>
      <c r="R279" s="247">
        <v>0</v>
      </c>
      <c r="S279" s="401">
        <v>0</v>
      </c>
      <c r="T279" s="401">
        <v>0</v>
      </c>
      <c r="U279" s="239" t="str">
        <f t="shared" si="25"/>
        <v/>
      </c>
      <c r="AA279" s="240" t="str">
        <f t="shared" si="26"/>
        <v/>
      </c>
    </row>
    <row r="280" spans="1:28" x14ac:dyDescent="0.25">
      <c r="A280" s="558"/>
      <c r="C280" s="242"/>
      <c r="D280" s="242"/>
      <c r="E280" s="243"/>
      <c r="F280" s="244"/>
      <c r="G280" s="243"/>
      <c r="H280" s="245"/>
      <c r="I280" s="243"/>
      <c r="J280" s="243"/>
      <c r="K280" s="246"/>
      <c r="L280" s="245"/>
      <c r="M280" s="243"/>
      <c r="N280" s="243"/>
      <c r="O280" s="243"/>
      <c r="P280" s="243"/>
      <c r="Q280" s="247">
        <v>0</v>
      </c>
      <c r="R280" s="247">
        <v>0</v>
      </c>
      <c r="S280" s="401">
        <v>0</v>
      </c>
      <c r="T280" s="401">
        <v>0</v>
      </c>
      <c r="U280" s="248" t="str">
        <f t="shared" si="25"/>
        <v/>
      </c>
      <c r="V280" s="247"/>
      <c r="W280" s="247"/>
      <c r="X280" s="247"/>
      <c r="Y280" s="247"/>
      <c r="Z280" s="250"/>
      <c r="AA280" s="256" t="str">
        <f t="shared" si="26"/>
        <v/>
      </c>
      <c r="AB280" s="251"/>
    </row>
    <row r="281" spans="1:28" x14ac:dyDescent="0.25">
      <c r="A281" s="559"/>
      <c r="D281" s="253"/>
      <c r="Q281" s="247">
        <v>0</v>
      </c>
      <c r="R281" s="247">
        <v>0</v>
      </c>
      <c r="S281" s="401">
        <v>0</v>
      </c>
      <c r="T281" s="401">
        <v>0</v>
      </c>
      <c r="U281" s="239" t="str">
        <f t="shared" si="25"/>
        <v/>
      </c>
      <c r="AA281" s="240" t="str">
        <f t="shared" si="26"/>
        <v/>
      </c>
    </row>
    <row r="282" spans="1:28" x14ac:dyDescent="0.25">
      <c r="A282" s="558"/>
      <c r="C282" s="242"/>
      <c r="D282" s="242"/>
      <c r="E282" s="243"/>
      <c r="F282" s="244"/>
      <c r="G282" s="243"/>
      <c r="H282" s="245"/>
      <c r="I282" s="243"/>
      <c r="J282" s="243"/>
      <c r="K282" s="246"/>
      <c r="L282" s="245"/>
      <c r="M282" s="243"/>
      <c r="N282" s="243"/>
      <c r="O282" s="243"/>
      <c r="P282" s="243"/>
      <c r="Q282" s="247">
        <v>0</v>
      </c>
      <c r="R282" s="247">
        <v>0</v>
      </c>
      <c r="S282" s="401">
        <v>0</v>
      </c>
      <c r="T282" s="401">
        <v>0</v>
      </c>
      <c r="U282" s="248" t="str">
        <f t="shared" si="25"/>
        <v/>
      </c>
      <c r="V282" s="247"/>
      <c r="W282" s="247"/>
      <c r="X282" s="247"/>
      <c r="Y282" s="247"/>
      <c r="Z282" s="250"/>
      <c r="AA282" s="256" t="str">
        <f t="shared" si="26"/>
        <v/>
      </c>
      <c r="AB282" s="251"/>
    </row>
    <row r="283" spans="1:28" x14ac:dyDescent="0.25">
      <c r="A283" s="559"/>
      <c r="D283" s="253"/>
      <c r="Q283" s="247">
        <v>0</v>
      </c>
      <c r="R283" s="247">
        <v>0</v>
      </c>
      <c r="S283" s="401">
        <v>0</v>
      </c>
      <c r="T283" s="401">
        <v>0</v>
      </c>
      <c r="U283" s="239" t="str">
        <f t="shared" si="25"/>
        <v/>
      </c>
      <c r="AA283" s="240" t="str">
        <f t="shared" si="26"/>
        <v/>
      </c>
    </row>
    <row r="284" spans="1:28" x14ac:dyDescent="0.25">
      <c r="A284" s="558"/>
      <c r="C284" s="242"/>
      <c r="D284" s="242"/>
      <c r="E284" s="243"/>
      <c r="F284" s="244"/>
      <c r="G284" s="243"/>
      <c r="H284" s="245"/>
      <c r="I284" s="243"/>
      <c r="J284" s="243"/>
      <c r="K284" s="246"/>
      <c r="L284" s="245"/>
      <c r="M284" s="243"/>
      <c r="N284" s="243"/>
      <c r="O284" s="243"/>
      <c r="P284" s="243"/>
      <c r="Q284" s="247">
        <v>0</v>
      </c>
      <c r="R284" s="247">
        <v>0</v>
      </c>
      <c r="S284" s="401">
        <v>0</v>
      </c>
      <c r="T284" s="401">
        <v>0</v>
      </c>
      <c r="U284" s="248" t="str">
        <f t="shared" ref="U284:U327" si="27">IF(AND((I284&gt;0),Q284&gt;0),AVERAGE(Q284:R284)/I284,"")</f>
        <v/>
      </c>
      <c r="V284" s="247"/>
      <c r="W284" s="247"/>
      <c r="X284" s="247"/>
      <c r="Y284" s="247"/>
      <c r="Z284" s="250"/>
      <c r="AA284" s="256" t="str">
        <f t="shared" ref="AA284:AA327" si="28">IF(AND(I284&gt;0,Z284&gt;0),1000*(Z284/I284),"")</f>
        <v/>
      </c>
      <c r="AB284" s="251"/>
    </row>
    <row r="285" spans="1:28" x14ac:dyDescent="0.25">
      <c r="A285" s="559"/>
      <c r="D285" s="253"/>
      <c r="Q285" s="247">
        <v>0</v>
      </c>
      <c r="R285" s="247">
        <v>0</v>
      </c>
      <c r="S285" s="401">
        <v>0</v>
      </c>
      <c r="T285" s="401">
        <v>0</v>
      </c>
      <c r="U285" s="239" t="str">
        <f t="shared" si="27"/>
        <v/>
      </c>
      <c r="AA285" s="240" t="str">
        <f t="shared" si="28"/>
        <v/>
      </c>
    </row>
    <row r="286" spans="1:28" x14ac:dyDescent="0.25">
      <c r="A286" s="558"/>
      <c r="C286" s="242"/>
      <c r="D286" s="242"/>
      <c r="E286" s="243"/>
      <c r="F286" s="244"/>
      <c r="G286" s="243"/>
      <c r="H286" s="245"/>
      <c r="I286" s="243"/>
      <c r="J286" s="243"/>
      <c r="K286" s="246"/>
      <c r="L286" s="245"/>
      <c r="M286" s="243"/>
      <c r="N286" s="243"/>
      <c r="O286" s="243"/>
      <c r="P286" s="243"/>
      <c r="Q286" s="247">
        <v>0</v>
      </c>
      <c r="R286" s="247">
        <v>0</v>
      </c>
      <c r="S286" s="401">
        <v>0</v>
      </c>
      <c r="T286" s="401">
        <v>0</v>
      </c>
      <c r="U286" s="248" t="str">
        <f t="shared" si="27"/>
        <v/>
      </c>
      <c r="V286" s="247"/>
      <c r="W286" s="247"/>
      <c r="X286" s="247"/>
      <c r="Y286" s="247"/>
      <c r="Z286" s="250"/>
      <c r="AA286" s="256" t="str">
        <f t="shared" si="28"/>
        <v/>
      </c>
      <c r="AB286" s="251"/>
    </row>
    <row r="287" spans="1:28" x14ac:dyDescent="0.25">
      <c r="A287" s="559"/>
      <c r="D287" s="253"/>
      <c r="Q287" s="247">
        <v>0</v>
      </c>
      <c r="R287" s="247">
        <v>0</v>
      </c>
      <c r="S287" s="401">
        <v>0</v>
      </c>
      <c r="T287" s="401">
        <v>0</v>
      </c>
      <c r="U287" s="239" t="str">
        <f t="shared" si="27"/>
        <v/>
      </c>
      <c r="AA287" s="240" t="str">
        <f t="shared" si="28"/>
        <v/>
      </c>
    </row>
    <row r="288" spans="1:28" x14ac:dyDescent="0.25">
      <c r="A288" s="558"/>
      <c r="C288" s="242"/>
      <c r="D288" s="242"/>
      <c r="E288" s="243"/>
      <c r="F288" s="244"/>
      <c r="G288" s="243"/>
      <c r="H288" s="245"/>
      <c r="I288" s="243"/>
      <c r="J288" s="243"/>
      <c r="K288" s="246"/>
      <c r="L288" s="245"/>
      <c r="M288" s="243"/>
      <c r="N288" s="243"/>
      <c r="O288" s="243"/>
      <c r="P288" s="243"/>
      <c r="Q288" s="247">
        <v>0</v>
      </c>
      <c r="R288" s="247">
        <v>0</v>
      </c>
      <c r="S288" s="401">
        <v>0</v>
      </c>
      <c r="T288" s="401">
        <v>0</v>
      </c>
      <c r="U288" s="248" t="str">
        <f t="shared" si="27"/>
        <v/>
      </c>
      <c r="V288" s="247"/>
      <c r="W288" s="247"/>
      <c r="X288" s="247"/>
      <c r="Y288" s="247"/>
      <c r="Z288" s="250"/>
      <c r="AA288" s="256" t="str">
        <f t="shared" si="28"/>
        <v/>
      </c>
      <c r="AB288" s="251"/>
    </row>
    <row r="289" spans="1:28" x14ac:dyDescent="0.25">
      <c r="A289" s="559"/>
      <c r="D289" s="253"/>
      <c r="Q289" s="247">
        <v>0</v>
      </c>
      <c r="R289" s="247">
        <v>0</v>
      </c>
      <c r="S289" s="401">
        <v>0</v>
      </c>
      <c r="T289" s="401">
        <v>0</v>
      </c>
      <c r="U289" s="239" t="str">
        <f t="shared" si="27"/>
        <v/>
      </c>
      <c r="AA289" s="240" t="str">
        <f t="shared" si="28"/>
        <v/>
      </c>
    </row>
    <row r="290" spans="1:28" x14ac:dyDescent="0.25">
      <c r="A290" s="558"/>
      <c r="C290" s="242"/>
      <c r="D290" s="242"/>
      <c r="E290" s="243"/>
      <c r="F290" s="244"/>
      <c r="G290" s="243"/>
      <c r="H290" s="245"/>
      <c r="I290" s="243"/>
      <c r="J290" s="243"/>
      <c r="K290" s="246"/>
      <c r="L290" s="245"/>
      <c r="M290" s="243"/>
      <c r="N290" s="243"/>
      <c r="O290" s="243"/>
      <c r="P290" s="243"/>
      <c r="Q290" s="247">
        <v>0</v>
      </c>
      <c r="R290" s="247">
        <v>0</v>
      </c>
      <c r="S290" s="401">
        <v>0</v>
      </c>
      <c r="T290" s="401">
        <v>0</v>
      </c>
      <c r="U290" s="248" t="str">
        <f t="shared" si="27"/>
        <v/>
      </c>
      <c r="V290" s="247"/>
      <c r="W290" s="247"/>
      <c r="X290" s="247"/>
      <c r="Y290" s="247"/>
      <c r="Z290" s="250"/>
      <c r="AA290" s="256" t="str">
        <f t="shared" si="28"/>
        <v/>
      </c>
      <c r="AB290" s="251"/>
    </row>
    <row r="291" spans="1:28" x14ac:dyDescent="0.25">
      <c r="A291" s="559"/>
      <c r="D291" s="253"/>
      <c r="Q291" s="247">
        <v>0</v>
      </c>
      <c r="R291" s="247">
        <v>0</v>
      </c>
      <c r="S291" s="401">
        <v>0</v>
      </c>
      <c r="T291" s="401">
        <v>0</v>
      </c>
      <c r="U291" s="239" t="str">
        <f t="shared" si="27"/>
        <v/>
      </c>
      <c r="AA291" s="240" t="str">
        <f t="shared" si="28"/>
        <v/>
      </c>
    </row>
    <row r="292" spans="1:28" x14ac:dyDescent="0.25">
      <c r="A292" s="558"/>
      <c r="C292" s="242"/>
      <c r="D292" s="242"/>
      <c r="E292" s="243"/>
      <c r="F292" s="244"/>
      <c r="G292" s="243"/>
      <c r="H292" s="245"/>
      <c r="I292" s="243"/>
      <c r="J292" s="243"/>
      <c r="K292" s="246"/>
      <c r="L292" s="245"/>
      <c r="M292" s="243"/>
      <c r="N292" s="243"/>
      <c r="O292" s="243"/>
      <c r="P292" s="243"/>
      <c r="Q292" s="247">
        <v>0</v>
      </c>
      <c r="R292" s="247">
        <v>0</v>
      </c>
      <c r="S292" s="401">
        <v>0</v>
      </c>
      <c r="T292" s="401">
        <v>0</v>
      </c>
      <c r="U292" s="248" t="str">
        <f t="shared" si="27"/>
        <v/>
      </c>
      <c r="V292" s="247"/>
      <c r="W292" s="247"/>
      <c r="X292" s="247"/>
      <c r="Y292" s="247"/>
      <c r="Z292" s="250"/>
      <c r="AA292" s="256" t="str">
        <f t="shared" si="28"/>
        <v/>
      </c>
      <c r="AB292" s="251"/>
    </row>
    <row r="293" spans="1:28" x14ac:dyDescent="0.25">
      <c r="A293" s="559"/>
      <c r="D293" s="253"/>
      <c r="Q293" s="247">
        <v>0</v>
      </c>
      <c r="R293" s="247">
        <v>0</v>
      </c>
      <c r="S293" s="401">
        <v>0</v>
      </c>
      <c r="T293" s="401">
        <v>0</v>
      </c>
      <c r="U293" s="239" t="str">
        <f t="shared" si="27"/>
        <v/>
      </c>
      <c r="AA293" s="240" t="str">
        <f t="shared" si="28"/>
        <v/>
      </c>
    </row>
    <row r="294" spans="1:28" x14ac:dyDescent="0.25">
      <c r="A294" s="558"/>
      <c r="C294" s="242"/>
      <c r="D294" s="242"/>
      <c r="E294" s="243"/>
      <c r="F294" s="244"/>
      <c r="G294" s="243"/>
      <c r="H294" s="245"/>
      <c r="I294" s="243"/>
      <c r="J294" s="243"/>
      <c r="K294" s="246"/>
      <c r="L294" s="245"/>
      <c r="M294" s="243"/>
      <c r="N294" s="243"/>
      <c r="O294" s="243"/>
      <c r="P294" s="243"/>
      <c r="Q294" s="247">
        <v>0</v>
      </c>
      <c r="R294" s="247">
        <v>0</v>
      </c>
      <c r="S294" s="401">
        <v>0</v>
      </c>
      <c r="T294" s="401">
        <v>0</v>
      </c>
      <c r="U294" s="248" t="str">
        <f t="shared" si="27"/>
        <v/>
      </c>
      <c r="V294" s="247"/>
      <c r="W294" s="247"/>
      <c r="X294" s="247"/>
      <c r="Y294" s="247"/>
      <c r="Z294" s="250"/>
      <c r="AA294" s="256" t="str">
        <f t="shared" si="28"/>
        <v/>
      </c>
      <c r="AB294" s="251"/>
    </row>
    <row r="295" spans="1:28" x14ac:dyDescent="0.25">
      <c r="A295" s="559"/>
      <c r="D295" s="253"/>
      <c r="Q295" s="247">
        <v>0</v>
      </c>
      <c r="R295" s="247">
        <v>0</v>
      </c>
      <c r="S295" s="401">
        <v>0</v>
      </c>
      <c r="T295" s="401">
        <v>0</v>
      </c>
      <c r="U295" s="239" t="str">
        <f t="shared" si="27"/>
        <v/>
      </c>
      <c r="AA295" s="240" t="str">
        <f t="shared" si="28"/>
        <v/>
      </c>
    </row>
    <row r="296" spans="1:28" x14ac:dyDescent="0.25">
      <c r="A296" s="558"/>
      <c r="C296" s="242"/>
      <c r="D296" s="242"/>
      <c r="E296" s="243"/>
      <c r="F296" s="244"/>
      <c r="G296" s="243"/>
      <c r="H296" s="245"/>
      <c r="I296" s="243"/>
      <c r="J296" s="243"/>
      <c r="K296" s="246"/>
      <c r="L296" s="245"/>
      <c r="M296" s="243"/>
      <c r="N296" s="243"/>
      <c r="O296" s="243"/>
      <c r="P296" s="243"/>
      <c r="Q296" s="247">
        <v>0</v>
      </c>
      <c r="R296" s="247">
        <v>0</v>
      </c>
      <c r="S296" s="401">
        <v>0</v>
      </c>
      <c r="T296" s="401">
        <v>0</v>
      </c>
      <c r="U296" s="248" t="str">
        <f t="shared" si="27"/>
        <v/>
      </c>
      <c r="V296" s="247"/>
      <c r="W296" s="247"/>
      <c r="X296" s="247"/>
      <c r="Y296" s="247"/>
      <c r="Z296" s="250"/>
      <c r="AA296" s="256" t="str">
        <f t="shared" si="28"/>
        <v/>
      </c>
      <c r="AB296" s="251"/>
    </row>
    <row r="297" spans="1:28" x14ac:dyDescent="0.25">
      <c r="A297" s="559"/>
      <c r="D297" s="253"/>
      <c r="Q297" s="247">
        <v>0</v>
      </c>
      <c r="R297" s="247">
        <v>0</v>
      </c>
      <c r="S297" s="401">
        <v>0</v>
      </c>
      <c r="T297" s="401">
        <v>0</v>
      </c>
      <c r="U297" s="239" t="str">
        <f t="shared" si="27"/>
        <v/>
      </c>
      <c r="AA297" s="240" t="str">
        <f t="shared" si="28"/>
        <v/>
      </c>
    </row>
    <row r="298" spans="1:28" x14ac:dyDescent="0.25">
      <c r="A298" s="558"/>
      <c r="C298" s="242"/>
      <c r="D298" s="242"/>
      <c r="E298" s="243"/>
      <c r="F298" s="244"/>
      <c r="G298" s="243"/>
      <c r="H298" s="245"/>
      <c r="I298" s="243"/>
      <c r="J298" s="243"/>
      <c r="K298" s="246"/>
      <c r="L298" s="245"/>
      <c r="M298" s="243"/>
      <c r="N298" s="243"/>
      <c r="O298" s="243"/>
      <c r="P298" s="243"/>
      <c r="Q298" s="247">
        <v>0</v>
      </c>
      <c r="R298" s="247">
        <v>0</v>
      </c>
      <c r="S298" s="401">
        <v>0</v>
      </c>
      <c r="T298" s="401">
        <v>0</v>
      </c>
      <c r="U298" s="248" t="str">
        <f t="shared" si="27"/>
        <v/>
      </c>
      <c r="V298" s="247"/>
      <c r="W298" s="247"/>
      <c r="X298" s="247"/>
      <c r="Y298" s="247"/>
      <c r="Z298" s="250"/>
      <c r="AA298" s="256" t="str">
        <f t="shared" si="28"/>
        <v/>
      </c>
      <c r="AB298" s="251"/>
    </row>
    <row r="299" spans="1:28" x14ac:dyDescent="0.25">
      <c r="A299" s="559"/>
      <c r="D299" s="253"/>
      <c r="Q299" s="247">
        <v>0</v>
      </c>
      <c r="R299" s="247">
        <v>0</v>
      </c>
      <c r="S299" s="401">
        <v>0</v>
      </c>
      <c r="T299" s="401">
        <v>0</v>
      </c>
      <c r="U299" s="239" t="str">
        <f t="shared" si="27"/>
        <v/>
      </c>
      <c r="AA299" s="240" t="str">
        <f t="shared" si="28"/>
        <v/>
      </c>
    </row>
    <row r="300" spans="1:28" x14ac:dyDescent="0.25">
      <c r="A300" s="558"/>
      <c r="C300" s="242"/>
      <c r="D300" s="242"/>
      <c r="E300" s="243"/>
      <c r="F300" s="244"/>
      <c r="G300" s="243"/>
      <c r="H300" s="245"/>
      <c r="I300" s="243"/>
      <c r="J300" s="243"/>
      <c r="K300" s="246"/>
      <c r="L300" s="245"/>
      <c r="M300" s="243"/>
      <c r="N300" s="243"/>
      <c r="O300" s="243"/>
      <c r="P300" s="243"/>
      <c r="Q300" s="247">
        <v>0</v>
      </c>
      <c r="R300" s="247">
        <v>0</v>
      </c>
      <c r="S300" s="401">
        <v>0</v>
      </c>
      <c r="T300" s="401">
        <v>0</v>
      </c>
      <c r="U300" s="248" t="str">
        <f t="shared" si="27"/>
        <v/>
      </c>
      <c r="V300" s="247"/>
      <c r="W300" s="247"/>
      <c r="X300" s="247"/>
      <c r="Y300" s="247"/>
      <c r="Z300" s="250"/>
      <c r="AA300" s="256" t="str">
        <f t="shared" si="28"/>
        <v/>
      </c>
      <c r="AB300" s="251"/>
    </row>
    <row r="301" spans="1:28" x14ac:dyDescent="0.25">
      <c r="A301" s="559"/>
      <c r="D301" s="253"/>
      <c r="Q301" s="247">
        <v>0</v>
      </c>
      <c r="R301" s="247">
        <v>0</v>
      </c>
      <c r="S301" s="401">
        <v>0</v>
      </c>
      <c r="T301" s="401">
        <v>0</v>
      </c>
      <c r="U301" s="239" t="str">
        <f t="shared" si="27"/>
        <v/>
      </c>
      <c r="AA301" s="240" t="str">
        <f t="shared" si="28"/>
        <v/>
      </c>
    </row>
    <row r="302" spans="1:28" x14ac:dyDescent="0.25">
      <c r="A302" s="558"/>
      <c r="C302" s="242"/>
      <c r="D302" s="242"/>
      <c r="E302" s="243"/>
      <c r="F302" s="244"/>
      <c r="G302" s="243"/>
      <c r="H302" s="245"/>
      <c r="I302" s="243"/>
      <c r="J302" s="243"/>
      <c r="K302" s="246"/>
      <c r="L302" s="245"/>
      <c r="M302" s="243"/>
      <c r="N302" s="243"/>
      <c r="O302" s="243"/>
      <c r="P302" s="243"/>
      <c r="Q302" s="247">
        <v>0</v>
      </c>
      <c r="R302" s="247">
        <v>0</v>
      </c>
      <c r="S302" s="401">
        <v>0</v>
      </c>
      <c r="T302" s="401">
        <v>0</v>
      </c>
      <c r="U302" s="248" t="str">
        <f t="shared" si="27"/>
        <v/>
      </c>
      <c r="V302" s="247"/>
      <c r="W302" s="247"/>
      <c r="X302" s="247"/>
      <c r="Y302" s="247"/>
      <c r="Z302" s="250"/>
      <c r="AA302" s="256" t="str">
        <f t="shared" si="28"/>
        <v/>
      </c>
      <c r="AB302" s="251"/>
    </row>
    <row r="303" spans="1:28" x14ac:dyDescent="0.25">
      <c r="A303" s="559"/>
      <c r="D303" s="253"/>
      <c r="Q303" s="247">
        <v>0</v>
      </c>
      <c r="R303" s="247">
        <v>0</v>
      </c>
      <c r="S303" s="401">
        <v>0</v>
      </c>
      <c r="T303" s="401">
        <v>0</v>
      </c>
      <c r="U303" s="239" t="str">
        <f t="shared" si="27"/>
        <v/>
      </c>
      <c r="AA303" s="240" t="str">
        <f t="shared" si="28"/>
        <v/>
      </c>
    </row>
    <row r="304" spans="1:28" x14ac:dyDescent="0.25">
      <c r="A304" s="558"/>
      <c r="C304" s="242"/>
      <c r="D304" s="242"/>
      <c r="E304" s="243"/>
      <c r="F304" s="244"/>
      <c r="G304" s="243"/>
      <c r="H304" s="245"/>
      <c r="I304" s="243"/>
      <c r="J304" s="243"/>
      <c r="K304" s="246"/>
      <c r="L304" s="245"/>
      <c r="M304" s="243"/>
      <c r="N304" s="243"/>
      <c r="O304" s="243"/>
      <c r="P304" s="243"/>
      <c r="Q304" s="247">
        <v>0</v>
      </c>
      <c r="R304" s="247">
        <v>0</v>
      </c>
      <c r="S304" s="401">
        <v>0</v>
      </c>
      <c r="T304" s="401">
        <v>0</v>
      </c>
      <c r="U304" s="248" t="str">
        <f t="shared" si="27"/>
        <v/>
      </c>
      <c r="V304" s="247"/>
      <c r="W304" s="247"/>
      <c r="X304" s="247"/>
      <c r="Y304" s="247"/>
      <c r="Z304" s="250"/>
      <c r="AA304" s="256" t="str">
        <f t="shared" si="28"/>
        <v/>
      </c>
      <c r="AB304" s="251"/>
    </row>
    <row r="305" spans="1:28" x14ac:dyDescent="0.25">
      <c r="A305" s="559"/>
      <c r="D305" s="253"/>
      <c r="Q305" s="247">
        <v>0</v>
      </c>
      <c r="R305" s="247">
        <v>0</v>
      </c>
      <c r="S305" s="401">
        <v>0</v>
      </c>
      <c r="T305" s="401">
        <v>0</v>
      </c>
      <c r="U305" s="239" t="str">
        <f t="shared" si="27"/>
        <v/>
      </c>
      <c r="AA305" s="240" t="str">
        <f t="shared" si="28"/>
        <v/>
      </c>
    </row>
    <row r="306" spans="1:28" x14ac:dyDescent="0.25">
      <c r="A306" s="558"/>
      <c r="C306" s="242"/>
      <c r="D306" s="242"/>
      <c r="E306" s="243"/>
      <c r="F306" s="244"/>
      <c r="G306" s="243"/>
      <c r="H306" s="245"/>
      <c r="I306" s="243"/>
      <c r="J306" s="243"/>
      <c r="K306" s="246"/>
      <c r="L306" s="245"/>
      <c r="M306" s="243"/>
      <c r="N306" s="243"/>
      <c r="O306" s="243"/>
      <c r="P306" s="243"/>
      <c r="Q306" s="247">
        <v>0</v>
      </c>
      <c r="R306" s="247">
        <v>0</v>
      </c>
      <c r="S306" s="401">
        <v>0</v>
      </c>
      <c r="T306" s="401">
        <v>0</v>
      </c>
      <c r="U306" s="248" t="str">
        <f t="shared" si="27"/>
        <v/>
      </c>
      <c r="V306" s="247"/>
      <c r="W306" s="247"/>
      <c r="X306" s="247"/>
      <c r="Y306" s="247"/>
      <c r="Z306" s="250"/>
      <c r="AA306" s="256" t="str">
        <f t="shared" si="28"/>
        <v/>
      </c>
      <c r="AB306" s="251"/>
    </row>
    <row r="307" spans="1:28" x14ac:dyDescent="0.25">
      <c r="A307" s="559"/>
      <c r="D307" s="253"/>
      <c r="Q307" s="247">
        <v>0</v>
      </c>
      <c r="R307" s="247">
        <v>0</v>
      </c>
      <c r="S307" s="401">
        <v>0</v>
      </c>
      <c r="T307" s="401">
        <v>0</v>
      </c>
      <c r="U307" s="239" t="str">
        <f t="shared" si="27"/>
        <v/>
      </c>
      <c r="AA307" s="240" t="str">
        <f t="shared" si="28"/>
        <v/>
      </c>
    </row>
    <row r="308" spans="1:28" x14ac:dyDescent="0.25">
      <c r="A308" s="558"/>
      <c r="C308" s="242"/>
      <c r="D308" s="242"/>
      <c r="E308" s="243"/>
      <c r="F308" s="244"/>
      <c r="G308" s="243"/>
      <c r="H308" s="245"/>
      <c r="I308" s="243"/>
      <c r="J308" s="243"/>
      <c r="K308" s="246"/>
      <c r="L308" s="245"/>
      <c r="M308" s="243"/>
      <c r="N308" s="243"/>
      <c r="O308" s="243"/>
      <c r="P308" s="243"/>
      <c r="Q308" s="247">
        <v>0</v>
      </c>
      <c r="R308" s="247">
        <v>0</v>
      </c>
      <c r="S308" s="401">
        <v>0</v>
      </c>
      <c r="T308" s="401">
        <v>0</v>
      </c>
      <c r="U308" s="248" t="str">
        <f t="shared" si="27"/>
        <v/>
      </c>
      <c r="V308" s="247"/>
      <c r="W308" s="247"/>
      <c r="X308" s="247"/>
      <c r="Y308" s="247"/>
      <c r="Z308" s="250"/>
      <c r="AA308" s="256" t="str">
        <f t="shared" si="28"/>
        <v/>
      </c>
      <c r="AB308" s="251"/>
    </row>
    <row r="309" spans="1:28" x14ac:dyDescent="0.25">
      <c r="A309" s="559"/>
      <c r="D309" s="253"/>
      <c r="Q309" s="247">
        <v>0</v>
      </c>
      <c r="R309" s="247">
        <v>0</v>
      </c>
      <c r="S309" s="401">
        <v>0</v>
      </c>
      <c r="T309" s="401">
        <v>0</v>
      </c>
      <c r="U309" s="239" t="str">
        <f t="shared" si="27"/>
        <v/>
      </c>
      <c r="AA309" s="240" t="str">
        <f t="shared" si="28"/>
        <v/>
      </c>
    </row>
    <row r="310" spans="1:28" x14ac:dyDescent="0.25">
      <c r="A310" s="558"/>
      <c r="C310" s="242"/>
      <c r="D310" s="242"/>
      <c r="E310" s="243"/>
      <c r="F310" s="244"/>
      <c r="G310" s="243"/>
      <c r="H310" s="245"/>
      <c r="I310" s="243"/>
      <c r="J310" s="243"/>
      <c r="K310" s="246"/>
      <c r="L310" s="245"/>
      <c r="M310" s="243"/>
      <c r="N310" s="243"/>
      <c r="O310" s="243"/>
      <c r="P310" s="243"/>
      <c r="Q310" s="247">
        <v>0</v>
      </c>
      <c r="R310" s="247">
        <v>0</v>
      </c>
      <c r="S310" s="401">
        <v>0</v>
      </c>
      <c r="T310" s="401">
        <v>0</v>
      </c>
      <c r="U310" s="248" t="str">
        <f t="shared" si="27"/>
        <v/>
      </c>
      <c r="V310" s="247"/>
      <c r="W310" s="247"/>
      <c r="X310" s="247"/>
      <c r="Y310" s="247"/>
      <c r="Z310" s="250"/>
      <c r="AA310" s="256" t="str">
        <f t="shared" si="28"/>
        <v/>
      </c>
      <c r="AB310" s="251"/>
    </row>
    <row r="311" spans="1:28" x14ac:dyDescent="0.25">
      <c r="A311" s="559"/>
      <c r="D311" s="253"/>
      <c r="Q311" s="247">
        <v>0</v>
      </c>
      <c r="R311" s="247">
        <v>0</v>
      </c>
      <c r="S311" s="401">
        <v>0</v>
      </c>
      <c r="T311" s="401">
        <v>0</v>
      </c>
      <c r="U311" s="239" t="str">
        <f t="shared" si="27"/>
        <v/>
      </c>
      <c r="AA311" s="240" t="str">
        <f t="shared" si="28"/>
        <v/>
      </c>
    </row>
    <row r="312" spans="1:28" x14ac:dyDescent="0.25">
      <c r="A312" s="558"/>
      <c r="C312" s="242"/>
      <c r="D312" s="242"/>
      <c r="E312" s="243"/>
      <c r="F312" s="244"/>
      <c r="G312" s="243"/>
      <c r="H312" s="245"/>
      <c r="I312" s="243"/>
      <c r="J312" s="243"/>
      <c r="K312" s="246"/>
      <c r="L312" s="245"/>
      <c r="M312" s="243"/>
      <c r="N312" s="243"/>
      <c r="O312" s="243"/>
      <c r="P312" s="243"/>
      <c r="Q312" s="247">
        <v>0</v>
      </c>
      <c r="R312" s="247">
        <v>0</v>
      </c>
      <c r="S312" s="401">
        <v>0</v>
      </c>
      <c r="T312" s="401">
        <v>0</v>
      </c>
      <c r="U312" s="248" t="str">
        <f t="shared" si="27"/>
        <v/>
      </c>
      <c r="V312" s="247"/>
      <c r="W312" s="247"/>
      <c r="X312" s="247"/>
      <c r="Y312" s="247"/>
      <c r="Z312" s="250"/>
      <c r="AA312" s="256" t="str">
        <f t="shared" si="28"/>
        <v/>
      </c>
      <c r="AB312" s="251"/>
    </row>
    <row r="313" spans="1:28" x14ac:dyDescent="0.25">
      <c r="A313" s="559"/>
      <c r="D313" s="253"/>
      <c r="Q313" s="247">
        <v>0</v>
      </c>
      <c r="R313" s="247">
        <v>0</v>
      </c>
      <c r="S313" s="401">
        <v>0</v>
      </c>
      <c r="T313" s="401">
        <v>0</v>
      </c>
      <c r="U313" s="239" t="str">
        <f t="shared" si="27"/>
        <v/>
      </c>
      <c r="AA313" s="240" t="str">
        <f t="shared" si="28"/>
        <v/>
      </c>
    </row>
    <row r="314" spans="1:28" x14ac:dyDescent="0.25">
      <c r="A314" s="558"/>
      <c r="C314" s="242"/>
      <c r="D314" s="242"/>
      <c r="E314" s="243"/>
      <c r="F314" s="244"/>
      <c r="G314" s="243"/>
      <c r="H314" s="245"/>
      <c r="I314" s="243"/>
      <c r="J314" s="243"/>
      <c r="K314" s="246"/>
      <c r="L314" s="245"/>
      <c r="M314" s="243"/>
      <c r="N314" s="243"/>
      <c r="O314" s="243"/>
      <c r="P314" s="243"/>
      <c r="Q314" s="247">
        <v>0</v>
      </c>
      <c r="R314" s="247">
        <v>0</v>
      </c>
      <c r="S314" s="401">
        <v>0</v>
      </c>
      <c r="T314" s="401">
        <v>0</v>
      </c>
      <c r="U314" s="248" t="str">
        <f t="shared" si="27"/>
        <v/>
      </c>
      <c r="V314" s="247"/>
      <c r="W314" s="247"/>
      <c r="X314" s="247"/>
      <c r="Y314" s="247"/>
      <c r="Z314" s="250"/>
      <c r="AA314" s="256" t="str">
        <f t="shared" si="28"/>
        <v/>
      </c>
      <c r="AB314" s="251"/>
    </row>
    <row r="315" spans="1:28" x14ac:dyDescent="0.25">
      <c r="A315" s="559"/>
      <c r="D315" s="253"/>
      <c r="Q315" s="247">
        <v>0</v>
      </c>
      <c r="R315" s="247">
        <v>0</v>
      </c>
      <c r="S315" s="401">
        <v>0</v>
      </c>
      <c r="T315" s="401">
        <v>0</v>
      </c>
      <c r="U315" s="239" t="str">
        <f t="shared" si="27"/>
        <v/>
      </c>
      <c r="AA315" s="240" t="str">
        <f t="shared" si="28"/>
        <v/>
      </c>
    </row>
    <row r="316" spans="1:28" x14ac:dyDescent="0.25">
      <c r="A316" s="558"/>
      <c r="C316" s="242"/>
      <c r="D316" s="242"/>
      <c r="E316" s="243"/>
      <c r="F316" s="244"/>
      <c r="G316" s="243"/>
      <c r="H316" s="245"/>
      <c r="I316" s="243"/>
      <c r="J316" s="243"/>
      <c r="K316" s="246"/>
      <c r="L316" s="245"/>
      <c r="M316" s="243"/>
      <c r="N316" s="243"/>
      <c r="O316" s="243"/>
      <c r="P316" s="243"/>
      <c r="Q316" s="247">
        <v>0</v>
      </c>
      <c r="R316" s="247">
        <v>0</v>
      </c>
      <c r="S316" s="401">
        <v>0</v>
      </c>
      <c r="T316" s="401">
        <v>0</v>
      </c>
      <c r="U316" s="248" t="str">
        <f t="shared" si="27"/>
        <v/>
      </c>
      <c r="V316" s="247"/>
      <c r="W316" s="247"/>
      <c r="X316" s="247"/>
      <c r="Y316" s="247"/>
      <c r="Z316" s="250"/>
      <c r="AA316" s="256" t="str">
        <f t="shared" si="28"/>
        <v/>
      </c>
      <c r="AB316" s="251"/>
    </row>
    <row r="317" spans="1:28" x14ac:dyDescent="0.25">
      <c r="A317" s="559"/>
      <c r="D317" s="253"/>
      <c r="Q317" s="247">
        <v>0</v>
      </c>
      <c r="R317" s="247">
        <v>0</v>
      </c>
      <c r="S317" s="401">
        <v>0</v>
      </c>
      <c r="T317" s="401">
        <v>0</v>
      </c>
      <c r="U317" s="239" t="str">
        <f t="shared" si="27"/>
        <v/>
      </c>
      <c r="AA317" s="240" t="str">
        <f t="shared" si="28"/>
        <v/>
      </c>
    </row>
    <row r="318" spans="1:28" x14ac:dyDescent="0.25">
      <c r="A318" s="558"/>
      <c r="C318" s="242"/>
      <c r="D318" s="242"/>
      <c r="E318" s="243"/>
      <c r="F318" s="244"/>
      <c r="G318" s="243"/>
      <c r="H318" s="245"/>
      <c r="I318" s="243"/>
      <c r="J318" s="243"/>
      <c r="K318" s="246"/>
      <c r="L318" s="245"/>
      <c r="M318" s="243"/>
      <c r="N318" s="243"/>
      <c r="O318" s="243"/>
      <c r="P318" s="243"/>
      <c r="Q318" s="247">
        <v>0</v>
      </c>
      <c r="R318" s="247">
        <v>0</v>
      </c>
      <c r="S318" s="401">
        <v>0</v>
      </c>
      <c r="T318" s="401">
        <v>0</v>
      </c>
      <c r="U318" s="248" t="str">
        <f t="shared" si="27"/>
        <v/>
      </c>
      <c r="V318" s="247"/>
      <c r="W318" s="247"/>
      <c r="X318" s="247"/>
      <c r="Y318" s="247"/>
      <c r="Z318" s="250"/>
      <c r="AA318" s="256" t="str">
        <f t="shared" si="28"/>
        <v/>
      </c>
      <c r="AB318" s="251"/>
    </row>
    <row r="319" spans="1:28" x14ac:dyDescent="0.25">
      <c r="A319" s="559"/>
      <c r="D319" s="253"/>
      <c r="Q319" s="247">
        <v>0</v>
      </c>
      <c r="R319" s="247">
        <v>0</v>
      </c>
      <c r="S319" s="401">
        <v>0</v>
      </c>
      <c r="T319" s="401">
        <v>0</v>
      </c>
      <c r="U319" s="239" t="str">
        <f t="shared" si="27"/>
        <v/>
      </c>
      <c r="AA319" s="240" t="str">
        <f t="shared" si="28"/>
        <v/>
      </c>
    </row>
    <row r="320" spans="1:28" x14ac:dyDescent="0.25">
      <c r="A320" s="558"/>
      <c r="C320" s="242"/>
      <c r="D320" s="242"/>
      <c r="E320" s="243"/>
      <c r="F320" s="244"/>
      <c r="G320" s="243"/>
      <c r="H320" s="245"/>
      <c r="I320" s="243"/>
      <c r="J320" s="243"/>
      <c r="K320" s="246"/>
      <c r="L320" s="245"/>
      <c r="M320" s="243"/>
      <c r="N320" s="243"/>
      <c r="O320" s="243"/>
      <c r="P320" s="243"/>
      <c r="Q320" s="247">
        <v>0</v>
      </c>
      <c r="R320" s="247">
        <v>0</v>
      </c>
      <c r="S320" s="401">
        <v>0</v>
      </c>
      <c r="T320" s="401">
        <v>0</v>
      </c>
      <c r="U320" s="248" t="str">
        <f t="shared" si="27"/>
        <v/>
      </c>
      <c r="V320" s="247"/>
      <c r="W320" s="247"/>
      <c r="X320" s="247"/>
      <c r="Y320" s="247"/>
      <c r="Z320" s="250"/>
      <c r="AA320" s="256" t="str">
        <f t="shared" si="28"/>
        <v/>
      </c>
      <c r="AB320" s="251"/>
    </row>
    <row r="321" spans="1:28" x14ac:dyDescent="0.25">
      <c r="A321" s="559"/>
      <c r="D321" s="253"/>
      <c r="Q321" s="247">
        <v>0</v>
      </c>
      <c r="R321" s="247">
        <v>0</v>
      </c>
      <c r="S321" s="401">
        <v>0</v>
      </c>
      <c r="T321" s="401">
        <v>0</v>
      </c>
      <c r="U321" s="239" t="str">
        <f t="shared" si="27"/>
        <v/>
      </c>
      <c r="AA321" s="240" t="str">
        <f t="shared" si="28"/>
        <v/>
      </c>
    </row>
    <row r="322" spans="1:28" x14ac:dyDescent="0.25">
      <c r="A322" s="558"/>
      <c r="C322" s="242"/>
      <c r="D322" s="242"/>
      <c r="E322" s="243"/>
      <c r="F322" s="244"/>
      <c r="G322" s="243"/>
      <c r="H322" s="245"/>
      <c r="I322" s="243"/>
      <c r="J322" s="243"/>
      <c r="K322" s="246"/>
      <c r="L322" s="245"/>
      <c r="M322" s="243"/>
      <c r="N322" s="243"/>
      <c r="O322" s="243"/>
      <c r="P322" s="243"/>
      <c r="Q322" s="247">
        <v>0</v>
      </c>
      <c r="R322" s="247">
        <v>0</v>
      </c>
      <c r="S322" s="401">
        <v>0</v>
      </c>
      <c r="T322" s="401">
        <v>0</v>
      </c>
      <c r="U322" s="248" t="str">
        <f t="shared" si="27"/>
        <v/>
      </c>
      <c r="V322" s="247"/>
      <c r="W322" s="247"/>
      <c r="X322" s="247"/>
      <c r="Y322" s="247"/>
      <c r="Z322" s="250"/>
      <c r="AA322" s="256" t="str">
        <f t="shared" si="28"/>
        <v/>
      </c>
      <c r="AB322" s="251"/>
    </row>
    <row r="323" spans="1:28" x14ac:dyDescent="0.25">
      <c r="A323" s="559"/>
      <c r="D323" s="253"/>
      <c r="Q323" s="247">
        <v>0</v>
      </c>
      <c r="R323" s="247">
        <v>0</v>
      </c>
      <c r="S323" s="401">
        <v>0</v>
      </c>
      <c r="T323" s="401">
        <v>0</v>
      </c>
      <c r="U323" s="239" t="str">
        <f t="shared" si="27"/>
        <v/>
      </c>
      <c r="AA323" s="240" t="str">
        <f t="shared" si="28"/>
        <v/>
      </c>
    </row>
    <row r="324" spans="1:28" x14ac:dyDescent="0.25">
      <c r="A324" s="558"/>
      <c r="C324" s="242"/>
      <c r="D324" s="242"/>
      <c r="E324" s="243"/>
      <c r="F324" s="244"/>
      <c r="G324" s="243"/>
      <c r="H324" s="245"/>
      <c r="I324" s="243"/>
      <c r="J324" s="243"/>
      <c r="K324" s="246"/>
      <c r="L324" s="245"/>
      <c r="M324" s="243"/>
      <c r="N324" s="243"/>
      <c r="O324" s="243"/>
      <c r="P324" s="243"/>
      <c r="Q324" s="247">
        <v>0</v>
      </c>
      <c r="R324" s="247">
        <v>0</v>
      </c>
      <c r="S324" s="401">
        <v>0</v>
      </c>
      <c r="T324" s="401">
        <v>0</v>
      </c>
      <c r="U324" s="248" t="str">
        <f t="shared" si="27"/>
        <v/>
      </c>
      <c r="V324" s="247"/>
      <c r="W324" s="247"/>
      <c r="X324" s="247"/>
      <c r="Y324" s="247"/>
      <c r="Z324" s="250"/>
      <c r="AA324" s="256" t="str">
        <f t="shared" si="28"/>
        <v/>
      </c>
      <c r="AB324" s="251"/>
    </row>
    <row r="325" spans="1:28" x14ac:dyDescent="0.25">
      <c r="A325" s="559"/>
      <c r="D325" s="253"/>
      <c r="Q325" s="247">
        <v>0</v>
      </c>
      <c r="R325" s="247">
        <v>0</v>
      </c>
      <c r="S325" s="401">
        <v>0</v>
      </c>
      <c r="T325" s="401">
        <v>0</v>
      </c>
      <c r="U325" s="239" t="str">
        <f t="shared" si="27"/>
        <v/>
      </c>
      <c r="AA325" s="240" t="str">
        <f t="shared" si="28"/>
        <v/>
      </c>
    </row>
    <row r="326" spans="1:28" x14ac:dyDescent="0.25">
      <c r="A326" s="558"/>
      <c r="C326" s="242"/>
      <c r="D326" s="242"/>
      <c r="E326" s="243"/>
      <c r="F326" s="244"/>
      <c r="G326" s="243"/>
      <c r="H326" s="245"/>
      <c r="I326" s="243"/>
      <c r="J326" s="243"/>
      <c r="K326" s="246"/>
      <c r="L326" s="245"/>
      <c r="M326" s="243"/>
      <c r="N326" s="243"/>
      <c r="O326" s="243"/>
      <c r="P326" s="243"/>
      <c r="Q326" s="247">
        <v>0</v>
      </c>
      <c r="R326" s="247">
        <v>0</v>
      </c>
      <c r="S326" s="401">
        <v>0</v>
      </c>
      <c r="T326" s="401">
        <v>0</v>
      </c>
      <c r="U326" s="248" t="str">
        <f t="shared" si="27"/>
        <v/>
      </c>
      <c r="V326" s="247"/>
      <c r="W326" s="247"/>
      <c r="X326" s="247"/>
      <c r="Y326" s="247"/>
      <c r="Z326" s="250"/>
      <c r="AA326" s="256" t="str">
        <f t="shared" si="28"/>
        <v/>
      </c>
      <c r="AB326" s="251"/>
    </row>
    <row r="327" spans="1:28" x14ac:dyDescent="0.25">
      <c r="A327" s="559"/>
      <c r="D327" s="253"/>
      <c r="Q327" s="247">
        <v>0</v>
      </c>
      <c r="R327" s="247">
        <v>0</v>
      </c>
      <c r="S327" s="401">
        <v>0</v>
      </c>
      <c r="T327" s="401">
        <v>0</v>
      </c>
      <c r="U327" s="239" t="str">
        <f t="shared" si="27"/>
        <v/>
      </c>
      <c r="AA327" s="240" t="str">
        <f t="shared" si="28"/>
        <v/>
      </c>
    </row>
  </sheetData>
  <autoFilter ref="A1:AB231" xr:uid="{00000000-0009-0000-0000-000000000000}">
    <sortState ref="A2:AB230">
      <sortCondition ref="A1:A230"/>
    </sortState>
  </autoFilter>
  <conditionalFormatting sqref="B328:B1048576 B2:B48 B51:B166">
    <cfRule type="colorScale" priority="317">
      <colorScale>
        <cfvo type="min"/>
        <cfvo type="max"/>
        <color rgb="FFFFEF9C"/>
        <color rgb="FFFF7128"/>
      </colorScale>
    </cfRule>
    <cfRule type="colorScale" priority="319">
      <colorScale>
        <cfvo type="min"/>
        <cfvo type="max"/>
        <color theme="5" tint="0.79998168889431442"/>
        <color theme="8" tint="-0.249977111117893"/>
      </colorScale>
    </cfRule>
    <cfRule type="colorScale" priority="320">
      <colorScale>
        <cfvo type="min"/>
        <cfvo type="max"/>
        <color theme="4" tint="0.79998168889431442"/>
        <color theme="7" tint="-0.249977111117893"/>
      </colorScale>
    </cfRule>
    <cfRule type="colorScale" priority="321">
      <colorScale>
        <cfvo type="min"/>
        <cfvo type="max"/>
        <color theme="8" tint="0.79998168889431442"/>
        <color theme="3"/>
      </colorScale>
    </cfRule>
    <cfRule type="colorScale" priority="322">
      <colorScale>
        <cfvo type="min"/>
        <cfvo type="max"/>
        <color theme="4"/>
        <color theme="8" tint="0.79998168889431442"/>
      </colorScale>
    </cfRule>
  </conditionalFormatting>
  <conditionalFormatting sqref="S328:T1048576 S1:T166">
    <cfRule type="dataBar" priority="310">
      <dataBar>
        <cfvo type="min"/>
        <cfvo type="max"/>
        <color rgb="FF63C384"/>
      </dataBar>
      <extLst>
        <ext xmlns:x14="http://schemas.microsoft.com/office/spreadsheetml/2009/9/main" uri="{B025F937-C7B1-47D3-B67F-A62EFF666E3E}">
          <x14:id>{533A6881-A8EB-4994-A696-6968D24B8769}</x14:id>
        </ext>
      </extLst>
    </cfRule>
  </conditionalFormatting>
  <conditionalFormatting sqref="K328:K1048576 K1:K166">
    <cfRule type="dataBar" priority="305">
      <dataBar>
        <cfvo type="min"/>
        <cfvo type="max"/>
        <color rgb="FFFFB628"/>
      </dataBar>
      <extLst>
        <ext xmlns:x14="http://schemas.microsoft.com/office/spreadsheetml/2009/9/main" uri="{B025F937-C7B1-47D3-B67F-A62EFF666E3E}">
          <x14:id>{B25FA8B6-CAB7-43DC-A9CC-EA7F2A258F1C}</x14:id>
        </ext>
      </extLst>
    </cfRule>
  </conditionalFormatting>
  <conditionalFormatting sqref="B9:B48">
    <cfRule type="colorScale" priority="514">
      <colorScale>
        <cfvo type="min"/>
        <cfvo type="percentile" val="50"/>
        <cfvo type="max"/>
        <color rgb="FFF8696B"/>
        <color rgb="FFFFEB84"/>
        <color rgb="FF63BE7B"/>
      </colorScale>
    </cfRule>
  </conditionalFormatting>
  <conditionalFormatting sqref="B9:B48">
    <cfRule type="colorScale" priority="516">
      <colorScale>
        <cfvo type="min"/>
        <cfvo type="max"/>
        <color rgb="FFFFEF9C"/>
        <color rgb="FF63BE7B"/>
      </colorScale>
    </cfRule>
  </conditionalFormatting>
  <conditionalFormatting sqref="I1:I326">
    <cfRule type="dataBar" priority="313">
      <dataBar>
        <cfvo type="min"/>
        <cfvo type="max"/>
        <color rgb="FFFF555A"/>
      </dataBar>
      <extLst>
        <ext xmlns:x14="http://schemas.microsoft.com/office/spreadsheetml/2009/9/main" uri="{B025F937-C7B1-47D3-B67F-A62EFF666E3E}">
          <x14:id>{B0EF5BCF-B627-4EEE-B77C-6AE6DC708307}</x14:id>
        </ext>
      </extLst>
    </cfRule>
  </conditionalFormatting>
  <conditionalFormatting sqref="H1:H326">
    <cfRule type="dataBar" priority="311">
      <dataBar>
        <cfvo type="min"/>
        <cfvo type="max"/>
        <color rgb="FFFFB628"/>
      </dataBar>
      <extLst>
        <ext xmlns:x14="http://schemas.microsoft.com/office/spreadsheetml/2009/9/main" uri="{B025F937-C7B1-47D3-B67F-A62EFF666E3E}">
          <x14:id>{24628C05-6BD9-4173-B914-BF1707FF6B72}</x14:id>
        </ext>
      </extLst>
    </cfRule>
  </conditionalFormatting>
  <conditionalFormatting sqref="U328:U1048576 U1:U166">
    <cfRule type="dataBar" priority="307">
      <dataBar>
        <cfvo type="min"/>
        <cfvo type="max"/>
        <color rgb="FFFF555A"/>
      </dataBar>
      <extLst>
        <ext xmlns:x14="http://schemas.microsoft.com/office/spreadsheetml/2009/9/main" uri="{B025F937-C7B1-47D3-B67F-A62EFF666E3E}">
          <x14:id>{AA12B48F-F2D2-49C9-83E4-25F7EF77E7B1}</x14:id>
        </ext>
      </extLst>
    </cfRule>
  </conditionalFormatting>
  <conditionalFormatting sqref="Z328:AA1048576 Z1:AA166">
    <cfRule type="dataBar" priority="517">
      <dataBar>
        <cfvo type="min"/>
        <cfvo type="max"/>
        <color rgb="FF008AEF"/>
      </dataBar>
      <extLst>
        <ext xmlns:x14="http://schemas.microsoft.com/office/spreadsheetml/2009/9/main" uri="{B025F937-C7B1-47D3-B67F-A62EFF666E3E}">
          <x14:id>{CD37D7FC-E20A-41D2-9074-589AC4AD51AA}</x14:id>
        </ext>
      </extLst>
    </cfRule>
  </conditionalFormatting>
  <conditionalFormatting sqref="Q328:R1048576 U1:U166 Q1:R166 U328:U1048576">
    <cfRule type="dataBar" priority="518">
      <dataBar>
        <cfvo type="min"/>
        <cfvo type="max"/>
        <color rgb="FF638EC6"/>
      </dataBar>
      <extLst>
        <ext xmlns:x14="http://schemas.microsoft.com/office/spreadsheetml/2009/9/main" uri="{B025F937-C7B1-47D3-B67F-A62EFF666E3E}">
          <x14:id>{39922DAD-59F6-40E2-B276-AA18704266B2}</x14:id>
        </ext>
      </extLst>
    </cfRule>
  </conditionalFormatting>
  <conditionalFormatting sqref="B167:B168">
    <cfRule type="colorScale" priority="294">
      <colorScale>
        <cfvo type="min"/>
        <cfvo type="max"/>
        <color rgb="FFFFEF9C"/>
        <color rgb="FFFF7128"/>
      </colorScale>
    </cfRule>
    <cfRule type="colorScale" priority="295">
      <colorScale>
        <cfvo type="min"/>
        <cfvo type="max"/>
        <color theme="5" tint="0.79998168889431442"/>
        <color theme="8" tint="-0.249977111117893"/>
      </colorScale>
    </cfRule>
    <cfRule type="colorScale" priority="296">
      <colorScale>
        <cfvo type="min"/>
        <cfvo type="max"/>
        <color theme="4" tint="0.79998168889431442"/>
        <color theme="7" tint="-0.249977111117893"/>
      </colorScale>
    </cfRule>
    <cfRule type="colorScale" priority="297">
      <colorScale>
        <cfvo type="min"/>
        <cfvo type="max"/>
        <color theme="8" tint="0.79998168889431442"/>
        <color theme="3"/>
      </colorScale>
    </cfRule>
    <cfRule type="colorScale" priority="298">
      <colorScale>
        <cfvo type="min"/>
        <cfvo type="max"/>
        <color theme="4"/>
        <color theme="8" tint="0.79998168889431442"/>
      </colorScale>
    </cfRule>
  </conditionalFormatting>
  <conditionalFormatting sqref="S167:T168">
    <cfRule type="dataBar" priority="291">
      <dataBar>
        <cfvo type="min"/>
        <cfvo type="max"/>
        <color rgb="FF63C384"/>
      </dataBar>
      <extLst>
        <ext xmlns:x14="http://schemas.microsoft.com/office/spreadsheetml/2009/9/main" uri="{B025F937-C7B1-47D3-B67F-A62EFF666E3E}">
          <x14:id>{FFF458D6-F391-4BDC-99E5-37E2F7B1AC1B}</x14:id>
        </ext>
      </extLst>
    </cfRule>
  </conditionalFormatting>
  <conditionalFormatting sqref="K167:K168">
    <cfRule type="dataBar" priority="289">
      <dataBar>
        <cfvo type="min"/>
        <cfvo type="max"/>
        <color rgb="FFFFB628"/>
      </dataBar>
      <extLst>
        <ext xmlns:x14="http://schemas.microsoft.com/office/spreadsheetml/2009/9/main" uri="{B025F937-C7B1-47D3-B67F-A62EFF666E3E}">
          <x14:id>{84AACD56-87C0-4EB6-A75C-C811657E7DF9}</x14:id>
        </ext>
      </extLst>
    </cfRule>
  </conditionalFormatting>
  <conditionalFormatting sqref="U167:U168">
    <cfRule type="dataBar" priority="290">
      <dataBar>
        <cfvo type="min"/>
        <cfvo type="max"/>
        <color rgb="FFFF555A"/>
      </dataBar>
      <extLst>
        <ext xmlns:x14="http://schemas.microsoft.com/office/spreadsheetml/2009/9/main" uri="{B025F937-C7B1-47D3-B67F-A62EFF666E3E}">
          <x14:id>{A0978E81-11D8-49EE-BF20-0E42B65EB73E}</x14:id>
        </ext>
      </extLst>
    </cfRule>
  </conditionalFormatting>
  <conditionalFormatting sqref="Z167:AA168">
    <cfRule type="dataBar" priority="299">
      <dataBar>
        <cfvo type="min"/>
        <cfvo type="max"/>
        <color rgb="FF008AEF"/>
      </dataBar>
      <extLst>
        <ext xmlns:x14="http://schemas.microsoft.com/office/spreadsheetml/2009/9/main" uri="{B025F937-C7B1-47D3-B67F-A62EFF666E3E}">
          <x14:id>{1BF90429-B757-4B2D-89BD-481AF9B5AF50}</x14:id>
        </ext>
      </extLst>
    </cfRule>
  </conditionalFormatting>
  <conditionalFormatting sqref="U167:U168 Q167:R168">
    <cfRule type="dataBar" priority="300">
      <dataBar>
        <cfvo type="min"/>
        <cfvo type="max"/>
        <color rgb="FF638EC6"/>
      </dataBar>
      <extLst>
        <ext xmlns:x14="http://schemas.microsoft.com/office/spreadsheetml/2009/9/main" uri="{B025F937-C7B1-47D3-B67F-A62EFF666E3E}">
          <x14:id>{BBF72250-5BF9-49CD-9448-23E2711533B5}</x14:id>
        </ext>
      </extLst>
    </cfRule>
  </conditionalFormatting>
  <conditionalFormatting sqref="B169:B170">
    <cfRule type="colorScale" priority="282">
      <colorScale>
        <cfvo type="min"/>
        <cfvo type="max"/>
        <color rgb="FFFFEF9C"/>
        <color rgb="FFFF7128"/>
      </colorScale>
    </cfRule>
    <cfRule type="colorScale" priority="283">
      <colorScale>
        <cfvo type="min"/>
        <cfvo type="max"/>
        <color theme="5" tint="0.79998168889431442"/>
        <color theme="8" tint="-0.249977111117893"/>
      </colorScale>
    </cfRule>
    <cfRule type="colorScale" priority="284">
      <colorScale>
        <cfvo type="min"/>
        <cfvo type="max"/>
        <color theme="4" tint="0.79998168889431442"/>
        <color theme="7" tint="-0.249977111117893"/>
      </colorScale>
    </cfRule>
    <cfRule type="colorScale" priority="285">
      <colorScale>
        <cfvo type="min"/>
        <cfvo type="max"/>
        <color theme="8" tint="0.79998168889431442"/>
        <color theme="3"/>
      </colorScale>
    </cfRule>
    <cfRule type="colorScale" priority="286">
      <colorScale>
        <cfvo type="min"/>
        <cfvo type="max"/>
        <color theme="4"/>
        <color theme="8" tint="0.79998168889431442"/>
      </colorScale>
    </cfRule>
  </conditionalFormatting>
  <conditionalFormatting sqref="S169:T170">
    <cfRule type="dataBar" priority="279">
      <dataBar>
        <cfvo type="min"/>
        <cfvo type="max"/>
        <color rgb="FF63C384"/>
      </dataBar>
      <extLst>
        <ext xmlns:x14="http://schemas.microsoft.com/office/spreadsheetml/2009/9/main" uri="{B025F937-C7B1-47D3-B67F-A62EFF666E3E}">
          <x14:id>{6BD45C71-EC49-4732-AD01-F7D043054427}</x14:id>
        </ext>
      </extLst>
    </cfRule>
  </conditionalFormatting>
  <conditionalFormatting sqref="K169:K170">
    <cfRule type="dataBar" priority="277">
      <dataBar>
        <cfvo type="min"/>
        <cfvo type="max"/>
        <color rgb="FFFFB628"/>
      </dataBar>
      <extLst>
        <ext xmlns:x14="http://schemas.microsoft.com/office/spreadsheetml/2009/9/main" uri="{B025F937-C7B1-47D3-B67F-A62EFF666E3E}">
          <x14:id>{D66D4C44-9495-4004-A99E-AD1C8ED3CF7D}</x14:id>
        </ext>
      </extLst>
    </cfRule>
  </conditionalFormatting>
  <conditionalFormatting sqref="U169:U170">
    <cfRule type="dataBar" priority="278">
      <dataBar>
        <cfvo type="min"/>
        <cfvo type="max"/>
        <color rgb="FFFF555A"/>
      </dataBar>
      <extLst>
        <ext xmlns:x14="http://schemas.microsoft.com/office/spreadsheetml/2009/9/main" uri="{B025F937-C7B1-47D3-B67F-A62EFF666E3E}">
          <x14:id>{30A0A191-3AD2-4C93-B273-758D5C87182A}</x14:id>
        </ext>
      </extLst>
    </cfRule>
  </conditionalFormatting>
  <conditionalFormatting sqref="Z169:AA170">
    <cfRule type="dataBar" priority="287">
      <dataBar>
        <cfvo type="min"/>
        <cfvo type="max"/>
        <color rgb="FF008AEF"/>
      </dataBar>
      <extLst>
        <ext xmlns:x14="http://schemas.microsoft.com/office/spreadsheetml/2009/9/main" uri="{B025F937-C7B1-47D3-B67F-A62EFF666E3E}">
          <x14:id>{2C4EEB35-85E1-4224-AFE7-D31CE6362F19}</x14:id>
        </ext>
      </extLst>
    </cfRule>
  </conditionalFormatting>
  <conditionalFormatting sqref="U169:U170 Q169:R170">
    <cfRule type="dataBar" priority="288">
      <dataBar>
        <cfvo type="min"/>
        <cfvo type="max"/>
        <color rgb="FF638EC6"/>
      </dataBar>
      <extLst>
        <ext xmlns:x14="http://schemas.microsoft.com/office/spreadsheetml/2009/9/main" uri="{B025F937-C7B1-47D3-B67F-A62EFF666E3E}">
          <x14:id>{F91FCBE9-AB99-4505-BB02-27CAAEA4D6E0}</x14:id>
        </ext>
      </extLst>
    </cfRule>
  </conditionalFormatting>
  <conditionalFormatting sqref="B171:B172">
    <cfRule type="colorScale" priority="270">
      <colorScale>
        <cfvo type="min"/>
        <cfvo type="max"/>
        <color rgb="FFFFEF9C"/>
        <color rgb="FFFF7128"/>
      </colorScale>
    </cfRule>
    <cfRule type="colorScale" priority="271">
      <colorScale>
        <cfvo type="min"/>
        <cfvo type="max"/>
        <color theme="5" tint="0.79998168889431442"/>
        <color theme="8" tint="-0.249977111117893"/>
      </colorScale>
    </cfRule>
    <cfRule type="colorScale" priority="272">
      <colorScale>
        <cfvo type="min"/>
        <cfvo type="max"/>
        <color theme="4" tint="0.79998168889431442"/>
        <color theme="7" tint="-0.249977111117893"/>
      </colorScale>
    </cfRule>
    <cfRule type="colorScale" priority="273">
      <colorScale>
        <cfvo type="min"/>
        <cfvo type="max"/>
        <color theme="8" tint="0.79998168889431442"/>
        <color theme="3"/>
      </colorScale>
    </cfRule>
    <cfRule type="colorScale" priority="274">
      <colorScale>
        <cfvo type="min"/>
        <cfvo type="max"/>
        <color theme="4"/>
        <color theme="8" tint="0.79998168889431442"/>
      </colorScale>
    </cfRule>
  </conditionalFormatting>
  <conditionalFormatting sqref="S171:T327">
    <cfRule type="dataBar" priority="267">
      <dataBar>
        <cfvo type="min"/>
        <cfvo type="max"/>
        <color rgb="FF63C384"/>
      </dataBar>
      <extLst>
        <ext xmlns:x14="http://schemas.microsoft.com/office/spreadsheetml/2009/9/main" uri="{B025F937-C7B1-47D3-B67F-A62EFF666E3E}">
          <x14:id>{5B9D9437-6FE7-49A1-8EC3-49D2F5DA1911}</x14:id>
        </ext>
      </extLst>
    </cfRule>
  </conditionalFormatting>
  <conditionalFormatting sqref="K171:K172">
    <cfRule type="dataBar" priority="265">
      <dataBar>
        <cfvo type="min"/>
        <cfvo type="max"/>
        <color rgb="FFFFB628"/>
      </dataBar>
      <extLst>
        <ext xmlns:x14="http://schemas.microsoft.com/office/spreadsheetml/2009/9/main" uri="{B025F937-C7B1-47D3-B67F-A62EFF666E3E}">
          <x14:id>{2F6164A9-6311-45BE-A6AA-8FFC8DDD0AD9}</x14:id>
        </ext>
      </extLst>
    </cfRule>
  </conditionalFormatting>
  <conditionalFormatting sqref="U171:U178">
    <cfRule type="dataBar" priority="266">
      <dataBar>
        <cfvo type="min"/>
        <cfvo type="max"/>
        <color rgb="FFFF555A"/>
      </dataBar>
      <extLst>
        <ext xmlns:x14="http://schemas.microsoft.com/office/spreadsheetml/2009/9/main" uri="{B025F937-C7B1-47D3-B67F-A62EFF666E3E}">
          <x14:id>{32581E41-F225-412E-9EA9-DC07CB73AE32}</x14:id>
        </ext>
      </extLst>
    </cfRule>
  </conditionalFormatting>
  <conditionalFormatting sqref="Z171:AA172">
    <cfRule type="dataBar" priority="275">
      <dataBar>
        <cfvo type="min"/>
        <cfvo type="max"/>
        <color rgb="FF008AEF"/>
      </dataBar>
      <extLst>
        <ext xmlns:x14="http://schemas.microsoft.com/office/spreadsheetml/2009/9/main" uri="{B025F937-C7B1-47D3-B67F-A62EFF666E3E}">
          <x14:id>{47F7CA0E-88B7-49C0-A244-657F4CE76809}</x14:id>
        </ext>
      </extLst>
    </cfRule>
  </conditionalFormatting>
  <conditionalFormatting sqref="U171:U178 Q171:R327">
    <cfRule type="dataBar" priority="276">
      <dataBar>
        <cfvo type="min"/>
        <cfvo type="max"/>
        <color rgb="FF638EC6"/>
      </dataBar>
      <extLst>
        <ext xmlns:x14="http://schemas.microsoft.com/office/spreadsheetml/2009/9/main" uri="{B025F937-C7B1-47D3-B67F-A62EFF666E3E}">
          <x14:id>{B8845AE8-0A16-4090-8511-D3FD545C613A}</x14:id>
        </ext>
      </extLst>
    </cfRule>
  </conditionalFormatting>
  <conditionalFormatting sqref="B173:B174">
    <cfRule type="colorScale" priority="258">
      <colorScale>
        <cfvo type="min"/>
        <cfvo type="max"/>
        <color rgb="FFFFEF9C"/>
        <color rgb="FFFF7128"/>
      </colorScale>
    </cfRule>
    <cfRule type="colorScale" priority="259">
      <colorScale>
        <cfvo type="min"/>
        <cfvo type="max"/>
        <color theme="5" tint="0.79998168889431442"/>
        <color theme="8" tint="-0.249977111117893"/>
      </colorScale>
    </cfRule>
    <cfRule type="colorScale" priority="260">
      <colorScale>
        <cfvo type="min"/>
        <cfvo type="max"/>
        <color theme="4" tint="0.79998168889431442"/>
        <color theme="7" tint="-0.249977111117893"/>
      </colorScale>
    </cfRule>
    <cfRule type="colorScale" priority="261">
      <colorScale>
        <cfvo type="min"/>
        <cfvo type="max"/>
        <color theme="8" tint="0.79998168889431442"/>
        <color theme="3"/>
      </colorScale>
    </cfRule>
    <cfRule type="colorScale" priority="262">
      <colorScale>
        <cfvo type="min"/>
        <cfvo type="max"/>
        <color theme="4"/>
        <color theme="8" tint="0.79998168889431442"/>
      </colorScale>
    </cfRule>
  </conditionalFormatting>
  <conditionalFormatting sqref="K173:K174">
    <cfRule type="dataBar" priority="253">
      <dataBar>
        <cfvo type="min"/>
        <cfvo type="max"/>
        <color rgb="FFFFB628"/>
      </dataBar>
      <extLst>
        <ext xmlns:x14="http://schemas.microsoft.com/office/spreadsheetml/2009/9/main" uri="{B025F937-C7B1-47D3-B67F-A62EFF666E3E}">
          <x14:id>{7E5A0DF3-2673-4228-900D-4BAEFE963D67}</x14:id>
        </ext>
      </extLst>
    </cfRule>
  </conditionalFormatting>
  <conditionalFormatting sqref="Z173:AA174">
    <cfRule type="dataBar" priority="263">
      <dataBar>
        <cfvo type="min"/>
        <cfvo type="max"/>
        <color rgb="FF008AEF"/>
      </dataBar>
      <extLst>
        <ext xmlns:x14="http://schemas.microsoft.com/office/spreadsheetml/2009/9/main" uri="{B025F937-C7B1-47D3-B67F-A62EFF666E3E}">
          <x14:id>{04981D54-CA5B-412E-85AE-61BA1070967A}</x14:id>
        </ext>
      </extLst>
    </cfRule>
  </conditionalFormatting>
  <conditionalFormatting sqref="B175:B176">
    <cfRule type="colorScale" priority="246">
      <colorScale>
        <cfvo type="min"/>
        <cfvo type="max"/>
        <color rgb="FFFFEF9C"/>
        <color rgb="FFFF7128"/>
      </colorScale>
    </cfRule>
    <cfRule type="colorScale" priority="247">
      <colorScale>
        <cfvo type="min"/>
        <cfvo type="max"/>
        <color theme="5" tint="0.79998168889431442"/>
        <color theme="8" tint="-0.249977111117893"/>
      </colorScale>
    </cfRule>
    <cfRule type="colorScale" priority="248">
      <colorScale>
        <cfvo type="min"/>
        <cfvo type="max"/>
        <color theme="4" tint="0.79998168889431442"/>
        <color theme="7" tint="-0.249977111117893"/>
      </colorScale>
    </cfRule>
    <cfRule type="colorScale" priority="249">
      <colorScale>
        <cfvo type="min"/>
        <cfvo type="max"/>
        <color theme="8" tint="0.79998168889431442"/>
        <color theme="3"/>
      </colorScale>
    </cfRule>
    <cfRule type="colorScale" priority="250">
      <colorScale>
        <cfvo type="min"/>
        <cfvo type="max"/>
        <color theme="4"/>
        <color theme="8" tint="0.79998168889431442"/>
      </colorScale>
    </cfRule>
  </conditionalFormatting>
  <conditionalFormatting sqref="K175:K176">
    <cfRule type="dataBar" priority="241">
      <dataBar>
        <cfvo type="min"/>
        <cfvo type="max"/>
        <color rgb="FFFFB628"/>
      </dataBar>
      <extLst>
        <ext xmlns:x14="http://schemas.microsoft.com/office/spreadsheetml/2009/9/main" uri="{B025F937-C7B1-47D3-B67F-A62EFF666E3E}">
          <x14:id>{18EBD77C-6E2E-41EA-AD99-313B08430C62}</x14:id>
        </ext>
      </extLst>
    </cfRule>
  </conditionalFormatting>
  <conditionalFormatting sqref="Z175:AA176">
    <cfRule type="dataBar" priority="251">
      <dataBar>
        <cfvo type="min"/>
        <cfvo type="max"/>
        <color rgb="FF008AEF"/>
      </dataBar>
      <extLst>
        <ext xmlns:x14="http://schemas.microsoft.com/office/spreadsheetml/2009/9/main" uri="{B025F937-C7B1-47D3-B67F-A62EFF666E3E}">
          <x14:id>{8A2D3CF0-7E18-430A-B409-10D77A12DE29}</x14:id>
        </ext>
      </extLst>
    </cfRule>
  </conditionalFormatting>
  <conditionalFormatting sqref="B177:B178">
    <cfRule type="colorScale" priority="234">
      <colorScale>
        <cfvo type="min"/>
        <cfvo type="max"/>
        <color rgb="FFFFEF9C"/>
        <color rgb="FFFF7128"/>
      </colorScale>
    </cfRule>
    <cfRule type="colorScale" priority="235">
      <colorScale>
        <cfvo type="min"/>
        <cfvo type="max"/>
        <color theme="5" tint="0.79998168889431442"/>
        <color theme="8" tint="-0.249977111117893"/>
      </colorScale>
    </cfRule>
    <cfRule type="colorScale" priority="236">
      <colorScale>
        <cfvo type="min"/>
        <cfvo type="max"/>
        <color theme="4" tint="0.79998168889431442"/>
        <color theme="7" tint="-0.249977111117893"/>
      </colorScale>
    </cfRule>
    <cfRule type="colorScale" priority="237">
      <colorScale>
        <cfvo type="min"/>
        <cfvo type="max"/>
        <color theme="8" tint="0.79998168889431442"/>
        <color theme="3"/>
      </colorScale>
    </cfRule>
    <cfRule type="colorScale" priority="238">
      <colorScale>
        <cfvo type="min"/>
        <cfvo type="max"/>
        <color theme="4"/>
        <color theme="8" tint="0.79998168889431442"/>
      </colorScale>
    </cfRule>
  </conditionalFormatting>
  <conditionalFormatting sqref="K177:K178">
    <cfRule type="dataBar" priority="229">
      <dataBar>
        <cfvo type="min"/>
        <cfvo type="max"/>
        <color rgb="FFFFB628"/>
      </dataBar>
      <extLst>
        <ext xmlns:x14="http://schemas.microsoft.com/office/spreadsheetml/2009/9/main" uri="{B025F937-C7B1-47D3-B67F-A62EFF666E3E}">
          <x14:id>{541D1F78-848E-4406-A583-9DDFD55EFA43}</x14:id>
        </ext>
      </extLst>
    </cfRule>
  </conditionalFormatting>
  <conditionalFormatting sqref="Z177:AA178">
    <cfRule type="dataBar" priority="239">
      <dataBar>
        <cfvo type="min"/>
        <cfvo type="max"/>
        <color rgb="FF008AEF"/>
      </dataBar>
      <extLst>
        <ext xmlns:x14="http://schemas.microsoft.com/office/spreadsheetml/2009/9/main" uri="{B025F937-C7B1-47D3-B67F-A62EFF666E3E}">
          <x14:id>{B1800B8E-AB6B-48BE-84F4-C129619FBCEF}</x14:id>
        </ext>
      </extLst>
    </cfRule>
  </conditionalFormatting>
  <conditionalFormatting sqref="B179:B181">
    <cfRule type="colorScale" priority="222">
      <colorScale>
        <cfvo type="min"/>
        <cfvo type="max"/>
        <color rgb="FFFFEF9C"/>
        <color rgb="FFFF7128"/>
      </colorScale>
    </cfRule>
    <cfRule type="colorScale" priority="223">
      <colorScale>
        <cfvo type="min"/>
        <cfvo type="max"/>
        <color theme="5" tint="0.79998168889431442"/>
        <color theme="8" tint="-0.249977111117893"/>
      </colorScale>
    </cfRule>
    <cfRule type="colorScale" priority="224">
      <colorScale>
        <cfvo type="min"/>
        <cfvo type="max"/>
        <color theme="4" tint="0.79998168889431442"/>
        <color theme="7" tint="-0.249977111117893"/>
      </colorScale>
    </cfRule>
    <cfRule type="colorScale" priority="225">
      <colorScale>
        <cfvo type="min"/>
        <cfvo type="max"/>
        <color theme="8" tint="0.79998168889431442"/>
        <color theme="3"/>
      </colorScale>
    </cfRule>
    <cfRule type="colorScale" priority="226">
      <colorScale>
        <cfvo type="min"/>
        <cfvo type="max"/>
        <color theme="4"/>
        <color theme="8" tint="0.79998168889431442"/>
      </colorScale>
    </cfRule>
  </conditionalFormatting>
  <conditionalFormatting sqref="K179:K181">
    <cfRule type="dataBar" priority="217">
      <dataBar>
        <cfvo type="min"/>
        <cfvo type="max"/>
        <color rgb="FFFFB628"/>
      </dataBar>
      <extLst>
        <ext xmlns:x14="http://schemas.microsoft.com/office/spreadsheetml/2009/9/main" uri="{B025F937-C7B1-47D3-B67F-A62EFF666E3E}">
          <x14:id>{3AA60D59-2972-4ED4-8F79-655111525723}</x14:id>
        </ext>
      </extLst>
    </cfRule>
  </conditionalFormatting>
  <conditionalFormatting sqref="U179:U181">
    <cfRule type="dataBar" priority="218">
      <dataBar>
        <cfvo type="min"/>
        <cfvo type="max"/>
        <color rgb="FFFF555A"/>
      </dataBar>
      <extLst>
        <ext xmlns:x14="http://schemas.microsoft.com/office/spreadsheetml/2009/9/main" uri="{B025F937-C7B1-47D3-B67F-A62EFF666E3E}">
          <x14:id>{07FD916D-E3B6-453D-854E-F532F372FADD}</x14:id>
        </ext>
      </extLst>
    </cfRule>
  </conditionalFormatting>
  <conditionalFormatting sqref="Z179:AA181">
    <cfRule type="dataBar" priority="227">
      <dataBar>
        <cfvo type="min"/>
        <cfvo type="max"/>
        <color rgb="FF008AEF"/>
      </dataBar>
      <extLst>
        <ext xmlns:x14="http://schemas.microsoft.com/office/spreadsheetml/2009/9/main" uri="{B025F937-C7B1-47D3-B67F-A62EFF666E3E}">
          <x14:id>{9805D6EA-25F3-4353-8D82-42BEA1BE5050}</x14:id>
        </ext>
      </extLst>
    </cfRule>
  </conditionalFormatting>
  <conditionalFormatting sqref="U179:U181">
    <cfRule type="dataBar" priority="228">
      <dataBar>
        <cfvo type="min"/>
        <cfvo type="max"/>
        <color rgb="FF638EC6"/>
      </dataBar>
      <extLst>
        <ext xmlns:x14="http://schemas.microsoft.com/office/spreadsheetml/2009/9/main" uri="{B025F937-C7B1-47D3-B67F-A62EFF666E3E}">
          <x14:id>{C9334546-7E24-477E-A931-1A53DCCC201D}</x14:id>
        </ext>
      </extLst>
    </cfRule>
  </conditionalFormatting>
  <conditionalFormatting sqref="B182:B184">
    <cfRule type="colorScale" priority="210">
      <colorScale>
        <cfvo type="min"/>
        <cfvo type="max"/>
        <color rgb="FFFFEF9C"/>
        <color rgb="FFFF7128"/>
      </colorScale>
    </cfRule>
    <cfRule type="colorScale" priority="211">
      <colorScale>
        <cfvo type="min"/>
        <cfvo type="max"/>
        <color theme="5" tint="0.79998168889431442"/>
        <color theme="8" tint="-0.249977111117893"/>
      </colorScale>
    </cfRule>
    <cfRule type="colorScale" priority="212">
      <colorScale>
        <cfvo type="min"/>
        <cfvo type="max"/>
        <color theme="4" tint="0.79998168889431442"/>
        <color theme="7" tint="-0.249977111117893"/>
      </colorScale>
    </cfRule>
    <cfRule type="colorScale" priority="213">
      <colorScale>
        <cfvo type="min"/>
        <cfvo type="max"/>
        <color theme="8" tint="0.79998168889431442"/>
        <color theme="3"/>
      </colorScale>
    </cfRule>
    <cfRule type="colorScale" priority="214">
      <colorScale>
        <cfvo type="min"/>
        <cfvo type="max"/>
        <color theme="4"/>
        <color theme="8" tint="0.79998168889431442"/>
      </colorScale>
    </cfRule>
  </conditionalFormatting>
  <conditionalFormatting sqref="K182:K184">
    <cfRule type="dataBar" priority="205">
      <dataBar>
        <cfvo type="min"/>
        <cfvo type="max"/>
        <color rgb="FFFFB628"/>
      </dataBar>
      <extLst>
        <ext xmlns:x14="http://schemas.microsoft.com/office/spreadsheetml/2009/9/main" uri="{B025F937-C7B1-47D3-B67F-A62EFF666E3E}">
          <x14:id>{16BB51C2-8712-49E0-AB8D-BB770D307472}</x14:id>
        </ext>
      </extLst>
    </cfRule>
  </conditionalFormatting>
  <conditionalFormatting sqref="U182:U184">
    <cfRule type="dataBar" priority="206">
      <dataBar>
        <cfvo type="min"/>
        <cfvo type="max"/>
        <color rgb="FFFF555A"/>
      </dataBar>
      <extLst>
        <ext xmlns:x14="http://schemas.microsoft.com/office/spreadsheetml/2009/9/main" uri="{B025F937-C7B1-47D3-B67F-A62EFF666E3E}">
          <x14:id>{03A9A9B5-5AED-4485-9816-DCB29DD98818}</x14:id>
        </ext>
      </extLst>
    </cfRule>
  </conditionalFormatting>
  <conditionalFormatting sqref="Z182:AA184">
    <cfRule type="dataBar" priority="215">
      <dataBar>
        <cfvo type="min"/>
        <cfvo type="max"/>
        <color rgb="FF008AEF"/>
      </dataBar>
      <extLst>
        <ext xmlns:x14="http://schemas.microsoft.com/office/spreadsheetml/2009/9/main" uri="{B025F937-C7B1-47D3-B67F-A62EFF666E3E}">
          <x14:id>{1E485FBB-9792-4AF9-A008-103F6BFD6445}</x14:id>
        </ext>
      </extLst>
    </cfRule>
  </conditionalFormatting>
  <conditionalFormatting sqref="U182:U184">
    <cfRule type="dataBar" priority="216">
      <dataBar>
        <cfvo type="min"/>
        <cfvo type="max"/>
        <color rgb="FF638EC6"/>
      </dataBar>
      <extLst>
        <ext xmlns:x14="http://schemas.microsoft.com/office/spreadsheetml/2009/9/main" uri="{B025F937-C7B1-47D3-B67F-A62EFF666E3E}">
          <x14:id>{342946A4-4157-435A-8D8A-1CDD85282519}</x14:id>
        </ext>
      </extLst>
    </cfRule>
  </conditionalFormatting>
  <conditionalFormatting sqref="B185:B186">
    <cfRule type="colorScale" priority="198">
      <colorScale>
        <cfvo type="min"/>
        <cfvo type="max"/>
        <color rgb="FFFFEF9C"/>
        <color rgb="FFFF7128"/>
      </colorScale>
    </cfRule>
    <cfRule type="colorScale" priority="199">
      <colorScale>
        <cfvo type="min"/>
        <cfvo type="max"/>
        <color theme="5" tint="0.79998168889431442"/>
        <color theme="8" tint="-0.249977111117893"/>
      </colorScale>
    </cfRule>
    <cfRule type="colorScale" priority="200">
      <colorScale>
        <cfvo type="min"/>
        <cfvo type="max"/>
        <color theme="4" tint="0.79998168889431442"/>
        <color theme="7" tint="-0.249977111117893"/>
      </colorScale>
    </cfRule>
    <cfRule type="colorScale" priority="201">
      <colorScale>
        <cfvo type="min"/>
        <cfvo type="max"/>
        <color theme="8" tint="0.79998168889431442"/>
        <color theme="3"/>
      </colorScale>
    </cfRule>
    <cfRule type="colorScale" priority="202">
      <colorScale>
        <cfvo type="min"/>
        <cfvo type="max"/>
        <color theme="4"/>
        <color theme="8" tint="0.79998168889431442"/>
      </colorScale>
    </cfRule>
  </conditionalFormatting>
  <conditionalFormatting sqref="K185:K186">
    <cfRule type="dataBar" priority="193">
      <dataBar>
        <cfvo type="min"/>
        <cfvo type="max"/>
        <color rgb="FFFFB628"/>
      </dataBar>
      <extLst>
        <ext xmlns:x14="http://schemas.microsoft.com/office/spreadsheetml/2009/9/main" uri="{B025F937-C7B1-47D3-B67F-A62EFF666E3E}">
          <x14:id>{6E4E95D3-77DB-424A-94ED-429E6E11BAC2}</x14:id>
        </ext>
      </extLst>
    </cfRule>
  </conditionalFormatting>
  <conditionalFormatting sqref="U185:U186">
    <cfRule type="dataBar" priority="194">
      <dataBar>
        <cfvo type="min"/>
        <cfvo type="max"/>
        <color rgb="FFFF555A"/>
      </dataBar>
      <extLst>
        <ext xmlns:x14="http://schemas.microsoft.com/office/spreadsheetml/2009/9/main" uri="{B025F937-C7B1-47D3-B67F-A62EFF666E3E}">
          <x14:id>{AE21C77F-9F31-4E82-A474-B50A769F8074}</x14:id>
        </ext>
      </extLst>
    </cfRule>
  </conditionalFormatting>
  <conditionalFormatting sqref="Z185:AA186">
    <cfRule type="dataBar" priority="203">
      <dataBar>
        <cfvo type="min"/>
        <cfvo type="max"/>
        <color rgb="FF008AEF"/>
      </dataBar>
      <extLst>
        <ext xmlns:x14="http://schemas.microsoft.com/office/spreadsheetml/2009/9/main" uri="{B025F937-C7B1-47D3-B67F-A62EFF666E3E}">
          <x14:id>{4C5200A3-182E-4AE7-8569-2E3C78576FE6}</x14:id>
        </ext>
      </extLst>
    </cfRule>
  </conditionalFormatting>
  <conditionalFormatting sqref="U185:U186">
    <cfRule type="dataBar" priority="204">
      <dataBar>
        <cfvo type="min"/>
        <cfvo type="max"/>
        <color rgb="FF638EC6"/>
      </dataBar>
      <extLst>
        <ext xmlns:x14="http://schemas.microsoft.com/office/spreadsheetml/2009/9/main" uri="{B025F937-C7B1-47D3-B67F-A62EFF666E3E}">
          <x14:id>{DD65E56C-33A5-4D71-A42D-E2B56ECC79BC}</x14:id>
        </ext>
      </extLst>
    </cfRule>
  </conditionalFormatting>
  <conditionalFormatting sqref="B187:B188">
    <cfRule type="colorScale" priority="186">
      <colorScale>
        <cfvo type="min"/>
        <cfvo type="max"/>
        <color rgb="FFFFEF9C"/>
        <color rgb="FFFF7128"/>
      </colorScale>
    </cfRule>
    <cfRule type="colorScale" priority="187">
      <colorScale>
        <cfvo type="min"/>
        <cfvo type="max"/>
        <color theme="5" tint="0.79998168889431442"/>
        <color theme="8" tint="-0.249977111117893"/>
      </colorScale>
    </cfRule>
    <cfRule type="colorScale" priority="188">
      <colorScale>
        <cfvo type="min"/>
        <cfvo type="max"/>
        <color theme="4" tint="0.79998168889431442"/>
        <color theme="7" tint="-0.249977111117893"/>
      </colorScale>
    </cfRule>
    <cfRule type="colorScale" priority="189">
      <colorScale>
        <cfvo type="min"/>
        <cfvo type="max"/>
        <color theme="8" tint="0.79998168889431442"/>
        <color theme="3"/>
      </colorScale>
    </cfRule>
    <cfRule type="colorScale" priority="190">
      <colorScale>
        <cfvo type="min"/>
        <cfvo type="max"/>
        <color theme="4"/>
        <color theme="8" tint="0.79998168889431442"/>
      </colorScale>
    </cfRule>
  </conditionalFormatting>
  <conditionalFormatting sqref="K187:K188">
    <cfRule type="dataBar" priority="181">
      <dataBar>
        <cfvo type="min"/>
        <cfvo type="max"/>
        <color rgb="FFFFB628"/>
      </dataBar>
      <extLst>
        <ext xmlns:x14="http://schemas.microsoft.com/office/spreadsheetml/2009/9/main" uri="{B025F937-C7B1-47D3-B67F-A62EFF666E3E}">
          <x14:id>{B05E482D-30E1-426F-95B7-430B664BFF38}</x14:id>
        </ext>
      </extLst>
    </cfRule>
  </conditionalFormatting>
  <conditionalFormatting sqref="U187:U188">
    <cfRule type="dataBar" priority="182">
      <dataBar>
        <cfvo type="min"/>
        <cfvo type="max"/>
        <color rgb="FFFF555A"/>
      </dataBar>
      <extLst>
        <ext xmlns:x14="http://schemas.microsoft.com/office/spreadsheetml/2009/9/main" uri="{B025F937-C7B1-47D3-B67F-A62EFF666E3E}">
          <x14:id>{C5A31A17-E2BC-4F38-A460-67225C90812B}</x14:id>
        </ext>
      </extLst>
    </cfRule>
  </conditionalFormatting>
  <conditionalFormatting sqref="Z187:AA188">
    <cfRule type="dataBar" priority="191">
      <dataBar>
        <cfvo type="min"/>
        <cfvo type="max"/>
        <color rgb="FF008AEF"/>
      </dataBar>
      <extLst>
        <ext xmlns:x14="http://schemas.microsoft.com/office/spreadsheetml/2009/9/main" uri="{B025F937-C7B1-47D3-B67F-A62EFF666E3E}">
          <x14:id>{4E4C02F5-966C-40E9-AEAE-1E40CDC0EBCA}</x14:id>
        </ext>
      </extLst>
    </cfRule>
  </conditionalFormatting>
  <conditionalFormatting sqref="U187:U188">
    <cfRule type="dataBar" priority="192">
      <dataBar>
        <cfvo type="min"/>
        <cfvo type="max"/>
        <color rgb="FF638EC6"/>
      </dataBar>
      <extLst>
        <ext xmlns:x14="http://schemas.microsoft.com/office/spreadsheetml/2009/9/main" uri="{B025F937-C7B1-47D3-B67F-A62EFF666E3E}">
          <x14:id>{C981E1AB-2410-4F47-8B1E-F7B7A1A36D15}</x14:id>
        </ext>
      </extLst>
    </cfRule>
  </conditionalFormatting>
  <conditionalFormatting sqref="B189:B190">
    <cfRule type="colorScale" priority="174">
      <colorScale>
        <cfvo type="min"/>
        <cfvo type="max"/>
        <color rgb="FFFFEF9C"/>
        <color rgb="FFFF7128"/>
      </colorScale>
    </cfRule>
    <cfRule type="colorScale" priority="175">
      <colorScale>
        <cfvo type="min"/>
        <cfvo type="max"/>
        <color theme="5" tint="0.79998168889431442"/>
        <color theme="8" tint="-0.249977111117893"/>
      </colorScale>
    </cfRule>
    <cfRule type="colorScale" priority="176">
      <colorScale>
        <cfvo type="min"/>
        <cfvo type="max"/>
        <color theme="4" tint="0.79998168889431442"/>
        <color theme="7" tint="-0.249977111117893"/>
      </colorScale>
    </cfRule>
    <cfRule type="colorScale" priority="177">
      <colorScale>
        <cfvo type="min"/>
        <cfvo type="max"/>
        <color theme="8" tint="0.79998168889431442"/>
        <color theme="3"/>
      </colorScale>
    </cfRule>
    <cfRule type="colorScale" priority="178">
      <colorScale>
        <cfvo type="min"/>
        <cfvo type="max"/>
        <color theme="4"/>
        <color theme="8" tint="0.79998168889431442"/>
      </colorScale>
    </cfRule>
  </conditionalFormatting>
  <conditionalFormatting sqref="K189:K190">
    <cfRule type="dataBar" priority="169">
      <dataBar>
        <cfvo type="min"/>
        <cfvo type="max"/>
        <color rgb="FFFFB628"/>
      </dataBar>
      <extLst>
        <ext xmlns:x14="http://schemas.microsoft.com/office/spreadsheetml/2009/9/main" uri="{B025F937-C7B1-47D3-B67F-A62EFF666E3E}">
          <x14:id>{C7B7E6CB-E5C6-416A-B041-EC5CC10186D7}</x14:id>
        </ext>
      </extLst>
    </cfRule>
  </conditionalFormatting>
  <conditionalFormatting sqref="U189:U190">
    <cfRule type="dataBar" priority="170">
      <dataBar>
        <cfvo type="min"/>
        <cfvo type="max"/>
        <color rgb="FFFF555A"/>
      </dataBar>
      <extLst>
        <ext xmlns:x14="http://schemas.microsoft.com/office/spreadsheetml/2009/9/main" uri="{B025F937-C7B1-47D3-B67F-A62EFF666E3E}">
          <x14:id>{B8BB2A4E-21C0-44A6-9E10-3A22FEDADBED}</x14:id>
        </ext>
      </extLst>
    </cfRule>
  </conditionalFormatting>
  <conditionalFormatting sqref="Z189:AA190">
    <cfRule type="dataBar" priority="179">
      <dataBar>
        <cfvo type="min"/>
        <cfvo type="max"/>
        <color rgb="FF008AEF"/>
      </dataBar>
      <extLst>
        <ext xmlns:x14="http://schemas.microsoft.com/office/spreadsheetml/2009/9/main" uri="{B025F937-C7B1-47D3-B67F-A62EFF666E3E}">
          <x14:id>{4BB42153-1B43-49FB-9475-4C13C9110B2B}</x14:id>
        </ext>
      </extLst>
    </cfRule>
  </conditionalFormatting>
  <conditionalFormatting sqref="U189:U190">
    <cfRule type="dataBar" priority="180">
      <dataBar>
        <cfvo type="min"/>
        <cfvo type="max"/>
        <color rgb="FF638EC6"/>
      </dataBar>
      <extLst>
        <ext xmlns:x14="http://schemas.microsoft.com/office/spreadsheetml/2009/9/main" uri="{B025F937-C7B1-47D3-B67F-A62EFF666E3E}">
          <x14:id>{B9C4EAF7-7D9B-4772-9CD5-11CE688F6EF3}</x14:id>
        </ext>
      </extLst>
    </cfRule>
  </conditionalFormatting>
  <conditionalFormatting sqref="B191:B192">
    <cfRule type="colorScale" priority="162">
      <colorScale>
        <cfvo type="min"/>
        <cfvo type="max"/>
        <color rgb="FFFFEF9C"/>
        <color rgb="FFFF7128"/>
      </colorScale>
    </cfRule>
    <cfRule type="colorScale" priority="163">
      <colorScale>
        <cfvo type="min"/>
        <cfvo type="max"/>
        <color theme="5" tint="0.79998168889431442"/>
        <color theme="8" tint="-0.249977111117893"/>
      </colorScale>
    </cfRule>
    <cfRule type="colorScale" priority="164">
      <colorScale>
        <cfvo type="min"/>
        <cfvo type="max"/>
        <color theme="4" tint="0.79998168889431442"/>
        <color theme="7" tint="-0.249977111117893"/>
      </colorScale>
    </cfRule>
    <cfRule type="colorScale" priority="165">
      <colorScale>
        <cfvo type="min"/>
        <cfvo type="max"/>
        <color theme="8" tint="0.79998168889431442"/>
        <color theme="3"/>
      </colorScale>
    </cfRule>
    <cfRule type="colorScale" priority="166">
      <colorScale>
        <cfvo type="min"/>
        <cfvo type="max"/>
        <color theme="4"/>
        <color theme="8" tint="0.79998168889431442"/>
      </colorScale>
    </cfRule>
  </conditionalFormatting>
  <conditionalFormatting sqref="K191:K192">
    <cfRule type="dataBar" priority="157">
      <dataBar>
        <cfvo type="min"/>
        <cfvo type="max"/>
        <color rgb="FFFFB628"/>
      </dataBar>
      <extLst>
        <ext xmlns:x14="http://schemas.microsoft.com/office/spreadsheetml/2009/9/main" uri="{B025F937-C7B1-47D3-B67F-A62EFF666E3E}">
          <x14:id>{E1F2A946-3E5C-4562-9115-EA3AF79089C6}</x14:id>
        </ext>
      </extLst>
    </cfRule>
  </conditionalFormatting>
  <conditionalFormatting sqref="U191:U192">
    <cfRule type="dataBar" priority="158">
      <dataBar>
        <cfvo type="min"/>
        <cfvo type="max"/>
        <color rgb="FFFF555A"/>
      </dataBar>
      <extLst>
        <ext xmlns:x14="http://schemas.microsoft.com/office/spreadsheetml/2009/9/main" uri="{B025F937-C7B1-47D3-B67F-A62EFF666E3E}">
          <x14:id>{C70578E7-3DA3-4EEE-89EE-5803112A1C03}</x14:id>
        </ext>
      </extLst>
    </cfRule>
  </conditionalFormatting>
  <conditionalFormatting sqref="Z191:AA192">
    <cfRule type="dataBar" priority="167">
      <dataBar>
        <cfvo type="min"/>
        <cfvo type="max"/>
        <color rgb="FF008AEF"/>
      </dataBar>
      <extLst>
        <ext xmlns:x14="http://schemas.microsoft.com/office/spreadsheetml/2009/9/main" uri="{B025F937-C7B1-47D3-B67F-A62EFF666E3E}">
          <x14:id>{6EC8B505-3402-4332-A603-9699D614669D}</x14:id>
        </ext>
      </extLst>
    </cfRule>
  </conditionalFormatting>
  <conditionalFormatting sqref="U191:U192">
    <cfRule type="dataBar" priority="168">
      <dataBar>
        <cfvo type="min"/>
        <cfvo type="max"/>
        <color rgb="FF638EC6"/>
      </dataBar>
      <extLst>
        <ext xmlns:x14="http://schemas.microsoft.com/office/spreadsheetml/2009/9/main" uri="{B025F937-C7B1-47D3-B67F-A62EFF666E3E}">
          <x14:id>{26199492-C0F2-4C9E-9598-79AE814BB7F4}</x14:id>
        </ext>
      </extLst>
    </cfRule>
  </conditionalFormatting>
  <conditionalFormatting sqref="B193:B194">
    <cfRule type="colorScale" priority="150">
      <colorScale>
        <cfvo type="min"/>
        <cfvo type="max"/>
        <color rgb="FFFFEF9C"/>
        <color rgb="FFFF7128"/>
      </colorScale>
    </cfRule>
    <cfRule type="colorScale" priority="151">
      <colorScale>
        <cfvo type="min"/>
        <cfvo type="max"/>
        <color theme="5" tint="0.79998168889431442"/>
        <color theme="8" tint="-0.249977111117893"/>
      </colorScale>
    </cfRule>
    <cfRule type="colorScale" priority="152">
      <colorScale>
        <cfvo type="min"/>
        <cfvo type="max"/>
        <color theme="4" tint="0.79998168889431442"/>
        <color theme="7" tint="-0.249977111117893"/>
      </colorScale>
    </cfRule>
    <cfRule type="colorScale" priority="153">
      <colorScale>
        <cfvo type="min"/>
        <cfvo type="max"/>
        <color theme="8" tint="0.79998168889431442"/>
        <color theme="3"/>
      </colorScale>
    </cfRule>
    <cfRule type="colorScale" priority="154">
      <colorScale>
        <cfvo type="min"/>
        <cfvo type="max"/>
        <color theme="4"/>
        <color theme="8" tint="0.79998168889431442"/>
      </colorScale>
    </cfRule>
  </conditionalFormatting>
  <conditionalFormatting sqref="K193:K194">
    <cfRule type="dataBar" priority="145">
      <dataBar>
        <cfvo type="min"/>
        <cfvo type="max"/>
        <color rgb="FFFFB628"/>
      </dataBar>
      <extLst>
        <ext xmlns:x14="http://schemas.microsoft.com/office/spreadsheetml/2009/9/main" uri="{B025F937-C7B1-47D3-B67F-A62EFF666E3E}">
          <x14:id>{2A504BA1-A8EF-46B6-ADF7-CBE8564217E9}</x14:id>
        </ext>
      </extLst>
    </cfRule>
  </conditionalFormatting>
  <conditionalFormatting sqref="U193:U194">
    <cfRule type="dataBar" priority="146">
      <dataBar>
        <cfvo type="min"/>
        <cfvo type="max"/>
        <color rgb="FFFF555A"/>
      </dataBar>
      <extLst>
        <ext xmlns:x14="http://schemas.microsoft.com/office/spreadsheetml/2009/9/main" uri="{B025F937-C7B1-47D3-B67F-A62EFF666E3E}">
          <x14:id>{6E63D56A-0697-4041-9955-813A044AA86E}</x14:id>
        </ext>
      </extLst>
    </cfRule>
  </conditionalFormatting>
  <conditionalFormatting sqref="Z193:AA194">
    <cfRule type="dataBar" priority="155">
      <dataBar>
        <cfvo type="min"/>
        <cfvo type="max"/>
        <color rgb="FF008AEF"/>
      </dataBar>
      <extLst>
        <ext xmlns:x14="http://schemas.microsoft.com/office/spreadsheetml/2009/9/main" uri="{B025F937-C7B1-47D3-B67F-A62EFF666E3E}">
          <x14:id>{0B2615C0-E928-4ADD-8ACA-D3179DBD7D98}</x14:id>
        </ext>
      </extLst>
    </cfRule>
  </conditionalFormatting>
  <conditionalFormatting sqref="U193:U194">
    <cfRule type="dataBar" priority="156">
      <dataBar>
        <cfvo type="min"/>
        <cfvo type="max"/>
        <color rgb="FF638EC6"/>
      </dataBar>
      <extLst>
        <ext xmlns:x14="http://schemas.microsoft.com/office/spreadsheetml/2009/9/main" uri="{B025F937-C7B1-47D3-B67F-A62EFF666E3E}">
          <x14:id>{0C3AAB7E-B6F5-4A1E-B472-36FF96BAD8F3}</x14:id>
        </ext>
      </extLst>
    </cfRule>
  </conditionalFormatting>
  <conditionalFormatting sqref="B195:B196">
    <cfRule type="colorScale" priority="138">
      <colorScale>
        <cfvo type="min"/>
        <cfvo type="max"/>
        <color rgb="FFFFEF9C"/>
        <color rgb="FFFF7128"/>
      </colorScale>
    </cfRule>
    <cfRule type="colorScale" priority="139">
      <colorScale>
        <cfvo type="min"/>
        <cfvo type="max"/>
        <color theme="5" tint="0.79998168889431442"/>
        <color theme="8" tint="-0.249977111117893"/>
      </colorScale>
    </cfRule>
    <cfRule type="colorScale" priority="140">
      <colorScale>
        <cfvo type="min"/>
        <cfvo type="max"/>
        <color theme="4" tint="0.79998168889431442"/>
        <color theme="7" tint="-0.249977111117893"/>
      </colorScale>
    </cfRule>
    <cfRule type="colorScale" priority="141">
      <colorScale>
        <cfvo type="min"/>
        <cfvo type="max"/>
        <color theme="8" tint="0.79998168889431442"/>
        <color theme="3"/>
      </colorScale>
    </cfRule>
    <cfRule type="colorScale" priority="142">
      <colorScale>
        <cfvo type="min"/>
        <cfvo type="max"/>
        <color theme="4"/>
        <color theme="8" tint="0.79998168889431442"/>
      </colorScale>
    </cfRule>
  </conditionalFormatting>
  <conditionalFormatting sqref="K195:K196">
    <cfRule type="dataBar" priority="133">
      <dataBar>
        <cfvo type="min"/>
        <cfvo type="max"/>
        <color rgb="FFFFB628"/>
      </dataBar>
      <extLst>
        <ext xmlns:x14="http://schemas.microsoft.com/office/spreadsheetml/2009/9/main" uri="{B025F937-C7B1-47D3-B67F-A62EFF666E3E}">
          <x14:id>{153514A1-2E1E-412A-9CAC-D79D37E2B112}</x14:id>
        </ext>
      </extLst>
    </cfRule>
  </conditionalFormatting>
  <conditionalFormatting sqref="U195:U196">
    <cfRule type="dataBar" priority="134">
      <dataBar>
        <cfvo type="min"/>
        <cfvo type="max"/>
        <color rgb="FFFF555A"/>
      </dataBar>
      <extLst>
        <ext xmlns:x14="http://schemas.microsoft.com/office/spreadsheetml/2009/9/main" uri="{B025F937-C7B1-47D3-B67F-A62EFF666E3E}">
          <x14:id>{891967E3-7ABE-404A-A079-9B9DAA69F8B4}</x14:id>
        </ext>
      </extLst>
    </cfRule>
  </conditionalFormatting>
  <conditionalFormatting sqref="Z195:AA196">
    <cfRule type="dataBar" priority="143">
      <dataBar>
        <cfvo type="min"/>
        <cfvo type="max"/>
        <color rgb="FF008AEF"/>
      </dataBar>
      <extLst>
        <ext xmlns:x14="http://schemas.microsoft.com/office/spreadsheetml/2009/9/main" uri="{B025F937-C7B1-47D3-B67F-A62EFF666E3E}">
          <x14:id>{00F7EE99-54FC-4EFA-AD40-CD263D65206B}</x14:id>
        </ext>
      </extLst>
    </cfRule>
  </conditionalFormatting>
  <conditionalFormatting sqref="U195:U196">
    <cfRule type="dataBar" priority="144">
      <dataBar>
        <cfvo type="min"/>
        <cfvo type="max"/>
        <color rgb="FF638EC6"/>
      </dataBar>
      <extLst>
        <ext xmlns:x14="http://schemas.microsoft.com/office/spreadsheetml/2009/9/main" uri="{B025F937-C7B1-47D3-B67F-A62EFF666E3E}">
          <x14:id>{913AA3D8-9C11-4E58-847C-BA6B7B98C2CB}</x14:id>
        </ext>
      </extLst>
    </cfRule>
  </conditionalFormatting>
  <conditionalFormatting sqref="B197:B198">
    <cfRule type="colorScale" priority="126">
      <colorScale>
        <cfvo type="min"/>
        <cfvo type="max"/>
        <color rgb="FFFFEF9C"/>
        <color rgb="FFFF7128"/>
      </colorScale>
    </cfRule>
    <cfRule type="colorScale" priority="127">
      <colorScale>
        <cfvo type="min"/>
        <cfvo type="max"/>
        <color theme="5" tint="0.79998168889431442"/>
        <color theme="8" tint="-0.249977111117893"/>
      </colorScale>
    </cfRule>
    <cfRule type="colorScale" priority="128">
      <colorScale>
        <cfvo type="min"/>
        <cfvo type="max"/>
        <color theme="4" tint="0.79998168889431442"/>
        <color theme="7" tint="-0.249977111117893"/>
      </colorScale>
    </cfRule>
    <cfRule type="colorScale" priority="129">
      <colorScale>
        <cfvo type="min"/>
        <cfvo type="max"/>
        <color theme="8" tint="0.79998168889431442"/>
        <color theme="3"/>
      </colorScale>
    </cfRule>
    <cfRule type="colorScale" priority="130">
      <colorScale>
        <cfvo type="min"/>
        <cfvo type="max"/>
        <color theme="4"/>
        <color theme="8" tint="0.79998168889431442"/>
      </colorScale>
    </cfRule>
  </conditionalFormatting>
  <conditionalFormatting sqref="K197:K198">
    <cfRule type="dataBar" priority="121">
      <dataBar>
        <cfvo type="min"/>
        <cfvo type="max"/>
        <color rgb="FFFFB628"/>
      </dataBar>
      <extLst>
        <ext xmlns:x14="http://schemas.microsoft.com/office/spreadsheetml/2009/9/main" uri="{B025F937-C7B1-47D3-B67F-A62EFF666E3E}">
          <x14:id>{EA8B96DC-B501-4894-AA84-B8E690234797}</x14:id>
        </ext>
      </extLst>
    </cfRule>
  </conditionalFormatting>
  <conditionalFormatting sqref="U197:U198">
    <cfRule type="dataBar" priority="122">
      <dataBar>
        <cfvo type="min"/>
        <cfvo type="max"/>
        <color rgb="FFFF555A"/>
      </dataBar>
      <extLst>
        <ext xmlns:x14="http://schemas.microsoft.com/office/spreadsheetml/2009/9/main" uri="{B025F937-C7B1-47D3-B67F-A62EFF666E3E}">
          <x14:id>{58809A8F-07AC-4562-B357-D4C84E3BA1FB}</x14:id>
        </ext>
      </extLst>
    </cfRule>
  </conditionalFormatting>
  <conditionalFormatting sqref="Z197:AA198">
    <cfRule type="dataBar" priority="131">
      <dataBar>
        <cfvo type="min"/>
        <cfvo type="max"/>
        <color rgb="FF008AEF"/>
      </dataBar>
      <extLst>
        <ext xmlns:x14="http://schemas.microsoft.com/office/spreadsheetml/2009/9/main" uri="{B025F937-C7B1-47D3-B67F-A62EFF666E3E}">
          <x14:id>{21266105-490E-4F64-8763-8A78C42527EC}</x14:id>
        </ext>
      </extLst>
    </cfRule>
  </conditionalFormatting>
  <conditionalFormatting sqref="U197:U198">
    <cfRule type="dataBar" priority="132">
      <dataBar>
        <cfvo type="min"/>
        <cfvo type="max"/>
        <color rgb="FF638EC6"/>
      </dataBar>
      <extLst>
        <ext xmlns:x14="http://schemas.microsoft.com/office/spreadsheetml/2009/9/main" uri="{B025F937-C7B1-47D3-B67F-A62EFF666E3E}">
          <x14:id>{7F36F8E6-1DC9-4E21-99F1-050F1C0C2EA0}</x14:id>
        </ext>
      </extLst>
    </cfRule>
  </conditionalFormatting>
  <conditionalFormatting sqref="B199:B200">
    <cfRule type="colorScale" priority="114">
      <colorScale>
        <cfvo type="min"/>
        <cfvo type="max"/>
        <color rgb="FFFFEF9C"/>
        <color rgb="FFFF7128"/>
      </colorScale>
    </cfRule>
    <cfRule type="colorScale" priority="115">
      <colorScale>
        <cfvo type="min"/>
        <cfvo type="max"/>
        <color theme="5" tint="0.79998168889431442"/>
        <color theme="8" tint="-0.249977111117893"/>
      </colorScale>
    </cfRule>
    <cfRule type="colorScale" priority="116">
      <colorScale>
        <cfvo type="min"/>
        <cfvo type="max"/>
        <color theme="4" tint="0.79998168889431442"/>
        <color theme="7" tint="-0.249977111117893"/>
      </colorScale>
    </cfRule>
    <cfRule type="colorScale" priority="117">
      <colorScale>
        <cfvo type="min"/>
        <cfvo type="max"/>
        <color theme="8" tint="0.79998168889431442"/>
        <color theme="3"/>
      </colorScale>
    </cfRule>
    <cfRule type="colorScale" priority="118">
      <colorScale>
        <cfvo type="min"/>
        <cfvo type="max"/>
        <color theme="4"/>
        <color theme="8" tint="0.79998168889431442"/>
      </colorScale>
    </cfRule>
  </conditionalFormatting>
  <conditionalFormatting sqref="K199:K200">
    <cfRule type="dataBar" priority="109">
      <dataBar>
        <cfvo type="min"/>
        <cfvo type="max"/>
        <color rgb="FFFFB628"/>
      </dataBar>
      <extLst>
        <ext xmlns:x14="http://schemas.microsoft.com/office/spreadsheetml/2009/9/main" uri="{B025F937-C7B1-47D3-B67F-A62EFF666E3E}">
          <x14:id>{F2326146-2C09-4F3C-B3CF-030F07BC93F9}</x14:id>
        </ext>
      </extLst>
    </cfRule>
  </conditionalFormatting>
  <conditionalFormatting sqref="U199:U200">
    <cfRule type="dataBar" priority="110">
      <dataBar>
        <cfvo type="min"/>
        <cfvo type="max"/>
        <color rgb="FFFF555A"/>
      </dataBar>
      <extLst>
        <ext xmlns:x14="http://schemas.microsoft.com/office/spreadsheetml/2009/9/main" uri="{B025F937-C7B1-47D3-B67F-A62EFF666E3E}">
          <x14:id>{51DB86C7-252F-4891-A516-02D1788809F7}</x14:id>
        </ext>
      </extLst>
    </cfRule>
  </conditionalFormatting>
  <conditionalFormatting sqref="Z199:AA200">
    <cfRule type="dataBar" priority="119">
      <dataBar>
        <cfvo type="min"/>
        <cfvo type="max"/>
        <color rgb="FF008AEF"/>
      </dataBar>
      <extLst>
        <ext xmlns:x14="http://schemas.microsoft.com/office/spreadsheetml/2009/9/main" uri="{B025F937-C7B1-47D3-B67F-A62EFF666E3E}">
          <x14:id>{A9765EAD-DFF7-451C-AD97-345EB197F9E8}</x14:id>
        </ext>
      </extLst>
    </cfRule>
  </conditionalFormatting>
  <conditionalFormatting sqref="U199:U200">
    <cfRule type="dataBar" priority="120">
      <dataBar>
        <cfvo type="min"/>
        <cfvo type="max"/>
        <color rgb="FF638EC6"/>
      </dataBar>
      <extLst>
        <ext xmlns:x14="http://schemas.microsoft.com/office/spreadsheetml/2009/9/main" uri="{B025F937-C7B1-47D3-B67F-A62EFF666E3E}">
          <x14:id>{A2E19492-7592-43DC-9BF4-8E6CDAE13551}</x14:id>
        </ext>
      </extLst>
    </cfRule>
  </conditionalFormatting>
  <conditionalFormatting sqref="B201:B202">
    <cfRule type="colorScale" priority="102">
      <colorScale>
        <cfvo type="min"/>
        <cfvo type="max"/>
        <color rgb="FFFFEF9C"/>
        <color rgb="FFFF7128"/>
      </colorScale>
    </cfRule>
    <cfRule type="colorScale" priority="103">
      <colorScale>
        <cfvo type="min"/>
        <cfvo type="max"/>
        <color theme="5" tint="0.79998168889431442"/>
        <color theme="8" tint="-0.249977111117893"/>
      </colorScale>
    </cfRule>
    <cfRule type="colorScale" priority="104">
      <colorScale>
        <cfvo type="min"/>
        <cfvo type="max"/>
        <color theme="4" tint="0.79998168889431442"/>
        <color theme="7" tint="-0.249977111117893"/>
      </colorScale>
    </cfRule>
    <cfRule type="colorScale" priority="105">
      <colorScale>
        <cfvo type="min"/>
        <cfvo type="max"/>
        <color theme="8" tint="0.79998168889431442"/>
        <color theme="3"/>
      </colorScale>
    </cfRule>
    <cfRule type="colorScale" priority="106">
      <colorScale>
        <cfvo type="min"/>
        <cfvo type="max"/>
        <color theme="4"/>
        <color theme="8" tint="0.79998168889431442"/>
      </colorScale>
    </cfRule>
  </conditionalFormatting>
  <conditionalFormatting sqref="K201:K202">
    <cfRule type="dataBar" priority="97">
      <dataBar>
        <cfvo type="min"/>
        <cfvo type="max"/>
        <color rgb="FFFFB628"/>
      </dataBar>
      <extLst>
        <ext xmlns:x14="http://schemas.microsoft.com/office/spreadsheetml/2009/9/main" uri="{B025F937-C7B1-47D3-B67F-A62EFF666E3E}">
          <x14:id>{5C7BB539-ED13-4A9E-9334-FB400DC68441}</x14:id>
        </ext>
      </extLst>
    </cfRule>
  </conditionalFormatting>
  <conditionalFormatting sqref="U201:U202">
    <cfRule type="dataBar" priority="98">
      <dataBar>
        <cfvo type="min"/>
        <cfvo type="max"/>
        <color rgb="FFFF555A"/>
      </dataBar>
      <extLst>
        <ext xmlns:x14="http://schemas.microsoft.com/office/spreadsheetml/2009/9/main" uri="{B025F937-C7B1-47D3-B67F-A62EFF666E3E}">
          <x14:id>{750C773B-C250-4CE8-A813-D13FA39CB515}</x14:id>
        </ext>
      </extLst>
    </cfRule>
  </conditionalFormatting>
  <conditionalFormatting sqref="Z201:AA202">
    <cfRule type="dataBar" priority="107">
      <dataBar>
        <cfvo type="min"/>
        <cfvo type="max"/>
        <color rgb="FF008AEF"/>
      </dataBar>
      <extLst>
        <ext xmlns:x14="http://schemas.microsoft.com/office/spreadsheetml/2009/9/main" uri="{B025F937-C7B1-47D3-B67F-A62EFF666E3E}">
          <x14:id>{EFA01E13-271F-4E9B-B998-98F6A5B2E662}</x14:id>
        </ext>
      </extLst>
    </cfRule>
  </conditionalFormatting>
  <conditionalFormatting sqref="U201:U202">
    <cfRule type="dataBar" priority="108">
      <dataBar>
        <cfvo type="min"/>
        <cfvo type="max"/>
        <color rgb="FF638EC6"/>
      </dataBar>
      <extLst>
        <ext xmlns:x14="http://schemas.microsoft.com/office/spreadsheetml/2009/9/main" uri="{B025F937-C7B1-47D3-B67F-A62EFF666E3E}">
          <x14:id>{F34DE110-6B49-4DE3-B8D5-9337C5470EC0}</x14:id>
        </ext>
      </extLst>
    </cfRule>
  </conditionalFormatting>
  <conditionalFormatting sqref="B203:B204">
    <cfRule type="colorScale" priority="90">
      <colorScale>
        <cfvo type="min"/>
        <cfvo type="max"/>
        <color rgb="FFFFEF9C"/>
        <color rgb="FFFF7128"/>
      </colorScale>
    </cfRule>
    <cfRule type="colorScale" priority="91">
      <colorScale>
        <cfvo type="min"/>
        <cfvo type="max"/>
        <color theme="5" tint="0.79998168889431442"/>
        <color theme="8" tint="-0.249977111117893"/>
      </colorScale>
    </cfRule>
    <cfRule type="colorScale" priority="92">
      <colorScale>
        <cfvo type="min"/>
        <cfvo type="max"/>
        <color theme="4" tint="0.79998168889431442"/>
        <color theme="7" tint="-0.249977111117893"/>
      </colorScale>
    </cfRule>
    <cfRule type="colorScale" priority="93">
      <colorScale>
        <cfvo type="min"/>
        <cfvo type="max"/>
        <color theme="8" tint="0.79998168889431442"/>
        <color theme="3"/>
      </colorScale>
    </cfRule>
    <cfRule type="colorScale" priority="94">
      <colorScale>
        <cfvo type="min"/>
        <cfvo type="max"/>
        <color theme="4"/>
        <color theme="8" tint="0.79998168889431442"/>
      </colorScale>
    </cfRule>
  </conditionalFormatting>
  <conditionalFormatting sqref="K203:K204">
    <cfRule type="dataBar" priority="85">
      <dataBar>
        <cfvo type="min"/>
        <cfvo type="max"/>
        <color rgb="FFFFB628"/>
      </dataBar>
      <extLst>
        <ext xmlns:x14="http://schemas.microsoft.com/office/spreadsheetml/2009/9/main" uri="{B025F937-C7B1-47D3-B67F-A62EFF666E3E}">
          <x14:id>{840C2582-7E88-4626-80B1-EDC4DE0D244B}</x14:id>
        </ext>
      </extLst>
    </cfRule>
  </conditionalFormatting>
  <conditionalFormatting sqref="U203:U204">
    <cfRule type="dataBar" priority="86">
      <dataBar>
        <cfvo type="min"/>
        <cfvo type="max"/>
        <color rgb="FFFF555A"/>
      </dataBar>
      <extLst>
        <ext xmlns:x14="http://schemas.microsoft.com/office/spreadsheetml/2009/9/main" uri="{B025F937-C7B1-47D3-B67F-A62EFF666E3E}">
          <x14:id>{38CA8255-B852-4EB8-A9AB-95560FF53BB8}</x14:id>
        </ext>
      </extLst>
    </cfRule>
  </conditionalFormatting>
  <conditionalFormatting sqref="Z203:AA204">
    <cfRule type="dataBar" priority="95">
      <dataBar>
        <cfvo type="min"/>
        <cfvo type="max"/>
        <color rgb="FF008AEF"/>
      </dataBar>
      <extLst>
        <ext xmlns:x14="http://schemas.microsoft.com/office/spreadsheetml/2009/9/main" uri="{B025F937-C7B1-47D3-B67F-A62EFF666E3E}">
          <x14:id>{3F126EBB-FDC8-423F-8E4C-D2A468103FBA}</x14:id>
        </ext>
      </extLst>
    </cfRule>
  </conditionalFormatting>
  <conditionalFormatting sqref="U203:U204">
    <cfRule type="dataBar" priority="96">
      <dataBar>
        <cfvo type="min"/>
        <cfvo type="max"/>
        <color rgb="FF638EC6"/>
      </dataBar>
      <extLst>
        <ext xmlns:x14="http://schemas.microsoft.com/office/spreadsheetml/2009/9/main" uri="{B025F937-C7B1-47D3-B67F-A62EFF666E3E}">
          <x14:id>{5B4BA09D-CE80-485D-98EF-01500DC5A86A}</x14:id>
        </ext>
      </extLst>
    </cfRule>
  </conditionalFormatting>
  <conditionalFormatting sqref="B205:B206">
    <cfRule type="colorScale" priority="78">
      <colorScale>
        <cfvo type="min"/>
        <cfvo type="max"/>
        <color rgb="FFFFEF9C"/>
        <color rgb="FFFF7128"/>
      </colorScale>
    </cfRule>
    <cfRule type="colorScale" priority="79">
      <colorScale>
        <cfvo type="min"/>
        <cfvo type="max"/>
        <color theme="5" tint="0.79998168889431442"/>
        <color theme="8" tint="-0.249977111117893"/>
      </colorScale>
    </cfRule>
    <cfRule type="colorScale" priority="80">
      <colorScale>
        <cfvo type="min"/>
        <cfvo type="max"/>
        <color theme="4" tint="0.79998168889431442"/>
        <color theme="7" tint="-0.249977111117893"/>
      </colorScale>
    </cfRule>
    <cfRule type="colorScale" priority="81">
      <colorScale>
        <cfvo type="min"/>
        <cfvo type="max"/>
        <color theme="8" tint="0.79998168889431442"/>
        <color theme="3"/>
      </colorScale>
    </cfRule>
    <cfRule type="colorScale" priority="82">
      <colorScale>
        <cfvo type="min"/>
        <cfvo type="max"/>
        <color theme="4"/>
        <color theme="8" tint="0.79998168889431442"/>
      </colorScale>
    </cfRule>
  </conditionalFormatting>
  <conditionalFormatting sqref="K205:K206">
    <cfRule type="dataBar" priority="73">
      <dataBar>
        <cfvo type="min"/>
        <cfvo type="max"/>
        <color rgb="FFFFB628"/>
      </dataBar>
      <extLst>
        <ext xmlns:x14="http://schemas.microsoft.com/office/spreadsheetml/2009/9/main" uri="{B025F937-C7B1-47D3-B67F-A62EFF666E3E}">
          <x14:id>{D76E7026-5141-4BF6-B58A-E846C193FEB2}</x14:id>
        </ext>
      </extLst>
    </cfRule>
  </conditionalFormatting>
  <conditionalFormatting sqref="U205:U206">
    <cfRule type="dataBar" priority="74">
      <dataBar>
        <cfvo type="min"/>
        <cfvo type="max"/>
        <color rgb="FFFF555A"/>
      </dataBar>
      <extLst>
        <ext xmlns:x14="http://schemas.microsoft.com/office/spreadsheetml/2009/9/main" uri="{B025F937-C7B1-47D3-B67F-A62EFF666E3E}">
          <x14:id>{83D26E10-5EAD-43FF-A70E-826EF1AE3E1B}</x14:id>
        </ext>
      </extLst>
    </cfRule>
  </conditionalFormatting>
  <conditionalFormatting sqref="Z205:AA206">
    <cfRule type="dataBar" priority="83">
      <dataBar>
        <cfvo type="min"/>
        <cfvo type="max"/>
        <color rgb="FF008AEF"/>
      </dataBar>
      <extLst>
        <ext xmlns:x14="http://schemas.microsoft.com/office/spreadsheetml/2009/9/main" uri="{B025F937-C7B1-47D3-B67F-A62EFF666E3E}">
          <x14:id>{DDDB6DD4-9DB6-4732-ADDF-BDCE5F1D50B6}</x14:id>
        </ext>
      </extLst>
    </cfRule>
  </conditionalFormatting>
  <conditionalFormatting sqref="U205:U206">
    <cfRule type="dataBar" priority="84">
      <dataBar>
        <cfvo type="min"/>
        <cfvo type="max"/>
        <color rgb="FF638EC6"/>
      </dataBar>
      <extLst>
        <ext xmlns:x14="http://schemas.microsoft.com/office/spreadsheetml/2009/9/main" uri="{B025F937-C7B1-47D3-B67F-A62EFF666E3E}">
          <x14:id>{571765DE-2363-4454-8AB3-5AE467622807}</x14:id>
        </ext>
      </extLst>
    </cfRule>
  </conditionalFormatting>
  <conditionalFormatting sqref="B207:B208">
    <cfRule type="colorScale" priority="66">
      <colorScale>
        <cfvo type="min"/>
        <cfvo type="max"/>
        <color rgb="FFFFEF9C"/>
        <color rgb="FFFF7128"/>
      </colorScale>
    </cfRule>
    <cfRule type="colorScale" priority="67">
      <colorScale>
        <cfvo type="min"/>
        <cfvo type="max"/>
        <color theme="5" tint="0.79998168889431442"/>
        <color theme="8" tint="-0.249977111117893"/>
      </colorScale>
    </cfRule>
    <cfRule type="colorScale" priority="68">
      <colorScale>
        <cfvo type="min"/>
        <cfvo type="max"/>
        <color theme="4" tint="0.79998168889431442"/>
        <color theme="7" tint="-0.249977111117893"/>
      </colorScale>
    </cfRule>
    <cfRule type="colorScale" priority="69">
      <colorScale>
        <cfvo type="min"/>
        <cfvo type="max"/>
        <color theme="8" tint="0.79998168889431442"/>
        <color theme="3"/>
      </colorScale>
    </cfRule>
    <cfRule type="colorScale" priority="70">
      <colorScale>
        <cfvo type="min"/>
        <cfvo type="max"/>
        <color theme="4"/>
        <color theme="8" tint="0.79998168889431442"/>
      </colorScale>
    </cfRule>
  </conditionalFormatting>
  <conditionalFormatting sqref="K207:K208">
    <cfRule type="dataBar" priority="61">
      <dataBar>
        <cfvo type="min"/>
        <cfvo type="max"/>
        <color rgb="FFFFB628"/>
      </dataBar>
      <extLst>
        <ext xmlns:x14="http://schemas.microsoft.com/office/spreadsheetml/2009/9/main" uri="{B025F937-C7B1-47D3-B67F-A62EFF666E3E}">
          <x14:id>{A278961B-016A-4734-8B2F-C44D827DD562}</x14:id>
        </ext>
      </extLst>
    </cfRule>
  </conditionalFormatting>
  <conditionalFormatting sqref="U207:U208">
    <cfRule type="dataBar" priority="62">
      <dataBar>
        <cfvo type="min"/>
        <cfvo type="max"/>
        <color rgb="FFFF555A"/>
      </dataBar>
      <extLst>
        <ext xmlns:x14="http://schemas.microsoft.com/office/spreadsheetml/2009/9/main" uri="{B025F937-C7B1-47D3-B67F-A62EFF666E3E}">
          <x14:id>{620D0D9A-85BD-47D6-A97B-F3C919E7727D}</x14:id>
        </ext>
      </extLst>
    </cfRule>
  </conditionalFormatting>
  <conditionalFormatting sqref="Z207:AA208">
    <cfRule type="dataBar" priority="71">
      <dataBar>
        <cfvo type="min"/>
        <cfvo type="max"/>
        <color rgb="FF008AEF"/>
      </dataBar>
      <extLst>
        <ext xmlns:x14="http://schemas.microsoft.com/office/spreadsheetml/2009/9/main" uri="{B025F937-C7B1-47D3-B67F-A62EFF666E3E}">
          <x14:id>{1DDF0A6E-8DD3-46A8-AE53-292469AE81C7}</x14:id>
        </ext>
      </extLst>
    </cfRule>
  </conditionalFormatting>
  <conditionalFormatting sqref="U207:U208">
    <cfRule type="dataBar" priority="72">
      <dataBar>
        <cfvo type="min"/>
        <cfvo type="max"/>
        <color rgb="FF638EC6"/>
      </dataBar>
      <extLst>
        <ext xmlns:x14="http://schemas.microsoft.com/office/spreadsheetml/2009/9/main" uri="{B025F937-C7B1-47D3-B67F-A62EFF666E3E}">
          <x14:id>{DBC25713-451E-4C74-BC64-4A09F6CA0290}</x14:id>
        </ext>
      </extLst>
    </cfRule>
  </conditionalFormatting>
  <conditionalFormatting sqref="B209:B210">
    <cfRule type="colorScale" priority="54">
      <colorScale>
        <cfvo type="min"/>
        <cfvo type="max"/>
        <color rgb="FFFFEF9C"/>
        <color rgb="FFFF7128"/>
      </colorScale>
    </cfRule>
    <cfRule type="colorScale" priority="55">
      <colorScale>
        <cfvo type="min"/>
        <cfvo type="max"/>
        <color theme="5" tint="0.79998168889431442"/>
        <color theme="8" tint="-0.249977111117893"/>
      </colorScale>
    </cfRule>
    <cfRule type="colorScale" priority="56">
      <colorScale>
        <cfvo type="min"/>
        <cfvo type="max"/>
        <color theme="4" tint="0.79998168889431442"/>
        <color theme="7" tint="-0.249977111117893"/>
      </colorScale>
    </cfRule>
    <cfRule type="colorScale" priority="57">
      <colorScale>
        <cfvo type="min"/>
        <cfvo type="max"/>
        <color theme="8" tint="0.79998168889431442"/>
        <color theme="3"/>
      </colorScale>
    </cfRule>
    <cfRule type="colorScale" priority="58">
      <colorScale>
        <cfvo type="min"/>
        <cfvo type="max"/>
        <color theme="4"/>
        <color theme="8" tint="0.79998168889431442"/>
      </colorScale>
    </cfRule>
  </conditionalFormatting>
  <conditionalFormatting sqref="K209:K210">
    <cfRule type="dataBar" priority="49">
      <dataBar>
        <cfvo type="min"/>
        <cfvo type="max"/>
        <color rgb="FFFFB628"/>
      </dataBar>
      <extLst>
        <ext xmlns:x14="http://schemas.microsoft.com/office/spreadsheetml/2009/9/main" uri="{B025F937-C7B1-47D3-B67F-A62EFF666E3E}">
          <x14:id>{B5AEAF98-026B-42CD-AC6B-2F2849E24AC4}</x14:id>
        </ext>
      </extLst>
    </cfRule>
  </conditionalFormatting>
  <conditionalFormatting sqref="U209:U210">
    <cfRule type="dataBar" priority="50">
      <dataBar>
        <cfvo type="min"/>
        <cfvo type="max"/>
        <color rgb="FFFF555A"/>
      </dataBar>
      <extLst>
        <ext xmlns:x14="http://schemas.microsoft.com/office/spreadsheetml/2009/9/main" uri="{B025F937-C7B1-47D3-B67F-A62EFF666E3E}">
          <x14:id>{AD3F3BB7-D947-4853-9A06-B7843F3249E4}</x14:id>
        </ext>
      </extLst>
    </cfRule>
  </conditionalFormatting>
  <conditionalFormatting sqref="Z209:AA210">
    <cfRule type="dataBar" priority="59">
      <dataBar>
        <cfvo type="min"/>
        <cfvo type="max"/>
        <color rgb="FF008AEF"/>
      </dataBar>
      <extLst>
        <ext xmlns:x14="http://schemas.microsoft.com/office/spreadsheetml/2009/9/main" uri="{B025F937-C7B1-47D3-B67F-A62EFF666E3E}">
          <x14:id>{42EB504E-DC02-415B-ABA0-0BFBFCEA4B1B}</x14:id>
        </ext>
      </extLst>
    </cfRule>
  </conditionalFormatting>
  <conditionalFormatting sqref="U209:U210">
    <cfRule type="dataBar" priority="60">
      <dataBar>
        <cfvo type="min"/>
        <cfvo type="max"/>
        <color rgb="FF638EC6"/>
      </dataBar>
      <extLst>
        <ext xmlns:x14="http://schemas.microsoft.com/office/spreadsheetml/2009/9/main" uri="{B025F937-C7B1-47D3-B67F-A62EFF666E3E}">
          <x14:id>{12967506-A13A-4078-85FE-2F1B27421AB8}</x14:id>
        </ext>
      </extLst>
    </cfRule>
  </conditionalFormatting>
  <conditionalFormatting sqref="B211:B212">
    <cfRule type="colorScale" priority="42">
      <colorScale>
        <cfvo type="min"/>
        <cfvo type="max"/>
        <color rgb="FFFFEF9C"/>
        <color rgb="FFFF7128"/>
      </colorScale>
    </cfRule>
    <cfRule type="colorScale" priority="43">
      <colorScale>
        <cfvo type="min"/>
        <cfvo type="max"/>
        <color theme="5" tint="0.79998168889431442"/>
        <color theme="8" tint="-0.249977111117893"/>
      </colorScale>
    </cfRule>
    <cfRule type="colorScale" priority="44">
      <colorScale>
        <cfvo type="min"/>
        <cfvo type="max"/>
        <color theme="4" tint="0.79998168889431442"/>
        <color theme="7" tint="-0.249977111117893"/>
      </colorScale>
    </cfRule>
    <cfRule type="colorScale" priority="45">
      <colorScale>
        <cfvo type="min"/>
        <cfvo type="max"/>
        <color theme="8" tint="0.79998168889431442"/>
        <color theme="3"/>
      </colorScale>
    </cfRule>
    <cfRule type="colorScale" priority="46">
      <colorScale>
        <cfvo type="min"/>
        <cfvo type="max"/>
        <color theme="4"/>
        <color theme="8" tint="0.79998168889431442"/>
      </colorScale>
    </cfRule>
  </conditionalFormatting>
  <conditionalFormatting sqref="K211:K212">
    <cfRule type="dataBar" priority="37">
      <dataBar>
        <cfvo type="min"/>
        <cfvo type="max"/>
        <color rgb="FFFFB628"/>
      </dataBar>
      <extLst>
        <ext xmlns:x14="http://schemas.microsoft.com/office/spreadsheetml/2009/9/main" uri="{B025F937-C7B1-47D3-B67F-A62EFF666E3E}">
          <x14:id>{0DE8C080-AB75-4538-8932-78B67F0FE0DF}</x14:id>
        </ext>
      </extLst>
    </cfRule>
  </conditionalFormatting>
  <conditionalFormatting sqref="U211:U212">
    <cfRule type="dataBar" priority="38">
      <dataBar>
        <cfvo type="min"/>
        <cfvo type="max"/>
        <color rgb="FFFF555A"/>
      </dataBar>
      <extLst>
        <ext xmlns:x14="http://schemas.microsoft.com/office/spreadsheetml/2009/9/main" uri="{B025F937-C7B1-47D3-B67F-A62EFF666E3E}">
          <x14:id>{4BA7B40D-E84D-4B5A-971B-40D0E5E76E35}</x14:id>
        </ext>
      </extLst>
    </cfRule>
  </conditionalFormatting>
  <conditionalFormatting sqref="Z211:AA212">
    <cfRule type="dataBar" priority="47">
      <dataBar>
        <cfvo type="min"/>
        <cfvo type="max"/>
        <color rgb="FF008AEF"/>
      </dataBar>
      <extLst>
        <ext xmlns:x14="http://schemas.microsoft.com/office/spreadsheetml/2009/9/main" uri="{B025F937-C7B1-47D3-B67F-A62EFF666E3E}">
          <x14:id>{4A67A764-AD6E-4EA2-86E2-9C985C6954C7}</x14:id>
        </ext>
      </extLst>
    </cfRule>
  </conditionalFormatting>
  <conditionalFormatting sqref="U211:U212">
    <cfRule type="dataBar" priority="48">
      <dataBar>
        <cfvo type="min"/>
        <cfvo type="max"/>
        <color rgb="FF638EC6"/>
      </dataBar>
      <extLst>
        <ext xmlns:x14="http://schemas.microsoft.com/office/spreadsheetml/2009/9/main" uri="{B025F937-C7B1-47D3-B67F-A62EFF666E3E}">
          <x14:id>{8FF8B6E1-1642-49EA-A02B-7C52404B1D38}</x14:id>
        </ext>
      </extLst>
    </cfRule>
  </conditionalFormatting>
  <conditionalFormatting sqref="B213:B327">
    <cfRule type="colorScale" priority="30">
      <colorScale>
        <cfvo type="min"/>
        <cfvo type="max"/>
        <color rgb="FFFFEF9C"/>
        <color rgb="FFFF7128"/>
      </colorScale>
    </cfRule>
    <cfRule type="colorScale" priority="31">
      <colorScale>
        <cfvo type="min"/>
        <cfvo type="max"/>
        <color theme="5" tint="0.79998168889431442"/>
        <color theme="8" tint="-0.249977111117893"/>
      </colorScale>
    </cfRule>
    <cfRule type="colorScale" priority="32">
      <colorScale>
        <cfvo type="min"/>
        <cfvo type="max"/>
        <color theme="4" tint="0.79998168889431442"/>
        <color theme="7" tint="-0.249977111117893"/>
      </colorScale>
    </cfRule>
    <cfRule type="colorScale" priority="33">
      <colorScale>
        <cfvo type="min"/>
        <cfvo type="max"/>
        <color theme="8" tint="0.79998168889431442"/>
        <color theme="3"/>
      </colorScale>
    </cfRule>
    <cfRule type="colorScale" priority="34">
      <colorScale>
        <cfvo type="min"/>
        <cfvo type="max"/>
        <color theme="4"/>
        <color theme="8" tint="0.79998168889431442"/>
      </colorScale>
    </cfRule>
  </conditionalFormatting>
  <conditionalFormatting sqref="K213:K241">
    <cfRule type="dataBar" priority="25">
      <dataBar>
        <cfvo type="min"/>
        <cfvo type="max"/>
        <color rgb="FFFFB628"/>
      </dataBar>
      <extLst>
        <ext xmlns:x14="http://schemas.microsoft.com/office/spreadsheetml/2009/9/main" uri="{B025F937-C7B1-47D3-B67F-A62EFF666E3E}">
          <x14:id>{1522F87F-2608-4685-B544-5D1C8ADD55F8}</x14:id>
        </ext>
      </extLst>
    </cfRule>
  </conditionalFormatting>
  <conditionalFormatting sqref="U213:U241">
    <cfRule type="dataBar" priority="26">
      <dataBar>
        <cfvo type="min"/>
        <cfvo type="max"/>
        <color rgb="FFFF555A"/>
      </dataBar>
      <extLst>
        <ext xmlns:x14="http://schemas.microsoft.com/office/spreadsheetml/2009/9/main" uri="{B025F937-C7B1-47D3-B67F-A62EFF666E3E}">
          <x14:id>{B1B45570-3D96-4DCB-BDD8-A2EFB30FF927}</x14:id>
        </ext>
      </extLst>
    </cfRule>
  </conditionalFormatting>
  <conditionalFormatting sqref="Z213:AA241">
    <cfRule type="dataBar" priority="35">
      <dataBar>
        <cfvo type="min"/>
        <cfvo type="max"/>
        <color rgb="FF008AEF"/>
      </dataBar>
      <extLst>
        <ext xmlns:x14="http://schemas.microsoft.com/office/spreadsheetml/2009/9/main" uri="{B025F937-C7B1-47D3-B67F-A62EFF666E3E}">
          <x14:id>{5BE5CD0E-E8C7-410B-B846-3ED3259F8900}</x14:id>
        </ext>
      </extLst>
    </cfRule>
  </conditionalFormatting>
  <conditionalFormatting sqref="U213:U241">
    <cfRule type="dataBar" priority="36">
      <dataBar>
        <cfvo type="min"/>
        <cfvo type="max"/>
        <color rgb="FF638EC6"/>
      </dataBar>
      <extLst>
        <ext xmlns:x14="http://schemas.microsoft.com/office/spreadsheetml/2009/9/main" uri="{B025F937-C7B1-47D3-B67F-A62EFF666E3E}">
          <x14:id>{C09B5D4B-12BC-4C9D-9E24-E19F7CA51A2E}</x14:id>
        </ext>
      </extLst>
    </cfRule>
  </conditionalFormatting>
  <conditionalFormatting sqref="S1:T1048576">
    <cfRule type="dataBar" priority="23">
      <dataBar>
        <cfvo type="min"/>
        <cfvo type="max"/>
        <color rgb="FF63C384"/>
      </dataBar>
      <extLst>
        <ext xmlns:x14="http://schemas.microsoft.com/office/spreadsheetml/2009/9/main" uri="{B025F937-C7B1-47D3-B67F-A62EFF666E3E}">
          <x14:id>{3CDDBE39-DD53-4049-8FE8-647A17F752A4}</x14:id>
        </ext>
      </extLst>
    </cfRule>
  </conditionalFormatting>
  <conditionalFormatting sqref="Q1:R1048576">
    <cfRule type="dataBar" priority="22">
      <dataBar>
        <cfvo type="min"/>
        <cfvo type="max"/>
        <color rgb="FF638EC6"/>
      </dataBar>
      <extLst>
        <ext xmlns:x14="http://schemas.microsoft.com/office/spreadsheetml/2009/9/main" uri="{B025F937-C7B1-47D3-B67F-A62EFF666E3E}">
          <x14:id>{6CADB2D2-1548-4BD4-B97D-6B99E30DB65F}</x14:id>
        </ext>
      </extLst>
    </cfRule>
  </conditionalFormatting>
  <conditionalFormatting sqref="U1:U241 U328:U1048576">
    <cfRule type="dataBar" priority="21">
      <dataBar>
        <cfvo type="min"/>
        <cfvo type="max"/>
        <color rgb="FFFF555A"/>
      </dataBar>
      <extLst>
        <ext xmlns:x14="http://schemas.microsoft.com/office/spreadsheetml/2009/9/main" uri="{B025F937-C7B1-47D3-B67F-A62EFF666E3E}">
          <x14:id>{2E199BE1-84BE-4CD4-BA7C-65431213A128}</x14:id>
        </ext>
      </extLst>
    </cfRule>
  </conditionalFormatting>
  <conditionalFormatting sqref="AB175:AB178">
    <cfRule type="dataBar" priority="10">
      <dataBar>
        <cfvo type="min"/>
        <cfvo type="max"/>
        <color rgb="FF638EC6"/>
      </dataBar>
      <extLst>
        <ext xmlns:x14="http://schemas.microsoft.com/office/spreadsheetml/2009/9/main" uri="{B025F937-C7B1-47D3-B67F-A62EFF666E3E}">
          <x14:id>{0CA93193-5A23-4E91-964C-F7D416D9DD00}</x14:id>
        </ext>
      </extLst>
    </cfRule>
  </conditionalFormatting>
  <conditionalFormatting sqref="AB175:AB178">
    <cfRule type="dataBar" priority="9">
      <dataBar>
        <cfvo type="min"/>
        <cfvo type="max"/>
        <color rgb="FF638EC6"/>
      </dataBar>
      <extLst>
        <ext xmlns:x14="http://schemas.microsoft.com/office/spreadsheetml/2009/9/main" uri="{B025F937-C7B1-47D3-B67F-A62EFF666E3E}">
          <x14:id>{C88EB3C0-5592-42C5-92B1-E15F866E7183}</x14:id>
        </ext>
      </extLst>
    </cfRule>
  </conditionalFormatting>
  <conditionalFormatting sqref="K242:K327">
    <cfRule type="dataBar" priority="6">
      <dataBar>
        <cfvo type="min"/>
        <cfvo type="max"/>
        <color rgb="FFFFB628"/>
      </dataBar>
      <extLst>
        <ext xmlns:x14="http://schemas.microsoft.com/office/spreadsheetml/2009/9/main" uri="{B025F937-C7B1-47D3-B67F-A62EFF666E3E}">
          <x14:id>{57BD4075-FE8B-43F9-A9FF-F42453485B70}</x14:id>
        </ext>
      </extLst>
    </cfRule>
  </conditionalFormatting>
  <conditionalFormatting sqref="U242:U327">
    <cfRule type="dataBar" priority="2">
      <dataBar>
        <cfvo type="min"/>
        <cfvo type="max"/>
        <color rgb="FFFF555A"/>
      </dataBar>
      <extLst>
        <ext xmlns:x14="http://schemas.microsoft.com/office/spreadsheetml/2009/9/main" uri="{B025F937-C7B1-47D3-B67F-A62EFF666E3E}">
          <x14:id>{289C94C1-783E-43B8-AC8B-9B3B67B6C136}</x14:id>
        </ext>
      </extLst>
    </cfRule>
  </conditionalFormatting>
  <conditionalFormatting sqref="Z242:AA327">
    <cfRule type="dataBar" priority="3">
      <dataBar>
        <cfvo type="min"/>
        <cfvo type="max"/>
        <color rgb="FF008AEF"/>
      </dataBar>
      <extLst>
        <ext xmlns:x14="http://schemas.microsoft.com/office/spreadsheetml/2009/9/main" uri="{B025F937-C7B1-47D3-B67F-A62EFF666E3E}">
          <x14:id>{231E9E50-397E-46F8-AB0D-7F2D790999A2}</x14:id>
        </ext>
      </extLst>
    </cfRule>
  </conditionalFormatting>
  <conditionalFormatting sqref="U242:U327">
    <cfRule type="dataBar" priority="4">
      <dataBar>
        <cfvo type="min"/>
        <cfvo type="max"/>
        <color rgb="FF638EC6"/>
      </dataBar>
      <extLst>
        <ext xmlns:x14="http://schemas.microsoft.com/office/spreadsheetml/2009/9/main" uri="{B025F937-C7B1-47D3-B67F-A62EFF666E3E}">
          <x14:id>{1ED25FBC-B81B-41F1-BEBB-5AA0391368C8}</x14:id>
        </ext>
      </extLst>
    </cfRule>
  </conditionalFormatting>
  <conditionalFormatting sqref="U242:U327">
    <cfRule type="dataBar" priority="1">
      <dataBar>
        <cfvo type="min"/>
        <cfvo type="max"/>
        <color rgb="FFFF555A"/>
      </dataBar>
      <extLst>
        <ext xmlns:x14="http://schemas.microsoft.com/office/spreadsheetml/2009/9/main" uri="{B025F937-C7B1-47D3-B67F-A62EFF666E3E}">
          <x14:id>{E86A5D80-6E63-44BA-8F6A-01F006E550C2}</x14:id>
        </ext>
      </extLst>
    </cfRule>
  </conditionalFormatting>
  <pageMargins left="0.11811023622047245" right="0.11811023622047245" top="0.39370078740157483" bottom="0.39370078740157483" header="0" footer="0"/>
  <pageSetup paperSize="9"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533A6881-A8EB-4994-A696-6968D24B8769}">
            <x14:dataBar minLength="0" maxLength="100" gradient="0">
              <x14:cfvo type="autoMin"/>
              <x14:cfvo type="autoMax"/>
              <x14:negativeFillColor rgb="FFFF0000"/>
              <x14:axisColor rgb="FF000000"/>
            </x14:dataBar>
          </x14:cfRule>
          <xm:sqref>S328:T1048576 S1:T166</xm:sqref>
        </x14:conditionalFormatting>
        <x14:conditionalFormatting xmlns:xm="http://schemas.microsoft.com/office/excel/2006/main">
          <x14:cfRule type="dataBar" id="{B25FA8B6-CAB7-43DC-A9CC-EA7F2A258F1C}">
            <x14:dataBar minLength="0" maxLength="100" gradient="0">
              <x14:cfvo type="autoMin"/>
              <x14:cfvo type="autoMax"/>
              <x14:negativeFillColor rgb="FFFF0000"/>
              <x14:axisColor rgb="FF000000"/>
            </x14:dataBar>
          </x14:cfRule>
          <xm:sqref>K328:K1048576 K1:K166</xm:sqref>
        </x14:conditionalFormatting>
        <x14:conditionalFormatting xmlns:xm="http://schemas.microsoft.com/office/excel/2006/main">
          <x14:cfRule type="dataBar" id="{B0EF5BCF-B627-4EEE-B77C-6AE6DC708307}">
            <x14:dataBar minLength="0" maxLength="100" gradient="0">
              <x14:cfvo type="autoMin"/>
              <x14:cfvo type="autoMax"/>
              <x14:negativeFillColor rgb="FFFF0000"/>
              <x14:axisColor rgb="FF000000"/>
            </x14:dataBar>
          </x14:cfRule>
          <xm:sqref>I1:I326</xm:sqref>
        </x14:conditionalFormatting>
        <x14:conditionalFormatting xmlns:xm="http://schemas.microsoft.com/office/excel/2006/main">
          <x14:cfRule type="dataBar" id="{24628C05-6BD9-4173-B914-BF1707FF6B72}">
            <x14:dataBar minLength="0" maxLength="100" gradient="0">
              <x14:cfvo type="autoMin"/>
              <x14:cfvo type="autoMax"/>
              <x14:negativeFillColor rgb="FFFF0000"/>
              <x14:axisColor rgb="FF000000"/>
            </x14:dataBar>
          </x14:cfRule>
          <xm:sqref>H1:H326</xm:sqref>
        </x14:conditionalFormatting>
        <x14:conditionalFormatting xmlns:xm="http://schemas.microsoft.com/office/excel/2006/main">
          <x14:cfRule type="dataBar" id="{AA12B48F-F2D2-49C9-83E4-25F7EF77E7B1}">
            <x14:dataBar minLength="0" maxLength="100" gradient="0">
              <x14:cfvo type="autoMin"/>
              <x14:cfvo type="autoMax"/>
              <x14:negativeFillColor rgb="FFFF0000"/>
              <x14:axisColor rgb="FF000000"/>
            </x14:dataBar>
          </x14:cfRule>
          <xm:sqref>U328:U1048576 U1:U166</xm:sqref>
        </x14:conditionalFormatting>
        <x14:conditionalFormatting xmlns:xm="http://schemas.microsoft.com/office/excel/2006/main">
          <x14:cfRule type="dataBar" id="{CD37D7FC-E20A-41D2-9074-589AC4AD51AA}">
            <x14:dataBar minLength="0" maxLength="100" gradient="0">
              <x14:cfvo type="autoMin"/>
              <x14:cfvo type="autoMax"/>
              <x14:negativeFillColor rgb="FFFF0000"/>
              <x14:axisColor rgb="FF000000"/>
            </x14:dataBar>
          </x14:cfRule>
          <xm:sqref>Z328:AA1048576 Z1:AA166</xm:sqref>
        </x14:conditionalFormatting>
        <x14:conditionalFormatting xmlns:xm="http://schemas.microsoft.com/office/excel/2006/main">
          <x14:cfRule type="dataBar" id="{39922DAD-59F6-40E2-B276-AA18704266B2}">
            <x14:dataBar minLength="0" maxLength="100" gradient="0">
              <x14:cfvo type="autoMin"/>
              <x14:cfvo type="autoMax"/>
              <x14:negativeFillColor rgb="FFFF0000"/>
              <x14:axisColor rgb="FF000000"/>
            </x14:dataBar>
          </x14:cfRule>
          <xm:sqref>Q328:R1048576 U1:U166 Q1:R166 U328:U1048576</xm:sqref>
        </x14:conditionalFormatting>
        <x14:conditionalFormatting xmlns:xm="http://schemas.microsoft.com/office/excel/2006/main">
          <x14:cfRule type="dataBar" id="{FFF458D6-F391-4BDC-99E5-37E2F7B1AC1B}">
            <x14:dataBar minLength="0" maxLength="100" gradient="0">
              <x14:cfvo type="autoMin"/>
              <x14:cfvo type="autoMax"/>
              <x14:negativeFillColor rgb="FFFF0000"/>
              <x14:axisColor rgb="FF000000"/>
            </x14:dataBar>
          </x14:cfRule>
          <xm:sqref>S167:T168</xm:sqref>
        </x14:conditionalFormatting>
        <x14:conditionalFormatting xmlns:xm="http://schemas.microsoft.com/office/excel/2006/main">
          <x14:cfRule type="dataBar" id="{84AACD56-87C0-4EB6-A75C-C811657E7DF9}">
            <x14:dataBar minLength="0" maxLength="100" gradient="0">
              <x14:cfvo type="autoMin"/>
              <x14:cfvo type="autoMax"/>
              <x14:negativeFillColor rgb="FFFF0000"/>
              <x14:axisColor rgb="FF000000"/>
            </x14:dataBar>
          </x14:cfRule>
          <xm:sqref>K167:K168</xm:sqref>
        </x14:conditionalFormatting>
        <x14:conditionalFormatting xmlns:xm="http://schemas.microsoft.com/office/excel/2006/main">
          <x14:cfRule type="dataBar" id="{A0978E81-11D8-49EE-BF20-0E42B65EB73E}">
            <x14:dataBar minLength="0" maxLength="100" gradient="0">
              <x14:cfvo type="autoMin"/>
              <x14:cfvo type="autoMax"/>
              <x14:negativeFillColor rgb="FFFF0000"/>
              <x14:axisColor rgb="FF000000"/>
            </x14:dataBar>
          </x14:cfRule>
          <xm:sqref>U167:U168</xm:sqref>
        </x14:conditionalFormatting>
        <x14:conditionalFormatting xmlns:xm="http://schemas.microsoft.com/office/excel/2006/main">
          <x14:cfRule type="dataBar" id="{1BF90429-B757-4B2D-89BD-481AF9B5AF50}">
            <x14:dataBar minLength="0" maxLength="100" gradient="0">
              <x14:cfvo type="autoMin"/>
              <x14:cfvo type="autoMax"/>
              <x14:negativeFillColor rgb="FFFF0000"/>
              <x14:axisColor rgb="FF000000"/>
            </x14:dataBar>
          </x14:cfRule>
          <xm:sqref>Z167:AA168</xm:sqref>
        </x14:conditionalFormatting>
        <x14:conditionalFormatting xmlns:xm="http://schemas.microsoft.com/office/excel/2006/main">
          <x14:cfRule type="dataBar" id="{BBF72250-5BF9-49CD-9448-23E2711533B5}">
            <x14:dataBar minLength="0" maxLength="100" gradient="0">
              <x14:cfvo type="autoMin"/>
              <x14:cfvo type="autoMax"/>
              <x14:negativeFillColor rgb="FFFF0000"/>
              <x14:axisColor rgb="FF000000"/>
            </x14:dataBar>
          </x14:cfRule>
          <xm:sqref>U167:U168 Q167:R168</xm:sqref>
        </x14:conditionalFormatting>
        <x14:conditionalFormatting xmlns:xm="http://schemas.microsoft.com/office/excel/2006/main">
          <x14:cfRule type="dataBar" id="{6BD45C71-EC49-4732-AD01-F7D043054427}">
            <x14:dataBar minLength="0" maxLength="100" gradient="0">
              <x14:cfvo type="autoMin"/>
              <x14:cfvo type="autoMax"/>
              <x14:negativeFillColor rgb="FFFF0000"/>
              <x14:axisColor rgb="FF000000"/>
            </x14:dataBar>
          </x14:cfRule>
          <xm:sqref>S169:T170</xm:sqref>
        </x14:conditionalFormatting>
        <x14:conditionalFormatting xmlns:xm="http://schemas.microsoft.com/office/excel/2006/main">
          <x14:cfRule type="dataBar" id="{D66D4C44-9495-4004-A99E-AD1C8ED3CF7D}">
            <x14:dataBar minLength="0" maxLength="100" gradient="0">
              <x14:cfvo type="autoMin"/>
              <x14:cfvo type="autoMax"/>
              <x14:negativeFillColor rgb="FFFF0000"/>
              <x14:axisColor rgb="FF000000"/>
            </x14:dataBar>
          </x14:cfRule>
          <xm:sqref>K169:K170</xm:sqref>
        </x14:conditionalFormatting>
        <x14:conditionalFormatting xmlns:xm="http://schemas.microsoft.com/office/excel/2006/main">
          <x14:cfRule type="dataBar" id="{30A0A191-3AD2-4C93-B273-758D5C87182A}">
            <x14:dataBar minLength="0" maxLength="100" gradient="0">
              <x14:cfvo type="autoMin"/>
              <x14:cfvo type="autoMax"/>
              <x14:negativeFillColor rgb="FFFF0000"/>
              <x14:axisColor rgb="FF000000"/>
            </x14:dataBar>
          </x14:cfRule>
          <xm:sqref>U169:U170</xm:sqref>
        </x14:conditionalFormatting>
        <x14:conditionalFormatting xmlns:xm="http://schemas.microsoft.com/office/excel/2006/main">
          <x14:cfRule type="dataBar" id="{2C4EEB35-85E1-4224-AFE7-D31CE6362F19}">
            <x14:dataBar minLength="0" maxLength="100" gradient="0">
              <x14:cfvo type="autoMin"/>
              <x14:cfvo type="autoMax"/>
              <x14:negativeFillColor rgb="FFFF0000"/>
              <x14:axisColor rgb="FF000000"/>
            </x14:dataBar>
          </x14:cfRule>
          <xm:sqref>Z169:AA170</xm:sqref>
        </x14:conditionalFormatting>
        <x14:conditionalFormatting xmlns:xm="http://schemas.microsoft.com/office/excel/2006/main">
          <x14:cfRule type="dataBar" id="{F91FCBE9-AB99-4505-BB02-27CAAEA4D6E0}">
            <x14:dataBar minLength="0" maxLength="100" gradient="0">
              <x14:cfvo type="autoMin"/>
              <x14:cfvo type="autoMax"/>
              <x14:negativeFillColor rgb="FFFF0000"/>
              <x14:axisColor rgb="FF000000"/>
            </x14:dataBar>
          </x14:cfRule>
          <xm:sqref>U169:U170 Q169:R170</xm:sqref>
        </x14:conditionalFormatting>
        <x14:conditionalFormatting xmlns:xm="http://schemas.microsoft.com/office/excel/2006/main">
          <x14:cfRule type="dataBar" id="{5B9D9437-6FE7-49A1-8EC3-49D2F5DA1911}">
            <x14:dataBar minLength="0" maxLength="100" gradient="0">
              <x14:cfvo type="autoMin"/>
              <x14:cfvo type="autoMax"/>
              <x14:negativeFillColor rgb="FFFF0000"/>
              <x14:axisColor rgb="FF000000"/>
            </x14:dataBar>
          </x14:cfRule>
          <xm:sqref>S171:T327</xm:sqref>
        </x14:conditionalFormatting>
        <x14:conditionalFormatting xmlns:xm="http://schemas.microsoft.com/office/excel/2006/main">
          <x14:cfRule type="dataBar" id="{2F6164A9-6311-45BE-A6AA-8FFC8DDD0AD9}">
            <x14:dataBar minLength="0" maxLength="100" gradient="0">
              <x14:cfvo type="autoMin"/>
              <x14:cfvo type="autoMax"/>
              <x14:negativeFillColor rgb="FFFF0000"/>
              <x14:axisColor rgb="FF000000"/>
            </x14:dataBar>
          </x14:cfRule>
          <xm:sqref>K171:K172</xm:sqref>
        </x14:conditionalFormatting>
        <x14:conditionalFormatting xmlns:xm="http://schemas.microsoft.com/office/excel/2006/main">
          <x14:cfRule type="dataBar" id="{32581E41-F225-412E-9EA9-DC07CB73AE32}">
            <x14:dataBar minLength="0" maxLength="100" gradient="0">
              <x14:cfvo type="autoMin"/>
              <x14:cfvo type="autoMax"/>
              <x14:negativeFillColor rgb="FFFF0000"/>
              <x14:axisColor rgb="FF000000"/>
            </x14:dataBar>
          </x14:cfRule>
          <xm:sqref>U171:U178</xm:sqref>
        </x14:conditionalFormatting>
        <x14:conditionalFormatting xmlns:xm="http://schemas.microsoft.com/office/excel/2006/main">
          <x14:cfRule type="dataBar" id="{47F7CA0E-88B7-49C0-A244-657F4CE76809}">
            <x14:dataBar minLength="0" maxLength="100" gradient="0">
              <x14:cfvo type="autoMin"/>
              <x14:cfvo type="autoMax"/>
              <x14:negativeFillColor rgb="FFFF0000"/>
              <x14:axisColor rgb="FF000000"/>
            </x14:dataBar>
          </x14:cfRule>
          <xm:sqref>Z171:AA172</xm:sqref>
        </x14:conditionalFormatting>
        <x14:conditionalFormatting xmlns:xm="http://schemas.microsoft.com/office/excel/2006/main">
          <x14:cfRule type="dataBar" id="{B8845AE8-0A16-4090-8511-D3FD545C613A}">
            <x14:dataBar minLength="0" maxLength="100" gradient="0">
              <x14:cfvo type="autoMin"/>
              <x14:cfvo type="autoMax"/>
              <x14:negativeFillColor rgb="FFFF0000"/>
              <x14:axisColor rgb="FF000000"/>
            </x14:dataBar>
          </x14:cfRule>
          <xm:sqref>U171:U178 Q171:R327</xm:sqref>
        </x14:conditionalFormatting>
        <x14:conditionalFormatting xmlns:xm="http://schemas.microsoft.com/office/excel/2006/main">
          <x14:cfRule type="dataBar" id="{7E5A0DF3-2673-4228-900D-4BAEFE963D67}">
            <x14:dataBar minLength="0" maxLength="100" gradient="0">
              <x14:cfvo type="autoMin"/>
              <x14:cfvo type="autoMax"/>
              <x14:negativeFillColor rgb="FFFF0000"/>
              <x14:axisColor rgb="FF000000"/>
            </x14:dataBar>
          </x14:cfRule>
          <xm:sqref>K173:K174</xm:sqref>
        </x14:conditionalFormatting>
        <x14:conditionalFormatting xmlns:xm="http://schemas.microsoft.com/office/excel/2006/main">
          <x14:cfRule type="dataBar" id="{04981D54-CA5B-412E-85AE-61BA1070967A}">
            <x14:dataBar minLength="0" maxLength="100" gradient="0">
              <x14:cfvo type="autoMin"/>
              <x14:cfvo type="autoMax"/>
              <x14:negativeFillColor rgb="FFFF0000"/>
              <x14:axisColor rgb="FF000000"/>
            </x14:dataBar>
          </x14:cfRule>
          <xm:sqref>Z173:AA174</xm:sqref>
        </x14:conditionalFormatting>
        <x14:conditionalFormatting xmlns:xm="http://schemas.microsoft.com/office/excel/2006/main">
          <x14:cfRule type="dataBar" id="{18EBD77C-6E2E-41EA-AD99-313B08430C62}">
            <x14:dataBar minLength="0" maxLength="100" gradient="0">
              <x14:cfvo type="autoMin"/>
              <x14:cfvo type="autoMax"/>
              <x14:negativeFillColor rgb="FFFF0000"/>
              <x14:axisColor rgb="FF000000"/>
            </x14:dataBar>
          </x14:cfRule>
          <xm:sqref>K175:K176</xm:sqref>
        </x14:conditionalFormatting>
        <x14:conditionalFormatting xmlns:xm="http://schemas.microsoft.com/office/excel/2006/main">
          <x14:cfRule type="dataBar" id="{8A2D3CF0-7E18-430A-B409-10D77A12DE29}">
            <x14:dataBar minLength="0" maxLength="100" gradient="0">
              <x14:cfvo type="autoMin"/>
              <x14:cfvo type="autoMax"/>
              <x14:negativeFillColor rgb="FFFF0000"/>
              <x14:axisColor rgb="FF000000"/>
            </x14:dataBar>
          </x14:cfRule>
          <xm:sqref>Z175:AA176</xm:sqref>
        </x14:conditionalFormatting>
        <x14:conditionalFormatting xmlns:xm="http://schemas.microsoft.com/office/excel/2006/main">
          <x14:cfRule type="dataBar" id="{541D1F78-848E-4406-A583-9DDFD55EFA43}">
            <x14:dataBar minLength="0" maxLength="100" gradient="0">
              <x14:cfvo type="autoMin"/>
              <x14:cfvo type="autoMax"/>
              <x14:negativeFillColor rgb="FFFF0000"/>
              <x14:axisColor rgb="FF000000"/>
            </x14:dataBar>
          </x14:cfRule>
          <xm:sqref>K177:K178</xm:sqref>
        </x14:conditionalFormatting>
        <x14:conditionalFormatting xmlns:xm="http://schemas.microsoft.com/office/excel/2006/main">
          <x14:cfRule type="dataBar" id="{B1800B8E-AB6B-48BE-84F4-C129619FBCEF}">
            <x14:dataBar minLength="0" maxLength="100" gradient="0">
              <x14:cfvo type="autoMin"/>
              <x14:cfvo type="autoMax"/>
              <x14:negativeFillColor rgb="FFFF0000"/>
              <x14:axisColor rgb="FF000000"/>
            </x14:dataBar>
          </x14:cfRule>
          <xm:sqref>Z177:AA178</xm:sqref>
        </x14:conditionalFormatting>
        <x14:conditionalFormatting xmlns:xm="http://schemas.microsoft.com/office/excel/2006/main">
          <x14:cfRule type="dataBar" id="{3AA60D59-2972-4ED4-8F79-655111525723}">
            <x14:dataBar minLength="0" maxLength="100" gradient="0">
              <x14:cfvo type="autoMin"/>
              <x14:cfvo type="autoMax"/>
              <x14:negativeFillColor rgb="FFFF0000"/>
              <x14:axisColor rgb="FF000000"/>
            </x14:dataBar>
          </x14:cfRule>
          <xm:sqref>K179:K181</xm:sqref>
        </x14:conditionalFormatting>
        <x14:conditionalFormatting xmlns:xm="http://schemas.microsoft.com/office/excel/2006/main">
          <x14:cfRule type="dataBar" id="{07FD916D-E3B6-453D-854E-F532F372FADD}">
            <x14:dataBar minLength="0" maxLength="100" gradient="0">
              <x14:cfvo type="autoMin"/>
              <x14:cfvo type="autoMax"/>
              <x14:negativeFillColor rgb="FFFF0000"/>
              <x14:axisColor rgb="FF000000"/>
            </x14:dataBar>
          </x14:cfRule>
          <xm:sqref>U179:U181</xm:sqref>
        </x14:conditionalFormatting>
        <x14:conditionalFormatting xmlns:xm="http://schemas.microsoft.com/office/excel/2006/main">
          <x14:cfRule type="dataBar" id="{9805D6EA-25F3-4353-8D82-42BEA1BE5050}">
            <x14:dataBar minLength="0" maxLength="100" gradient="0">
              <x14:cfvo type="autoMin"/>
              <x14:cfvo type="autoMax"/>
              <x14:negativeFillColor rgb="FFFF0000"/>
              <x14:axisColor rgb="FF000000"/>
            </x14:dataBar>
          </x14:cfRule>
          <xm:sqref>Z179:AA181</xm:sqref>
        </x14:conditionalFormatting>
        <x14:conditionalFormatting xmlns:xm="http://schemas.microsoft.com/office/excel/2006/main">
          <x14:cfRule type="dataBar" id="{C9334546-7E24-477E-A931-1A53DCCC201D}">
            <x14:dataBar minLength="0" maxLength="100" gradient="0">
              <x14:cfvo type="autoMin"/>
              <x14:cfvo type="autoMax"/>
              <x14:negativeFillColor rgb="FFFF0000"/>
              <x14:axisColor rgb="FF000000"/>
            </x14:dataBar>
          </x14:cfRule>
          <xm:sqref>U179:U181</xm:sqref>
        </x14:conditionalFormatting>
        <x14:conditionalFormatting xmlns:xm="http://schemas.microsoft.com/office/excel/2006/main">
          <x14:cfRule type="dataBar" id="{16BB51C2-8712-49E0-AB8D-BB770D307472}">
            <x14:dataBar minLength="0" maxLength="100" gradient="0">
              <x14:cfvo type="autoMin"/>
              <x14:cfvo type="autoMax"/>
              <x14:negativeFillColor rgb="FFFF0000"/>
              <x14:axisColor rgb="FF000000"/>
            </x14:dataBar>
          </x14:cfRule>
          <xm:sqref>K182:K184</xm:sqref>
        </x14:conditionalFormatting>
        <x14:conditionalFormatting xmlns:xm="http://schemas.microsoft.com/office/excel/2006/main">
          <x14:cfRule type="dataBar" id="{03A9A9B5-5AED-4485-9816-DCB29DD98818}">
            <x14:dataBar minLength="0" maxLength="100" gradient="0">
              <x14:cfvo type="autoMin"/>
              <x14:cfvo type="autoMax"/>
              <x14:negativeFillColor rgb="FFFF0000"/>
              <x14:axisColor rgb="FF000000"/>
            </x14:dataBar>
          </x14:cfRule>
          <xm:sqref>U182:U184</xm:sqref>
        </x14:conditionalFormatting>
        <x14:conditionalFormatting xmlns:xm="http://schemas.microsoft.com/office/excel/2006/main">
          <x14:cfRule type="dataBar" id="{1E485FBB-9792-4AF9-A008-103F6BFD6445}">
            <x14:dataBar minLength="0" maxLength="100" gradient="0">
              <x14:cfvo type="autoMin"/>
              <x14:cfvo type="autoMax"/>
              <x14:negativeFillColor rgb="FFFF0000"/>
              <x14:axisColor rgb="FF000000"/>
            </x14:dataBar>
          </x14:cfRule>
          <xm:sqref>Z182:AA184</xm:sqref>
        </x14:conditionalFormatting>
        <x14:conditionalFormatting xmlns:xm="http://schemas.microsoft.com/office/excel/2006/main">
          <x14:cfRule type="dataBar" id="{342946A4-4157-435A-8D8A-1CDD85282519}">
            <x14:dataBar minLength="0" maxLength="100" gradient="0">
              <x14:cfvo type="autoMin"/>
              <x14:cfvo type="autoMax"/>
              <x14:negativeFillColor rgb="FFFF0000"/>
              <x14:axisColor rgb="FF000000"/>
            </x14:dataBar>
          </x14:cfRule>
          <xm:sqref>U182:U184</xm:sqref>
        </x14:conditionalFormatting>
        <x14:conditionalFormatting xmlns:xm="http://schemas.microsoft.com/office/excel/2006/main">
          <x14:cfRule type="dataBar" id="{6E4E95D3-77DB-424A-94ED-429E6E11BAC2}">
            <x14:dataBar minLength="0" maxLength="100" gradient="0">
              <x14:cfvo type="autoMin"/>
              <x14:cfvo type="autoMax"/>
              <x14:negativeFillColor rgb="FFFF0000"/>
              <x14:axisColor rgb="FF000000"/>
            </x14:dataBar>
          </x14:cfRule>
          <xm:sqref>K185:K186</xm:sqref>
        </x14:conditionalFormatting>
        <x14:conditionalFormatting xmlns:xm="http://schemas.microsoft.com/office/excel/2006/main">
          <x14:cfRule type="dataBar" id="{AE21C77F-9F31-4E82-A474-B50A769F8074}">
            <x14:dataBar minLength="0" maxLength="100" gradient="0">
              <x14:cfvo type="autoMin"/>
              <x14:cfvo type="autoMax"/>
              <x14:negativeFillColor rgb="FFFF0000"/>
              <x14:axisColor rgb="FF000000"/>
            </x14:dataBar>
          </x14:cfRule>
          <xm:sqref>U185:U186</xm:sqref>
        </x14:conditionalFormatting>
        <x14:conditionalFormatting xmlns:xm="http://schemas.microsoft.com/office/excel/2006/main">
          <x14:cfRule type="dataBar" id="{4C5200A3-182E-4AE7-8569-2E3C78576FE6}">
            <x14:dataBar minLength="0" maxLength="100" gradient="0">
              <x14:cfvo type="autoMin"/>
              <x14:cfvo type="autoMax"/>
              <x14:negativeFillColor rgb="FFFF0000"/>
              <x14:axisColor rgb="FF000000"/>
            </x14:dataBar>
          </x14:cfRule>
          <xm:sqref>Z185:AA186</xm:sqref>
        </x14:conditionalFormatting>
        <x14:conditionalFormatting xmlns:xm="http://schemas.microsoft.com/office/excel/2006/main">
          <x14:cfRule type="dataBar" id="{DD65E56C-33A5-4D71-A42D-E2B56ECC79BC}">
            <x14:dataBar minLength="0" maxLength="100" gradient="0">
              <x14:cfvo type="autoMin"/>
              <x14:cfvo type="autoMax"/>
              <x14:negativeFillColor rgb="FFFF0000"/>
              <x14:axisColor rgb="FF000000"/>
            </x14:dataBar>
          </x14:cfRule>
          <xm:sqref>U185:U186</xm:sqref>
        </x14:conditionalFormatting>
        <x14:conditionalFormatting xmlns:xm="http://schemas.microsoft.com/office/excel/2006/main">
          <x14:cfRule type="dataBar" id="{B05E482D-30E1-426F-95B7-430B664BFF38}">
            <x14:dataBar minLength="0" maxLength="100" gradient="0">
              <x14:cfvo type="autoMin"/>
              <x14:cfvo type="autoMax"/>
              <x14:negativeFillColor rgb="FFFF0000"/>
              <x14:axisColor rgb="FF000000"/>
            </x14:dataBar>
          </x14:cfRule>
          <xm:sqref>K187:K188</xm:sqref>
        </x14:conditionalFormatting>
        <x14:conditionalFormatting xmlns:xm="http://schemas.microsoft.com/office/excel/2006/main">
          <x14:cfRule type="dataBar" id="{C5A31A17-E2BC-4F38-A460-67225C90812B}">
            <x14:dataBar minLength="0" maxLength="100" gradient="0">
              <x14:cfvo type="autoMin"/>
              <x14:cfvo type="autoMax"/>
              <x14:negativeFillColor rgb="FFFF0000"/>
              <x14:axisColor rgb="FF000000"/>
            </x14:dataBar>
          </x14:cfRule>
          <xm:sqref>U187:U188</xm:sqref>
        </x14:conditionalFormatting>
        <x14:conditionalFormatting xmlns:xm="http://schemas.microsoft.com/office/excel/2006/main">
          <x14:cfRule type="dataBar" id="{4E4C02F5-966C-40E9-AEAE-1E40CDC0EBCA}">
            <x14:dataBar minLength="0" maxLength="100" gradient="0">
              <x14:cfvo type="autoMin"/>
              <x14:cfvo type="autoMax"/>
              <x14:negativeFillColor rgb="FFFF0000"/>
              <x14:axisColor rgb="FF000000"/>
            </x14:dataBar>
          </x14:cfRule>
          <xm:sqref>Z187:AA188</xm:sqref>
        </x14:conditionalFormatting>
        <x14:conditionalFormatting xmlns:xm="http://schemas.microsoft.com/office/excel/2006/main">
          <x14:cfRule type="dataBar" id="{C981E1AB-2410-4F47-8B1E-F7B7A1A36D15}">
            <x14:dataBar minLength="0" maxLength="100" gradient="0">
              <x14:cfvo type="autoMin"/>
              <x14:cfvo type="autoMax"/>
              <x14:negativeFillColor rgb="FFFF0000"/>
              <x14:axisColor rgb="FF000000"/>
            </x14:dataBar>
          </x14:cfRule>
          <xm:sqref>U187:U188</xm:sqref>
        </x14:conditionalFormatting>
        <x14:conditionalFormatting xmlns:xm="http://schemas.microsoft.com/office/excel/2006/main">
          <x14:cfRule type="dataBar" id="{C7B7E6CB-E5C6-416A-B041-EC5CC10186D7}">
            <x14:dataBar minLength="0" maxLength="100" gradient="0">
              <x14:cfvo type="autoMin"/>
              <x14:cfvo type="autoMax"/>
              <x14:negativeFillColor rgb="FFFF0000"/>
              <x14:axisColor rgb="FF000000"/>
            </x14:dataBar>
          </x14:cfRule>
          <xm:sqref>K189:K190</xm:sqref>
        </x14:conditionalFormatting>
        <x14:conditionalFormatting xmlns:xm="http://schemas.microsoft.com/office/excel/2006/main">
          <x14:cfRule type="dataBar" id="{B8BB2A4E-21C0-44A6-9E10-3A22FEDADBED}">
            <x14:dataBar minLength="0" maxLength="100" gradient="0">
              <x14:cfvo type="autoMin"/>
              <x14:cfvo type="autoMax"/>
              <x14:negativeFillColor rgb="FFFF0000"/>
              <x14:axisColor rgb="FF000000"/>
            </x14:dataBar>
          </x14:cfRule>
          <xm:sqref>U189:U190</xm:sqref>
        </x14:conditionalFormatting>
        <x14:conditionalFormatting xmlns:xm="http://schemas.microsoft.com/office/excel/2006/main">
          <x14:cfRule type="dataBar" id="{4BB42153-1B43-49FB-9475-4C13C9110B2B}">
            <x14:dataBar minLength="0" maxLength="100" gradient="0">
              <x14:cfvo type="autoMin"/>
              <x14:cfvo type="autoMax"/>
              <x14:negativeFillColor rgb="FFFF0000"/>
              <x14:axisColor rgb="FF000000"/>
            </x14:dataBar>
          </x14:cfRule>
          <xm:sqref>Z189:AA190</xm:sqref>
        </x14:conditionalFormatting>
        <x14:conditionalFormatting xmlns:xm="http://schemas.microsoft.com/office/excel/2006/main">
          <x14:cfRule type="dataBar" id="{B9C4EAF7-7D9B-4772-9CD5-11CE688F6EF3}">
            <x14:dataBar minLength="0" maxLength="100" gradient="0">
              <x14:cfvo type="autoMin"/>
              <x14:cfvo type="autoMax"/>
              <x14:negativeFillColor rgb="FFFF0000"/>
              <x14:axisColor rgb="FF000000"/>
            </x14:dataBar>
          </x14:cfRule>
          <xm:sqref>U189:U190</xm:sqref>
        </x14:conditionalFormatting>
        <x14:conditionalFormatting xmlns:xm="http://schemas.microsoft.com/office/excel/2006/main">
          <x14:cfRule type="dataBar" id="{E1F2A946-3E5C-4562-9115-EA3AF79089C6}">
            <x14:dataBar minLength="0" maxLength="100" gradient="0">
              <x14:cfvo type="autoMin"/>
              <x14:cfvo type="autoMax"/>
              <x14:negativeFillColor rgb="FFFF0000"/>
              <x14:axisColor rgb="FF000000"/>
            </x14:dataBar>
          </x14:cfRule>
          <xm:sqref>K191:K192</xm:sqref>
        </x14:conditionalFormatting>
        <x14:conditionalFormatting xmlns:xm="http://schemas.microsoft.com/office/excel/2006/main">
          <x14:cfRule type="dataBar" id="{C70578E7-3DA3-4EEE-89EE-5803112A1C03}">
            <x14:dataBar minLength="0" maxLength="100" gradient="0">
              <x14:cfvo type="autoMin"/>
              <x14:cfvo type="autoMax"/>
              <x14:negativeFillColor rgb="FFFF0000"/>
              <x14:axisColor rgb="FF000000"/>
            </x14:dataBar>
          </x14:cfRule>
          <xm:sqref>U191:U192</xm:sqref>
        </x14:conditionalFormatting>
        <x14:conditionalFormatting xmlns:xm="http://schemas.microsoft.com/office/excel/2006/main">
          <x14:cfRule type="dataBar" id="{6EC8B505-3402-4332-A603-9699D614669D}">
            <x14:dataBar minLength="0" maxLength="100" gradient="0">
              <x14:cfvo type="autoMin"/>
              <x14:cfvo type="autoMax"/>
              <x14:negativeFillColor rgb="FFFF0000"/>
              <x14:axisColor rgb="FF000000"/>
            </x14:dataBar>
          </x14:cfRule>
          <xm:sqref>Z191:AA192</xm:sqref>
        </x14:conditionalFormatting>
        <x14:conditionalFormatting xmlns:xm="http://schemas.microsoft.com/office/excel/2006/main">
          <x14:cfRule type="dataBar" id="{26199492-C0F2-4C9E-9598-79AE814BB7F4}">
            <x14:dataBar minLength="0" maxLength="100" gradient="0">
              <x14:cfvo type="autoMin"/>
              <x14:cfvo type="autoMax"/>
              <x14:negativeFillColor rgb="FFFF0000"/>
              <x14:axisColor rgb="FF000000"/>
            </x14:dataBar>
          </x14:cfRule>
          <xm:sqref>U191:U192</xm:sqref>
        </x14:conditionalFormatting>
        <x14:conditionalFormatting xmlns:xm="http://schemas.microsoft.com/office/excel/2006/main">
          <x14:cfRule type="dataBar" id="{2A504BA1-A8EF-46B6-ADF7-CBE8564217E9}">
            <x14:dataBar minLength="0" maxLength="100" gradient="0">
              <x14:cfvo type="autoMin"/>
              <x14:cfvo type="autoMax"/>
              <x14:negativeFillColor rgb="FFFF0000"/>
              <x14:axisColor rgb="FF000000"/>
            </x14:dataBar>
          </x14:cfRule>
          <xm:sqref>K193:K194</xm:sqref>
        </x14:conditionalFormatting>
        <x14:conditionalFormatting xmlns:xm="http://schemas.microsoft.com/office/excel/2006/main">
          <x14:cfRule type="dataBar" id="{6E63D56A-0697-4041-9955-813A044AA86E}">
            <x14:dataBar minLength="0" maxLength="100" gradient="0">
              <x14:cfvo type="autoMin"/>
              <x14:cfvo type="autoMax"/>
              <x14:negativeFillColor rgb="FFFF0000"/>
              <x14:axisColor rgb="FF000000"/>
            </x14:dataBar>
          </x14:cfRule>
          <xm:sqref>U193:U194</xm:sqref>
        </x14:conditionalFormatting>
        <x14:conditionalFormatting xmlns:xm="http://schemas.microsoft.com/office/excel/2006/main">
          <x14:cfRule type="dataBar" id="{0B2615C0-E928-4ADD-8ACA-D3179DBD7D98}">
            <x14:dataBar minLength="0" maxLength="100" gradient="0">
              <x14:cfvo type="autoMin"/>
              <x14:cfvo type="autoMax"/>
              <x14:negativeFillColor rgb="FFFF0000"/>
              <x14:axisColor rgb="FF000000"/>
            </x14:dataBar>
          </x14:cfRule>
          <xm:sqref>Z193:AA194</xm:sqref>
        </x14:conditionalFormatting>
        <x14:conditionalFormatting xmlns:xm="http://schemas.microsoft.com/office/excel/2006/main">
          <x14:cfRule type="dataBar" id="{0C3AAB7E-B6F5-4A1E-B472-36FF96BAD8F3}">
            <x14:dataBar minLength="0" maxLength="100" gradient="0">
              <x14:cfvo type="autoMin"/>
              <x14:cfvo type="autoMax"/>
              <x14:negativeFillColor rgb="FFFF0000"/>
              <x14:axisColor rgb="FF000000"/>
            </x14:dataBar>
          </x14:cfRule>
          <xm:sqref>U193:U194</xm:sqref>
        </x14:conditionalFormatting>
        <x14:conditionalFormatting xmlns:xm="http://schemas.microsoft.com/office/excel/2006/main">
          <x14:cfRule type="dataBar" id="{153514A1-2E1E-412A-9CAC-D79D37E2B112}">
            <x14:dataBar minLength="0" maxLength="100" gradient="0">
              <x14:cfvo type="autoMin"/>
              <x14:cfvo type="autoMax"/>
              <x14:negativeFillColor rgb="FFFF0000"/>
              <x14:axisColor rgb="FF000000"/>
            </x14:dataBar>
          </x14:cfRule>
          <xm:sqref>K195:K196</xm:sqref>
        </x14:conditionalFormatting>
        <x14:conditionalFormatting xmlns:xm="http://schemas.microsoft.com/office/excel/2006/main">
          <x14:cfRule type="dataBar" id="{891967E3-7ABE-404A-A079-9B9DAA69F8B4}">
            <x14:dataBar minLength="0" maxLength="100" gradient="0">
              <x14:cfvo type="autoMin"/>
              <x14:cfvo type="autoMax"/>
              <x14:negativeFillColor rgb="FFFF0000"/>
              <x14:axisColor rgb="FF000000"/>
            </x14:dataBar>
          </x14:cfRule>
          <xm:sqref>U195:U196</xm:sqref>
        </x14:conditionalFormatting>
        <x14:conditionalFormatting xmlns:xm="http://schemas.microsoft.com/office/excel/2006/main">
          <x14:cfRule type="dataBar" id="{00F7EE99-54FC-4EFA-AD40-CD263D65206B}">
            <x14:dataBar minLength="0" maxLength="100" gradient="0">
              <x14:cfvo type="autoMin"/>
              <x14:cfvo type="autoMax"/>
              <x14:negativeFillColor rgb="FFFF0000"/>
              <x14:axisColor rgb="FF000000"/>
            </x14:dataBar>
          </x14:cfRule>
          <xm:sqref>Z195:AA196</xm:sqref>
        </x14:conditionalFormatting>
        <x14:conditionalFormatting xmlns:xm="http://schemas.microsoft.com/office/excel/2006/main">
          <x14:cfRule type="dataBar" id="{913AA3D8-9C11-4E58-847C-BA6B7B98C2CB}">
            <x14:dataBar minLength="0" maxLength="100" gradient="0">
              <x14:cfvo type="autoMin"/>
              <x14:cfvo type="autoMax"/>
              <x14:negativeFillColor rgb="FFFF0000"/>
              <x14:axisColor rgb="FF000000"/>
            </x14:dataBar>
          </x14:cfRule>
          <xm:sqref>U195:U196</xm:sqref>
        </x14:conditionalFormatting>
        <x14:conditionalFormatting xmlns:xm="http://schemas.microsoft.com/office/excel/2006/main">
          <x14:cfRule type="dataBar" id="{EA8B96DC-B501-4894-AA84-B8E690234797}">
            <x14:dataBar minLength="0" maxLength="100" gradient="0">
              <x14:cfvo type="autoMin"/>
              <x14:cfvo type="autoMax"/>
              <x14:negativeFillColor rgb="FFFF0000"/>
              <x14:axisColor rgb="FF000000"/>
            </x14:dataBar>
          </x14:cfRule>
          <xm:sqref>K197:K198</xm:sqref>
        </x14:conditionalFormatting>
        <x14:conditionalFormatting xmlns:xm="http://schemas.microsoft.com/office/excel/2006/main">
          <x14:cfRule type="dataBar" id="{58809A8F-07AC-4562-B357-D4C84E3BA1FB}">
            <x14:dataBar minLength="0" maxLength="100" gradient="0">
              <x14:cfvo type="autoMin"/>
              <x14:cfvo type="autoMax"/>
              <x14:negativeFillColor rgb="FFFF0000"/>
              <x14:axisColor rgb="FF000000"/>
            </x14:dataBar>
          </x14:cfRule>
          <xm:sqref>U197:U198</xm:sqref>
        </x14:conditionalFormatting>
        <x14:conditionalFormatting xmlns:xm="http://schemas.microsoft.com/office/excel/2006/main">
          <x14:cfRule type="dataBar" id="{21266105-490E-4F64-8763-8A78C42527EC}">
            <x14:dataBar minLength="0" maxLength="100" gradient="0">
              <x14:cfvo type="autoMin"/>
              <x14:cfvo type="autoMax"/>
              <x14:negativeFillColor rgb="FFFF0000"/>
              <x14:axisColor rgb="FF000000"/>
            </x14:dataBar>
          </x14:cfRule>
          <xm:sqref>Z197:AA198</xm:sqref>
        </x14:conditionalFormatting>
        <x14:conditionalFormatting xmlns:xm="http://schemas.microsoft.com/office/excel/2006/main">
          <x14:cfRule type="dataBar" id="{7F36F8E6-1DC9-4E21-99F1-050F1C0C2EA0}">
            <x14:dataBar minLength="0" maxLength="100" gradient="0">
              <x14:cfvo type="autoMin"/>
              <x14:cfvo type="autoMax"/>
              <x14:negativeFillColor rgb="FFFF0000"/>
              <x14:axisColor rgb="FF000000"/>
            </x14:dataBar>
          </x14:cfRule>
          <xm:sqref>U197:U198</xm:sqref>
        </x14:conditionalFormatting>
        <x14:conditionalFormatting xmlns:xm="http://schemas.microsoft.com/office/excel/2006/main">
          <x14:cfRule type="dataBar" id="{F2326146-2C09-4F3C-B3CF-030F07BC93F9}">
            <x14:dataBar minLength="0" maxLength="100" gradient="0">
              <x14:cfvo type="autoMin"/>
              <x14:cfvo type="autoMax"/>
              <x14:negativeFillColor rgb="FFFF0000"/>
              <x14:axisColor rgb="FF000000"/>
            </x14:dataBar>
          </x14:cfRule>
          <xm:sqref>K199:K200</xm:sqref>
        </x14:conditionalFormatting>
        <x14:conditionalFormatting xmlns:xm="http://schemas.microsoft.com/office/excel/2006/main">
          <x14:cfRule type="dataBar" id="{51DB86C7-252F-4891-A516-02D1788809F7}">
            <x14:dataBar minLength="0" maxLength="100" gradient="0">
              <x14:cfvo type="autoMin"/>
              <x14:cfvo type="autoMax"/>
              <x14:negativeFillColor rgb="FFFF0000"/>
              <x14:axisColor rgb="FF000000"/>
            </x14:dataBar>
          </x14:cfRule>
          <xm:sqref>U199:U200</xm:sqref>
        </x14:conditionalFormatting>
        <x14:conditionalFormatting xmlns:xm="http://schemas.microsoft.com/office/excel/2006/main">
          <x14:cfRule type="dataBar" id="{A9765EAD-DFF7-451C-AD97-345EB197F9E8}">
            <x14:dataBar minLength="0" maxLength="100" gradient="0">
              <x14:cfvo type="autoMin"/>
              <x14:cfvo type="autoMax"/>
              <x14:negativeFillColor rgb="FFFF0000"/>
              <x14:axisColor rgb="FF000000"/>
            </x14:dataBar>
          </x14:cfRule>
          <xm:sqref>Z199:AA200</xm:sqref>
        </x14:conditionalFormatting>
        <x14:conditionalFormatting xmlns:xm="http://schemas.microsoft.com/office/excel/2006/main">
          <x14:cfRule type="dataBar" id="{A2E19492-7592-43DC-9BF4-8E6CDAE13551}">
            <x14:dataBar minLength="0" maxLength="100" gradient="0">
              <x14:cfvo type="autoMin"/>
              <x14:cfvo type="autoMax"/>
              <x14:negativeFillColor rgb="FFFF0000"/>
              <x14:axisColor rgb="FF000000"/>
            </x14:dataBar>
          </x14:cfRule>
          <xm:sqref>U199:U200</xm:sqref>
        </x14:conditionalFormatting>
        <x14:conditionalFormatting xmlns:xm="http://schemas.microsoft.com/office/excel/2006/main">
          <x14:cfRule type="dataBar" id="{5C7BB539-ED13-4A9E-9334-FB400DC68441}">
            <x14:dataBar minLength="0" maxLength="100" gradient="0">
              <x14:cfvo type="autoMin"/>
              <x14:cfvo type="autoMax"/>
              <x14:negativeFillColor rgb="FFFF0000"/>
              <x14:axisColor rgb="FF000000"/>
            </x14:dataBar>
          </x14:cfRule>
          <xm:sqref>K201:K202</xm:sqref>
        </x14:conditionalFormatting>
        <x14:conditionalFormatting xmlns:xm="http://schemas.microsoft.com/office/excel/2006/main">
          <x14:cfRule type="dataBar" id="{750C773B-C250-4CE8-A813-D13FA39CB515}">
            <x14:dataBar minLength="0" maxLength="100" gradient="0">
              <x14:cfvo type="autoMin"/>
              <x14:cfvo type="autoMax"/>
              <x14:negativeFillColor rgb="FFFF0000"/>
              <x14:axisColor rgb="FF000000"/>
            </x14:dataBar>
          </x14:cfRule>
          <xm:sqref>U201:U202</xm:sqref>
        </x14:conditionalFormatting>
        <x14:conditionalFormatting xmlns:xm="http://schemas.microsoft.com/office/excel/2006/main">
          <x14:cfRule type="dataBar" id="{EFA01E13-271F-4E9B-B998-98F6A5B2E662}">
            <x14:dataBar minLength="0" maxLength="100" gradient="0">
              <x14:cfvo type="autoMin"/>
              <x14:cfvo type="autoMax"/>
              <x14:negativeFillColor rgb="FFFF0000"/>
              <x14:axisColor rgb="FF000000"/>
            </x14:dataBar>
          </x14:cfRule>
          <xm:sqref>Z201:AA202</xm:sqref>
        </x14:conditionalFormatting>
        <x14:conditionalFormatting xmlns:xm="http://schemas.microsoft.com/office/excel/2006/main">
          <x14:cfRule type="dataBar" id="{F34DE110-6B49-4DE3-B8D5-9337C5470EC0}">
            <x14:dataBar minLength="0" maxLength="100" gradient="0">
              <x14:cfvo type="autoMin"/>
              <x14:cfvo type="autoMax"/>
              <x14:negativeFillColor rgb="FFFF0000"/>
              <x14:axisColor rgb="FF000000"/>
            </x14:dataBar>
          </x14:cfRule>
          <xm:sqref>U201:U202</xm:sqref>
        </x14:conditionalFormatting>
        <x14:conditionalFormatting xmlns:xm="http://schemas.microsoft.com/office/excel/2006/main">
          <x14:cfRule type="dataBar" id="{840C2582-7E88-4626-80B1-EDC4DE0D244B}">
            <x14:dataBar minLength="0" maxLength="100" gradient="0">
              <x14:cfvo type="autoMin"/>
              <x14:cfvo type="autoMax"/>
              <x14:negativeFillColor rgb="FFFF0000"/>
              <x14:axisColor rgb="FF000000"/>
            </x14:dataBar>
          </x14:cfRule>
          <xm:sqref>K203:K204</xm:sqref>
        </x14:conditionalFormatting>
        <x14:conditionalFormatting xmlns:xm="http://schemas.microsoft.com/office/excel/2006/main">
          <x14:cfRule type="dataBar" id="{38CA8255-B852-4EB8-A9AB-95560FF53BB8}">
            <x14:dataBar minLength="0" maxLength="100" gradient="0">
              <x14:cfvo type="autoMin"/>
              <x14:cfvo type="autoMax"/>
              <x14:negativeFillColor rgb="FFFF0000"/>
              <x14:axisColor rgb="FF000000"/>
            </x14:dataBar>
          </x14:cfRule>
          <xm:sqref>U203:U204</xm:sqref>
        </x14:conditionalFormatting>
        <x14:conditionalFormatting xmlns:xm="http://schemas.microsoft.com/office/excel/2006/main">
          <x14:cfRule type="dataBar" id="{3F126EBB-FDC8-423F-8E4C-D2A468103FBA}">
            <x14:dataBar minLength="0" maxLength="100" gradient="0">
              <x14:cfvo type="autoMin"/>
              <x14:cfvo type="autoMax"/>
              <x14:negativeFillColor rgb="FFFF0000"/>
              <x14:axisColor rgb="FF000000"/>
            </x14:dataBar>
          </x14:cfRule>
          <xm:sqref>Z203:AA204</xm:sqref>
        </x14:conditionalFormatting>
        <x14:conditionalFormatting xmlns:xm="http://schemas.microsoft.com/office/excel/2006/main">
          <x14:cfRule type="dataBar" id="{5B4BA09D-CE80-485D-98EF-01500DC5A86A}">
            <x14:dataBar minLength="0" maxLength="100" gradient="0">
              <x14:cfvo type="autoMin"/>
              <x14:cfvo type="autoMax"/>
              <x14:negativeFillColor rgb="FFFF0000"/>
              <x14:axisColor rgb="FF000000"/>
            </x14:dataBar>
          </x14:cfRule>
          <xm:sqref>U203:U204</xm:sqref>
        </x14:conditionalFormatting>
        <x14:conditionalFormatting xmlns:xm="http://schemas.microsoft.com/office/excel/2006/main">
          <x14:cfRule type="dataBar" id="{D76E7026-5141-4BF6-B58A-E846C193FEB2}">
            <x14:dataBar minLength="0" maxLength="100" gradient="0">
              <x14:cfvo type="autoMin"/>
              <x14:cfvo type="autoMax"/>
              <x14:negativeFillColor rgb="FFFF0000"/>
              <x14:axisColor rgb="FF000000"/>
            </x14:dataBar>
          </x14:cfRule>
          <xm:sqref>K205:K206</xm:sqref>
        </x14:conditionalFormatting>
        <x14:conditionalFormatting xmlns:xm="http://schemas.microsoft.com/office/excel/2006/main">
          <x14:cfRule type="dataBar" id="{83D26E10-5EAD-43FF-A70E-826EF1AE3E1B}">
            <x14:dataBar minLength="0" maxLength="100" gradient="0">
              <x14:cfvo type="autoMin"/>
              <x14:cfvo type="autoMax"/>
              <x14:negativeFillColor rgb="FFFF0000"/>
              <x14:axisColor rgb="FF000000"/>
            </x14:dataBar>
          </x14:cfRule>
          <xm:sqref>U205:U206</xm:sqref>
        </x14:conditionalFormatting>
        <x14:conditionalFormatting xmlns:xm="http://schemas.microsoft.com/office/excel/2006/main">
          <x14:cfRule type="dataBar" id="{DDDB6DD4-9DB6-4732-ADDF-BDCE5F1D50B6}">
            <x14:dataBar minLength="0" maxLength="100" gradient="0">
              <x14:cfvo type="autoMin"/>
              <x14:cfvo type="autoMax"/>
              <x14:negativeFillColor rgb="FFFF0000"/>
              <x14:axisColor rgb="FF000000"/>
            </x14:dataBar>
          </x14:cfRule>
          <xm:sqref>Z205:AA206</xm:sqref>
        </x14:conditionalFormatting>
        <x14:conditionalFormatting xmlns:xm="http://schemas.microsoft.com/office/excel/2006/main">
          <x14:cfRule type="dataBar" id="{571765DE-2363-4454-8AB3-5AE467622807}">
            <x14:dataBar minLength="0" maxLength="100" gradient="0">
              <x14:cfvo type="autoMin"/>
              <x14:cfvo type="autoMax"/>
              <x14:negativeFillColor rgb="FFFF0000"/>
              <x14:axisColor rgb="FF000000"/>
            </x14:dataBar>
          </x14:cfRule>
          <xm:sqref>U205:U206</xm:sqref>
        </x14:conditionalFormatting>
        <x14:conditionalFormatting xmlns:xm="http://schemas.microsoft.com/office/excel/2006/main">
          <x14:cfRule type="dataBar" id="{A278961B-016A-4734-8B2F-C44D827DD562}">
            <x14:dataBar minLength="0" maxLength="100" gradient="0">
              <x14:cfvo type="autoMin"/>
              <x14:cfvo type="autoMax"/>
              <x14:negativeFillColor rgb="FFFF0000"/>
              <x14:axisColor rgb="FF000000"/>
            </x14:dataBar>
          </x14:cfRule>
          <xm:sqref>K207:K208</xm:sqref>
        </x14:conditionalFormatting>
        <x14:conditionalFormatting xmlns:xm="http://schemas.microsoft.com/office/excel/2006/main">
          <x14:cfRule type="dataBar" id="{620D0D9A-85BD-47D6-A97B-F3C919E7727D}">
            <x14:dataBar minLength="0" maxLength="100" gradient="0">
              <x14:cfvo type="autoMin"/>
              <x14:cfvo type="autoMax"/>
              <x14:negativeFillColor rgb="FFFF0000"/>
              <x14:axisColor rgb="FF000000"/>
            </x14:dataBar>
          </x14:cfRule>
          <xm:sqref>U207:U208</xm:sqref>
        </x14:conditionalFormatting>
        <x14:conditionalFormatting xmlns:xm="http://schemas.microsoft.com/office/excel/2006/main">
          <x14:cfRule type="dataBar" id="{1DDF0A6E-8DD3-46A8-AE53-292469AE81C7}">
            <x14:dataBar minLength="0" maxLength="100" gradient="0">
              <x14:cfvo type="autoMin"/>
              <x14:cfvo type="autoMax"/>
              <x14:negativeFillColor rgb="FFFF0000"/>
              <x14:axisColor rgb="FF000000"/>
            </x14:dataBar>
          </x14:cfRule>
          <xm:sqref>Z207:AA208</xm:sqref>
        </x14:conditionalFormatting>
        <x14:conditionalFormatting xmlns:xm="http://schemas.microsoft.com/office/excel/2006/main">
          <x14:cfRule type="dataBar" id="{DBC25713-451E-4C74-BC64-4A09F6CA0290}">
            <x14:dataBar minLength="0" maxLength="100" gradient="0">
              <x14:cfvo type="autoMin"/>
              <x14:cfvo type="autoMax"/>
              <x14:negativeFillColor rgb="FFFF0000"/>
              <x14:axisColor rgb="FF000000"/>
            </x14:dataBar>
          </x14:cfRule>
          <xm:sqref>U207:U208</xm:sqref>
        </x14:conditionalFormatting>
        <x14:conditionalFormatting xmlns:xm="http://schemas.microsoft.com/office/excel/2006/main">
          <x14:cfRule type="dataBar" id="{B5AEAF98-026B-42CD-AC6B-2F2849E24AC4}">
            <x14:dataBar minLength="0" maxLength="100" gradient="0">
              <x14:cfvo type="autoMin"/>
              <x14:cfvo type="autoMax"/>
              <x14:negativeFillColor rgb="FFFF0000"/>
              <x14:axisColor rgb="FF000000"/>
            </x14:dataBar>
          </x14:cfRule>
          <xm:sqref>K209:K210</xm:sqref>
        </x14:conditionalFormatting>
        <x14:conditionalFormatting xmlns:xm="http://schemas.microsoft.com/office/excel/2006/main">
          <x14:cfRule type="dataBar" id="{AD3F3BB7-D947-4853-9A06-B7843F3249E4}">
            <x14:dataBar minLength="0" maxLength="100" gradient="0">
              <x14:cfvo type="autoMin"/>
              <x14:cfvo type="autoMax"/>
              <x14:negativeFillColor rgb="FFFF0000"/>
              <x14:axisColor rgb="FF000000"/>
            </x14:dataBar>
          </x14:cfRule>
          <xm:sqref>U209:U210</xm:sqref>
        </x14:conditionalFormatting>
        <x14:conditionalFormatting xmlns:xm="http://schemas.microsoft.com/office/excel/2006/main">
          <x14:cfRule type="dataBar" id="{42EB504E-DC02-415B-ABA0-0BFBFCEA4B1B}">
            <x14:dataBar minLength="0" maxLength="100" gradient="0">
              <x14:cfvo type="autoMin"/>
              <x14:cfvo type="autoMax"/>
              <x14:negativeFillColor rgb="FFFF0000"/>
              <x14:axisColor rgb="FF000000"/>
            </x14:dataBar>
          </x14:cfRule>
          <xm:sqref>Z209:AA210</xm:sqref>
        </x14:conditionalFormatting>
        <x14:conditionalFormatting xmlns:xm="http://schemas.microsoft.com/office/excel/2006/main">
          <x14:cfRule type="dataBar" id="{12967506-A13A-4078-85FE-2F1B27421AB8}">
            <x14:dataBar minLength="0" maxLength="100" gradient="0">
              <x14:cfvo type="autoMin"/>
              <x14:cfvo type="autoMax"/>
              <x14:negativeFillColor rgb="FFFF0000"/>
              <x14:axisColor rgb="FF000000"/>
            </x14:dataBar>
          </x14:cfRule>
          <xm:sqref>U209:U210</xm:sqref>
        </x14:conditionalFormatting>
        <x14:conditionalFormatting xmlns:xm="http://schemas.microsoft.com/office/excel/2006/main">
          <x14:cfRule type="dataBar" id="{0DE8C080-AB75-4538-8932-78B67F0FE0DF}">
            <x14:dataBar minLength="0" maxLength="100" gradient="0">
              <x14:cfvo type="autoMin"/>
              <x14:cfvo type="autoMax"/>
              <x14:negativeFillColor rgb="FFFF0000"/>
              <x14:axisColor rgb="FF000000"/>
            </x14:dataBar>
          </x14:cfRule>
          <xm:sqref>K211:K212</xm:sqref>
        </x14:conditionalFormatting>
        <x14:conditionalFormatting xmlns:xm="http://schemas.microsoft.com/office/excel/2006/main">
          <x14:cfRule type="dataBar" id="{4BA7B40D-E84D-4B5A-971B-40D0E5E76E35}">
            <x14:dataBar minLength="0" maxLength="100" gradient="0">
              <x14:cfvo type="autoMin"/>
              <x14:cfvo type="autoMax"/>
              <x14:negativeFillColor rgb="FFFF0000"/>
              <x14:axisColor rgb="FF000000"/>
            </x14:dataBar>
          </x14:cfRule>
          <xm:sqref>U211:U212</xm:sqref>
        </x14:conditionalFormatting>
        <x14:conditionalFormatting xmlns:xm="http://schemas.microsoft.com/office/excel/2006/main">
          <x14:cfRule type="dataBar" id="{4A67A764-AD6E-4EA2-86E2-9C985C6954C7}">
            <x14:dataBar minLength="0" maxLength="100" gradient="0">
              <x14:cfvo type="autoMin"/>
              <x14:cfvo type="autoMax"/>
              <x14:negativeFillColor rgb="FFFF0000"/>
              <x14:axisColor rgb="FF000000"/>
            </x14:dataBar>
          </x14:cfRule>
          <xm:sqref>Z211:AA212</xm:sqref>
        </x14:conditionalFormatting>
        <x14:conditionalFormatting xmlns:xm="http://schemas.microsoft.com/office/excel/2006/main">
          <x14:cfRule type="dataBar" id="{8FF8B6E1-1642-49EA-A02B-7C52404B1D38}">
            <x14:dataBar minLength="0" maxLength="100" gradient="0">
              <x14:cfvo type="autoMin"/>
              <x14:cfvo type="autoMax"/>
              <x14:negativeFillColor rgb="FFFF0000"/>
              <x14:axisColor rgb="FF000000"/>
            </x14:dataBar>
          </x14:cfRule>
          <xm:sqref>U211:U212</xm:sqref>
        </x14:conditionalFormatting>
        <x14:conditionalFormatting xmlns:xm="http://schemas.microsoft.com/office/excel/2006/main">
          <x14:cfRule type="dataBar" id="{1522F87F-2608-4685-B544-5D1C8ADD55F8}">
            <x14:dataBar minLength="0" maxLength="100" gradient="0">
              <x14:cfvo type="autoMin"/>
              <x14:cfvo type="autoMax"/>
              <x14:negativeFillColor rgb="FFFF0000"/>
              <x14:axisColor rgb="FF000000"/>
            </x14:dataBar>
          </x14:cfRule>
          <xm:sqref>K213:K241</xm:sqref>
        </x14:conditionalFormatting>
        <x14:conditionalFormatting xmlns:xm="http://schemas.microsoft.com/office/excel/2006/main">
          <x14:cfRule type="dataBar" id="{B1B45570-3D96-4DCB-BDD8-A2EFB30FF927}">
            <x14:dataBar minLength="0" maxLength="100" gradient="0">
              <x14:cfvo type="autoMin"/>
              <x14:cfvo type="autoMax"/>
              <x14:negativeFillColor rgb="FFFF0000"/>
              <x14:axisColor rgb="FF000000"/>
            </x14:dataBar>
          </x14:cfRule>
          <xm:sqref>U213:U241</xm:sqref>
        </x14:conditionalFormatting>
        <x14:conditionalFormatting xmlns:xm="http://schemas.microsoft.com/office/excel/2006/main">
          <x14:cfRule type="dataBar" id="{5BE5CD0E-E8C7-410B-B846-3ED3259F8900}">
            <x14:dataBar minLength="0" maxLength="100" gradient="0">
              <x14:cfvo type="autoMin"/>
              <x14:cfvo type="autoMax"/>
              <x14:negativeFillColor rgb="FFFF0000"/>
              <x14:axisColor rgb="FF000000"/>
            </x14:dataBar>
          </x14:cfRule>
          <xm:sqref>Z213:AA241</xm:sqref>
        </x14:conditionalFormatting>
        <x14:conditionalFormatting xmlns:xm="http://schemas.microsoft.com/office/excel/2006/main">
          <x14:cfRule type="dataBar" id="{C09B5D4B-12BC-4C9D-9E24-E19F7CA51A2E}">
            <x14:dataBar minLength="0" maxLength="100" gradient="0">
              <x14:cfvo type="autoMin"/>
              <x14:cfvo type="autoMax"/>
              <x14:negativeFillColor rgb="FFFF0000"/>
              <x14:axisColor rgb="FF000000"/>
            </x14:dataBar>
          </x14:cfRule>
          <xm:sqref>U213:U241</xm:sqref>
        </x14:conditionalFormatting>
        <x14:conditionalFormatting xmlns:xm="http://schemas.microsoft.com/office/excel/2006/main">
          <x14:cfRule type="dataBar" id="{3CDDBE39-DD53-4049-8FE8-647A17F752A4}">
            <x14:dataBar minLength="0" maxLength="100" gradient="0">
              <x14:cfvo type="autoMin"/>
              <x14:cfvo type="autoMax"/>
              <x14:negativeFillColor rgb="FFFF0000"/>
              <x14:axisColor rgb="FF000000"/>
            </x14:dataBar>
          </x14:cfRule>
          <xm:sqref>S1:T1048576</xm:sqref>
        </x14:conditionalFormatting>
        <x14:conditionalFormatting xmlns:xm="http://schemas.microsoft.com/office/excel/2006/main">
          <x14:cfRule type="dataBar" id="{6CADB2D2-1548-4BD4-B97D-6B99E30DB65F}">
            <x14:dataBar minLength="0" maxLength="100" gradient="0">
              <x14:cfvo type="autoMin"/>
              <x14:cfvo type="autoMax"/>
              <x14:negativeFillColor rgb="FFFF0000"/>
              <x14:axisColor rgb="FF000000"/>
            </x14:dataBar>
          </x14:cfRule>
          <xm:sqref>Q1:R1048576</xm:sqref>
        </x14:conditionalFormatting>
        <x14:conditionalFormatting xmlns:xm="http://schemas.microsoft.com/office/excel/2006/main">
          <x14:cfRule type="dataBar" id="{2E199BE1-84BE-4CD4-BA7C-65431213A128}">
            <x14:dataBar minLength="0" maxLength="100" gradient="0">
              <x14:cfvo type="autoMin"/>
              <x14:cfvo type="autoMax"/>
              <x14:negativeFillColor rgb="FFFF0000"/>
              <x14:axisColor rgb="FF000000"/>
            </x14:dataBar>
          </x14:cfRule>
          <xm:sqref>U1:U241 U328:U1048576</xm:sqref>
        </x14:conditionalFormatting>
        <x14:conditionalFormatting xmlns:xm="http://schemas.microsoft.com/office/excel/2006/main">
          <x14:cfRule type="dataBar" id="{0CA93193-5A23-4E91-964C-F7D416D9DD00}">
            <x14:dataBar minLength="0" maxLength="100" gradient="0">
              <x14:cfvo type="autoMin"/>
              <x14:cfvo type="autoMax"/>
              <x14:negativeFillColor rgb="FFFF0000"/>
              <x14:axisColor rgb="FF000000"/>
            </x14:dataBar>
          </x14:cfRule>
          <xm:sqref>AB175:AB178</xm:sqref>
        </x14:conditionalFormatting>
        <x14:conditionalFormatting xmlns:xm="http://schemas.microsoft.com/office/excel/2006/main">
          <x14:cfRule type="dataBar" id="{C88EB3C0-5592-42C5-92B1-E15F866E7183}">
            <x14:dataBar minLength="0" maxLength="100" gradient="0">
              <x14:cfvo type="autoMin"/>
              <x14:cfvo type="autoMax"/>
              <x14:negativeFillColor rgb="FFFF0000"/>
              <x14:axisColor rgb="FF000000"/>
            </x14:dataBar>
          </x14:cfRule>
          <xm:sqref>AB175:AB178</xm:sqref>
        </x14:conditionalFormatting>
        <x14:conditionalFormatting xmlns:xm="http://schemas.microsoft.com/office/excel/2006/main">
          <x14:cfRule type="dataBar" id="{57BD4075-FE8B-43F9-A9FF-F42453485B70}">
            <x14:dataBar minLength="0" maxLength="100" gradient="0">
              <x14:cfvo type="autoMin"/>
              <x14:cfvo type="autoMax"/>
              <x14:negativeFillColor rgb="FFFF0000"/>
              <x14:axisColor rgb="FF000000"/>
            </x14:dataBar>
          </x14:cfRule>
          <xm:sqref>K242:K327</xm:sqref>
        </x14:conditionalFormatting>
        <x14:conditionalFormatting xmlns:xm="http://schemas.microsoft.com/office/excel/2006/main">
          <x14:cfRule type="dataBar" id="{289C94C1-783E-43B8-AC8B-9B3B67B6C136}">
            <x14:dataBar minLength="0" maxLength="100" gradient="0">
              <x14:cfvo type="autoMin"/>
              <x14:cfvo type="autoMax"/>
              <x14:negativeFillColor rgb="FFFF0000"/>
              <x14:axisColor rgb="FF000000"/>
            </x14:dataBar>
          </x14:cfRule>
          <xm:sqref>U242:U327</xm:sqref>
        </x14:conditionalFormatting>
        <x14:conditionalFormatting xmlns:xm="http://schemas.microsoft.com/office/excel/2006/main">
          <x14:cfRule type="dataBar" id="{231E9E50-397E-46F8-AB0D-7F2D790999A2}">
            <x14:dataBar minLength="0" maxLength="100" gradient="0">
              <x14:cfvo type="autoMin"/>
              <x14:cfvo type="autoMax"/>
              <x14:negativeFillColor rgb="FFFF0000"/>
              <x14:axisColor rgb="FF000000"/>
            </x14:dataBar>
          </x14:cfRule>
          <xm:sqref>Z242:AA327</xm:sqref>
        </x14:conditionalFormatting>
        <x14:conditionalFormatting xmlns:xm="http://schemas.microsoft.com/office/excel/2006/main">
          <x14:cfRule type="dataBar" id="{1ED25FBC-B81B-41F1-BEBB-5AA0391368C8}">
            <x14:dataBar minLength="0" maxLength="100" gradient="0">
              <x14:cfvo type="autoMin"/>
              <x14:cfvo type="autoMax"/>
              <x14:negativeFillColor rgb="FFFF0000"/>
              <x14:axisColor rgb="FF000000"/>
            </x14:dataBar>
          </x14:cfRule>
          <xm:sqref>U242:U327</xm:sqref>
        </x14:conditionalFormatting>
        <x14:conditionalFormatting xmlns:xm="http://schemas.microsoft.com/office/excel/2006/main">
          <x14:cfRule type="dataBar" id="{E86A5D80-6E63-44BA-8F6A-01F006E550C2}">
            <x14:dataBar minLength="0" maxLength="100" gradient="0">
              <x14:cfvo type="autoMin"/>
              <x14:cfvo type="autoMax"/>
              <x14:negativeFillColor rgb="FFFF0000"/>
              <x14:axisColor rgb="FF000000"/>
            </x14:dataBar>
          </x14:cfRule>
          <xm:sqref>U242:U327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BB170-7848-4115-B5EF-60C88AF4DB48}">
  <sheetPr>
    <pageSetUpPr fitToPage="1"/>
  </sheetPr>
  <dimension ref="A2:P23"/>
  <sheetViews>
    <sheetView workbookViewId="0">
      <selection activeCell="C16" sqref="C16"/>
    </sheetView>
  </sheetViews>
  <sheetFormatPr defaultRowHeight="15" x14ac:dyDescent="0.25"/>
  <cols>
    <col min="1" max="2" width="9.140625" style="689"/>
    <col min="3" max="3" width="23.42578125" style="689" bestFit="1" customWidth="1"/>
    <col min="4" max="4" width="10.7109375" style="689" bestFit="1" customWidth="1"/>
    <col min="5" max="5" width="16.5703125" style="689" bestFit="1" customWidth="1"/>
    <col min="6" max="6" width="11.140625" style="689" customWidth="1"/>
    <col min="7" max="7" width="10.28515625" style="689" customWidth="1"/>
    <col min="8" max="8" width="8.85546875" style="689" bestFit="1" customWidth="1"/>
    <col min="9" max="15" width="9.140625" style="689"/>
    <col min="16" max="16" width="40" style="689" customWidth="1"/>
    <col min="17" max="16384" width="9.140625" style="689"/>
  </cols>
  <sheetData>
    <row r="2" spans="1:16" s="640" customFormat="1" ht="45" customHeight="1" x14ac:dyDescent="0.25">
      <c r="A2" s="702" t="s">
        <v>1717</v>
      </c>
      <c r="B2" s="702"/>
      <c r="C2" s="658" t="s">
        <v>130</v>
      </c>
      <c r="D2" s="658" t="s">
        <v>796</v>
      </c>
      <c r="E2" s="640" t="s">
        <v>33</v>
      </c>
      <c r="F2" s="640" t="s">
        <v>0</v>
      </c>
      <c r="G2" s="659" t="s">
        <v>617</v>
      </c>
      <c r="H2" s="640" t="s">
        <v>1672</v>
      </c>
      <c r="I2" s="640" t="s">
        <v>79</v>
      </c>
      <c r="J2" s="644" t="s">
        <v>349</v>
      </c>
      <c r="K2" s="644" t="s">
        <v>1689</v>
      </c>
      <c r="L2" s="660" t="s">
        <v>431</v>
      </c>
      <c r="M2" s="661" t="s">
        <v>1690</v>
      </c>
      <c r="N2" s="647" t="s">
        <v>635</v>
      </c>
      <c r="O2" s="662" t="s">
        <v>50</v>
      </c>
      <c r="P2" s="640" t="s">
        <v>1</v>
      </c>
    </row>
    <row r="3" spans="1:16" s="665" customFormat="1" ht="18" thickBot="1" x14ac:dyDescent="0.3">
      <c r="A3" s="560"/>
      <c r="B3" s="663" t="s">
        <v>289</v>
      </c>
      <c r="C3" s="664"/>
      <c r="D3" s="664"/>
      <c r="G3" s="666" t="s">
        <v>31</v>
      </c>
      <c r="H3" s="665" t="s">
        <v>2</v>
      </c>
      <c r="J3" s="667" t="s">
        <v>516</v>
      </c>
      <c r="K3" s="667" t="s">
        <v>516</v>
      </c>
      <c r="L3" s="668" t="s">
        <v>984</v>
      </c>
      <c r="M3" s="668" t="s">
        <v>984</v>
      </c>
      <c r="N3" s="669" t="s">
        <v>636</v>
      </c>
      <c r="O3" s="670"/>
      <c r="P3" s="671"/>
    </row>
    <row r="4" spans="1:16" s="675" customFormat="1" ht="30" customHeight="1" thickTop="1" x14ac:dyDescent="0.25">
      <c r="A4" s="656" t="s">
        <v>668</v>
      </c>
      <c r="B4" s="672">
        <v>4</v>
      </c>
      <c r="C4" s="673" t="s">
        <v>702</v>
      </c>
      <c r="D4" s="674">
        <v>42786</v>
      </c>
      <c r="E4" s="675" t="str">
        <f>Manufacturers!$B$32</f>
        <v>Stonebridge NWs</v>
      </c>
      <c r="F4" s="675" t="s">
        <v>274</v>
      </c>
      <c r="G4" s="676"/>
      <c r="H4" s="675">
        <v>100</v>
      </c>
      <c r="I4" s="675" t="s">
        <v>155</v>
      </c>
      <c r="J4" s="677">
        <v>1.9</v>
      </c>
      <c r="K4" s="677">
        <v>4.7</v>
      </c>
      <c r="L4" s="678">
        <v>2.625</v>
      </c>
      <c r="M4" s="678">
        <v>2.625</v>
      </c>
      <c r="N4" s="654">
        <f t="shared" ref="N4:N12" si="0">IF(AND((H4&gt;0),J4&gt;0),AVERAGE(J4:K4)/H4,"")</f>
        <v>3.3000000000000002E-2</v>
      </c>
      <c r="O4" s="679">
        <v>0.25</v>
      </c>
      <c r="P4" s="680"/>
    </row>
    <row r="5" spans="1:16" s="683" customFormat="1" ht="30" customHeight="1" x14ac:dyDescent="0.25">
      <c r="A5" s="657" t="s">
        <v>669</v>
      </c>
      <c r="B5" s="672">
        <v>4</v>
      </c>
      <c r="C5" s="681" t="s">
        <v>707</v>
      </c>
      <c r="D5" s="682">
        <v>42786</v>
      </c>
      <c r="E5" s="683" t="str">
        <f>Manufacturers!$B$32</f>
        <v>Stonebridge NWs</v>
      </c>
      <c r="F5" s="683" t="s">
        <v>274</v>
      </c>
      <c r="G5" s="684"/>
      <c r="H5" s="683">
        <v>150</v>
      </c>
      <c r="I5" s="683" t="s">
        <v>155</v>
      </c>
      <c r="J5" s="685">
        <v>2.5</v>
      </c>
      <c r="K5" s="685">
        <v>6.6</v>
      </c>
      <c r="L5" s="686">
        <v>2.625</v>
      </c>
      <c r="M5" s="686">
        <v>2.625</v>
      </c>
      <c r="N5" s="655">
        <f t="shared" si="0"/>
        <v>3.0333333333333334E-2</v>
      </c>
      <c r="O5" s="687"/>
      <c r="P5" s="640"/>
    </row>
    <row r="6" spans="1:16" s="675" customFormat="1" ht="30" customHeight="1" x14ac:dyDescent="0.25">
      <c r="A6" s="656" t="s">
        <v>670</v>
      </c>
      <c r="B6" s="672">
        <v>4</v>
      </c>
      <c r="C6" s="673" t="s">
        <v>708</v>
      </c>
      <c r="D6" s="674">
        <v>42786</v>
      </c>
      <c r="E6" s="675" t="str">
        <f>Manufacturers!$B$32</f>
        <v>Stonebridge NWs</v>
      </c>
      <c r="F6" s="675" t="s">
        <v>274</v>
      </c>
      <c r="G6" s="676"/>
      <c r="H6" s="675">
        <v>130</v>
      </c>
      <c r="I6" s="675" t="s">
        <v>155</v>
      </c>
      <c r="J6" s="677">
        <v>2.2000000000000002</v>
      </c>
      <c r="K6" s="677">
        <v>7.6</v>
      </c>
      <c r="L6" s="678">
        <v>2.625</v>
      </c>
      <c r="M6" s="678">
        <v>2.625</v>
      </c>
      <c r="N6" s="654">
        <f t="shared" si="0"/>
        <v>3.7692307692307692E-2</v>
      </c>
      <c r="O6" s="679">
        <v>0.4</v>
      </c>
      <c r="P6" s="680"/>
    </row>
    <row r="7" spans="1:16" s="683" customFormat="1" ht="30" customHeight="1" x14ac:dyDescent="0.25">
      <c r="A7" s="657" t="s">
        <v>671</v>
      </c>
      <c r="B7" s="672">
        <v>4</v>
      </c>
      <c r="C7" s="681" t="s">
        <v>709</v>
      </c>
      <c r="D7" s="682">
        <v>42786</v>
      </c>
      <c r="E7" s="683" t="str">
        <f>Manufacturers!$B$32</f>
        <v>Stonebridge NWs</v>
      </c>
      <c r="F7" s="683" t="s">
        <v>274</v>
      </c>
      <c r="G7" s="684"/>
      <c r="H7" s="683">
        <v>200</v>
      </c>
      <c r="I7" s="683" t="s">
        <v>155</v>
      </c>
      <c r="J7" s="685">
        <v>1.6</v>
      </c>
      <c r="K7" s="685">
        <v>3</v>
      </c>
      <c r="L7" s="686">
        <v>1.875</v>
      </c>
      <c r="M7" s="686">
        <v>1.875</v>
      </c>
      <c r="N7" s="655">
        <f t="shared" si="0"/>
        <v>1.15E-2</v>
      </c>
      <c r="O7" s="687"/>
      <c r="P7" s="640"/>
    </row>
    <row r="8" spans="1:16" s="675" customFormat="1" ht="30" customHeight="1" x14ac:dyDescent="0.25">
      <c r="A8" s="656" t="s">
        <v>672</v>
      </c>
      <c r="B8" s="672">
        <v>4</v>
      </c>
      <c r="C8" s="673" t="s">
        <v>710</v>
      </c>
      <c r="D8" s="674">
        <v>42786</v>
      </c>
      <c r="E8" s="675" t="str">
        <f>Manufacturers!$B$32</f>
        <v>Stonebridge NWs</v>
      </c>
      <c r="F8" s="675" t="s">
        <v>274</v>
      </c>
      <c r="G8" s="676"/>
      <c r="H8" s="675">
        <v>170</v>
      </c>
      <c r="I8" s="675" t="s">
        <v>155</v>
      </c>
      <c r="J8" s="677">
        <v>1.2</v>
      </c>
      <c r="K8" s="677">
        <v>2.5</v>
      </c>
      <c r="L8" s="678">
        <v>1.5</v>
      </c>
      <c r="M8" s="678">
        <v>1.5</v>
      </c>
      <c r="N8" s="654">
        <f t="shared" si="0"/>
        <v>1.0882352941176471E-2</v>
      </c>
      <c r="O8" s="679"/>
      <c r="P8" s="680"/>
    </row>
    <row r="9" spans="1:16" s="683" customFormat="1" ht="30" customHeight="1" x14ac:dyDescent="0.25">
      <c r="A9" s="657" t="s">
        <v>673</v>
      </c>
      <c r="B9" s="672">
        <v>2</v>
      </c>
      <c r="C9" s="681" t="s">
        <v>711</v>
      </c>
      <c r="D9" s="682">
        <v>42786</v>
      </c>
      <c r="E9" s="683" t="str">
        <f>Manufacturers!$B$32</f>
        <v>Stonebridge NWs</v>
      </c>
      <c r="F9" s="683" t="s">
        <v>716</v>
      </c>
      <c r="G9" s="684"/>
      <c r="H9" s="683">
        <v>290</v>
      </c>
      <c r="I9" s="683" t="s">
        <v>155</v>
      </c>
      <c r="J9" s="685">
        <v>13.1</v>
      </c>
      <c r="K9" s="685">
        <v>11.3</v>
      </c>
      <c r="L9" s="686">
        <v>52.5</v>
      </c>
      <c r="M9" s="686">
        <v>142.5</v>
      </c>
      <c r="N9" s="655">
        <f t="shared" si="0"/>
        <v>4.2068965517241375E-2</v>
      </c>
      <c r="O9" s="687"/>
      <c r="P9" s="640"/>
    </row>
    <row r="10" spans="1:16" s="675" customFormat="1" ht="30" customHeight="1" x14ac:dyDescent="0.25">
      <c r="A10" s="656" t="s">
        <v>674</v>
      </c>
      <c r="B10" s="672">
        <v>3</v>
      </c>
      <c r="C10" s="673" t="s">
        <v>712</v>
      </c>
      <c r="D10" s="674">
        <v>42786</v>
      </c>
      <c r="E10" s="675" t="str">
        <f>Manufacturers!$B$32</f>
        <v>Stonebridge NWs</v>
      </c>
      <c r="F10" s="675" t="s">
        <v>274</v>
      </c>
      <c r="G10" s="676"/>
      <c r="H10" s="675">
        <v>260</v>
      </c>
      <c r="I10" s="675" t="s">
        <v>155</v>
      </c>
      <c r="J10" s="677"/>
      <c r="K10" s="677"/>
      <c r="L10" s="678" t="s">
        <v>983</v>
      </c>
      <c r="M10" s="678" t="s">
        <v>983</v>
      </c>
      <c r="N10" s="654" t="str">
        <f t="shared" si="0"/>
        <v/>
      </c>
      <c r="O10" s="679"/>
      <c r="P10" s="680"/>
    </row>
    <row r="11" spans="1:16" s="683" customFormat="1" ht="30" customHeight="1" x14ac:dyDescent="0.25">
      <c r="A11" s="657" t="s">
        <v>675</v>
      </c>
      <c r="B11" s="672">
        <v>2</v>
      </c>
      <c r="C11" s="681" t="s">
        <v>713</v>
      </c>
      <c r="D11" s="682">
        <v>42786</v>
      </c>
      <c r="E11" s="683" t="str">
        <f>Manufacturers!$B$32</f>
        <v>Stonebridge NWs</v>
      </c>
      <c r="F11" s="683" t="s">
        <v>715</v>
      </c>
      <c r="G11" s="684"/>
      <c r="H11" s="683">
        <v>110</v>
      </c>
      <c r="I11" s="683" t="s">
        <v>155</v>
      </c>
      <c r="J11" s="685">
        <v>4.5</v>
      </c>
      <c r="K11" s="685">
        <v>8.1</v>
      </c>
      <c r="L11" s="686">
        <v>11.25</v>
      </c>
      <c r="M11" s="686">
        <v>11.25</v>
      </c>
      <c r="N11" s="655">
        <f t="shared" si="0"/>
        <v>5.7272727272727274E-2</v>
      </c>
      <c r="O11" s="687"/>
      <c r="P11" s="640"/>
    </row>
    <row r="12" spans="1:16" s="675" customFormat="1" ht="30" customHeight="1" x14ac:dyDescent="0.25">
      <c r="A12" s="656" t="s">
        <v>676</v>
      </c>
      <c r="B12" s="688">
        <v>2</v>
      </c>
      <c r="C12" s="673" t="s">
        <v>714</v>
      </c>
      <c r="D12" s="674">
        <v>42786</v>
      </c>
      <c r="E12" s="675" t="str">
        <f>Manufacturers!$B$32</f>
        <v>Stonebridge NWs</v>
      </c>
      <c r="F12" s="675" t="s">
        <v>274</v>
      </c>
      <c r="G12" s="676"/>
      <c r="H12" s="675">
        <v>200</v>
      </c>
      <c r="I12" s="675" t="s">
        <v>155</v>
      </c>
      <c r="J12" s="677">
        <v>5.5</v>
      </c>
      <c r="K12" s="677">
        <v>0.7</v>
      </c>
      <c r="L12" s="678">
        <v>22.5</v>
      </c>
      <c r="M12" s="678">
        <v>1.875</v>
      </c>
      <c r="N12" s="654">
        <f t="shared" si="0"/>
        <v>1.55E-2</v>
      </c>
      <c r="O12" s="679"/>
      <c r="P12" s="680"/>
    </row>
    <row r="15" spans="1:16" s="690" customFormat="1" ht="29.25" customHeight="1" x14ac:dyDescent="0.25">
      <c r="E15" s="692" t="s">
        <v>1720</v>
      </c>
      <c r="F15" s="692" t="s">
        <v>947</v>
      </c>
      <c r="G15" s="692" t="s">
        <v>1722</v>
      </c>
      <c r="H15" s="692" t="s">
        <v>1723</v>
      </c>
      <c r="I15" s="692" t="s">
        <v>1672</v>
      </c>
      <c r="J15" s="692" t="s">
        <v>617</v>
      </c>
      <c r="K15" s="692" t="s">
        <v>1</v>
      </c>
    </row>
    <row r="16" spans="1:16" x14ac:dyDescent="0.25">
      <c r="E16" s="689" t="s">
        <v>1718</v>
      </c>
      <c r="F16" s="689" t="s">
        <v>1721</v>
      </c>
      <c r="G16" s="689">
        <v>0.5</v>
      </c>
      <c r="H16" s="689">
        <v>16.5</v>
      </c>
      <c r="I16" s="691">
        <f>H22/G22</f>
        <v>174.7685185185185</v>
      </c>
      <c r="J16" s="689">
        <v>2.5</v>
      </c>
      <c r="K16" s="689" t="s">
        <v>1727</v>
      </c>
    </row>
    <row r="17" spans="5:10" x14ac:dyDescent="0.25">
      <c r="E17" s="689" t="s">
        <v>1719</v>
      </c>
      <c r="F17" s="689" t="s">
        <v>670</v>
      </c>
      <c r="G17" s="689">
        <v>0.6</v>
      </c>
      <c r="H17" s="689">
        <v>7.5</v>
      </c>
      <c r="I17" s="691">
        <f>H23/G23</f>
        <v>139.85019436806675</v>
      </c>
      <c r="J17" s="689">
        <v>2.4</v>
      </c>
    </row>
    <row r="20" spans="5:10" x14ac:dyDescent="0.25">
      <c r="E20" s="689" t="s">
        <v>1726</v>
      </c>
    </row>
    <row r="21" spans="5:10" x14ac:dyDescent="0.25">
      <c r="E21" s="692" t="s">
        <v>1724</v>
      </c>
      <c r="F21" s="692" t="s">
        <v>1725</v>
      </c>
      <c r="G21" s="692" t="s">
        <v>3</v>
      </c>
      <c r="H21" s="692" t="s">
        <v>64</v>
      </c>
    </row>
    <row r="22" spans="5:10" x14ac:dyDescent="0.25">
      <c r="E22" s="689">
        <v>0.54</v>
      </c>
      <c r="F22" s="689">
        <v>0.16</v>
      </c>
      <c r="G22" s="689">
        <f>E22*F22</f>
        <v>8.6400000000000005E-2</v>
      </c>
      <c r="H22" s="689">
        <v>15.1</v>
      </c>
    </row>
    <row r="23" spans="5:10" x14ac:dyDescent="0.25">
      <c r="E23" s="689">
        <v>0.21199999999999999</v>
      </c>
      <c r="F23" s="689">
        <v>0.19900000000000001</v>
      </c>
      <c r="G23" s="689">
        <f>E23*F23</f>
        <v>4.2188000000000003E-2</v>
      </c>
      <c r="H23" s="689">
        <v>5.9</v>
      </c>
    </row>
  </sheetData>
  <mergeCells count="1">
    <mergeCell ref="A2:B2"/>
  </mergeCells>
  <conditionalFormatting sqref="B4:B12">
    <cfRule type="colorScale" priority="24">
      <colorScale>
        <cfvo type="min"/>
        <cfvo type="max"/>
        <color rgb="FFFFEF9C"/>
        <color rgb="FFFF7128"/>
      </colorScale>
    </cfRule>
    <cfRule type="colorScale" priority="25">
      <colorScale>
        <cfvo type="min"/>
        <cfvo type="max"/>
        <color theme="5" tint="0.79998168889431442"/>
        <color theme="8" tint="-0.249977111117893"/>
      </colorScale>
    </cfRule>
    <cfRule type="colorScale" priority="26">
      <colorScale>
        <cfvo type="min"/>
        <cfvo type="max"/>
        <color theme="4" tint="0.79998168889431442"/>
        <color theme="7" tint="-0.249977111117893"/>
      </colorScale>
    </cfRule>
    <cfRule type="colorScale" priority="27">
      <colorScale>
        <cfvo type="min"/>
        <cfvo type="max"/>
        <color theme="8" tint="0.79998168889431442"/>
        <color theme="3"/>
      </colorScale>
    </cfRule>
    <cfRule type="colorScale" priority="28">
      <colorScale>
        <cfvo type="min"/>
        <cfvo type="max"/>
        <color theme="4"/>
        <color theme="8" tint="0.79998168889431442"/>
      </colorScale>
    </cfRule>
  </conditionalFormatting>
  <conditionalFormatting sqref="L4:M12">
    <cfRule type="dataBar" priority="21">
      <dataBar>
        <cfvo type="min"/>
        <cfvo type="max"/>
        <color rgb="FF63C384"/>
      </dataBar>
      <extLst>
        <ext xmlns:x14="http://schemas.microsoft.com/office/spreadsheetml/2009/9/main" uri="{B025F937-C7B1-47D3-B67F-A62EFF666E3E}">
          <x14:id>{9E02558A-4066-4A43-9C43-E360C8B82260}</x14:id>
        </ext>
      </extLst>
    </cfRule>
  </conditionalFormatting>
  <conditionalFormatting sqref="H4:H12">
    <cfRule type="dataBar" priority="23">
      <dataBar>
        <cfvo type="min"/>
        <cfvo type="max"/>
        <color rgb="FFFF555A"/>
      </dataBar>
      <extLst>
        <ext xmlns:x14="http://schemas.microsoft.com/office/spreadsheetml/2009/9/main" uri="{B025F937-C7B1-47D3-B67F-A62EFF666E3E}">
          <x14:id>{CDC0CCA0-A42D-484D-82FF-35C75B5ACB40}</x14:id>
        </ext>
      </extLst>
    </cfRule>
  </conditionalFormatting>
  <conditionalFormatting sqref="G4:G12">
    <cfRule type="dataBar" priority="22">
      <dataBar>
        <cfvo type="min"/>
        <cfvo type="max"/>
        <color rgb="FFFFB628"/>
      </dataBar>
      <extLst>
        <ext xmlns:x14="http://schemas.microsoft.com/office/spreadsheetml/2009/9/main" uri="{B025F937-C7B1-47D3-B67F-A62EFF666E3E}">
          <x14:id>{811AB04A-0A7C-4EE6-BEB4-51C7EF611EC4}</x14:id>
        </ext>
      </extLst>
    </cfRule>
  </conditionalFormatting>
  <conditionalFormatting sqref="N4:N12">
    <cfRule type="dataBar" priority="20">
      <dataBar>
        <cfvo type="min"/>
        <cfvo type="max"/>
        <color rgb="FFFF555A"/>
      </dataBar>
      <extLst>
        <ext xmlns:x14="http://schemas.microsoft.com/office/spreadsheetml/2009/9/main" uri="{B025F937-C7B1-47D3-B67F-A62EFF666E3E}">
          <x14:id>{E38549B2-7066-440A-90A9-A004EB60CA07}</x14:id>
        </ext>
      </extLst>
    </cfRule>
  </conditionalFormatting>
  <conditionalFormatting sqref="N4:N12 J4:K12">
    <cfRule type="dataBar" priority="30">
      <dataBar>
        <cfvo type="min"/>
        <cfvo type="max"/>
        <color rgb="FF638EC6"/>
      </dataBar>
      <extLst>
        <ext xmlns:x14="http://schemas.microsoft.com/office/spreadsheetml/2009/9/main" uri="{B025F937-C7B1-47D3-B67F-A62EFF666E3E}">
          <x14:id>{9BD19240-C65C-457C-983C-EE075416BC75}</x14:id>
        </ext>
      </extLst>
    </cfRule>
  </conditionalFormatting>
  <conditionalFormatting sqref="L4:M12">
    <cfRule type="dataBar" priority="18">
      <dataBar>
        <cfvo type="min"/>
        <cfvo type="max"/>
        <color rgb="FF63C384"/>
      </dataBar>
      <extLst>
        <ext xmlns:x14="http://schemas.microsoft.com/office/spreadsheetml/2009/9/main" uri="{B025F937-C7B1-47D3-B67F-A62EFF666E3E}">
          <x14:id>{48842FF9-E9F9-4F07-BC9F-3C8E66A012FA}</x14:id>
        </ext>
      </extLst>
    </cfRule>
  </conditionalFormatting>
  <conditionalFormatting sqref="J4:K12">
    <cfRule type="dataBar" priority="17">
      <dataBar>
        <cfvo type="min"/>
        <cfvo type="max"/>
        <color rgb="FF638EC6"/>
      </dataBar>
      <extLst>
        <ext xmlns:x14="http://schemas.microsoft.com/office/spreadsheetml/2009/9/main" uri="{B025F937-C7B1-47D3-B67F-A62EFF666E3E}">
          <x14:id>{D743B353-7900-477C-A170-86D5B80D1FD0}</x14:id>
        </ext>
      </extLst>
    </cfRule>
  </conditionalFormatting>
  <conditionalFormatting sqref="N4:N12">
    <cfRule type="dataBar" priority="16">
      <dataBar>
        <cfvo type="min"/>
        <cfvo type="max"/>
        <color rgb="FFFF555A"/>
      </dataBar>
      <extLst>
        <ext xmlns:x14="http://schemas.microsoft.com/office/spreadsheetml/2009/9/main" uri="{B025F937-C7B1-47D3-B67F-A62EFF666E3E}">
          <x14:id>{2295916F-6CEE-45C8-B511-C06E0D31BE52}</x14:id>
        </ext>
      </extLst>
    </cfRule>
  </conditionalFormatting>
  <conditionalFormatting sqref="B3">
    <cfRule type="colorScale" priority="9">
      <colorScale>
        <cfvo type="min"/>
        <cfvo type="max"/>
        <color rgb="FFFFEF9C"/>
        <color rgb="FFFF7128"/>
      </colorScale>
    </cfRule>
    <cfRule type="colorScale" priority="10">
      <colorScale>
        <cfvo type="min"/>
        <cfvo type="max"/>
        <color theme="5" tint="0.79998168889431442"/>
        <color theme="8" tint="-0.249977111117893"/>
      </colorScale>
    </cfRule>
    <cfRule type="colorScale" priority="11">
      <colorScale>
        <cfvo type="min"/>
        <cfvo type="max"/>
        <color theme="4" tint="0.79998168889431442"/>
        <color theme="7" tint="-0.249977111117893"/>
      </colorScale>
    </cfRule>
    <cfRule type="colorScale" priority="12">
      <colorScale>
        <cfvo type="min"/>
        <cfvo type="max"/>
        <color theme="8" tint="0.79998168889431442"/>
        <color theme="3"/>
      </colorScale>
    </cfRule>
    <cfRule type="colorScale" priority="13">
      <colorScale>
        <cfvo type="min"/>
        <cfvo type="max"/>
        <color theme="4"/>
        <color theme="8" tint="0.79998168889431442"/>
      </colorScale>
    </cfRule>
  </conditionalFormatting>
  <conditionalFormatting sqref="L2:M3">
    <cfRule type="dataBar" priority="6">
      <dataBar>
        <cfvo type="min"/>
        <cfvo type="max"/>
        <color rgb="FF63C384"/>
      </dataBar>
      <extLst>
        <ext xmlns:x14="http://schemas.microsoft.com/office/spreadsheetml/2009/9/main" uri="{B025F937-C7B1-47D3-B67F-A62EFF666E3E}">
          <x14:id>{C19753C9-F6B2-47F6-BBB0-B180D971AFAD}</x14:id>
        </ext>
      </extLst>
    </cfRule>
  </conditionalFormatting>
  <conditionalFormatting sqref="H2:H3">
    <cfRule type="dataBar" priority="8">
      <dataBar>
        <cfvo type="min"/>
        <cfvo type="max"/>
        <color rgb="FFFF555A"/>
      </dataBar>
      <extLst>
        <ext xmlns:x14="http://schemas.microsoft.com/office/spreadsheetml/2009/9/main" uri="{B025F937-C7B1-47D3-B67F-A62EFF666E3E}">
          <x14:id>{08BD14CE-8E3C-4375-BD36-6DB2FF64FA12}</x14:id>
        </ext>
      </extLst>
    </cfRule>
  </conditionalFormatting>
  <conditionalFormatting sqref="G2:G3">
    <cfRule type="dataBar" priority="7">
      <dataBar>
        <cfvo type="min"/>
        <cfvo type="max"/>
        <color rgb="FFFFB628"/>
      </dataBar>
      <extLst>
        <ext xmlns:x14="http://schemas.microsoft.com/office/spreadsheetml/2009/9/main" uri="{B025F937-C7B1-47D3-B67F-A62EFF666E3E}">
          <x14:id>{635A7CA5-FDD2-464D-B1CA-8D292F102643}</x14:id>
        </ext>
      </extLst>
    </cfRule>
  </conditionalFormatting>
  <conditionalFormatting sqref="N2:N3">
    <cfRule type="dataBar" priority="5">
      <dataBar>
        <cfvo type="min"/>
        <cfvo type="max"/>
        <color rgb="FFFF555A"/>
      </dataBar>
      <extLst>
        <ext xmlns:x14="http://schemas.microsoft.com/office/spreadsheetml/2009/9/main" uri="{B025F937-C7B1-47D3-B67F-A62EFF666E3E}">
          <x14:id>{7C6400CD-3A61-484F-A4CF-CE8C5268DF54}</x14:id>
        </ext>
      </extLst>
    </cfRule>
  </conditionalFormatting>
  <conditionalFormatting sqref="N2:N3 J2:K3">
    <cfRule type="dataBar" priority="15">
      <dataBar>
        <cfvo type="min"/>
        <cfvo type="max"/>
        <color rgb="FF638EC6"/>
      </dataBar>
      <extLst>
        <ext xmlns:x14="http://schemas.microsoft.com/office/spreadsheetml/2009/9/main" uri="{B025F937-C7B1-47D3-B67F-A62EFF666E3E}">
          <x14:id>{14D09B9C-5FFF-4A0F-A4A6-196D1931B58B}</x14:id>
        </ext>
      </extLst>
    </cfRule>
  </conditionalFormatting>
  <conditionalFormatting sqref="L2:M3">
    <cfRule type="dataBar" priority="3">
      <dataBar>
        <cfvo type="min"/>
        <cfvo type="max"/>
        <color rgb="FF63C384"/>
      </dataBar>
      <extLst>
        <ext xmlns:x14="http://schemas.microsoft.com/office/spreadsheetml/2009/9/main" uri="{B025F937-C7B1-47D3-B67F-A62EFF666E3E}">
          <x14:id>{F5B52C05-6A10-4797-AADF-3545B2857A20}</x14:id>
        </ext>
      </extLst>
    </cfRule>
  </conditionalFormatting>
  <conditionalFormatting sqref="J2:K3">
    <cfRule type="dataBar" priority="2">
      <dataBar>
        <cfvo type="min"/>
        <cfvo type="max"/>
        <color rgb="FF638EC6"/>
      </dataBar>
      <extLst>
        <ext xmlns:x14="http://schemas.microsoft.com/office/spreadsheetml/2009/9/main" uri="{B025F937-C7B1-47D3-B67F-A62EFF666E3E}">
          <x14:id>{C6646E19-DCCE-4DE1-91DF-F49B3E0146BF}</x14:id>
        </ext>
      </extLst>
    </cfRule>
  </conditionalFormatting>
  <conditionalFormatting sqref="N2:N3">
    <cfRule type="dataBar" priority="1">
      <dataBar>
        <cfvo type="min"/>
        <cfvo type="max"/>
        <color rgb="FFFF555A"/>
      </dataBar>
      <extLst>
        <ext xmlns:x14="http://schemas.microsoft.com/office/spreadsheetml/2009/9/main" uri="{B025F937-C7B1-47D3-B67F-A62EFF666E3E}">
          <x14:id>{564C78F5-969A-4805-8FC3-026DF4BE889D}</x14:id>
        </ext>
      </extLst>
    </cfRule>
  </conditionalFormatting>
  <conditionalFormatting sqref="O4:O12">
    <cfRule type="dataBar" priority="633">
      <dataBar>
        <cfvo type="min"/>
        <cfvo type="max"/>
        <color rgb="FF008AEF"/>
      </dataBar>
      <extLst>
        <ext xmlns:x14="http://schemas.microsoft.com/office/spreadsheetml/2009/9/main" uri="{B025F937-C7B1-47D3-B67F-A62EFF666E3E}">
          <x14:id>{3A67133C-6036-4AB6-830C-64B4A029DA03}</x14:id>
        </ext>
      </extLst>
    </cfRule>
  </conditionalFormatting>
  <conditionalFormatting sqref="O2:O3">
    <cfRule type="dataBar" priority="634">
      <dataBar>
        <cfvo type="min"/>
        <cfvo type="max"/>
        <color rgb="FF008AEF"/>
      </dataBar>
      <extLst>
        <ext xmlns:x14="http://schemas.microsoft.com/office/spreadsheetml/2009/9/main" uri="{B025F937-C7B1-47D3-B67F-A62EFF666E3E}">
          <x14:id>{04DA7818-2C96-4F08-980B-BB2CBA992CA3}</x14:id>
        </ext>
      </extLst>
    </cfRule>
  </conditionalFormatting>
  <pageMargins left="0.25" right="0.25" top="0.75" bottom="0.75" header="0.3" footer="0.3"/>
  <pageSetup paperSize="9" scale="67"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9E02558A-4066-4A43-9C43-E360C8B82260}">
            <x14:dataBar minLength="0" maxLength="100" gradient="0">
              <x14:cfvo type="autoMin"/>
              <x14:cfvo type="autoMax"/>
              <x14:negativeFillColor rgb="FFFF0000"/>
              <x14:axisColor rgb="FF000000"/>
            </x14:dataBar>
          </x14:cfRule>
          <xm:sqref>L4:M12</xm:sqref>
        </x14:conditionalFormatting>
        <x14:conditionalFormatting xmlns:xm="http://schemas.microsoft.com/office/excel/2006/main">
          <x14:cfRule type="dataBar" id="{CDC0CCA0-A42D-484D-82FF-35C75B5ACB40}">
            <x14:dataBar minLength="0" maxLength="100" gradient="0">
              <x14:cfvo type="autoMin"/>
              <x14:cfvo type="autoMax"/>
              <x14:negativeFillColor rgb="FFFF0000"/>
              <x14:axisColor rgb="FF000000"/>
            </x14:dataBar>
          </x14:cfRule>
          <xm:sqref>H4:H12</xm:sqref>
        </x14:conditionalFormatting>
        <x14:conditionalFormatting xmlns:xm="http://schemas.microsoft.com/office/excel/2006/main">
          <x14:cfRule type="dataBar" id="{811AB04A-0A7C-4EE6-BEB4-51C7EF611EC4}">
            <x14:dataBar minLength="0" maxLength="100" gradient="0">
              <x14:cfvo type="autoMin"/>
              <x14:cfvo type="autoMax"/>
              <x14:negativeFillColor rgb="FFFF0000"/>
              <x14:axisColor rgb="FF000000"/>
            </x14:dataBar>
          </x14:cfRule>
          <xm:sqref>G4:G12</xm:sqref>
        </x14:conditionalFormatting>
        <x14:conditionalFormatting xmlns:xm="http://schemas.microsoft.com/office/excel/2006/main">
          <x14:cfRule type="dataBar" id="{E38549B2-7066-440A-90A9-A004EB60CA07}">
            <x14:dataBar minLength="0" maxLength="100" gradient="0">
              <x14:cfvo type="autoMin"/>
              <x14:cfvo type="autoMax"/>
              <x14:negativeFillColor rgb="FFFF0000"/>
              <x14:axisColor rgb="FF000000"/>
            </x14:dataBar>
          </x14:cfRule>
          <xm:sqref>N4:N12</xm:sqref>
        </x14:conditionalFormatting>
        <x14:conditionalFormatting xmlns:xm="http://schemas.microsoft.com/office/excel/2006/main">
          <x14:cfRule type="dataBar" id="{9BD19240-C65C-457C-983C-EE075416BC75}">
            <x14:dataBar minLength="0" maxLength="100" gradient="0">
              <x14:cfvo type="autoMin"/>
              <x14:cfvo type="autoMax"/>
              <x14:negativeFillColor rgb="FFFF0000"/>
              <x14:axisColor rgb="FF000000"/>
            </x14:dataBar>
          </x14:cfRule>
          <xm:sqref>N4:N12 J4:K12</xm:sqref>
        </x14:conditionalFormatting>
        <x14:conditionalFormatting xmlns:xm="http://schemas.microsoft.com/office/excel/2006/main">
          <x14:cfRule type="dataBar" id="{48842FF9-E9F9-4F07-BC9F-3C8E66A012FA}">
            <x14:dataBar minLength="0" maxLength="100" gradient="0">
              <x14:cfvo type="autoMin"/>
              <x14:cfvo type="autoMax"/>
              <x14:negativeFillColor rgb="FFFF0000"/>
              <x14:axisColor rgb="FF000000"/>
            </x14:dataBar>
          </x14:cfRule>
          <xm:sqref>L4:M12</xm:sqref>
        </x14:conditionalFormatting>
        <x14:conditionalFormatting xmlns:xm="http://schemas.microsoft.com/office/excel/2006/main">
          <x14:cfRule type="dataBar" id="{D743B353-7900-477C-A170-86D5B80D1FD0}">
            <x14:dataBar minLength="0" maxLength="100" gradient="0">
              <x14:cfvo type="autoMin"/>
              <x14:cfvo type="autoMax"/>
              <x14:negativeFillColor rgb="FFFF0000"/>
              <x14:axisColor rgb="FF000000"/>
            </x14:dataBar>
          </x14:cfRule>
          <xm:sqref>J4:K12</xm:sqref>
        </x14:conditionalFormatting>
        <x14:conditionalFormatting xmlns:xm="http://schemas.microsoft.com/office/excel/2006/main">
          <x14:cfRule type="dataBar" id="{2295916F-6CEE-45C8-B511-C06E0D31BE52}">
            <x14:dataBar minLength="0" maxLength="100" gradient="0">
              <x14:cfvo type="autoMin"/>
              <x14:cfvo type="autoMax"/>
              <x14:negativeFillColor rgb="FFFF0000"/>
              <x14:axisColor rgb="FF000000"/>
            </x14:dataBar>
          </x14:cfRule>
          <xm:sqref>N4:N12</xm:sqref>
        </x14:conditionalFormatting>
        <x14:conditionalFormatting xmlns:xm="http://schemas.microsoft.com/office/excel/2006/main">
          <x14:cfRule type="dataBar" id="{C19753C9-F6B2-47F6-BBB0-B180D971AFAD}">
            <x14:dataBar minLength="0" maxLength="100" gradient="0">
              <x14:cfvo type="autoMin"/>
              <x14:cfvo type="autoMax"/>
              <x14:negativeFillColor rgb="FFFF0000"/>
              <x14:axisColor rgb="FF000000"/>
            </x14:dataBar>
          </x14:cfRule>
          <xm:sqref>L2:M3</xm:sqref>
        </x14:conditionalFormatting>
        <x14:conditionalFormatting xmlns:xm="http://schemas.microsoft.com/office/excel/2006/main">
          <x14:cfRule type="dataBar" id="{08BD14CE-8E3C-4375-BD36-6DB2FF64FA12}">
            <x14:dataBar minLength="0" maxLength="100" gradient="0">
              <x14:cfvo type="autoMin"/>
              <x14:cfvo type="autoMax"/>
              <x14:negativeFillColor rgb="FFFF0000"/>
              <x14:axisColor rgb="FF000000"/>
            </x14:dataBar>
          </x14:cfRule>
          <xm:sqref>H2:H3</xm:sqref>
        </x14:conditionalFormatting>
        <x14:conditionalFormatting xmlns:xm="http://schemas.microsoft.com/office/excel/2006/main">
          <x14:cfRule type="dataBar" id="{635A7CA5-FDD2-464D-B1CA-8D292F102643}">
            <x14:dataBar minLength="0" maxLength="100" gradient="0">
              <x14:cfvo type="autoMin"/>
              <x14:cfvo type="autoMax"/>
              <x14:negativeFillColor rgb="FFFF0000"/>
              <x14:axisColor rgb="FF000000"/>
            </x14:dataBar>
          </x14:cfRule>
          <xm:sqref>G2:G3</xm:sqref>
        </x14:conditionalFormatting>
        <x14:conditionalFormatting xmlns:xm="http://schemas.microsoft.com/office/excel/2006/main">
          <x14:cfRule type="dataBar" id="{7C6400CD-3A61-484F-A4CF-CE8C5268DF54}">
            <x14:dataBar minLength="0" maxLength="100" gradient="0">
              <x14:cfvo type="autoMin"/>
              <x14:cfvo type="autoMax"/>
              <x14:negativeFillColor rgb="FFFF0000"/>
              <x14:axisColor rgb="FF000000"/>
            </x14:dataBar>
          </x14:cfRule>
          <xm:sqref>N2:N3</xm:sqref>
        </x14:conditionalFormatting>
        <x14:conditionalFormatting xmlns:xm="http://schemas.microsoft.com/office/excel/2006/main">
          <x14:cfRule type="dataBar" id="{14D09B9C-5FFF-4A0F-A4A6-196D1931B58B}">
            <x14:dataBar minLength="0" maxLength="100" gradient="0">
              <x14:cfvo type="autoMin"/>
              <x14:cfvo type="autoMax"/>
              <x14:negativeFillColor rgb="FFFF0000"/>
              <x14:axisColor rgb="FF000000"/>
            </x14:dataBar>
          </x14:cfRule>
          <xm:sqref>N2:N3 J2:K3</xm:sqref>
        </x14:conditionalFormatting>
        <x14:conditionalFormatting xmlns:xm="http://schemas.microsoft.com/office/excel/2006/main">
          <x14:cfRule type="dataBar" id="{F5B52C05-6A10-4797-AADF-3545B2857A20}">
            <x14:dataBar minLength="0" maxLength="100" gradient="0">
              <x14:cfvo type="autoMin"/>
              <x14:cfvo type="autoMax"/>
              <x14:negativeFillColor rgb="FFFF0000"/>
              <x14:axisColor rgb="FF000000"/>
            </x14:dataBar>
          </x14:cfRule>
          <xm:sqref>L2:M3</xm:sqref>
        </x14:conditionalFormatting>
        <x14:conditionalFormatting xmlns:xm="http://schemas.microsoft.com/office/excel/2006/main">
          <x14:cfRule type="dataBar" id="{C6646E19-DCCE-4DE1-91DF-F49B3E0146BF}">
            <x14:dataBar minLength="0" maxLength="100" gradient="0">
              <x14:cfvo type="autoMin"/>
              <x14:cfvo type="autoMax"/>
              <x14:negativeFillColor rgb="FFFF0000"/>
              <x14:axisColor rgb="FF000000"/>
            </x14:dataBar>
          </x14:cfRule>
          <xm:sqref>J2:K3</xm:sqref>
        </x14:conditionalFormatting>
        <x14:conditionalFormatting xmlns:xm="http://schemas.microsoft.com/office/excel/2006/main">
          <x14:cfRule type="dataBar" id="{564C78F5-969A-4805-8FC3-026DF4BE889D}">
            <x14:dataBar minLength="0" maxLength="100" gradient="0">
              <x14:cfvo type="autoMin"/>
              <x14:cfvo type="autoMax"/>
              <x14:negativeFillColor rgb="FFFF0000"/>
              <x14:axisColor rgb="FF000000"/>
            </x14:dataBar>
          </x14:cfRule>
          <xm:sqref>N2:N3</xm:sqref>
        </x14:conditionalFormatting>
        <x14:conditionalFormatting xmlns:xm="http://schemas.microsoft.com/office/excel/2006/main">
          <x14:cfRule type="dataBar" id="{3A67133C-6036-4AB6-830C-64B4A029DA03}">
            <x14:dataBar minLength="0" maxLength="100" gradient="0">
              <x14:cfvo type="autoMin"/>
              <x14:cfvo type="autoMax"/>
              <x14:negativeFillColor rgb="FFFF0000"/>
              <x14:axisColor rgb="FF000000"/>
            </x14:dataBar>
          </x14:cfRule>
          <xm:sqref>O4:O12</xm:sqref>
        </x14:conditionalFormatting>
        <x14:conditionalFormatting xmlns:xm="http://schemas.microsoft.com/office/excel/2006/main">
          <x14:cfRule type="dataBar" id="{04DA7818-2C96-4F08-980B-BB2CBA992CA3}">
            <x14:dataBar minLength="0" maxLength="100" gradient="0">
              <x14:cfvo type="autoMin"/>
              <x14:cfvo type="autoMax"/>
              <x14:negativeFillColor rgb="FFFF0000"/>
              <x14:axisColor rgb="FF000000"/>
            </x14:dataBar>
          </x14:cfRule>
          <xm:sqref>O2:O3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V43"/>
  <sheetViews>
    <sheetView zoomScaleNormal="100" workbookViewId="0">
      <pane xSplit="1" ySplit="3" topLeftCell="B11" activePane="bottomRight" state="frozen"/>
      <selection pane="topRight" activeCell="C1" sqref="C1"/>
      <selection pane="bottomLeft" activeCell="A3" sqref="A3"/>
      <selection pane="bottomRight" activeCell="B28" sqref="B28"/>
    </sheetView>
  </sheetViews>
  <sheetFormatPr defaultColWidth="9.140625" defaultRowHeight="15" x14ac:dyDescent="0.25"/>
  <cols>
    <col min="1" max="1" width="9.140625" style="366" customWidth="1"/>
    <col min="2" max="2" width="28" style="320" customWidth="1"/>
    <col min="3" max="3" width="8.5703125" style="320" customWidth="1"/>
    <col min="4" max="4" width="24.28515625" style="320" customWidth="1"/>
    <col min="5" max="5" width="20.42578125" style="320" customWidth="1"/>
    <col min="6" max="6" width="9.7109375" style="320" customWidth="1"/>
    <col min="7" max="7" width="9.140625" style="320" customWidth="1"/>
    <col min="8" max="8" width="14.140625" style="49" customWidth="1"/>
    <col min="9" max="9" width="13.85546875" style="49" customWidth="1"/>
    <col min="10" max="13" width="18.28515625" style="49" customWidth="1"/>
    <col min="14" max="17" width="18.28515625" style="48" customWidth="1"/>
    <col min="18" max="18" width="115.28515625" style="321" customWidth="1"/>
    <col min="19" max="22" width="18.28515625" style="49" customWidth="1"/>
    <col min="23" max="16384" width="9.140625" style="49"/>
  </cols>
  <sheetData>
    <row r="1" spans="1:22" s="312" customFormat="1" ht="35.25" customHeight="1" x14ac:dyDescent="0.25">
      <c r="A1" s="310" t="s">
        <v>525</v>
      </c>
      <c r="B1" s="311" t="s">
        <v>33</v>
      </c>
      <c r="C1" s="311" t="s">
        <v>1496</v>
      </c>
      <c r="D1" s="311" t="s">
        <v>1449</v>
      </c>
      <c r="E1" s="311" t="s">
        <v>1461</v>
      </c>
      <c r="F1" s="311" t="s">
        <v>0</v>
      </c>
      <c r="G1" s="311" t="s">
        <v>1495</v>
      </c>
      <c r="H1" s="312" t="s">
        <v>1453</v>
      </c>
      <c r="I1" s="312" t="s">
        <v>1450</v>
      </c>
      <c r="J1" s="312" t="s">
        <v>951</v>
      </c>
      <c r="K1" s="313" t="s">
        <v>1464</v>
      </c>
      <c r="L1" s="312" t="s">
        <v>1451</v>
      </c>
      <c r="M1" s="313" t="s">
        <v>1455</v>
      </c>
      <c r="N1" s="396" t="s">
        <v>1457</v>
      </c>
      <c r="O1" s="396" t="s">
        <v>1456</v>
      </c>
      <c r="P1" s="396" t="s">
        <v>1469</v>
      </c>
      <c r="Q1" s="396" t="s">
        <v>1470</v>
      </c>
      <c r="R1" s="313" t="s">
        <v>1476</v>
      </c>
      <c r="S1" s="313" t="s">
        <v>1487</v>
      </c>
      <c r="T1" s="313" t="s">
        <v>1472</v>
      </c>
      <c r="U1" s="313" t="s">
        <v>1473</v>
      </c>
      <c r="V1" s="313" t="s">
        <v>1474</v>
      </c>
    </row>
    <row r="2" spans="1:22" s="477" customFormat="1" ht="18.75" x14ac:dyDescent="0.25">
      <c r="A2" s="479"/>
      <c r="B2" s="480"/>
      <c r="C2" s="480"/>
      <c r="D2" s="480"/>
      <c r="E2" s="480"/>
      <c r="F2" s="480"/>
      <c r="G2" s="480"/>
      <c r="K2" s="605" t="s">
        <v>1605</v>
      </c>
      <c r="M2" s="478"/>
      <c r="P2" s="477">
        <v>10</v>
      </c>
      <c r="Q2" s="477">
        <v>15</v>
      </c>
      <c r="R2" s="478" t="s">
        <v>1492</v>
      </c>
      <c r="S2" s="478"/>
      <c r="T2" s="478"/>
      <c r="U2" s="478"/>
      <c r="V2" s="478"/>
    </row>
    <row r="3" spans="1:22" s="315" customFormat="1" ht="15.75" thickBot="1" x14ac:dyDescent="0.3">
      <c r="A3" s="363"/>
      <c r="B3" s="314" t="s">
        <v>191</v>
      </c>
      <c r="C3" s="314"/>
      <c r="D3" s="314"/>
      <c r="E3" s="314"/>
      <c r="F3" s="314"/>
      <c r="G3" s="314"/>
      <c r="H3" s="315" t="s">
        <v>1454</v>
      </c>
      <c r="J3" s="315" t="s">
        <v>16</v>
      </c>
      <c r="K3" s="315" t="s">
        <v>1465</v>
      </c>
      <c r="L3" s="315" t="s">
        <v>16</v>
      </c>
      <c r="M3" s="315" t="s">
        <v>176</v>
      </c>
      <c r="N3" s="397" t="s">
        <v>780</v>
      </c>
      <c r="O3" s="397" t="s">
        <v>1458</v>
      </c>
      <c r="P3" s="397" t="s">
        <v>542</v>
      </c>
      <c r="Q3" s="397" t="s">
        <v>1471</v>
      </c>
      <c r="R3" s="316" t="s">
        <v>1468</v>
      </c>
      <c r="U3" s="315" t="s">
        <v>1489</v>
      </c>
    </row>
    <row r="4" spans="1:22" s="630" customFormat="1" ht="15.75" thickTop="1" x14ac:dyDescent="0.25">
      <c r="A4" s="517" t="s">
        <v>1646</v>
      </c>
      <c r="B4" s="629" t="s">
        <v>1651</v>
      </c>
      <c r="C4" s="629" t="s">
        <v>41</v>
      </c>
      <c r="D4" s="629" t="s">
        <v>1656</v>
      </c>
      <c r="E4" s="629"/>
      <c r="F4" s="629" t="s">
        <v>274</v>
      </c>
      <c r="G4" s="629" t="s">
        <v>1661</v>
      </c>
      <c r="N4" s="631"/>
      <c r="O4" s="631"/>
      <c r="P4" s="631"/>
      <c r="Q4" s="631"/>
      <c r="R4" s="632"/>
    </row>
    <row r="5" spans="1:22" s="630" customFormat="1" x14ac:dyDescent="0.25">
      <c r="A5" s="517" t="s">
        <v>1647</v>
      </c>
      <c r="B5" s="629" t="s">
        <v>1652</v>
      </c>
      <c r="C5" s="629" t="s">
        <v>41</v>
      </c>
      <c r="D5" s="629" t="s">
        <v>1657</v>
      </c>
      <c r="E5" s="629"/>
      <c r="F5" s="629" t="s">
        <v>274</v>
      </c>
      <c r="G5" s="629" t="s">
        <v>76</v>
      </c>
      <c r="N5" s="631"/>
      <c r="O5" s="631"/>
      <c r="P5" s="631"/>
      <c r="Q5" s="631"/>
      <c r="R5" s="632"/>
    </row>
    <row r="6" spans="1:22" s="630" customFormat="1" x14ac:dyDescent="0.25">
      <c r="A6" s="517" t="s">
        <v>1648</v>
      </c>
      <c r="B6" s="629" t="s">
        <v>1653</v>
      </c>
      <c r="C6" s="629" t="s">
        <v>41</v>
      </c>
      <c r="D6" s="629" t="s">
        <v>1658</v>
      </c>
      <c r="E6" s="629"/>
      <c r="F6" s="629" t="s">
        <v>274</v>
      </c>
      <c r="G6" s="629" t="s">
        <v>1661</v>
      </c>
      <c r="N6" s="631"/>
      <c r="O6" s="631"/>
      <c r="P6" s="631"/>
      <c r="Q6" s="631"/>
      <c r="R6" s="632"/>
    </row>
    <row r="7" spans="1:22" s="630" customFormat="1" x14ac:dyDescent="0.25">
      <c r="A7" s="517" t="s">
        <v>1649</v>
      </c>
      <c r="B7" s="629" t="s">
        <v>1654</v>
      </c>
      <c r="C7" s="629" t="s">
        <v>41</v>
      </c>
      <c r="D7" s="629" t="s">
        <v>1659</v>
      </c>
      <c r="E7" s="629"/>
      <c r="F7" s="629" t="s">
        <v>274</v>
      </c>
      <c r="G7" s="629" t="s">
        <v>76</v>
      </c>
      <c r="H7" s="630">
        <v>515</v>
      </c>
      <c r="N7" s="631"/>
      <c r="O7" s="631"/>
      <c r="P7" s="631"/>
      <c r="Q7" s="631"/>
      <c r="R7" s="632"/>
    </row>
    <row r="8" spans="1:22" s="630" customFormat="1" ht="15.75" thickBot="1" x14ac:dyDescent="0.3">
      <c r="A8" s="517" t="s">
        <v>1650</v>
      </c>
      <c r="B8" s="629" t="s">
        <v>1655</v>
      </c>
      <c r="C8" s="629" t="s">
        <v>41</v>
      </c>
      <c r="D8" s="629" t="s">
        <v>1660</v>
      </c>
      <c r="E8" s="629"/>
      <c r="F8" s="629" t="s">
        <v>274</v>
      </c>
      <c r="G8" s="629" t="s">
        <v>76</v>
      </c>
      <c r="N8" s="631"/>
      <c r="O8" s="631"/>
      <c r="P8" s="631"/>
      <c r="Q8" s="631"/>
      <c r="R8" s="632"/>
    </row>
    <row r="9" spans="1:22" s="318" customFormat="1" ht="17.25" customHeight="1" thickTop="1" thickBot="1" x14ac:dyDescent="0.3">
      <c r="A9" s="609" t="s">
        <v>985</v>
      </c>
      <c r="B9" s="609" t="s">
        <v>948</v>
      </c>
      <c r="C9" s="317" t="s">
        <v>41</v>
      </c>
      <c r="D9" s="317" t="s">
        <v>1331</v>
      </c>
      <c r="E9" s="411">
        <v>42887</v>
      </c>
      <c r="F9" s="317" t="s">
        <v>274</v>
      </c>
      <c r="G9" s="317" t="s">
        <v>76</v>
      </c>
      <c r="H9" s="318">
        <v>150</v>
      </c>
      <c r="I9" s="318">
        <v>30</v>
      </c>
      <c r="J9" s="318">
        <v>6.1</v>
      </c>
      <c r="K9" s="416">
        <f>J9/(H9*0.00981)</f>
        <v>4.1454298335032282</v>
      </c>
      <c r="L9" s="475">
        <v>55.2</v>
      </c>
      <c r="M9" s="407"/>
      <c r="N9" s="398">
        <v>1.28</v>
      </c>
      <c r="O9" s="398">
        <f>N9*(H9/1000)*(10/9)</f>
        <v>0.21333333333333335</v>
      </c>
      <c r="P9" s="422">
        <f>$P$2*(O9/10000)*(1000/(25/3.5))</f>
        <v>2.9866666666666666E-2</v>
      </c>
      <c r="Q9" s="422">
        <f>$Q$2*(O9/10000)*(1000/(25/3.5))</f>
        <v>4.4800000000000006E-2</v>
      </c>
      <c r="R9" s="319" t="s">
        <v>1447</v>
      </c>
    </row>
    <row r="10" spans="1:22" ht="17.25" customHeight="1" thickTop="1" x14ac:dyDescent="0.25">
      <c r="A10" s="367" t="s">
        <v>1011</v>
      </c>
      <c r="B10" s="320" t="s">
        <v>949</v>
      </c>
      <c r="C10" s="320" t="s">
        <v>41</v>
      </c>
      <c r="D10" s="320" t="s">
        <v>950</v>
      </c>
      <c r="E10" s="409">
        <v>43132</v>
      </c>
      <c r="F10" s="320" t="s">
        <v>174</v>
      </c>
      <c r="G10" s="320" t="s">
        <v>76</v>
      </c>
      <c r="H10" s="49">
        <v>150</v>
      </c>
      <c r="I10" s="49" t="s">
        <v>82</v>
      </c>
      <c r="J10" s="514">
        <v>4.4000000000000004</v>
      </c>
      <c r="K10" s="56">
        <f>J10/(H10*0.00981)</f>
        <v>2.9901461094121653</v>
      </c>
      <c r="L10" s="474">
        <v>31.4</v>
      </c>
      <c r="M10" s="406"/>
      <c r="O10" s="48">
        <f t="shared" ref="O10:O43" si="0">N10*(H10/1000)*(10/9)</f>
        <v>0</v>
      </c>
      <c r="P10" s="420">
        <f t="shared" ref="P10:P43" si="1">$P$2*(O10/10000)*(1000/(25/3.5))</f>
        <v>0</v>
      </c>
      <c r="Q10" s="420">
        <f t="shared" ref="Q10:Q43" si="2">$Q$2*(O10/10000)*(1000/(25/3.5))</f>
        <v>0</v>
      </c>
      <c r="R10" s="321" t="s">
        <v>1448</v>
      </c>
    </row>
    <row r="11" spans="1:22" s="323" customFormat="1" ht="17.25" customHeight="1" x14ac:dyDescent="0.25">
      <c r="A11" s="364" t="s">
        <v>1012</v>
      </c>
      <c r="B11" s="322" t="s">
        <v>861</v>
      </c>
      <c r="C11" s="322" t="s">
        <v>41</v>
      </c>
      <c r="D11" s="322" t="s">
        <v>1459</v>
      </c>
      <c r="E11" s="410">
        <v>43221</v>
      </c>
      <c r="F11" s="322" t="s">
        <v>174</v>
      </c>
      <c r="G11" s="322" t="s">
        <v>76</v>
      </c>
      <c r="J11" s="318"/>
      <c r="L11" s="475"/>
      <c r="M11" s="408"/>
      <c r="N11" s="399"/>
      <c r="O11" s="399">
        <f t="shared" si="0"/>
        <v>0</v>
      </c>
      <c r="P11" s="421">
        <f t="shared" si="1"/>
        <v>0</v>
      </c>
      <c r="Q11" s="421">
        <f t="shared" si="2"/>
        <v>0</v>
      </c>
      <c r="R11" s="324" t="s">
        <v>1460</v>
      </c>
    </row>
    <row r="12" spans="1:22" ht="17.25" customHeight="1" x14ac:dyDescent="0.25">
      <c r="A12" s="367" t="s">
        <v>1013</v>
      </c>
      <c r="B12" s="320" t="s">
        <v>1452</v>
      </c>
      <c r="C12" s="320" t="s">
        <v>1497</v>
      </c>
      <c r="D12" s="320" t="s">
        <v>1486</v>
      </c>
      <c r="E12" s="409">
        <v>43374</v>
      </c>
      <c r="F12" s="320" t="s">
        <v>174</v>
      </c>
      <c r="G12" s="320" t="s">
        <v>76</v>
      </c>
      <c r="H12" s="49">
        <v>158.44</v>
      </c>
      <c r="I12" s="49">
        <v>72</v>
      </c>
      <c r="J12" s="514">
        <v>6.54</v>
      </c>
      <c r="K12" s="418" t="s">
        <v>1466</v>
      </c>
      <c r="L12" s="474">
        <v>31.2</v>
      </c>
      <c r="M12" s="406">
        <v>0.63590000000000002</v>
      </c>
      <c r="N12" s="412">
        <f>S12*(1+T12)*U12</f>
        <v>3.791944</v>
      </c>
      <c r="O12" s="48">
        <f t="shared" si="0"/>
        <v>0.66755067484444452</v>
      </c>
      <c r="P12" s="420">
        <f t="shared" si="1"/>
        <v>9.3457094478222244E-2</v>
      </c>
      <c r="Q12" s="420">
        <f t="shared" si="2"/>
        <v>0.14018564171733336</v>
      </c>
      <c r="R12" s="321" t="s">
        <v>1462</v>
      </c>
      <c r="S12" s="413">
        <v>4.75</v>
      </c>
      <c r="T12" s="414">
        <v>0.04</v>
      </c>
      <c r="U12" s="49">
        <v>0.76759999999999995</v>
      </c>
      <c r="V12" s="415">
        <v>43406</v>
      </c>
    </row>
    <row r="13" spans="1:22" s="431" customFormat="1" ht="17.25" customHeight="1" thickBot="1" x14ac:dyDescent="0.3">
      <c r="A13" s="470" t="s">
        <v>1014</v>
      </c>
      <c r="B13" s="429" t="s">
        <v>1452</v>
      </c>
      <c r="C13" s="429" t="s">
        <v>1497</v>
      </c>
      <c r="D13" s="429" t="s">
        <v>1485</v>
      </c>
      <c r="E13" s="430">
        <v>43374</v>
      </c>
      <c r="F13" s="429" t="s">
        <v>174</v>
      </c>
      <c r="G13" s="429" t="s">
        <v>76</v>
      </c>
      <c r="H13" s="431">
        <v>299.63</v>
      </c>
      <c r="I13" s="431">
        <v>72</v>
      </c>
      <c r="J13" s="451">
        <v>17.02</v>
      </c>
      <c r="K13" s="432" t="s">
        <v>1467</v>
      </c>
      <c r="L13" s="475">
        <v>91.66552284349271</v>
      </c>
      <c r="M13" s="408">
        <v>0.31950000000000001</v>
      </c>
      <c r="N13" s="433">
        <f>S13*(1+T13)*U13</f>
        <v>3.9516048000000001</v>
      </c>
      <c r="O13" s="434">
        <f t="shared" si="0"/>
        <v>1.31557705136</v>
      </c>
      <c r="P13" s="435">
        <f t="shared" si="1"/>
        <v>0.18418078719039999</v>
      </c>
      <c r="Q13" s="435">
        <f t="shared" si="2"/>
        <v>0.27627118078559998</v>
      </c>
      <c r="R13" s="431" t="s">
        <v>1463</v>
      </c>
      <c r="S13" s="436">
        <v>4.95</v>
      </c>
      <c r="T13" s="437">
        <v>0.04</v>
      </c>
      <c r="U13" s="431">
        <v>0.76759999999999995</v>
      </c>
      <c r="V13" s="438">
        <v>43406</v>
      </c>
    </row>
    <row r="14" spans="1:22" s="441" customFormat="1" ht="17.25" customHeight="1" thickTop="1" thickBot="1" x14ac:dyDescent="0.3">
      <c r="A14" s="472" t="s">
        <v>1015</v>
      </c>
      <c r="B14" s="472" t="s">
        <v>1452</v>
      </c>
      <c r="C14" s="481" t="s">
        <v>1497</v>
      </c>
      <c r="D14" s="439" t="s">
        <v>1484</v>
      </c>
      <c r="E14" s="440" t="s">
        <v>1475</v>
      </c>
      <c r="F14" s="439" t="s">
        <v>174</v>
      </c>
      <c r="G14" s="439" t="s">
        <v>76</v>
      </c>
      <c r="H14" s="441">
        <v>150</v>
      </c>
      <c r="I14" s="442">
        <v>36</v>
      </c>
      <c r="J14" s="515" t="s">
        <v>1478</v>
      </c>
      <c r="K14" s="442" t="s">
        <v>1479</v>
      </c>
      <c r="L14" s="474">
        <f>L13/2</f>
        <v>45.832761421746355</v>
      </c>
      <c r="M14" s="406">
        <v>0.31950000000000001</v>
      </c>
      <c r="N14" s="443">
        <f>S14*(1+T14)*U14</f>
        <v>3.9516048000000001</v>
      </c>
      <c r="O14" s="444">
        <f t="shared" ref="O14" si="3">N14*(H14/1000)*(10/9)</f>
        <v>0.65860079999999999</v>
      </c>
      <c r="P14" s="445">
        <f t="shared" si="1"/>
        <v>9.2204112000000005E-2</v>
      </c>
      <c r="Q14" s="445">
        <f t="shared" si="2"/>
        <v>0.13830616800000001</v>
      </c>
      <c r="R14" s="441" t="s">
        <v>1490</v>
      </c>
      <c r="S14" s="446">
        <v>4.95</v>
      </c>
      <c r="T14" s="447">
        <v>0.04</v>
      </c>
      <c r="U14" s="441">
        <v>0.76759999999999995</v>
      </c>
      <c r="V14" s="448">
        <v>43406</v>
      </c>
    </row>
    <row r="15" spans="1:22" s="451" customFormat="1" ht="17.25" customHeight="1" thickTop="1" thickBot="1" x14ac:dyDescent="0.3">
      <c r="A15" s="471" t="s">
        <v>1016</v>
      </c>
      <c r="B15" s="449" t="s">
        <v>1481</v>
      </c>
      <c r="C15" s="449" t="s">
        <v>1498</v>
      </c>
      <c r="D15" s="449" t="s">
        <v>1483</v>
      </c>
      <c r="E15" s="450" t="s">
        <v>1475</v>
      </c>
      <c r="F15" s="449" t="s">
        <v>174</v>
      </c>
      <c r="G15" s="449" t="s">
        <v>76</v>
      </c>
      <c r="H15" s="451">
        <v>150</v>
      </c>
      <c r="I15" s="516">
        <v>30</v>
      </c>
      <c r="J15" s="516" t="s">
        <v>1477</v>
      </c>
      <c r="K15" s="452" t="s">
        <v>1488</v>
      </c>
      <c r="L15" s="475" t="s">
        <v>1477</v>
      </c>
      <c r="M15" s="453">
        <v>0.28000000000000003</v>
      </c>
      <c r="N15" s="454">
        <f>S15*(1+T15)*U15</f>
        <v>3.4327071999999994</v>
      </c>
      <c r="O15" s="455">
        <f t="shared" ref="O15:O22" si="4">N15*(H15/1000)*(10/9)</f>
        <v>0.57211786666666664</v>
      </c>
      <c r="P15" s="456">
        <f t="shared" si="1"/>
        <v>8.0096501333333334E-2</v>
      </c>
      <c r="Q15" s="456">
        <f t="shared" si="2"/>
        <v>0.12014475199999999</v>
      </c>
      <c r="R15" s="457" t="s">
        <v>1480</v>
      </c>
      <c r="S15" s="458">
        <v>4.3</v>
      </c>
      <c r="T15" s="459">
        <v>0.04</v>
      </c>
      <c r="U15" s="451">
        <v>0.76759999999999995</v>
      </c>
      <c r="V15" s="460">
        <v>43406</v>
      </c>
    </row>
    <row r="16" spans="1:22" s="441" customFormat="1" ht="17.25" customHeight="1" thickTop="1" thickBot="1" x14ac:dyDescent="0.3">
      <c r="A16" s="610" t="s">
        <v>1017</v>
      </c>
      <c r="B16" s="610" t="s">
        <v>1501</v>
      </c>
      <c r="C16" s="482" t="s">
        <v>47</v>
      </c>
      <c r="D16" s="439" t="s">
        <v>1482</v>
      </c>
      <c r="E16" s="473">
        <v>43405</v>
      </c>
      <c r="F16" s="439" t="s">
        <v>174</v>
      </c>
      <c r="G16" s="439" t="s">
        <v>76</v>
      </c>
      <c r="H16" s="441">
        <v>300</v>
      </c>
      <c r="I16" s="441">
        <v>60</v>
      </c>
      <c r="J16" s="515">
        <v>12.65</v>
      </c>
      <c r="K16" s="442" t="s">
        <v>1609</v>
      </c>
      <c r="L16" s="474">
        <v>57.86701590306852</v>
      </c>
      <c r="M16" s="463">
        <v>0.3</v>
      </c>
      <c r="N16" s="464">
        <f>(S16+T16)*U16</f>
        <v>2.9082810000000001</v>
      </c>
      <c r="O16" s="465">
        <f>N16*(H16/1000)*(10/9)</f>
        <v>0.96942700000000004</v>
      </c>
      <c r="P16" s="466">
        <f t="shared" si="1"/>
        <v>0.13571978000000001</v>
      </c>
      <c r="Q16" s="465">
        <f t="shared" si="2"/>
        <v>0.20357966999999999</v>
      </c>
      <c r="R16" s="467" t="s">
        <v>1491</v>
      </c>
      <c r="S16" s="468">
        <v>3.19</v>
      </c>
      <c r="T16" s="468">
        <v>0.2</v>
      </c>
      <c r="U16" s="469">
        <v>0.8579</v>
      </c>
      <c r="V16" s="448">
        <v>43531</v>
      </c>
    </row>
    <row r="17" spans="1:22" s="318" customFormat="1" ht="17.25" customHeight="1" thickTop="1" x14ac:dyDescent="0.25">
      <c r="A17" s="364" t="s">
        <v>1018</v>
      </c>
      <c r="B17" s="423" t="s">
        <v>1500</v>
      </c>
      <c r="C17" s="483" t="s">
        <v>1499</v>
      </c>
      <c r="D17" s="423"/>
      <c r="E17" s="424"/>
      <c r="F17" s="423" t="s">
        <v>174</v>
      </c>
      <c r="G17" s="423" t="s">
        <v>76</v>
      </c>
      <c r="H17" s="318">
        <v>150</v>
      </c>
      <c r="I17" s="425"/>
      <c r="J17" s="475">
        <f>K17*H17*0.00981</f>
        <v>8.0932499999999994</v>
      </c>
      <c r="K17" s="425">
        <v>5.5</v>
      </c>
      <c r="L17" s="475"/>
      <c r="M17" s="407"/>
      <c r="N17" s="426"/>
      <c r="O17" s="398"/>
      <c r="P17" s="422">
        <f t="shared" si="1"/>
        <v>0</v>
      </c>
      <c r="Q17" s="422">
        <f t="shared" si="2"/>
        <v>0</v>
      </c>
      <c r="R17" s="319"/>
      <c r="S17" s="461"/>
      <c r="T17" s="427"/>
      <c r="U17" s="462"/>
      <c r="V17" s="428"/>
    </row>
    <row r="18" spans="1:22" ht="17.25" customHeight="1" x14ac:dyDescent="0.25">
      <c r="A18" s="367" t="s">
        <v>986</v>
      </c>
      <c r="B18" s="320" t="s">
        <v>1527</v>
      </c>
      <c r="C18" s="320" t="s">
        <v>406</v>
      </c>
      <c r="D18" s="320" t="s">
        <v>1502</v>
      </c>
      <c r="E18" s="513">
        <v>43532</v>
      </c>
      <c r="F18" s="320" t="s">
        <v>274</v>
      </c>
      <c r="G18" s="320" t="s">
        <v>62</v>
      </c>
      <c r="H18" s="49">
        <v>150</v>
      </c>
      <c r="J18" s="514">
        <v>4.3</v>
      </c>
      <c r="K18" s="607">
        <f>J18/(H18*0.00981)</f>
        <v>2.922188243289161</v>
      </c>
      <c r="L18" s="474">
        <v>13.2</v>
      </c>
      <c r="M18" s="406"/>
      <c r="N18" s="419"/>
      <c r="O18" s="48">
        <f t="shared" si="4"/>
        <v>0</v>
      </c>
      <c r="P18" s="48">
        <f t="shared" si="1"/>
        <v>0</v>
      </c>
      <c r="Q18" s="48">
        <f t="shared" si="2"/>
        <v>0</v>
      </c>
      <c r="R18" s="321" t="s">
        <v>1505</v>
      </c>
    </row>
    <row r="19" spans="1:22" s="323" customFormat="1" ht="17.25" customHeight="1" x14ac:dyDescent="0.25">
      <c r="A19" s="364" t="s">
        <v>987</v>
      </c>
      <c r="B19" s="322" t="s">
        <v>1527</v>
      </c>
      <c r="C19" s="322" t="s">
        <v>406</v>
      </c>
      <c r="D19" s="322" t="s">
        <v>1528</v>
      </c>
      <c r="E19" s="512">
        <v>43532</v>
      </c>
      <c r="F19" s="322" t="s">
        <v>274</v>
      </c>
      <c r="G19" s="322" t="s">
        <v>76</v>
      </c>
      <c r="H19" s="323">
        <v>150</v>
      </c>
      <c r="J19" s="318">
        <v>5.3</v>
      </c>
      <c r="K19" s="416">
        <f t="shared" ref="K19:K20" si="5">J19/(H19*0.00981)</f>
        <v>3.6017669045191982</v>
      </c>
      <c r="L19" s="475">
        <v>13.2</v>
      </c>
      <c r="M19" s="408"/>
      <c r="N19" s="417"/>
      <c r="O19" s="399">
        <f t="shared" si="4"/>
        <v>0</v>
      </c>
      <c r="P19" s="399">
        <f t="shared" si="1"/>
        <v>0</v>
      </c>
      <c r="Q19" s="399">
        <f t="shared" si="2"/>
        <v>0</v>
      </c>
      <c r="R19" s="324" t="s">
        <v>1504</v>
      </c>
    </row>
    <row r="20" spans="1:22" ht="17.25" customHeight="1" x14ac:dyDescent="0.25">
      <c r="A20" s="367" t="s">
        <v>988</v>
      </c>
      <c r="B20" s="320" t="s">
        <v>1527</v>
      </c>
      <c r="C20" s="320" t="s">
        <v>406</v>
      </c>
      <c r="D20" s="320" t="s">
        <v>1502</v>
      </c>
      <c r="E20" s="513">
        <v>43532</v>
      </c>
      <c r="F20" s="320" t="s">
        <v>274</v>
      </c>
      <c r="G20" s="320" t="s">
        <v>331</v>
      </c>
      <c r="H20" s="49">
        <v>150</v>
      </c>
      <c r="J20" s="514">
        <v>4.5999999999999996</v>
      </c>
      <c r="K20" s="607">
        <f t="shared" si="5"/>
        <v>3.126061841658172</v>
      </c>
      <c r="L20" s="474">
        <v>13.2</v>
      </c>
      <c r="N20" s="49"/>
      <c r="O20" s="48">
        <f t="shared" si="4"/>
        <v>0</v>
      </c>
      <c r="P20" s="48">
        <f t="shared" si="1"/>
        <v>0</v>
      </c>
      <c r="Q20" s="48">
        <f t="shared" si="2"/>
        <v>0</v>
      </c>
      <c r="R20" s="321" t="s">
        <v>1503</v>
      </c>
    </row>
    <row r="21" spans="1:22" s="323" customFormat="1" ht="17.25" customHeight="1" x14ac:dyDescent="0.25">
      <c r="A21" s="364" t="s">
        <v>989</v>
      </c>
      <c r="B21" s="322" t="s">
        <v>1527</v>
      </c>
      <c r="C21" s="322" t="s">
        <v>406</v>
      </c>
      <c r="D21" s="322"/>
      <c r="E21" s="512">
        <v>43549</v>
      </c>
      <c r="F21" s="322" t="s">
        <v>274</v>
      </c>
      <c r="G21" s="322" t="s">
        <v>76</v>
      </c>
      <c r="H21" s="323">
        <v>200</v>
      </c>
      <c r="J21" s="318"/>
      <c r="L21" s="475"/>
      <c r="O21" s="399">
        <f t="shared" si="4"/>
        <v>0</v>
      </c>
      <c r="P21" s="399">
        <f t="shared" si="1"/>
        <v>0</v>
      </c>
      <c r="Q21" s="399">
        <f t="shared" si="2"/>
        <v>0</v>
      </c>
      <c r="R21" s="324"/>
    </row>
    <row r="22" spans="1:22" s="520" customFormat="1" ht="17.25" customHeight="1" thickBot="1" x14ac:dyDescent="0.3">
      <c r="A22" s="517" t="s">
        <v>990</v>
      </c>
      <c r="B22" s="518" t="s">
        <v>1527</v>
      </c>
      <c r="C22" s="518" t="s">
        <v>406</v>
      </c>
      <c r="D22" s="518"/>
      <c r="E22" s="519">
        <v>43549</v>
      </c>
      <c r="F22" s="518" t="s">
        <v>274</v>
      </c>
      <c r="G22" s="518" t="s">
        <v>76</v>
      </c>
      <c r="H22" s="520">
        <v>300</v>
      </c>
      <c r="J22" s="521"/>
      <c r="L22" s="522"/>
      <c r="O22" s="523">
        <f t="shared" si="4"/>
        <v>0</v>
      </c>
      <c r="P22" s="523">
        <f t="shared" si="1"/>
        <v>0</v>
      </c>
      <c r="Q22" s="523">
        <f t="shared" si="2"/>
        <v>0</v>
      </c>
      <c r="R22" s="524"/>
    </row>
    <row r="23" spans="1:22" s="516" customFormat="1" ht="25.5" customHeight="1" thickTop="1" thickBot="1" x14ac:dyDescent="0.3">
      <c r="A23" s="609" t="s">
        <v>991</v>
      </c>
      <c r="B23" s="609" t="s">
        <v>1529</v>
      </c>
      <c r="C23" s="525" t="s">
        <v>1497</v>
      </c>
      <c r="D23" s="525" t="s">
        <v>1607</v>
      </c>
      <c r="E23" s="530">
        <v>43640</v>
      </c>
      <c r="F23" s="525" t="s">
        <v>274</v>
      </c>
      <c r="G23" s="525" t="s">
        <v>76</v>
      </c>
      <c r="H23" s="516">
        <v>150</v>
      </c>
      <c r="I23" s="516">
        <v>48</v>
      </c>
      <c r="J23" s="526">
        <f>AVERAGE(7.78,8.45)</f>
        <v>8.1150000000000002</v>
      </c>
      <c r="K23" s="606" t="s">
        <v>1606</v>
      </c>
      <c r="L23" s="526">
        <v>58.8</v>
      </c>
      <c r="M23" s="527">
        <v>0.155</v>
      </c>
      <c r="N23" s="608">
        <f>(S23+T23)*U23</f>
        <v>2.5131759999999996</v>
      </c>
      <c r="O23" s="528">
        <f t="shared" si="0"/>
        <v>0.41886266666666661</v>
      </c>
      <c r="P23" s="528">
        <f t="shared" si="1"/>
        <v>5.8640773333333319E-2</v>
      </c>
      <c r="Q23" s="528">
        <f t="shared" si="2"/>
        <v>8.7961159999999983E-2</v>
      </c>
      <c r="R23" s="531" t="s">
        <v>1530</v>
      </c>
      <c r="S23" s="529">
        <v>3.17</v>
      </c>
      <c r="T23" s="516">
        <v>0</v>
      </c>
      <c r="U23" s="516">
        <v>0.79279999999999995</v>
      </c>
      <c r="V23" s="530">
        <v>43648</v>
      </c>
    </row>
    <row r="24" spans="1:22" s="614" customFormat="1" ht="17.25" customHeight="1" thickTop="1" thickBot="1" x14ac:dyDescent="0.3">
      <c r="A24" s="610" t="s">
        <v>992</v>
      </c>
      <c r="B24" s="624" t="s">
        <v>1529</v>
      </c>
      <c r="C24" s="615" t="s">
        <v>1497</v>
      </c>
      <c r="D24" s="616" t="s">
        <v>1613</v>
      </c>
      <c r="E24" s="617">
        <v>43647</v>
      </c>
      <c r="F24" s="618" t="s">
        <v>274</v>
      </c>
      <c r="G24" s="618" t="s">
        <v>1682</v>
      </c>
      <c r="H24" s="614">
        <v>250</v>
      </c>
      <c r="I24" s="614">
        <v>48</v>
      </c>
      <c r="J24" s="625">
        <v>12.797624185988729</v>
      </c>
      <c r="K24" s="619" t="s">
        <v>1615</v>
      </c>
      <c r="L24" s="620">
        <v>90.909090909090907</v>
      </c>
      <c r="M24" s="621">
        <v>0.26</v>
      </c>
      <c r="N24" s="626">
        <f>(S24+T24)*U24</f>
        <v>1.9106479999999999</v>
      </c>
      <c r="O24" s="622">
        <f t="shared" si="0"/>
        <v>0.53073555555555552</v>
      </c>
      <c r="P24" s="622">
        <f t="shared" si="1"/>
        <v>7.4302977777777765E-2</v>
      </c>
      <c r="Q24" s="622">
        <f t="shared" si="2"/>
        <v>0.11145446666666665</v>
      </c>
      <c r="R24" s="623" t="s">
        <v>1608</v>
      </c>
      <c r="S24" s="627">
        <v>2.41</v>
      </c>
      <c r="T24" s="515">
        <v>0</v>
      </c>
      <c r="U24" s="515">
        <v>0.79279999999999995</v>
      </c>
      <c r="V24" s="628">
        <v>43648</v>
      </c>
    </row>
    <row r="25" spans="1:22" s="323" customFormat="1" ht="17.25" customHeight="1" thickTop="1" x14ac:dyDescent="0.25">
      <c r="A25" s="423" t="s">
        <v>993</v>
      </c>
      <c r="B25" s="423" t="s">
        <v>1610</v>
      </c>
      <c r="C25" s="323" t="s">
        <v>48</v>
      </c>
      <c r="D25" s="322" t="s">
        <v>1612</v>
      </c>
      <c r="E25" s="512">
        <v>43642</v>
      </c>
      <c r="F25" s="322" t="s">
        <v>1669</v>
      </c>
      <c r="G25" s="322" t="s">
        <v>1611</v>
      </c>
      <c r="H25" s="323">
        <f>155*(9/10)</f>
        <v>139.5</v>
      </c>
      <c r="I25" s="323">
        <v>48</v>
      </c>
      <c r="J25" s="475">
        <v>3.7124112094416759</v>
      </c>
      <c r="K25" s="611" t="s">
        <v>1617</v>
      </c>
      <c r="L25" s="475">
        <v>52.980132450331126</v>
      </c>
      <c r="M25" s="408">
        <v>0.45400000000000001</v>
      </c>
      <c r="N25" s="399"/>
      <c r="O25" s="399">
        <f t="shared" si="0"/>
        <v>0</v>
      </c>
      <c r="P25" s="399">
        <f t="shared" si="1"/>
        <v>0</v>
      </c>
      <c r="Q25" s="399">
        <f t="shared" si="2"/>
        <v>0</v>
      </c>
      <c r="R25" s="324" t="s">
        <v>1614</v>
      </c>
    </row>
    <row r="26" spans="1:22" ht="17.25" customHeight="1" x14ac:dyDescent="0.25">
      <c r="A26" s="367" t="s">
        <v>994</v>
      </c>
      <c r="B26" s="320" t="s">
        <v>1529</v>
      </c>
      <c r="C26" s="320" t="s">
        <v>1497</v>
      </c>
      <c r="D26" s="320" t="s">
        <v>1616</v>
      </c>
      <c r="E26" s="519"/>
      <c r="F26" s="320" t="s">
        <v>274</v>
      </c>
      <c r="G26" s="320" t="s">
        <v>76</v>
      </c>
      <c r="H26" s="49">
        <v>500</v>
      </c>
      <c r="K26" s="418"/>
      <c r="L26" s="476"/>
      <c r="M26" s="612"/>
      <c r="N26" s="613"/>
      <c r="O26" s="48">
        <f t="shared" si="0"/>
        <v>0</v>
      </c>
      <c r="P26" s="48">
        <f t="shared" si="1"/>
        <v>0</v>
      </c>
      <c r="Q26" s="48">
        <f t="shared" si="2"/>
        <v>0</v>
      </c>
    </row>
    <row r="27" spans="1:22" s="323" customFormat="1" ht="17.25" customHeight="1" x14ac:dyDescent="0.25">
      <c r="A27" s="364" t="s">
        <v>995</v>
      </c>
      <c r="B27" s="322" t="s">
        <v>1697</v>
      </c>
      <c r="C27" s="322" t="s">
        <v>239</v>
      </c>
      <c r="D27" s="322" t="s">
        <v>1698</v>
      </c>
      <c r="E27" s="512">
        <v>43738</v>
      </c>
      <c r="F27" s="322" t="s">
        <v>1696</v>
      </c>
      <c r="G27" s="322" t="s">
        <v>1699</v>
      </c>
      <c r="H27" s="323">
        <v>630</v>
      </c>
      <c r="I27" s="323" t="s">
        <v>82</v>
      </c>
      <c r="J27" s="475">
        <v>4.2217179876050412</v>
      </c>
      <c r="K27" s="651">
        <f>(J27/9.81)*1000/H27</f>
        <v>0.68309272812080979</v>
      </c>
      <c r="L27" s="323">
        <v>400</v>
      </c>
      <c r="M27" s="652" t="s">
        <v>1710</v>
      </c>
      <c r="N27" s="399"/>
      <c r="O27" s="399">
        <f t="shared" si="0"/>
        <v>0</v>
      </c>
      <c r="P27" s="399">
        <f t="shared" si="1"/>
        <v>0</v>
      </c>
      <c r="Q27" s="399">
        <f t="shared" si="2"/>
        <v>0</v>
      </c>
      <c r="R27" s="324" t="s">
        <v>1700</v>
      </c>
    </row>
    <row r="28" spans="1:22" ht="17.25" customHeight="1" x14ac:dyDescent="0.25">
      <c r="A28" s="367" t="s">
        <v>996</v>
      </c>
      <c r="O28" s="48">
        <f t="shared" si="0"/>
        <v>0</v>
      </c>
      <c r="P28" s="48">
        <f t="shared" si="1"/>
        <v>0</v>
      </c>
      <c r="Q28" s="48">
        <f t="shared" si="2"/>
        <v>0</v>
      </c>
    </row>
    <row r="29" spans="1:22" s="323" customFormat="1" ht="17.25" customHeight="1" x14ac:dyDescent="0.25">
      <c r="A29" s="364" t="s">
        <v>997</v>
      </c>
      <c r="B29" s="322"/>
      <c r="C29" s="322"/>
      <c r="D29" s="322"/>
      <c r="E29" s="322"/>
      <c r="F29" s="322"/>
      <c r="G29" s="322"/>
      <c r="J29" s="318"/>
      <c r="N29" s="399"/>
      <c r="O29" s="399">
        <f t="shared" si="0"/>
        <v>0</v>
      </c>
      <c r="P29" s="399">
        <f t="shared" si="1"/>
        <v>0</v>
      </c>
      <c r="Q29" s="399">
        <f t="shared" si="2"/>
        <v>0</v>
      </c>
      <c r="R29" s="324"/>
    </row>
    <row r="30" spans="1:22" ht="17.25" customHeight="1" x14ac:dyDescent="0.25">
      <c r="A30" s="367" t="s">
        <v>998</v>
      </c>
      <c r="O30" s="48">
        <f t="shared" si="0"/>
        <v>0</v>
      </c>
      <c r="P30" s="48">
        <f t="shared" si="1"/>
        <v>0</v>
      </c>
      <c r="Q30" s="48">
        <f t="shared" si="2"/>
        <v>0</v>
      </c>
    </row>
    <row r="31" spans="1:22" s="323" customFormat="1" ht="17.25" customHeight="1" x14ac:dyDescent="0.25">
      <c r="A31" s="364" t="s">
        <v>999</v>
      </c>
      <c r="B31" s="322"/>
      <c r="C31" s="322"/>
      <c r="D31" s="322"/>
      <c r="E31" s="322"/>
      <c r="F31" s="322"/>
      <c r="G31" s="322"/>
      <c r="J31" s="318"/>
      <c r="N31" s="399"/>
      <c r="O31" s="399">
        <f t="shared" si="0"/>
        <v>0</v>
      </c>
      <c r="P31" s="399">
        <f t="shared" si="1"/>
        <v>0</v>
      </c>
      <c r="Q31" s="399">
        <f t="shared" si="2"/>
        <v>0</v>
      </c>
      <c r="R31" s="324"/>
    </row>
    <row r="32" spans="1:22" ht="17.25" customHeight="1" x14ac:dyDescent="0.25">
      <c r="A32" s="367" t="s">
        <v>1000</v>
      </c>
      <c r="O32" s="48">
        <f t="shared" si="0"/>
        <v>0</v>
      </c>
      <c r="P32" s="48">
        <f t="shared" si="1"/>
        <v>0</v>
      </c>
      <c r="Q32" s="48">
        <f t="shared" si="2"/>
        <v>0</v>
      </c>
    </row>
    <row r="33" spans="1:18" s="323" customFormat="1" ht="17.25" customHeight="1" x14ac:dyDescent="0.25">
      <c r="A33" s="364" t="s">
        <v>1001</v>
      </c>
      <c r="B33" s="322"/>
      <c r="C33" s="322"/>
      <c r="D33" s="322"/>
      <c r="E33" s="322"/>
      <c r="F33" s="322"/>
      <c r="G33" s="322"/>
      <c r="J33" s="318"/>
      <c r="N33" s="399"/>
      <c r="O33" s="399">
        <f t="shared" si="0"/>
        <v>0</v>
      </c>
      <c r="P33" s="399">
        <f t="shared" si="1"/>
        <v>0</v>
      </c>
      <c r="Q33" s="399">
        <f t="shared" si="2"/>
        <v>0</v>
      </c>
      <c r="R33" s="324"/>
    </row>
    <row r="34" spans="1:18" ht="17.25" customHeight="1" x14ac:dyDescent="0.25">
      <c r="A34" s="367" t="s">
        <v>1002</v>
      </c>
      <c r="O34" s="48">
        <f t="shared" si="0"/>
        <v>0</v>
      </c>
      <c r="P34" s="48">
        <f t="shared" si="1"/>
        <v>0</v>
      </c>
      <c r="Q34" s="48">
        <f t="shared" si="2"/>
        <v>0</v>
      </c>
    </row>
    <row r="35" spans="1:18" s="323" customFormat="1" ht="17.25" customHeight="1" x14ac:dyDescent="0.25">
      <c r="A35" s="365" t="s">
        <v>1003</v>
      </c>
      <c r="B35" s="322"/>
      <c r="C35" s="322"/>
      <c r="D35" s="322"/>
      <c r="E35" s="322"/>
      <c r="F35" s="322"/>
      <c r="G35" s="322"/>
      <c r="J35" s="318"/>
      <c r="N35" s="399"/>
      <c r="O35" s="399">
        <f t="shared" si="0"/>
        <v>0</v>
      </c>
      <c r="P35" s="399">
        <f t="shared" si="1"/>
        <v>0</v>
      </c>
      <c r="Q35" s="399">
        <f t="shared" si="2"/>
        <v>0</v>
      </c>
      <c r="R35" s="324"/>
    </row>
    <row r="36" spans="1:18" ht="17.25" customHeight="1" x14ac:dyDescent="0.25">
      <c r="A36" s="366" t="s">
        <v>1004</v>
      </c>
      <c r="O36" s="48">
        <f t="shared" si="0"/>
        <v>0</v>
      </c>
      <c r="P36" s="48">
        <f t="shared" si="1"/>
        <v>0</v>
      </c>
      <c r="Q36" s="48">
        <f t="shared" si="2"/>
        <v>0</v>
      </c>
    </row>
    <row r="37" spans="1:18" s="323" customFormat="1" ht="17.25" customHeight="1" x14ac:dyDescent="0.25">
      <c r="A37" s="365" t="s">
        <v>1005</v>
      </c>
      <c r="B37" s="322"/>
      <c r="C37" s="322"/>
      <c r="D37" s="322"/>
      <c r="E37" s="322"/>
      <c r="F37" s="322"/>
      <c r="G37" s="322"/>
      <c r="N37" s="399"/>
      <c r="O37" s="399">
        <f t="shared" si="0"/>
        <v>0</v>
      </c>
      <c r="P37" s="399">
        <f t="shared" si="1"/>
        <v>0</v>
      </c>
      <c r="Q37" s="399">
        <f t="shared" si="2"/>
        <v>0</v>
      </c>
      <c r="R37" s="324"/>
    </row>
    <row r="38" spans="1:18" ht="17.25" customHeight="1" x14ac:dyDescent="0.25">
      <c r="A38" s="366" t="s">
        <v>1006</v>
      </c>
      <c r="O38" s="48">
        <f t="shared" si="0"/>
        <v>0</v>
      </c>
      <c r="P38" s="48">
        <f t="shared" si="1"/>
        <v>0</v>
      </c>
      <c r="Q38" s="48">
        <f t="shared" si="2"/>
        <v>0</v>
      </c>
    </row>
    <row r="39" spans="1:18" s="323" customFormat="1" ht="17.25" customHeight="1" x14ac:dyDescent="0.25">
      <c r="A39" s="365" t="s">
        <v>1007</v>
      </c>
      <c r="B39" s="322"/>
      <c r="C39" s="322"/>
      <c r="D39" s="322"/>
      <c r="E39" s="322"/>
      <c r="F39" s="322"/>
      <c r="G39" s="322"/>
      <c r="N39" s="399"/>
      <c r="O39" s="399">
        <f t="shared" si="0"/>
        <v>0</v>
      </c>
      <c r="P39" s="399">
        <f t="shared" si="1"/>
        <v>0</v>
      </c>
      <c r="Q39" s="399">
        <f t="shared" si="2"/>
        <v>0</v>
      </c>
      <c r="R39" s="324"/>
    </row>
    <row r="40" spans="1:18" ht="17.25" customHeight="1" x14ac:dyDescent="0.25">
      <c r="A40" s="366" t="s">
        <v>1008</v>
      </c>
      <c r="O40" s="48">
        <f t="shared" si="0"/>
        <v>0</v>
      </c>
      <c r="P40" s="48">
        <f t="shared" si="1"/>
        <v>0</v>
      </c>
      <c r="Q40" s="48">
        <f t="shared" si="2"/>
        <v>0</v>
      </c>
    </row>
    <row r="41" spans="1:18" s="323" customFormat="1" ht="17.25" customHeight="1" x14ac:dyDescent="0.25">
      <c r="A41" s="365" t="s">
        <v>1009</v>
      </c>
      <c r="B41" s="322"/>
      <c r="C41" s="322"/>
      <c r="D41" s="322"/>
      <c r="E41" s="322"/>
      <c r="F41" s="322"/>
      <c r="G41" s="322"/>
      <c r="N41" s="399"/>
      <c r="O41" s="399">
        <f t="shared" si="0"/>
        <v>0</v>
      </c>
      <c r="P41" s="399">
        <f t="shared" si="1"/>
        <v>0</v>
      </c>
      <c r="Q41" s="399">
        <f t="shared" si="2"/>
        <v>0</v>
      </c>
      <c r="R41" s="324"/>
    </row>
    <row r="42" spans="1:18" ht="17.25" customHeight="1" x14ac:dyDescent="0.25">
      <c r="A42" s="366" t="s">
        <v>1010</v>
      </c>
      <c r="O42" s="48">
        <f t="shared" si="0"/>
        <v>0</v>
      </c>
      <c r="P42" s="48">
        <f t="shared" si="1"/>
        <v>0</v>
      </c>
      <c r="Q42" s="48">
        <f t="shared" si="2"/>
        <v>0</v>
      </c>
    </row>
    <row r="43" spans="1:18" s="323" customFormat="1" x14ac:dyDescent="0.25">
      <c r="A43" s="365"/>
      <c r="B43" s="322"/>
      <c r="C43" s="322"/>
      <c r="D43" s="322"/>
      <c r="E43" s="322"/>
      <c r="F43" s="322"/>
      <c r="G43" s="322"/>
      <c r="N43" s="399"/>
      <c r="O43" s="399">
        <f t="shared" si="0"/>
        <v>0</v>
      </c>
      <c r="P43" s="399">
        <f t="shared" si="1"/>
        <v>0</v>
      </c>
      <c r="Q43" s="399">
        <f t="shared" si="2"/>
        <v>0</v>
      </c>
      <c r="R43" s="324"/>
    </row>
  </sheetData>
  <autoFilter ref="B1:R44" xr:uid="{00000000-0009-0000-0000-000001000000}"/>
  <phoneticPr fontId="35" type="noConversion"/>
  <conditionalFormatting sqref="O9:O15">
    <cfRule type="dataBar" priority="27">
      <dataBar>
        <cfvo type="min"/>
        <cfvo type="max"/>
        <color rgb="FFFFB628"/>
      </dataBar>
      <extLst>
        <ext xmlns:x14="http://schemas.microsoft.com/office/spreadsheetml/2009/9/main" uri="{B025F937-C7B1-47D3-B67F-A62EFF666E3E}">
          <x14:id>{602B021A-4FC0-4E4A-A523-0469B8E1E304}</x14:id>
        </ext>
      </extLst>
    </cfRule>
  </conditionalFormatting>
  <conditionalFormatting sqref="P9:P15">
    <cfRule type="dataBar" priority="26">
      <dataBar>
        <cfvo type="min"/>
        <cfvo type="max"/>
        <color rgb="FF008AEF"/>
      </dataBar>
      <extLst>
        <ext xmlns:x14="http://schemas.microsoft.com/office/spreadsheetml/2009/9/main" uri="{B025F937-C7B1-47D3-B67F-A62EFF666E3E}">
          <x14:id>{F904630F-FF72-4DD4-B147-5CB787C28747}</x14:id>
        </ext>
      </extLst>
    </cfRule>
  </conditionalFormatting>
  <conditionalFormatting sqref="Q9:Q15">
    <cfRule type="dataBar" priority="25">
      <dataBar>
        <cfvo type="min"/>
        <cfvo type="max"/>
        <color rgb="FFD6007B"/>
      </dataBar>
      <extLst>
        <ext xmlns:x14="http://schemas.microsoft.com/office/spreadsheetml/2009/9/main" uri="{B025F937-C7B1-47D3-B67F-A62EFF666E3E}">
          <x14:id>{142B25FC-6BAD-46F6-A349-E9008C1622DD}</x14:id>
        </ext>
      </extLst>
    </cfRule>
  </conditionalFormatting>
  <conditionalFormatting sqref="O17:Q17 M17">
    <cfRule type="dataBar" priority="23">
      <dataBar>
        <cfvo type="min"/>
        <cfvo type="max"/>
        <color rgb="FFFF555A"/>
      </dataBar>
      <extLst>
        <ext xmlns:x14="http://schemas.microsoft.com/office/spreadsheetml/2009/9/main" uri="{B025F937-C7B1-47D3-B67F-A62EFF666E3E}">
          <x14:id>{CA33A619-9199-4C44-8723-874A558F7B32}</x14:id>
        </ext>
      </extLst>
    </cfRule>
  </conditionalFormatting>
  <conditionalFormatting sqref="O17">
    <cfRule type="dataBar" priority="20">
      <dataBar>
        <cfvo type="min"/>
        <cfvo type="max"/>
        <color rgb="FFFFB628"/>
      </dataBar>
      <extLst>
        <ext xmlns:x14="http://schemas.microsoft.com/office/spreadsheetml/2009/9/main" uri="{B025F937-C7B1-47D3-B67F-A62EFF666E3E}">
          <x14:id>{EF2774E0-6CEC-46D1-94C6-2327962120EB}</x14:id>
        </ext>
      </extLst>
    </cfRule>
  </conditionalFormatting>
  <conditionalFormatting sqref="P17">
    <cfRule type="dataBar" priority="19">
      <dataBar>
        <cfvo type="min"/>
        <cfvo type="max"/>
        <color rgb="FF008AEF"/>
      </dataBar>
      <extLst>
        <ext xmlns:x14="http://schemas.microsoft.com/office/spreadsheetml/2009/9/main" uri="{B025F937-C7B1-47D3-B67F-A62EFF666E3E}">
          <x14:id>{91BE4FA6-94DA-4271-9708-BF4A8DE97C57}</x14:id>
        </ext>
      </extLst>
    </cfRule>
  </conditionalFormatting>
  <conditionalFormatting sqref="Q17">
    <cfRule type="dataBar" priority="18">
      <dataBar>
        <cfvo type="min"/>
        <cfvo type="max"/>
        <color rgb="FFD6007B"/>
      </dataBar>
      <extLst>
        <ext xmlns:x14="http://schemas.microsoft.com/office/spreadsheetml/2009/9/main" uri="{B025F937-C7B1-47D3-B67F-A62EFF666E3E}">
          <x14:id>{5971DD61-43B2-449B-AE47-EF7C3FB3DFF1}</x14:id>
        </ext>
      </extLst>
    </cfRule>
  </conditionalFormatting>
  <conditionalFormatting sqref="M17">
    <cfRule type="dataBar" priority="17">
      <dataBar>
        <cfvo type="min"/>
        <cfvo type="max"/>
        <color rgb="FFD6007B"/>
      </dataBar>
      <extLst>
        <ext xmlns:x14="http://schemas.microsoft.com/office/spreadsheetml/2009/9/main" uri="{B025F937-C7B1-47D3-B67F-A62EFF666E3E}">
          <x14:id>{A17598A6-0C1F-4036-B4A4-2CDFE514E290}</x14:id>
        </ext>
      </extLst>
    </cfRule>
  </conditionalFormatting>
  <conditionalFormatting sqref="N16:N19">
    <cfRule type="dataBar" priority="16">
      <dataBar>
        <cfvo type="min"/>
        <cfvo type="max"/>
        <color rgb="FFFF555A"/>
      </dataBar>
      <extLst>
        <ext xmlns:x14="http://schemas.microsoft.com/office/spreadsheetml/2009/9/main" uri="{B025F937-C7B1-47D3-B67F-A62EFF666E3E}">
          <x14:id>{37092962-1A8D-4118-B0EC-AE6645F41131}</x14:id>
        </ext>
      </extLst>
    </cfRule>
  </conditionalFormatting>
  <conditionalFormatting sqref="N16:N19">
    <cfRule type="dataBar" priority="15">
      <dataBar>
        <cfvo type="min"/>
        <cfvo type="max"/>
        <color rgb="FF63C384"/>
      </dataBar>
      <extLst>
        <ext xmlns:x14="http://schemas.microsoft.com/office/spreadsheetml/2009/9/main" uri="{B025F937-C7B1-47D3-B67F-A62EFF666E3E}">
          <x14:id>{D73D95D6-8F2E-478E-8B8B-5F6A87B86298}</x14:id>
        </ext>
      </extLst>
    </cfRule>
  </conditionalFormatting>
  <conditionalFormatting sqref="N9:N44">
    <cfRule type="dataBar" priority="13">
      <dataBar>
        <cfvo type="min"/>
        <cfvo type="max"/>
        <color rgb="FF63C384"/>
      </dataBar>
      <extLst>
        <ext xmlns:x14="http://schemas.microsoft.com/office/spreadsheetml/2009/9/main" uri="{B025F937-C7B1-47D3-B67F-A62EFF666E3E}">
          <x14:id>{085A3FBF-7904-4F9E-AFEF-1C614FB0ADAD}</x14:id>
        </ext>
      </extLst>
    </cfRule>
  </conditionalFormatting>
  <conditionalFormatting sqref="O9:O43">
    <cfRule type="dataBar" priority="12">
      <dataBar>
        <cfvo type="min"/>
        <cfvo type="max"/>
        <color rgb="FFFFB628"/>
      </dataBar>
      <extLst>
        <ext xmlns:x14="http://schemas.microsoft.com/office/spreadsheetml/2009/9/main" uri="{B025F937-C7B1-47D3-B67F-A62EFF666E3E}">
          <x14:id>{B62106C4-29AD-47D5-8A61-2C81876BE089}</x14:id>
        </ext>
      </extLst>
    </cfRule>
  </conditionalFormatting>
  <conditionalFormatting sqref="P9:P43">
    <cfRule type="dataBar" priority="11">
      <dataBar>
        <cfvo type="min"/>
        <cfvo type="max"/>
        <color rgb="FF008AEF"/>
      </dataBar>
      <extLst>
        <ext xmlns:x14="http://schemas.microsoft.com/office/spreadsheetml/2009/9/main" uri="{B025F937-C7B1-47D3-B67F-A62EFF666E3E}">
          <x14:id>{226851A8-653C-4691-9D98-DBDF8ED48F29}</x14:id>
        </ext>
      </extLst>
    </cfRule>
  </conditionalFormatting>
  <conditionalFormatting sqref="Q9:Q43">
    <cfRule type="dataBar" priority="10">
      <dataBar>
        <cfvo type="min"/>
        <cfvo type="max"/>
        <color rgb="FFD6007B"/>
      </dataBar>
      <extLst>
        <ext xmlns:x14="http://schemas.microsoft.com/office/spreadsheetml/2009/9/main" uri="{B025F937-C7B1-47D3-B67F-A62EFF666E3E}">
          <x14:id>{6D656D2C-54C2-4CCB-8446-33DC7628E19A}</x14:id>
        </ext>
      </extLst>
    </cfRule>
  </conditionalFormatting>
  <conditionalFormatting sqref="N20:N22">
    <cfRule type="dataBar" priority="9">
      <dataBar>
        <cfvo type="min"/>
        <cfvo type="max"/>
        <color rgb="FFFF555A"/>
      </dataBar>
      <extLst>
        <ext xmlns:x14="http://schemas.microsoft.com/office/spreadsheetml/2009/9/main" uri="{B025F937-C7B1-47D3-B67F-A62EFF666E3E}">
          <x14:id>{9992AA71-5E98-4A85-85F3-B0E7FC3AFA7B}</x14:id>
        </ext>
      </extLst>
    </cfRule>
  </conditionalFormatting>
  <conditionalFormatting sqref="J1:J1048576">
    <cfRule type="dataBar" priority="611">
      <dataBar>
        <cfvo type="min"/>
        <cfvo type="max"/>
        <color rgb="FF638EC6"/>
      </dataBar>
      <extLst>
        <ext xmlns:x14="http://schemas.microsoft.com/office/spreadsheetml/2009/9/main" uri="{B025F937-C7B1-47D3-B67F-A62EFF666E3E}">
          <x14:id>{AF8B51F3-40F5-4F21-BB1E-2BA395E5D1A5}</x14:id>
        </ext>
      </extLst>
    </cfRule>
  </conditionalFormatting>
  <conditionalFormatting sqref="L9:L33">
    <cfRule type="dataBar" priority="615">
      <dataBar>
        <cfvo type="min"/>
        <cfvo type="max"/>
        <color rgb="FFFF555A"/>
      </dataBar>
      <extLst>
        <ext xmlns:x14="http://schemas.microsoft.com/office/spreadsheetml/2009/9/main" uri="{B025F937-C7B1-47D3-B67F-A62EFF666E3E}">
          <x14:id>{ACDA8B3A-D0AA-49BF-86E7-038293C8313A}</x14:id>
        </ext>
      </extLst>
    </cfRule>
  </conditionalFormatting>
  <conditionalFormatting sqref="M9:M27">
    <cfRule type="dataBar" priority="632">
      <dataBar>
        <cfvo type="min"/>
        <cfvo type="max"/>
        <color rgb="FFD6007B"/>
      </dataBar>
      <extLst>
        <ext xmlns:x14="http://schemas.microsoft.com/office/spreadsheetml/2009/9/main" uri="{B025F937-C7B1-47D3-B67F-A62EFF666E3E}">
          <x14:id>{6B3B58D4-B3A1-4CA3-9C8E-7A879FE25676}</x14:id>
        </ext>
      </extLst>
    </cfRule>
  </conditionalFormatting>
  <dataValidations disablePrompts="1" count="1">
    <dataValidation allowBlank="1" showInputMessage="1" showErrorMessage="1" promptTitle="High Shrinkage" prompt="See NEPR-2019-05 summary spreadsheet for more shrinkage-related info" sqref="A18:D20 B21:C22" xr:uid="{3122F07E-180A-4BA1-B139-6F4D46BA3FB1}"/>
  </dataValidation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602B021A-4FC0-4E4A-A523-0469B8E1E304}">
            <x14:dataBar minLength="0" maxLength="100" gradient="0">
              <x14:cfvo type="autoMin"/>
              <x14:cfvo type="autoMax"/>
              <x14:negativeFillColor rgb="FFFF0000"/>
              <x14:axisColor rgb="FF000000"/>
            </x14:dataBar>
          </x14:cfRule>
          <xm:sqref>O9:O15</xm:sqref>
        </x14:conditionalFormatting>
        <x14:conditionalFormatting xmlns:xm="http://schemas.microsoft.com/office/excel/2006/main">
          <x14:cfRule type="dataBar" id="{F904630F-FF72-4DD4-B147-5CB787C28747}">
            <x14:dataBar minLength="0" maxLength="100" gradient="0">
              <x14:cfvo type="autoMin"/>
              <x14:cfvo type="autoMax"/>
              <x14:negativeFillColor rgb="FFFF0000"/>
              <x14:axisColor rgb="FF000000"/>
            </x14:dataBar>
          </x14:cfRule>
          <xm:sqref>P9:P15</xm:sqref>
        </x14:conditionalFormatting>
        <x14:conditionalFormatting xmlns:xm="http://schemas.microsoft.com/office/excel/2006/main">
          <x14:cfRule type="dataBar" id="{142B25FC-6BAD-46F6-A349-E9008C1622DD}">
            <x14:dataBar minLength="0" maxLength="100" gradient="0">
              <x14:cfvo type="autoMin"/>
              <x14:cfvo type="autoMax"/>
              <x14:negativeFillColor rgb="FFFF0000"/>
              <x14:axisColor rgb="FF000000"/>
            </x14:dataBar>
          </x14:cfRule>
          <xm:sqref>Q9:Q15</xm:sqref>
        </x14:conditionalFormatting>
        <x14:conditionalFormatting xmlns:xm="http://schemas.microsoft.com/office/excel/2006/main">
          <x14:cfRule type="dataBar" id="{CA33A619-9199-4C44-8723-874A558F7B32}">
            <x14:dataBar minLength="0" maxLength="100" gradient="0">
              <x14:cfvo type="autoMin"/>
              <x14:cfvo type="autoMax"/>
              <x14:negativeFillColor rgb="FFFF0000"/>
              <x14:axisColor rgb="FF000000"/>
            </x14:dataBar>
          </x14:cfRule>
          <xm:sqref>O17:Q17 M17</xm:sqref>
        </x14:conditionalFormatting>
        <x14:conditionalFormatting xmlns:xm="http://schemas.microsoft.com/office/excel/2006/main">
          <x14:cfRule type="dataBar" id="{EF2774E0-6CEC-46D1-94C6-2327962120EB}">
            <x14:dataBar minLength="0" maxLength="100" gradient="0">
              <x14:cfvo type="autoMin"/>
              <x14:cfvo type="autoMax"/>
              <x14:negativeFillColor rgb="FFFF0000"/>
              <x14:axisColor rgb="FF000000"/>
            </x14:dataBar>
          </x14:cfRule>
          <xm:sqref>O17</xm:sqref>
        </x14:conditionalFormatting>
        <x14:conditionalFormatting xmlns:xm="http://schemas.microsoft.com/office/excel/2006/main">
          <x14:cfRule type="dataBar" id="{91BE4FA6-94DA-4271-9708-BF4A8DE97C57}">
            <x14:dataBar minLength="0" maxLength="100" gradient="0">
              <x14:cfvo type="autoMin"/>
              <x14:cfvo type="autoMax"/>
              <x14:negativeFillColor rgb="FFFF0000"/>
              <x14:axisColor rgb="FF000000"/>
            </x14:dataBar>
          </x14:cfRule>
          <xm:sqref>P17</xm:sqref>
        </x14:conditionalFormatting>
        <x14:conditionalFormatting xmlns:xm="http://schemas.microsoft.com/office/excel/2006/main">
          <x14:cfRule type="dataBar" id="{5971DD61-43B2-449B-AE47-EF7C3FB3DFF1}">
            <x14:dataBar minLength="0" maxLength="100" gradient="0">
              <x14:cfvo type="autoMin"/>
              <x14:cfvo type="autoMax"/>
              <x14:negativeFillColor rgb="FFFF0000"/>
              <x14:axisColor rgb="FF000000"/>
            </x14:dataBar>
          </x14:cfRule>
          <xm:sqref>Q17</xm:sqref>
        </x14:conditionalFormatting>
        <x14:conditionalFormatting xmlns:xm="http://schemas.microsoft.com/office/excel/2006/main">
          <x14:cfRule type="dataBar" id="{A17598A6-0C1F-4036-B4A4-2CDFE514E290}">
            <x14:dataBar minLength="0" maxLength="100" gradient="0">
              <x14:cfvo type="autoMin"/>
              <x14:cfvo type="autoMax"/>
              <x14:negativeFillColor rgb="FFFF0000"/>
              <x14:axisColor rgb="FF000000"/>
            </x14:dataBar>
          </x14:cfRule>
          <xm:sqref>M17</xm:sqref>
        </x14:conditionalFormatting>
        <x14:conditionalFormatting xmlns:xm="http://schemas.microsoft.com/office/excel/2006/main">
          <x14:cfRule type="dataBar" id="{37092962-1A8D-4118-B0EC-AE6645F41131}">
            <x14:dataBar minLength="0" maxLength="100" gradient="0">
              <x14:cfvo type="autoMin"/>
              <x14:cfvo type="autoMax"/>
              <x14:negativeFillColor rgb="FFFF0000"/>
              <x14:axisColor rgb="FF000000"/>
            </x14:dataBar>
          </x14:cfRule>
          <xm:sqref>N16:N19</xm:sqref>
        </x14:conditionalFormatting>
        <x14:conditionalFormatting xmlns:xm="http://schemas.microsoft.com/office/excel/2006/main">
          <x14:cfRule type="dataBar" id="{D73D95D6-8F2E-478E-8B8B-5F6A87B86298}">
            <x14:dataBar minLength="0" maxLength="100" gradient="0">
              <x14:cfvo type="autoMin"/>
              <x14:cfvo type="autoMax"/>
              <x14:negativeFillColor rgb="FFFF0000"/>
              <x14:axisColor rgb="FF000000"/>
            </x14:dataBar>
          </x14:cfRule>
          <xm:sqref>N16:N19</xm:sqref>
        </x14:conditionalFormatting>
        <x14:conditionalFormatting xmlns:xm="http://schemas.microsoft.com/office/excel/2006/main">
          <x14:cfRule type="dataBar" id="{085A3FBF-7904-4F9E-AFEF-1C614FB0ADAD}">
            <x14:dataBar minLength="0" maxLength="100" gradient="0">
              <x14:cfvo type="autoMin"/>
              <x14:cfvo type="autoMax"/>
              <x14:negativeFillColor rgb="FFFF0000"/>
              <x14:axisColor rgb="FF000000"/>
            </x14:dataBar>
          </x14:cfRule>
          <xm:sqref>N9:N44</xm:sqref>
        </x14:conditionalFormatting>
        <x14:conditionalFormatting xmlns:xm="http://schemas.microsoft.com/office/excel/2006/main">
          <x14:cfRule type="dataBar" id="{B62106C4-29AD-47D5-8A61-2C81876BE089}">
            <x14:dataBar minLength="0" maxLength="100" gradient="0">
              <x14:cfvo type="autoMin"/>
              <x14:cfvo type="autoMax"/>
              <x14:negativeFillColor rgb="FFFF0000"/>
              <x14:axisColor rgb="FF000000"/>
            </x14:dataBar>
          </x14:cfRule>
          <xm:sqref>O9:O43</xm:sqref>
        </x14:conditionalFormatting>
        <x14:conditionalFormatting xmlns:xm="http://schemas.microsoft.com/office/excel/2006/main">
          <x14:cfRule type="dataBar" id="{226851A8-653C-4691-9D98-DBDF8ED48F29}">
            <x14:dataBar minLength="0" maxLength="100" gradient="0">
              <x14:cfvo type="autoMin"/>
              <x14:cfvo type="autoMax"/>
              <x14:negativeFillColor rgb="FFFF0000"/>
              <x14:axisColor rgb="FF000000"/>
            </x14:dataBar>
          </x14:cfRule>
          <xm:sqref>P9:P43</xm:sqref>
        </x14:conditionalFormatting>
        <x14:conditionalFormatting xmlns:xm="http://schemas.microsoft.com/office/excel/2006/main">
          <x14:cfRule type="dataBar" id="{6D656D2C-54C2-4CCB-8446-33DC7628E19A}">
            <x14:dataBar minLength="0" maxLength="100" gradient="0">
              <x14:cfvo type="autoMin"/>
              <x14:cfvo type="autoMax"/>
              <x14:negativeFillColor rgb="FFFF0000"/>
              <x14:axisColor rgb="FF000000"/>
            </x14:dataBar>
          </x14:cfRule>
          <xm:sqref>Q9:Q43</xm:sqref>
        </x14:conditionalFormatting>
        <x14:conditionalFormatting xmlns:xm="http://schemas.microsoft.com/office/excel/2006/main">
          <x14:cfRule type="dataBar" id="{9992AA71-5E98-4A85-85F3-B0E7FC3AFA7B}">
            <x14:dataBar minLength="0" maxLength="100" gradient="0">
              <x14:cfvo type="autoMin"/>
              <x14:cfvo type="autoMax"/>
              <x14:negativeFillColor rgb="FFFF0000"/>
              <x14:axisColor rgb="FF000000"/>
            </x14:dataBar>
          </x14:cfRule>
          <xm:sqref>N20:N22</xm:sqref>
        </x14:conditionalFormatting>
        <x14:conditionalFormatting xmlns:xm="http://schemas.microsoft.com/office/excel/2006/main">
          <x14:cfRule type="dataBar" id="{AF8B51F3-40F5-4F21-BB1E-2BA395E5D1A5}">
            <x14:dataBar minLength="0" maxLength="100" gradient="0">
              <x14:cfvo type="autoMin"/>
              <x14:cfvo type="autoMax"/>
              <x14:negativeFillColor rgb="FFFF0000"/>
              <x14:axisColor rgb="FF000000"/>
            </x14:dataBar>
          </x14:cfRule>
          <xm:sqref>J1:J1048576</xm:sqref>
        </x14:conditionalFormatting>
        <x14:conditionalFormatting xmlns:xm="http://schemas.microsoft.com/office/excel/2006/main">
          <x14:cfRule type="dataBar" id="{ACDA8B3A-D0AA-49BF-86E7-038293C8313A}">
            <x14:dataBar minLength="0" maxLength="100" gradient="0">
              <x14:cfvo type="autoMin"/>
              <x14:cfvo type="autoMax"/>
              <x14:negativeFillColor rgb="FFFF0000"/>
              <x14:axisColor rgb="FF000000"/>
            </x14:dataBar>
          </x14:cfRule>
          <xm:sqref>L9:L33</xm:sqref>
        </x14:conditionalFormatting>
        <x14:conditionalFormatting xmlns:xm="http://schemas.microsoft.com/office/excel/2006/main">
          <x14:cfRule type="dataBar" id="{6B3B58D4-B3A1-4CA3-9C8E-7A879FE25676}">
            <x14:dataBar minLength="0" maxLength="100" gradient="0">
              <x14:cfvo type="autoMin"/>
              <x14:cfvo type="autoMax"/>
              <x14:negativeFillColor rgb="FFFF0000"/>
              <x14:axisColor rgb="FF000000"/>
            </x14:dataBar>
          </x14:cfRule>
          <xm:sqref>M9:M27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N28"/>
  <sheetViews>
    <sheetView zoomScaleNormal="100" workbookViewId="0">
      <pane xSplit="2" ySplit="2" topLeftCell="C3" activePane="bottomRight" state="frozen"/>
      <selection pane="topRight" activeCell="C1" sqref="C1"/>
      <selection pane="bottomLeft" activeCell="A3" sqref="A3"/>
      <selection pane="bottomRight" activeCell="C23" sqref="C23"/>
    </sheetView>
  </sheetViews>
  <sheetFormatPr defaultColWidth="9.140625" defaultRowHeight="15" x14ac:dyDescent="0.25"/>
  <cols>
    <col min="1" max="1" width="6.42578125" style="32" customWidth="1"/>
    <col min="2" max="2" width="7.85546875" style="40" customWidth="1"/>
    <col min="3" max="3" width="20.140625" style="13" customWidth="1"/>
    <col min="4" max="4" width="30.42578125" style="13" customWidth="1"/>
    <col min="5" max="5" width="10.140625" style="13" customWidth="1"/>
    <col min="6" max="7" width="13.140625" style="13" customWidth="1"/>
    <col min="8" max="8" width="15.42578125" style="13" bestFit="1" customWidth="1"/>
    <col min="9" max="9" width="12.42578125" style="13" bestFit="1" customWidth="1"/>
    <col min="10" max="10" width="19.140625" style="13" bestFit="1" customWidth="1"/>
    <col min="11" max="11" width="32.42578125" style="13" bestFit="1" customWidth="1"/>
    <col min="12" max="12" width="28.42578125" style="41" customWidth="1"/>
    <col min="13" max="13" width="85.28515625" style="15" customWidth="1"/>
    <col min="14" max="16384" width="9.140625" style="13"/>
  </cols>
  <sheetData>
    <row r="1" spans="1:14" s="361" customFormat="1" ht="42" customHeight="1" x14ac:dyDescent="0.25">
      <c r="A1" s="694" t="s">
        <v>809</v>
      </c>
      <c r="B1" s="695"/>
      <c r="C1" s="361" t="s">
        <v>33</v>
      </c>
      <c r="D1" s="361" t="s">
        <v>283</v>
      </c>
      <c r="E1" s="361" t="s">
        <v>285</v>
      </c>
      <c r="F1" s="361" t="s">
        <v>286</v>
      </c>
      <c r="G1" s="361" t="s">
        <v>287</v>
      </c>
      <c r="H1" s="361" t="s">
        <v>288</v>
      </c>
      <c r="I1" s="361" t="s">
        <v>957</v>
      </c>
      <c r="J1" s="361" t="s">
        <v>282</v>
      </c>
      <c r="K1" s="361" t="s">
        <v>282</v>
      </c>
      <c r="L1" s="362" t="s">
        <v>282</v>
      </c>
      <c r="M1" s="361" t="s">
        <v>1</v>
      </c>
    </row>
    <row r="2" spans="1:14" s="23" customFormat="1" ht="15.75" thickBot="1" x14ac:dyDescent="0.3">
      <c r="A2" s="325"/>
      <c r="B2" s="326" t="s">
        <v>289</v>
      </c>
      <c r="C2" s="327"/>
      <c r="D2" s="327"/>
      <c r="E2" s="327"/>
      <c r="F2" s="327"/>
      <c r="G2" s="327" t="s">
        <v>31</v>
      </c>
      <c r="H2" s="327" t="s">
        <v>31</v>
      </c>
      <c r="I2" s="327"/>
      <c r="J2" s="327" t="s">
        <v>958</v>
      </c>
      <c r="K2" s="327" t="s">
        <v>959</v>
      </c>
      <c r="L2" s="328" t="s">
        <v>542</v>
      </c>
      <c r="M2" s="329"/>
    </row>
    <row r="3" spans="1:14" s="123" customFormat="1" ht="15.75" thickTop="1" x14ac:dyDescent="0.25">
      <c r="A3" s="330" t="s">
        <v>3</v>
      </c>
      <c r="B3" s="331"/>
      <c r="C3" s="330" t="s">
        <v>281</v>
      </c>
      <c r="D3" s="330" t="s">
        <v>284</v>
      </c>
      <c r="E3" s="330" t="s">
        <v>174</v>
      </c>
      <c r="F3" s="330">
        <v>29</v>
      </c>
      <c r="G3" s="330">
        <v>1.3</v>
      </c>
      <c r="H3" s="330">
        <v>10</v>
      </c>
      <c r="I3" s="330" t="s">
        <v>16</v>
      </c>
      <c r="J3" s="330"/>
      <c r="K3" s="330"/>
      <c r="L3" s="332"/>
      <c r="M3" s="333" t="s">
        <v>375</v>
      </c>
      <c r="N3" s="334"/>
    </row>
    <row r="4" spans="1:14" s="122" customFormat="1" x14ac:dyDescent="0.25">
      <c r="A4" s="335" t="s">
        <v>4</v>
      </c>
      <c r="B4" s="336"/>
      <c r="C4" s="335" t="s">
        <v>281</v>
      </c>
      <c r="D4" s="335" t="s">
        <v>960</v>
      </c>
      <c r="E4" s="335" t="s">
        <v>174</v>
      </c>
      <c r="F4" s="335">
        <v>29</v>
      </c>
      <c r="G4" s="335">
        <v>1.3</v>
      </c>
      <c r="H4" s="335">
        <v>12</v>
      </c>
      <c r="I4" s="335" t="s">
        <v>16</v>
      </c>
      <c r="J4" s="335"/>
      <c r="K4" s="335"/>
      <c r="L4" s="337"/>
      <c r="M4" s="338" t="s">
        <v>290</v>
      </c>
      <c r="N4" s="339"/>
    </row>
    <row r="5" spans="1:14" s="69" customFormat="1" x14ac:dyDescent="0.25">
      <c r="A5" s="331" t="s">
        <v>5</v>
      </c>
      <c r="B5" s="331"/>
      <c r="C5" s="331" t="s">
        <v>281</v>
      </c>
      <c r="D5" s="331" t="s">
        <v>961</v>
      </c>
      <c r="E5" s="331" t="s">
        <v>137</v>
      </c>
      <c r="F5" s="331"/>
      <c r="G5" s="331"/>
      <c r="H5" s="331"/>
      <c r="I5" s="331" t="s">
        <v>27</v>
      </c>
      <c r="J5" s="331"/>
      <c r="K5" s="331"/>
      <c r="L5" s="340">
        <v>14.5</v>
      </c>
      <c r="M5" s="341" t="s">
        <v>543</v>
      </c>
      <c r="N5" s="342"/>
    </row>
    <row r="6" spans="1:14" x14ac:dyDescent="0.25">
      <c r="A6" s="336" t="s">
        <v>6</v>
      </c>
      <c r="B6" s="336"/>
      <c r="C6" s="336" t="s">
        <v>281</v>
      </c>
      <c r="D6" s="336" t="s">
        <v>962</v>
      </c>
      <c r="E6" s="336" t="s">
        <v>137</v>
      </c>
      <c r="F6" s="336"/>
      <c r="G6" s="336"/>
      <c r="H6" s="336">
        <v>304.8</v>
      </c>
      <c r="I6" s="336" t="s">
        <v>27</v>
      </c>
      <c r="J6" s="336"/>
      <c r="K6" s="336"/>
      <c r="L6" s="343">
        <v>13.8</v>
      </c>
      <c r="M6" s="344" t="s">
        <v>544</v>
      </c>
      <c r="N6" s="26"/>
    </row>
    <row r="7" spans="1:14" s="69" customFormat="1" ht="30" x14ac:dyDescent="0.25">
      <c r="A7" s="331" t="s">
        <v>7</v>
      </c>
      <c r="B7" s="331"/>
      <c r="C7" s="331" t="s">
        <v>281</v>
      </c>
      <c r="D7" s="331" t="s">
        <v>963</v>
      </c>
      <c r="E7" s="331" t="s">
        <v>174</v>
      </c>
      <c r="F7" s="331"/>
      <c r="G7" s="331"/>
      <c r="H7" s="331">
        <v>10</v>
      </c>
      <c r="I7" s="331" t="s">
        <v>27</v>
      </c>
      <c r="J7" s="331"/>
      <c r="K7" s="331"/>
      <c r="L7" s="340">
        <v>9.67</v>
      </c>
      <c r="M7" s="341" t="s">
        <v>561</v>
      </c>
      <c r="N7" s="342"/>
    </row>
    <row r="8" spans="1:14" x14ac:dyDescent="0.25">
      <c r="A8" s="336" t="s">
        <v>8</v>
      </c>
      <c r="B8" s="345"/>
      <c r="C8" s="336" t="s">
        <v>281</v>
      </c>
      <c r="D8" s="336" t="s">
        <v>964</v>
      </c>
      <c r="E8" s="336" t="s">
        <v>965</v>
      </c>
      <c r="F8" s="336">
        <v>29</v>
      </c>
      <c r="G8" s="336"/>
      <c r="H8" s="336">
        <v>107</v>
      </c>
      <c r="I8" s="336" t="s">
        <v>27</v>
      </c>
      <c r="J8" s="336"/>
      <c r="K8" s="336"/>
      <c r="L8" s="343"/>
      <c r="M8" s="344"/>
      <c r="N8" s="26"/>
    </row>
    <row r="9" spans="1:14" s="69" customFormat="1" x14ac:dyDescent="0.25">
      <c r="A9" s="331" t="s">
        <v>9</v>
      </c>
      <c r="B9" s="346"/>
      <c r="C9" s="331" t="s">
        <v>281</v>
      </c>
      <c r="D9" s="331" t="s">
        <v>966</v>
      </c>
      <c r="E9" s="331" t="s">
        <v>965</v>
      </c>
      <c r="F9" s="331">
        <v>22</v>
      </c>
      <c r="G9" s="331"/>
      <c r="H9" s="331">
        <v>107</v>
      </c>
      <c r="I9" s="331" t="s">
        <v>27</v>
      </c>
      <c r="J9" s="331"/>
      <c r="K9" s="331"/>
      <c r="L9" s="340"/>
      <c r="M9" s="341"/>
      <c r="N9" s="342"/>
    </row>
    <row r="10" spans="1:14" x14ac:dyDescent="0.25">
      <c r="A10" s="336" t="s">
        <v>10</v>
      </c>
      <c r="B10" s="345"/>
      <c r="C10" s="336" t="s">
        <v>281</v>
      </c>
      <c r="D10" s="336" t="s">
        <v>967</v>
      </c>
      <c r="E10" s="336" t="s">
        <v>968</v>
      </c>
      <c r="F10" s="336"/>
      <c r="G10" s="336"/>
      <c r="H10" s="336">
        <v>16</v>
      </c>
      <c r="I10" s="336" t="s">
        <v>27</v>
      </c>
      <c r="J10" s="336"/>
      <c r="K10" s="336"/>
      <c r="L10" s="343"/>
      <c r="M10" s="344"/>
      <c r="N10" s="26"/>
    </row>
    <row r="11" spans="1:14" s="69" customFormat="1" x14ac:dyDescent="0.25">
      <c r="A11" s="331" t="s">
        <v>11</v>
      </c>
      <c r="B11" s="346"/>
      <c r="C11" s="331" t="s">
        <v>281</v>
      </c>
      <c r="D11" s="331" t="s">
        <v>969</v>
      </c>
      <c r="E11" s="331" t="s">
        <v>965</v>
      </c>
      <c r="F11" s="331">
        <v>24</v>
      </c>
      <c r="G11" s="331"/>
      <c r="H11" s="331">
        <v>107</v>
      </c>
      <c r="I11" s="331" t="s">
        <v>27</v>
      </c>
      <c r="J11" s="331"/>
      <c r="K11" s="331"/>
      <c r="L11" s="340"/>
      <c r="M11" s="341"/>
      <c r="N11" s="342"/>
    </row>
    <row r="12" spans="1:14" customFormat="1" x14ac:dyDescent="0.25">
      <c r="A12" t="s">
        <v>12</v>
      </c>
      <c r="B12">
        <v>4</v>
      </c>
      <c r="C12" t="s">
        <v>970</v>
      </c>
      <c r="D12" t="s">
        <v>971</v>
      </c>
      <c r="E12" s="347" t="s">
        <v>965</v>
      </c>
      <c r="H12" t="s">
        <v>972</v>
      </c>
      <c r="I12" t="s">
        <v>27</v>
      </c>
      <c r="J12" s="347" t="s">
        <v>973</v>
      </c>
      <c r="K12" s="347" t="s">
        <v>973</v>
      </c>
      <c r="L12" s="347" t="s">
        <v>973</v>
      </c>
      <c r="M12" t="s">
        <v>974</v>
      </c>
    </row>
    <row r="13" spans="1:14" s="69" customFormat="1" x14ac:dyDescent="0.25">
      <c r="A13" s="331" t="s">
        <v>13</v>
      </c>
      <c r="B13" s="346"/>
      <c r="C13" s="331" t="s">
        <v>970</v>
      </c>
      <c r="D13" s="331" t="s">
        <v>975</v>
      </c>
      <c r="E13" s="331" t="s">
        <v>965</v>
      </c>
      <c r="F13" s="331"/>
      <c r="G13" s="331"/>
      <c r="H13" s="331">
        <v>410</v>
      </c>
      <c r="I13" s="331" t="s">
        <v>27</v>
      </c>
      <c r="J13" s="331"/>
      <c r="K13" s="331"/>
      <c r="L13" s="340"/>
      <c r="M13" s="341" t="s">
        <v>974</v>
      </c>
      <c r="N13" s="342"/>
    </row>
    <row r="14" spans="1:14" s="354" customFormat="1" x14ac:dyDescent="0.25">
      <c r="A14" s="348" t="s">
        <v>14</v>
      </c>
      <c r="B14" s="349">
        <v>5</v>
      </c>
      <c r="C14" s="348" t="s">
        <v>970</v>
      </c>
      <c r="D14" s="348" t="s">
        <v>976</v>
      </c>
      <c r="E14" s="348" t="s">
        <v>174</v>
      </c>
      <c r="F14" s="348"/>
      <c r="G14" s="348"/>
      <c r="H14" s="348" t="s">
        <v>977</v>
      </c>
      <c r="I14" s="348" t="s">
        <v>27</v>
      </c>
      <c r="J14" s="350">
        <v>0.19</v>
      </c>
      <c r="K14" s="350">
        <v>0.4</v>
      </c>
      <c r="L14" s="351">
        <f>J14*50</f>
        <v>9.5</v>
      </c>
      <c r="M14" s="352"/>
      <c r="N14" s="353"/>
    </row>
    <row r="15" spans="1:14" s="69" customFormat="1" x14ac:dyDescent="0.25">
      <c r="A15" s="331" t="s">
        <v>15</v>
      </c>
      <c r="B15" s="346">
        <v>3</v>
      </c>
      <c r="C15" s="331" t="s">
        <v>970</v>
      </c>
      <c r="D15" s="331" t="s">
        <v>978</v>
      </c>
      <c r="E15" s="331" t="s">
        <v>174</v>
      </c>
      <c r="F15" s="331"/>
      <c r="G15" s="331"/>
      <c r="H15" s="355" t="s">
        <v>977</v>
      </c>
      <c r="I15" s="331" t="s">
        <v>27</v>
      </c>
      <c r="J15" s="356">
        <v>0.48</v>
      </c>
      <c r="K15" s="357"/>
      <c r="L15" s="343">
        <f t="shared" ref="L15:L18" si="0">J15*50</f>
        <v>24</v>
      </c>
      <c r="M15" s="341"/>
      <c r="N15" s="342"/>
    </row>
    <row r="16" spans="1:14" x14ac:dyDescent="0.25">
      <c r="A16" s="336" t="s">
        <v>16</v>
      </c>
      <c r="B16" s="345"/>
      <c r="C16" s="336" t="s">
        <v>970</v>
      </c>
      <c r="D16" s="336" t="s">
        <v>979</v>
      </c>
      <c r="E16" s="336"/>
      <c r="F16" s="336"/>
      <c r="G16" s="336"/>
      <c r="H16" s="336"/>
      <c r="I16" s="330" t="s">
        <v>27</v>
      </c>
      <c r="J16" s="336"/>
      <c r="K16" s="336"/>
      <c r="L16" s="343"/>
      <c r="M16" s="344"/>
      <c r="N16" s="26"/>
    </row>
    <row r="17" spans="1:14" s="69" customFormat="1" x14ac:dyDescent="0.25">
      <c r="A17" s="331" t="s">
        <v>17</v>
      </c>
      <c r="B17" s="346"/>
      <c r="C17" s="331" t="s">
        <v>281</v>
      </c>
      <c r="D17" s="331" t="s">
        <v>980</v>
      </c>
      <c r="E17" s="331" t="s">
        <v>174</v>
      </c>
      <c r="F17" s="331"/>
      <c r="G17" s="331"/>
      <c r="H17" s="331">
        <v>45</v>
      </c>
      <c r="I17" s="331" t="s">
        <v>27</v>
      </c>
      <c r="J17" s="357"/>
      <c r="K17" s="331"/>
      <c r="L17" s="343"/>
      <c r="M17" s="341"/>
      <c r="N17" s="342"/>
    </row>
    <row r="18" spans="1:14" x14ac:dyDescent="0.25">
      <c r="A18" s="336" t="s">
        <v>18</v>
      </c>
      <c r="B18" s="345">
        <v>4</v>
      </c>
      <c r="C18" s="336" t="s">
        <v>970</v>
      </c>
      <c r="D18" s="336" t="s">
        <v>981</v>
      </c>
      <c r="E18" s="336" t="s">
        <v>174</v>
      </c>
      <c r="F18" s="336"/>
      <c r="G18" s="336"/>
      <c r="H18" s="336" t="s">
        <v>977</v>
      </c>
      <c r="I18" s="336" t="s">
        <v>27</v>
      </c>
      <c r="J18" s="358">
        <v>0.4</v>
      </c>
      <c r="K18" s="336"/>
      <c r="L18" s="343">
        <f t="shared" si="0"/>
        <v>20</v>
      </c>
      <c r="M18" s="344" t="s">
        <v>982</v>
      </c>
      <c r="N18" s="26"/>
    </row>
    <row r="19" spans="1:14" s="69" customFormat="1" x14ac:dyDescent="0.25">
      <c r="A19" s="331" t="s">
        <v>19</v>
      </c>
      <c r="B19" s="346"/>
      <c r="C19" s="331"/>
      <c r="D19" s="331"/>
      <c r="E19" s="331"/>
      <c r="F19" s="331"/>
      <c r="G19" s="331"/>
      <c r="H19" s="331"/>
      <c r="I19" s="331"/>
      <c r="J19" s="331"/>
      <c r="K19" s="331"/>
      <c r="L19" s="340"/>
      <c r="M19" s="341"/>
      <c r="N19" s="342"/>
    </row>
    <row r="20" spans="1:14" x14ac:dyDescent="0.25">
      <c r="A20" s="336" t="s">
        <v>20</v>
      </c>
      <c r="B20" s="345"/>
      <c r="C20" s="336"/>
      <c r="D20" s="336"/>
      <c r="E20" s="336"/>
      <c r="F20" s="336"/>
      <c r="G20" s="336"/>
      <c r="H20" s="336"/>
      <c r="I20" s="336"/>
      <c r="J20" s="336"/>
      <c r="K20" s="336"/>
      <c r="L20" s="343"/>
      <c r="M20" s="344"/>
      <c r="N20" s="26"/>
    </row>
    <row r="21" spans="1:14" s="69" customFormat="1" x14ac:dyDescent="0.25">
      <c r="A21" s="331" t="s">
        <v>21</v>
      </c>
      <c r="B21" s="346"/>
      <c r="C21" s="331"/>
      <c r="D21" s="331"/>
      <c r="E21" s="331"/>
      <c r="F21" s="331"/>
      <c r="G21" s="331"/>
      <c r="H21" s="331"/>
      <c r="I21" s="331"/>
      <c r="J21" s="331"/>
      <c r="K21" s="331"/>
      <c r="L21" s="340"/>
      <c r="M21" s="341"/>
      <c r="N21" s="342"/>
    </row>
    <row r="22" spans="1:14" x14ac:dyDescent="0.25">
      <c r="A22" s="336" t="s">
        <v>22</v>
      </c>
      <c r="B22" s="345"/>
      <c r="C22" s="336"/>
      <c r="D22" s="336"/>
      <c r="E22" s="336"/>
      <c r="F22" s="336"/>
      <c r="G22" s="336"/>
      <c r="H22" s="336"/>
      <c r="I22" s="336"/>
      <c r="J22" s="336"/>
      <c r="K22" s="336"/>
      <c r="L22" s="343"/>
      <c r="M22" s="344"/>
      <c r="N22" s="26"/>
    </row>
    <row r="23" spans="1:14" s="69" customFormat="1" x14ac:dyDescent="0.25">
      <c r="A23" s="331" t="s">
        <v>23</v>
      </c>
      <c r="B23" s="346"/>
      <c r="C23" s="331"/>
      <c r="D23" s="331"/>
      <c r="E23" s="331"/>
      <c r="F23" s="331"/>
      <c r="G23" s="331"/>
      <c r="H23" s="331"/>
      <c r="I23" s="331"/>
      <c r="J23" s="331"/>
      <c r="K23" s="331"/>
      <c r="L23" s="340"/>
      <c r="M23" s="341"/>
      <c r="N23" s="342"/>
    </row>
    <row r="24" spans="1:14" x14ac:dyDescent="0.25">
      <c r="A24" s="336" t="s">
        <v>24</v>
      </c>
      <c r="B24" s="345"/>
      <c r="C24" s="336"/>
      <c r="D24" s="336"/>
      <c r="E24" s="336"/>
      <c r="F24" s="336"/>
      <c r="G24" s="336"/>
      <c r="H24" s="336"/>
      <c r="I24" s="336"/>
      <c r="J24" s="336"/>
      <c r="K24" s="336"/>
      <c r="L24" s="343"/>
      <c r="M24" s="344"/>
      <c r="N24" s="26"/>
    </row>
    <row r="25" spans="1:14" s="69" customFormat="1" x14ac:dyDescent="0.25">
      <c r="A25" s="331"/>
      <c r="B25" s="346"/>
      <c r="C25" s="331"/>
      <c r="D25" s="331"/>
      <c r="E25" s="331"/>
      <c r="F25" s="331"/>
      <c r="G25" s="331"/>
      <c r="H25" s="331"/>
      <c r="I25" s="331"/>
      <c r="J25" s="331"/>
      <c r="K25" s="331"/>
      <c r="L25" s="340"/>
      <c r="M25" s="341"/>
      <c r="N25" s="342"/>
    </row>
    <row r="26" spans="1:14" x14ac:dyDescent="0.25">
      <c r="A26" s="34"/>
      <c r="B26" s="359"/>
      <c r="C26" s="35"/>
      <c r="D26" s="35"/>
      <c r="E26" s="35"/>
      <c r="F26" s="35"/>
      <c r="G26" s="35"/>
      <c r="H26" s="35"/>
      <c r="I26" s="35"/>
      <c r="J26" s="35"/>
      <c r="K26" s="35"/>
      <c r="L26" s="360"/>
      <c r="M26" s="37"/>
    </row>
    <row r="27" spans="1:14" s="69" customFormat="1" x14ac:dyDescent="0.25">
      <c r="A27" s="68"/>
      <c r="B27"/>
      <c r="L27" s="82"/>
      <c r="M27" s="70"/>
    </row>
    <row r="28" spans="1:14" x14ac:dyDescent="0.25">
      <c r="B28"/>
    </row>
  </sheetData>
  <mergeCells count="1">
    <mergeCell ref="A1:B1"/>
  </mergeCells>
  <conditionalFormatting sqref="B26">
    <cfRule type="colorScale" priority="10">
      <colorScale>
        <cfvo type="min"/>
        <cfvo type="percentile" val="50"/>
        <cfvo type="max"/>
        <color rgb="FFF8696B"/>
        <color rgb="FFFFEB84"/>
        <color rgb="FF63BE7B"/>
      </colorScale>
    </cfRule>
  </conditionalFormatting>
  <conditionalFormatting sqref="B26">
    <cfRule type="colorScale" priority="9">
      <colorScale>
        <cfvo type="min"/>
        <cfvo type="max"/>
        <color rgb="FFFFEF9C"/>
        <color rgb="FF63BE7B"/>
      </colorScale>
    </cfRule>
  </conditionalFormatting>
  <conditionalFormatting sqref="B2 B26 B29:B1048576">
    <cfRule type="colorScale" priority="4">
      <colorScale>
        <cfvo type="min"/>
        <cfvo type="max"/>
        <color rgb="FFFFEF9C"/>
        <color rgb="FFFF7128"/>
      </colorScale>
    </cfRule>
    <cfRule type="colorScale" priority="5">
      <colorScale>
        <cfvo type="min"/>
        <cfvo type="max"/>
        <color theme="5" tint="0.79998168889431442"/>
        <color theme="8" tint="-0.249977111117893"/>
      </colorScale>
    </cfRule>
    <cfRule type="colorScale" priority="6">
      <colorScale>
        <cfvo type="min"/>
        <cfvo type="max"/>
        <color theme="4" tint="0.79998168889431442"/>
        <color theme="7" tint="-0.249977111117893"/>
      </colorScale>
    </cfRule>
    <cfRule type="colorScale" priority="7">
      <colorScale>
        <cfvo type="min"/>
        <cfvo type="max"/>
        <color theme="8" tint="0.79998168889431442"/>
        <color theme="3"/>
      </colorScale>
    </cfRule>
    <cfRule type="colorScale" priority="8">
      <colorScale>
        <cfvo type="min"/>
        <cfvo type="max"/>
        <color theme="4"/>
        <color theme="8" tint="0.79998168889431442"/>
      </colorScale>
    </cfRule>
  </conditionalFormatting>
  <conditionalFormatting sqref="B1:B1048576">
    <cfRule type="colorScale" priority="2">
      <colorScale>
        <cfvo type="min"/>
        <cfvo type="max"/>
        <color rgb="FFFF7128"/>
        <color rgb="FFFFEF9C"/>
      </colorScale>
    </cfRule>
    <cfRule type="colorScale" priority="3">
      <colorScale>
        <cfvo type="min"/>
        <cfvo type="percentile" val="50"/>
        <cfvo type="max"/>
        <color rgb="FFF8696B"/>
        <color rgb="FFFFEB84"/>
        <color rgb="FF63BE7B"/>
      </colorScale>
    </cfRule>
  </conditionalFormatting>
  <conditionalFormatting sqref="J1:K1048576">
    <cfRule type="dataBar" priority="1">
      <dataBar>
        <cfvo type="min"/>
        <cfvo type="max"/>
        <color rgb="FF638EC6"/>
      </dataBar>
      <extLst>
        <ext xmlns:x14="http://schemas.microsoft.com/office/spreadsheetml/2009/9/main" uri="{B025F937-C7B1-47D3-B67F-A62EFF666E3E}">
          <x14:id>{D3A2B9D6-17DC-40E7-9ACE-96AC57CB30E3}</x14:id>
        </ext>
      </extLst>
    </cfRule>
  </conditionalFormatting>
  <pageMargins left="0.70866141732283472" right="0.70866141732283472" top="0.74803149606299213" bottom="0.74803149606299213" header="0.31496062992125984" footer="0.31496062992125984"/>
  <pageSetup paperSize="9" orientation="landscape" r:id="rId1"/>
  <extLst>
    <ext xmlns:x14="http://schemas.microsoft.com/office/spreadsheetml/2009/9/main" uri="{78C0D931-6437-407d-A8EE-F0AAD7539E65}">
      <x14:conditionalFormattings>
        <x14:conditionalFormatting xmlns:xm="http://schemas.microsoft.com/office/excel/2006/main">
          <x14:cfRule type="dataBar" id="{D3A2B9D6-17DC-40E7-9ACE-96AC57CB30E3}">
            <x14:dataBar minLength="0" maxLength="100" gradient="0">
              <x14:cfvo type="autoMin"/>
              <x14:cfvo type="autoMax"/>
              <x14:negativeFillColor rgb="FFFF0000"/>
              <x14:axisColor rgb="FF000000"/>
            </x14:dataBar>
          </x14:cfRule>
          <xm:sqref>J1:K1048576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U187"/>
  <sheetViews>
    <sheetView workbookViewId="0">
      <pane xSplit="2" ySplit="2" topLeftCell="C27" activePane="bottomRight" state="frozen"/>
      <selection pane="topRight" activeCell="C1" sqref="C1"/>
      <selection pane="bottomLeft" activeCell="A3" sqref="A3"/>
      <selection pane="bottomRight" activeCell="O42" sqref="O42"/>
    </sheetView>
  </sheetViews>
  <sheetFormatPr defaultColWidth="9.140625" defaultRowHeight="15" x14ac:dyDescent="0.25"/>
  <cols>
    <col min="1" max="1" width="14.140625" style="260" bestFit="1" customWidth="1"/>
    <col min="2" max="2" width="8.85546875" style="11" bestFit="1" customWidth="1"/>
    <col min="3" max="3" width="10.42578125" style="11" bestFit="1" customWidth="1"/>
    <col min="4" max="4" width="13.28515625" style="261" customWidth="1"/>
    <col min="5" max="5" width="24.28515625" style="261" bestFit="1" customWidth="1"/>
    <col min="6" max="6" width="10.7109375" style="11" bestFit="1" customWidth="1"/>
    <col min="7" max="7" width="5" style="11" bestFit="1" customWidth="1"/>
    <col min="8" max="8" width="5.140625" style="11" bestFit="1" customWidth="1"/>
    <col min="9" max="9" width="11.28515625" style="11" bestFit="1" customWidth="1"/>
    <col min="10" max="10" width="5.28515625" style="11" bestFit="1" customWidth="1"/>
    <col min="11" max="11" width="7.7109375" style="11" bestFit="1" customWidth="1"/>
    <col min="12" max="12" width="5.28515625" style="11" bestFit="1" customWidth="1"/>
    <col min="13" max="13" width="7.7109375" style="11" bestFit="1" customWidth="1"/>
    <col min="14" max="14" width="8.28515625" style="386" bestFit="1" customWidth="1"/>
    <col min="15" max="15" width="26" style="11" customWidth="1"/>
    <col min="16" max="16" width="25.7109375" style="11" bestFit="1" customWidth="1"/>
    <col min="17" max="17" width="37.28515625" style="11" bestFit="1" customWidth="1"/>
    <col min="18" max="19" width="27.28515625" style="11" bestFit="1" customWidth="1"/>
    <col min="20" max="20" width="6" style="11" bestFit="1" customWidth="1"/>
    <col min="21" max="21" width="30.28515625" style="11" customWidth="1"/>
    <col min="22" max="22" width="7" style="11" bestFit="1" customWidth="1"/>
    <col min="23" max="23" width="6" style="11" bestFit="1" customWidth="1"/>
    <col min="24" max="27" width="7" style="11" bestFit="1" customWidth="1"/>
    <col min="28" max="16384" width="9.140625" style="11"/>
  </cols>
  <sheetData>
    <row r="1" spans="1:21" s="378" customFormat="1" ht="15" customHeight="1" x14ac:dyDescent="0.25">
      <c r="A1" s="376" t="s">
        <v>1221</v>
      </c>
      <c r="B1" s="377"/>
      <c r="C1" s="378" t="s">
        <v>1222</v>
      </c>
      <c r="D1" s="379" t="s">
        <v>1219</v>
      </c>
      <c r="E1" s="379" t="s">
        <v>1218</v>
      </c>
      <c r="F1" s="380" t="s">
        <v>1226</v>
      </c>
      <c r="G1" s="696" t="s">
        <v>1223</v>
      </c>
      <c r="H1" s="697"/>
      <c r="I1" s="378" t="s">
        <v>1217</v>
      </c>
      <c r="J1" s="698" t="s">
        <v>1216</v>
      </c>
      <c r="K1" s="699"/>
      <c r="L1" s="698" t="s">
        <v>1215</v>
      </c>
      <c r="M1" s="699"/>
      <c r="N1" s="381" t="s">
        <v>1300</v>
      </c>
      <c r="O1" s="382" t="s">
        <v>1224</v>
      </c>
      <c r="P1" s="382" t="s">
        <v>1224</v>
      </c>
      <c r="Q1" s="382" t="s">
        <v>1370</v>
      </c>
      <c r="R1" s="382" t="s">
        <v>1225</v>
      </c>
      <c r="S1" s="382" t="s">
        <v>1225</v>
      </c>
      <c r="T1" s="383" t="s">
        <v>1228</v>
      </c>
      <c r="U1" s="384" t="s">
        <v>1214</v>
      </c>
    </row>
    <row r="2" spans="1:21" ht="17.25" x14ac:dyDescent="0.25">
      <c r="B2" s="11" t="s">
        <v>1220</v>
      </c>
      <c r="C2" s="11" t="s">
        <v>1213</v>
      </c>
      <c r="D2" s="261" t="s">
        <v>1212</v>
      </c>
      <c r="E2" s="261" t="s">
        <v>947</v>
      </c>
      <c r="F2" s="385" t="s">
        <v>1227</v>
      </c>
      <c r="G2" s="11" t="s">
        <v>1211</v>
      </c>
      <c r="H2" s="11" t="s">
        <v>1210</v>
      </c>
      <c r="I2" s="11" t="s">
        <v>1209</v>
      </c>
      <c r="J2" s="11" t="s">
        <v>947</v>
      </c>
      <c r="K2" s="11" t="s">
        <v>1208</v>
      </c>
      <c r="L2" s="11" t="s">
        <v>947</v>
      </c>
      <c r="M2" s="11" t="s">
        <v>1208</v>
      </c>
      <c r="N2" s="386" t="s">
        <v>1301</v>
      </c>
      <c r="O2" s="11" t="s">
        <v>1207</v>
      </c>
      <c r="P2" s="11" t="s">
        <v>1206</v>
      </c>
      <c r="R2" s="11" t="s">
        <v>1207</v>
      </c>
      <c r="S2" s="11" t="s">
        <v>1206</v>
      </c>
      <c r="T2" s="11" t="s">
        <v>16</v>
      </c>
    </row>
    <row r="3" spans="1:21" x14ac:dyDescent="0.25">
      <c r="A3" s="260" t="s">
        <v>1205</v>
      </c>
      <c r="B3" s="5"/>
      <c r="C3" s="387">
        <v>43118</v>
      </c>
      <c r="D3" s="261" t="s">
        <v>1195</v>
      </c>
      <c r="E3" s="261" t="s">
        <v>1194</v>
      </c>
      <c r="F3" s="11">
        <v>150</v>
      </c>
      <c r="G3" s="11">
        <v>15</v>
      </c>
      <c r="H3" s="11">
        <v>15</v>
      </c>
      <c r="I3" s="11">
        <v>225</v>
      </c>
      <c r="J3" s="11" t="s">
        <v>743</v>
      </c>
      <c r="K3" s="11" t="s">
        <v>174</v>
      </c>
      <c r="L3" s="11" t="s">
        <v>743</v>
      </c>
      <c r="M3" s="11" t="s">
        <v>174</v>
      </c>
      <c r="N3" s="386" t="s">
        <v>1302</v>
      </c>
      <c r="P3" s="11">
        <v>5.5</v>
      </c>
    </row>
    <row r="4" spans="1:21" x14ac:dyDescent="0.25">
      <c r="A4" s="260" t="s">
        <v>1204</v>
      </c>
      <c r="B4" s="5"/>
      <c r="C4" s="387">
        <v>43118</v>
      </c>
      <c r="D4" s="261" t="s">
        <v>1195</v>
      </c>
      <c r="E4" s="261" t="s">
        <v>1194</v>
      </c>
      <c r="F4" s="11">
        <v>150</v>
      </c>
      <c r="G4" s="11">
        <v>15</v>
      </c>
      <c r="H4" s="11">
        <v>15</v>
      </c>
      <c r="I4" s="11">
        <v>400</v>
      </c>
      <c r="J4" s="11" t="s">
        <v>743</v>
      </c>
      <c r="K4" s="11" t="s">
        <v>174</v>
      </c>
      <c r="L4" s="11" t="s">
        <v>743</v>
      </c>
      <c r="M4" s="11" t="s">
        <v>174</v>
      </c>
      <c r="N4" s="386" t="s">
        <v>1302</v>
      </c>
      <c r="P4" s="11">
        <v>5.2</v>
      </c>
      <c r="S4" s="11">
        <v>5.9</v>
      </c>
    </row>
    <row r="5" spans="1:21" x14ac:dyDescent="0.25">
      <c r="A5" s="260" t="s">
        <v>1203</v>
      </c>
      <c r="B5" s="5"/>
      <c r="C5" s="387">
        <v>43118</v>
      </c>
      <c r="D5" s="261" t="s">
        <v>1195</v>
      </c>
      <c r="E5" s="261" t="s">
        <v>1194</v>
      </c>
      <c r="F5" s="11">
        <v>150</v>
      </c>
      <c r="G5" s="11">
        <v>15</v>
      </c>
      <c r="H5" s="11">
        <v>15</v>
      </c>
      <c r="I5" s="11">
        <v>600</v>
      </c>
      <c r="J5" s="11" t="s">
        <v>743</v>
      </c>
      <c r="K5" s="11" t="s">
        <v>174</v>
      </c>
      <c r="L5" s="11" t="s">
        <v>743</v>
      </c>
      <c r="M5" s="11" t="s">
        <v>174</v>
      </c>
      <c r="N5" s="386" t="s">
        <v>1302</v>
      </c>
      <c r="P5" s="11">
        <v>4.7</v>
      </c>
    </row>
    <row r="6" spans="1:21" x14ac:dyDescent="0.25">
      <c r="A6" s="260" t="s">
        <v>1202</v>
      </c>
      <c r="B6" s="5"/>
      <c r="C6" s="387">
        <v>43118</v>
      </c>
      <c r="D6" s="261" t="s">
        <v>1195</v>
      </c>
      <c r="E6" s="261" t="s">
        <v>1194</v>
      </c>
      <c r="F6" s="11">
        <v>150</v>
      </c>
      <c r="G6" s="11">
        <v>15</v>
      </c>
      <c r="H6" s="11">
        <v>15</v>
      </c>
      <c r="I6" s="11">
        <v>1000</v>
      </c>
      <c r="J6" s="11" t="s">
        <v>743</v>
      </c>
      <c r="K6" s="11" t="s">
        <v>174</v>
      </c>
      <c r="L6" s="11" t="s">
        <v>743</v>
      </c>
      <c r="M6" s="11" t="s">
        <v>174</v>
      </c>
      <c r="N6" s="386" t="s">
        <v>1302</v>
      </c>
      <c r="P6" s="11">
        <v>4.8</v>
      </c>
    </row>
    <row r="7" spans="1:21" x14ac:dyDescent="0.25">
      <c r="A7" s="260" t="s">
        <v>1201</v>
      </c>
      <c r="B7" s="5"/>
      <c r="C7" s="387">
        <v>43118</v>
      </c>
      <c r="D7" s="261" t="s">
        <v>1195</v>
      </c>
      <c r="E7" s="261" t="s">
        <v>1194</v>
      </c>
      <c r="F7" s="11">
        <v>45</v>
      </c>
      <c r="G7" s="11">
        <v>67.5</v>
      </c>
      <c r="H7" s="11">
        <v>67.5</v>
      </c>
      <c r="I7" s="11">
        <v>205</v>
      </c>
      <c r="J7" s="11" t="s">
        <v>743</v>
      </c>
      <c r="K7" s="11" t="s">
        <v>174</v>
      </c>
      <c r="L7" s="11" t="s">
        <v>743</v>
      </c>
      <c r="M7" s="11" t="s">
        <v>174</v>
      </c>
      <c r="N7" s="386" t="s">
        <v>1302</v>
      </c>
      <c r="P7" s="11">
        <v>2.5</v>
      </c>
    </row>
    <row r="8" spans="1:21" x14ac:dyDescent="0.25">
      <c r="A8" s="260" t="s">
        <v>1200</v>
      </c>
      <c r="B8" s="5"/>
      <c r="C8" s="387">
        <v>43118</v>
      </c>
      <c r="D8" s="261" t="s">
        <v>1195</v>
      </c>
      <c r="E8" s="261" t="s">
        <v>1194</v>
      </c>
      <c r="F8" s="11">
        <v>45</v>
      </c>
      <c r="G8" s="11">
        <v>67.5</v>
      </c>
      <c r="H8" s="11">
        <v>67.5</v>
      </c>
      <c r="I8" s="11">
        <v>400</v>
      </c>
      <c r="J8" s="11" t="s">
        <v>743</v>
      </c>
      <c r="K8" s="11" t="s">
        <v>174</v>
      </c>
      <c r="L8" s="11" t="s">
        <v>743</v>
      </c>
      <c r="M8" s="11" t="s">
        <v>174</v>
      </c>
      <c r="N8" s="386" t="s">
        <v>1302</v>
      </c>
      <c r="P8" s="272">
        <v>3.2</v>
      </c>
      <c r="Q8" s="272"/>
    </row>
    <row r="9" spans="1:21" x14ac:dyDescent="0.25">
      <c r="A9" s="260" t="s">
        <v>1199</v>
      </c>
      <c r="B9" s="5"/>
      <c r="C9" s="387">
        <v>43118</v>
      </c>
      <c r="D9" s="261" t="s">
        <v>1195</v>
      </c>
      <c r="E9" s="261" t="s">
        <v>1194</v>
      </c>
      <c r="F9" s="11">
        <v>45</v>
      </c>
      <c r="G9" s="11">
        <v>67.5</v>
      </c>
      <c r="H9" s="11">
        <v>67.5</v>
      </c>
      <c r="I9" s="11">
        <v>400</v>
      </c>
      <c r="J9" s="11" t="s">
        <v>743</v>
      </c>
      <c r="K9" s="11" t="s">
        <v>174</v>
      </c>
      <c r="L9" s="11" t="s">
        <v>743</v>
      </c>
      <c r="M9" s="11" t="s">
        <v>174</v>
      </c>
      <c r="N9" s="386" t="s">
        <v>1303</v>
      </c>
      <c r="P9" s="272">
        <v>1</v>
      </c>
      <c r="Q9" s="272"/>
    </row>
    <row r="10" spans="1:21" x14ac:dyDescent="0.25">
      <c r="A10" s="260" t="s">
        <v>1198</v>
      </c>
      <c r="B10" s="5"/>
      <c r="C10" s="387">
        <v>43118</v>
      </c>
      <c r="D10" s="261" t="s">
        <v>1195</v>
      </c>
      <c r="E10" s="261" t="s">
        <v>1194</v>
      </c>
      <c r="F10" s="11">
        <v>45</v>
      </c>
      <c r="G10" s="11">
        <v>67.5</v>
      </c>
      <c r="H10" s="11">
        <v>67.5</v>
      </c>
      <c r="I10" s="11">
        <v>600</v>
      </c>
      <c r="J10" s="11" t="s">
        <v>743</v>
      </c>
      <c r="K10" s="11" t="s">
        <v>174</v>
      </c>
      <c r="L10" s="11" t="s">
        <v>743</v>
      </c>
      <c r="M10" s="11" t="s">
        <v>174</v>
      </c>
      <c r="N10" s="386" t="s">
        <v>1302</v>
      </c>
      <c r="P10" s="272">
        <v>3.6</v>
      </c>
      <c r="Q10" s="272"/>
    </row>
    <row r="11" spans="1:21" x14ac:dyDescent="0.25">
      <c r="A11" s="260" t="s">
        <v>1197</v>
      </c>
      <c r="B11" s="5"/>
      <c r="C11" s="387">
        <v>43118</v>
      </c>
      <c r="D11" s="261" t="s">
        <v>1195</v>
      </c>
      <c r="E11" s="261" t="s">
        <v>1194</v>
      </c>
      <c r="F11" s="11">
        <v>45</v>
      </c>
      <c r="G11" s="11">
        <v>67.5</v>
      </c>
      <c r="H11" s="11">
        <v>67.5</v>
      </c>
      <c r="I11" s="11">
        <v>810</v>
      </c>
      <c r="J11" s="11" t="s">
        <v>743</v>
      </c>
      <c r="K11" s="11" t="s">
        <v>174</v>
      </c>
      <c r="L11" s="11" t="s">
        <v>743</v>
      </c>
      <c r="M11" s="11" t="s">
        <v>174</v>
      </c>
      <c r="N11" s="386" t="s">
        <v>1302</v>
      </c>
      <c r="P11" s="272">
        <v>3.2</v>
      </c>
      <c r="Q11" s="272"/>
    </row>
    <row r="12" spans="1:21" x14ac:dyDescent="0.25">
      <c r="A12" s="260" t="s">
        <v>1196</v>
      </c>
      <c r="B12" s="5"/>
      <c r="C12" s="387">
        <v>43118</v>
      </c>
      <c r="D12" s="261" t="s">
        <v>1195</v>
      </c>
      <c r="E12" s="261" t="s">
        <v>1194</v>
      </c>
      <c r="F12" s="11">
        <v>45</v>
      </c>
      <c r="G12" s="11">
        <v>67.5</v>
      </c>
      <c r="H12" s="11">
        <v>67.5</v>
      </c>
      <c r="I12" s="11">
        <v>1000</v>
      </c>
      <c r="J12" s="11" t="s">
        <v>743</v>
      </c>
      <c r="K12" s="11" t="s">
        <v>174</v>
      </c>
      <c r="L12" s="11" t="s">
        <v>743</v>
      </c>
      <c r="M12" s="11" t="s">
        <v>174</v>
      </c>
      <c r="N12" s="386" t="s">
        <v>1302</v>
      </c>
      <c r="P12" s="272">
        <v>3</v>
      </c>
      <c r="Q12" s="272"/>
    </row>
    <row r="13" spans="1:21" x14ac:dyDescent="0.25">
      <c r="A13" s="260" t="s">
        <v>1193</v>
      </c>
      <c r="B13" s="5"/>
      <c r="C13" s="387">
        <v>42999</v>
      </c>
      <c r="D13" s="261" t="s">
        <v>1195</v>
      </c>
      <c r="E13" s="261" t="s">
        <v>1194</v>
      </c>
      <c r="F13" s="11">
        <v>45</v>
      </c>
      <c r="G13" s="11">
        <v>67.5</v>
      </c>
      <c r="H13" s="11">
        <v>67.5</v>
      </c>
      <c r="I13" s="11">
        <v>3000</v>
      </c>
      <c r="J13" s="11" t="s">
        <v>743</v>
      </c>
      <c r="K13" s="11" t="s">
        <v>174</v>
      </c>
      <c r="L13" s="11" t="s">
        <v>743</v>
      </c>
      <c r="M13" s="11" t="s">
        <v>174</v>
      </c>
      <c r="N13" s="386" t="s">
        <v>1302</v>
      </c>
      <c r="P13" s="11">
        <v>0.76</v>
      </c>
      <c r="S13" s="272"/>
      <c r="T13" s="11">
        <v>44.3</v>
      </c>
    </row>
    <row r="14" spans="1:21" x14ac:dyDescent="0.25">
      <c r="A14" s="260" t="s">
        <v>1192</v>
      </c>
      <c r="B14" s="5"/>
      <c r="C14" s="387">
        <v>42999</v>
      </c>
      <c r="D14" s="261" t="s">
        <v>1195</v>
      </c>
      <c r="E14" s="261" t="s">
        <v>1194</v>
      </c>
      <c r="F14" s="11">
        <v>60</v>
      </c>
      <c r="G14" s="11">
        <v>60</v>
      </c>
      <c r="H14" s="11">
        <v>60</v>
      </c>
      <c r="I14" s="11">
        <v>3000</v>
      </c>
      <c r="J14" s="11" t="s">
        <v>743</v>
      </c>
      <c r="K14" s="11" t="s">
        <v>174</v>
      </c>
      <c r="L14" s="11" t="s">
        <v>743</v>
      </c>
      <c r="M14" s="11" t="s">
        <v>174</v>
      </c>
      <c r="N14" s="386" t="s">
        <v>1302</v>
      </c>
      <c r="P14" s="11">
        <v>0.86</v>
      </c>
      <c r="S14" s="272"/>
      <c r="T14" s="11">
        <v>47.5</v>
      </c>
    </row>
    <row r="15" spans="1:21" x14ac:dyDescent="0.25">
      <c r="A15" s="260" t="s">
        <v>1191</v>
      </c>
      <c r="B15" s="5"/>
      <c r="C15" s="387">
        <v>42999</v>
      </c>
      <c r="D15" s="261" t="s">
        <v>1195</v>
      </c>
      <c r="E15" s="261" t="s">
        <v>1194</v>
      </c>
      <c r="F15" s="11">
        <v>75</v>
      </c>
      <c r="G15" s="11">
        <v>52.5</v>
      </c>
      <c r="H15" s="11">
        <v>52.5</v>
      </c>
      <c r="I15" s="11">
        <v>3000</v>
      </c>
      <c r="J15" s="11" t="s">
        <v>743</v>
      </c>
      <c r="K15" s="11" t="s">
        <v>174</v>
      </c>
      <c r="L15" s="11" t="s">
        <v>743</v>
      </c>
      <c r="M15" s="11" t="s">
        <v>174</v>
      </c>
      <c r="N15" s="386" t="s">
        <v>1302</v>
      </c>
      <c r="O15" s="272"/>
      <c r="P15" s="272">
        <v>0.59</v>
      </c>
      <c r="Q15" s="272"/>
      <c r="R15" s="272"/>
      <c r="S15" s="272"/>
      <c r="T15" s="11">
        <v>102.3</v>
      </c>
    </row>
    <row r="16" spans="1:21" x14ac:dyDescent="0.25">
      <c r="A16" s="260" t="s">
        <v>1190</v>
      </c>
      <c r="B16" s="5"/>
      <c r="C16" s="387">
        <v>42999</v>
      </c>
      <c r="D16" s="261" t="s">
        <v>1195</v>
      </c>
      <c r="E16" s="261" t="s">
        <v>1194</v>
      </c>
      <c r="F16" s="11">
        <v>90</v>
      </c>
      <c r="G16" s="11">
        <v>45</v>
      </c>
      <c r="H16" s="11">
        <v>45</v>
      </c>
      <c r="I16" s="11">
        <v>1500</v>
      </c>
      <c r="J16" s="11" t="s">
        <v>743</v>
      </c>
      <c r="K16" s="11" t="s">
        <v>174</v>
      </c>
      <c r="L16" s="11" t="s">
        <v>743</v>
      </c>
      <c r="M16" s="11" t="s">
        <v>174</v>
      </c>
      <c r="N16" s="386" t="s">
        <v>1302</v>
      </c>
      <c r="O16" s="272"/>
      <c r="P16" s="272">
        <v>1.96</v>
      </c>
      <c r="Q16" s="272"/>
      <c r="R16" s="272"/>
      <c r="S16" s="272"/>
      <c r="T16" s="11">
        <v>157</v>
      </c>
    </row>
    <row r="17" spans="1:21" x14ac:dyDescent="0.25">
      <c r="A17" s="260" t="s">
        <v>1189</v>
      </c>
      <c r="B17" s="5"/>
      <c r="C17" s="387">
        <v>43122</v>
      </c>
      <c r="D17" s="261" t="s">
        <v>1195</v>
      </c>
      <c r="E17" s="261" t="s">
        <v>1194</v>
      </c>
      <c r="F17" s="11">
        <v>75</v>
      </c>
      <c r="G17" s="11">
        <v>52.5</v>
      </c>
      <c r="H17" s="11">
        <v>52.5</v>
      </c>
      <c r="I17" s="11">
        <v>200</v>
      </c>
      <c r="J17" s="11" t="s">
        <v>743</v>
      </c>
      <c r="K17" s="11" t="s">
        <v>174</v>
      </c>
      <c r="L17" s="11" t="s">
        <v>743</v>
      </c>
      <c r="M17" s="11" t="s">
        <v>174</v>
      </c>
      <c r="N17" s="386" t="s">
        <v>1302</v>
      </c>
      <c r="O17" s="272"/>
      <c r="P17" s="272">
        <v>3.2067999999999999</v>
      </c>
      <c r="Q17" s="272"/>
      <c r="R17" s="272"/>
    </row>
    <row r="18" spans="1:21" x14ac:dyDescent="0.25">
      <c r="A18" s="260" t="s">
        <v>1188</v>
      </c>
      <c r="B18" s="5"/>
      <c r="C18" s="387">
        <v>43122</v>
      </c>
      <c r="D18" s="261" t="s">
        <v>1195</v>
      </c>
      <c r="E18" s="261" t="s">
        <v>1194</v>
      </c>
      <c r="F18" s="11">
        <v>75</v>
      </c>
      <c r="G18" s="11">
        <v>52.5</v>
      </c>
      <c r="H18" s="11">
        <v>52.5</v>
      </c>
      <c r="I18" s="11">
        <v>400</v>
      </c>
      <c r="J18" s="11" t="s">
        <v>743</v>
      </c>
      <c r="K18" s="11" t="s">
        <v>174</v>
      </c>
      <c r="L18" s="11" t="s">
        <v>743</v>
      </c>
      <c r="M18" s="11" t="s">
        <v>174</v>
      </c>
      <c r="N18" s="386" t="s">
        <v>1302</v>
      </c>
      <c r="O18" s="272"/>
      <c r="P18" s="272">
        <v>4.4976999999999991</v>
      </c>
      <c r="Q18" s="272"/>
      <c r="R18" s="272"/>
    </row>
    <row r="19" spans="1:21" x14ac:dyDescent="0.25">
      <c r="A19" s="260" t="s">
        <v>1187</v>
      </c>
      <c r="B19" s="5"/>
      <c r="C19" s="387">
        <v>43122</v>
      </c>
      <c r="D19" s="261" t="s">
        <v>1195</v>
      </c>
      <c r="E19" s="261" t="s">
        <v>1194</v>
      </c>
      <c r="F19" s="11">
        <v>75</v>
      </c>
      <c r="G19" s="11">
        <v>52.5</v>
      </c>
      <c r="H19" s="11">
        <v>52.5</v>
      </c>
      <c r="I19" s="11">
        <v>600</v>
      </c>
      <c r="J19" s="11" t="s">
        <v>743</v>
      </c>
      <c r="K19" s="11" t="s">
        <v>174</v>
      </c>
      <c r="L19" s="11" t="s">
        <v>743</v>
      </c>
      <c r="M19" s="11" t="s">
        <v>174</v>
      </c>
      <c r="N19" s="386" t="s">
        <v>1302</v>
      </c>
      <c r="O19" s="272"/>
      <c r="P19" s="272">
        <v>3.6034666666666673</v>
      </c>
      <c r="Q19" s="272"/>
      <c r="R19" s="272"/>
    </row>
    <row r="20" spans="1:21" x14ac:dyDescent="0.25">
      <c r="A20" s="260" t="s">
        <v>1186</v>
      </c>
      <c r="B20" s="5"/>
      <c r="C20" s="387">
        <v>43122</v>
      </c>
      <c r="D20" s="261" t="s">
        <v>1195</v>
      </c>
      <c r="E20" s="261" t="s">
        <v>1194</v>
      </c>
      <c r="F20" s="11">
        <v>75</v>
      </c>
      <c r="G20" s="11">
        <v>52.5</v>
      </c>
      <c r="H20" s="11">
        <v>52.5</v>
      </c>
      <c r="I20" s="11">
        <v>800</v>
      </c>
      <c r="J20" s="11" t="s">
        <v>743</v>
      </c>
      <c r="K20" s="11" t="s">
        <v>174</v>
      </c>
      <c r="L20" s="11" t="s">
        <v>743</v>
      </c>
      <c r="M20" s="11" t="s">
        <v>174</v>
      </c>
      <c r="N20" s="386" t="s">
        <v>1302</v>
      </c>
      <c r="O20" s="272"/>
      <c r="P20" s="272">
        <v>2.7160666666666664</v>
      </c>
      <c r="Q20" s="272"/>
      <c r="R20" s="272"/>
    </row>
    <row r="21" spans="1:21" x14ac:dyDescent="0.25">
      <c r="A21" s="260" t="s">
        <v>1185</v>
      </c>
      <c r="B21" s="5"/>
      <c r="C21" s="387">
        <v>43122</v>
      </c>
      <c r="D21" s="261" t="s">
        <v>1195</v>
      </c>
      <c r="E21" s="261" t="s">
        <v>1194</v>
      </c>
      <c r="F21" s="11">
        <v>75</v>
      </c>
      <c r="G21" s="11">
        <v>52.5</v>
      </c>
      <c r="H21" s="11">
        <v>52.5</v>
      </c>
      <c r="I21" s="11">
        <v>1000</v>
      </c>
      <c r="J21" s="11" t="s">
        <v>743</v>
      </c>
      <c r="K21" s="11" t="s">
        <v>174</v>
      </c>
      <c r="L21" s="11" t="s">
        <v>743</v>
      </c>
      <c r="M21" s="11" t="s">
        <v>174</v>
      </c>
      <c r="N21" s="386" t="s">
        <v>1302</v>
      </c>
      <c r="O21" s="272"/>
      <c r="P21" s="272">
        <v>2.7721666666666671</v>
      </c>
      <c r="Q21" s="272"/>
      <c r="R21" s="272"/>
    </row>
    <row r="22" spans="1:21" x14ac:dyDescent="0.25">
      <c r="A22" s="260" t="s">
        <v>1184</v>
      </c>
      <c r="B22" s="5"/>
      <c r="C22" s="387">
        <v>43122</v>
      </c>
      <c r="D22" s="261" t="s">
        <v>1195</v>
      </c>
      <c r="E22" s="261" t="s">
        <v>1194</v>
      </c>
      <c r="F22" s="11">
        <v>110</v>
      </c>
      <c r="G22" s="11">
        <v>35</v>
      </c>
      <c r="H22" s="11">
        <v>35</v>
      </c>
      <c r="I22" s="11">
        <v>200</v>
      </c>
      <c r="J22" s="11" t="s">
        <v>743</v>
      </c>
      <c r="K22" s="11" t="s">
        <v>174</v>
      </c>
      <c r="L22" s="11" t="s">
        <v>743</v>
      </c>
      <c r="M22" s="11" t="s">
        <v>174</v>
      </c>
      <c r="N22" s="386" t="s">
        <v>1302</v>
      </c>
      <c r="O22" s="272"/>
      <c r="P22" s="272">
        <v>3.837333333333333</v>
      </c>
      <c r="Q22" s="272"/>
      <c r="R22" s="272"/>
    </row>
    <row r="23" spans="1:21" x14ac:dyDescent="0.25">
      <c r="A23" s="260" t="s">
        <v>1183</v>
      </c>
      <c r="B23" s="5"/>
      <c r="C23" s="387">
        <v>43122</v>
      </c>
      <c r="D23" s="261" t="s">
        <v>1195</v>
      </c>
      <c r="E23" s="261" t="s">
        <v>1194</v>
      </c>
      <c r="F23" s="11">
        <v>110</v>
      </c>
      <c r="G23" s="11">
        <v>35</v>
      </c>
      <c r="H23" s="11">
        <v>35</v>
      </c>
      <c r="I23" s="11">
        <v>400</v>
      </c>
      <c r="J23" s="11" t="s">
        <v>743</v>
      </c>
      <c r="K23" s="11" t="s">
        <v>174</v>
      </c>
      <c r="L23" s="11" t="s">
        <v>743</v>
      </c>
      <c r="M23" s="11" t="s">
        <v>174</v>
      </c>
      <c r="N23" s="386" t="s">
        <v>1302</v>
      </c>
      <c r="O23" s="272"/>
      <c r="P23" s="272">
        <v>4.5179666666666662</v>
      </c>
      <c r="Q23" s="272"/>
      <c r="R23" s="272"/>
    </row>
    <row r="24" spans="1:21" x14ac:dyDescent="0.25">
      <c r="A24" s="260" t="s">
        <v>1182</v>
      </c>
      <c r="B24" s="5"/>
      <c r="C24" s="387">
        <v>43122</v>
      </c>
      <c r="D24" s="261" t="s">
        <v>1195</v>
      </c>
      <c r="E24" s="261" t="s">
        <v>1194</v>
      </c>
      <c r="F24" s="11">
        <v>110</v>
      </c>
      <c r="G24" s="11">
        <v>35</v>
      </c>
      <c r="H24" s="11">
        <v>35</v>
      </c>
      <c r="I24" s="11">
        <v>600</v>
      </c>
      <c r="J24" s="11" t="s">
        <v>743</v>
      </c>
      <c r="K24" s="11" t="s">
        <v>174</v>
      </c>
      <c r="L24" s="11" t="s">
        <v>743</v>
      </c>
      <c r="M24" s="11" t="s">
        <v>174</v>
      </c>
      <c r="N24" s="386" t="s">
        <v>1302</v>
      </c>
      <c r="O24" s="272"/>
      <c r="P24" s="272">
        <v>4.1548666666666669</v>
      </c>
      <c r="Q24" s="272"/>
      <c r="R24" s="272"/>
    </row>
    <row r="25" spans="1:21" x14ac:dyDescent="0.25">
      <c r="A25" s="260" t="s">
        <v>1181</v>
      </c>
      <c r="B25" s="5"/>
      <c r="C25" s="387">
        <v>43122</v>
      </c>
      <c r="D25" s="261" t="s">
        <v>1195</v>
      </c>
      <c r="E25" s="261" t="s">
        <v>1194</v>
      </c>
      <c r="F25" s="11">
        <v>110</v>
      </c>
      <c r="G25" s="11">
        <v>35</v>
      </c>
      <c r="H25" s="11">
        <v>35</v>
      </c>
      <c r="I25" s="11">
        <v>800</v>
      </c>
      <c r="J25" s="11" t="s">
        <v>743</v>
      </c>
      <c r="K25" s="11" t="s">
        <v>174</v>
      </c>
      <c r="L25" s="11" t="s">
        <v>743</v>
      </c>
      <c r="M25" s="11" t="s">
        <v>174</v>
      </c>
      <c r="N25" s="386" t="s">
        <v>1302</v>
      </c>
      <c r="O25" s="272"/>
      <c r="P25" s="272">
        <v>3.3667666666666669</v>
      </c>
      <c r="Q25" s="272"/>
      <c r="R25" s="272"/>
    </row>
    <row r="26" spans="1:21" x14ac:dyDescent="0.25">
      <c r="A26" s="260" t="s">
        <v>1180</v>
      </c>
      <c r="B26" s="5"/>
      <c r="C26" s="387">
        <v>43122</v>
      </c>
      <c r="D26" s="261" t="s">
        <v>1195</v>
      </c>
      <c r="E26" s="261" t="s">
        <v>1194</v>
      </c>
      <c r="F26" s="11">
        <v>110</v>
      </c>
      <c r="G26" s="11">
        <v>35</v>
      </c>
      <c r="H26" s="11">
        <v>35</v>
      </c>
      <c r="I26" s="11">
        <v>1000</v>
      </c>
      <c r="J26" s="11" t="s">
        <v>743</v>
      </c>
      <c r="K26" s="11" t="s">
        <v>174</v>
      </c>
      <c r="L26" s="11" t="s">
        <v>743</v>
      </c>
      <c r="M26" s="11" t="s">
        <v>174</v>
      </c>
      <c r="N26" s="386" t="s">
        <v>1302</v>
      </c>
      <c r="O26" s="272"/>
      <c r="P26" s="272">
        <v>3.5436000000000001</v>
      </c>
      <c r="Q26" s="272"/>
      <c r="R26" s="272"/>
    </row>
    <row r="27" spans="1:21" x14ac:dyDescent="0.25">
      <c r="A27" s="260" t="s">
        <v>1179</v>
      </c>
      <c r="B27" s="5"/>
      <c r="C27" s="387">
        <v>43125</v>
      </c>
      <c r="D27" s="261" t="s">
        <v>1195</v>
      </c>
      <c r="E27" s="261" t="s">
        <v>1194</v>
      </c>
      <c r="F27" s="11">
        <v>170</v>
      </c>
      <c r="G27" s="11">
        <v>5</v>
      </c>
      <c r="H27" s="11">
        <v>5</v>
      </c>
      <c r="I27" s="11">
        <v>1000</v>
      </c>
      <c r="J27" s="11" t="s">
        <v>670</v>
      </c>
      <c r="K27" s="11" t="s">
        <v>274</v>
      </c>
      <c r="L27" s="11" t="s">
        <v>670</v>
      </c>
      <c r="M27" s="11" t="s">
        <v>274</v>
      </c>
      <c r="N27" s="386" t="s">
        <v>1302</v>
      </c>
      <c r="O27" s="272"/>
      <c r="P27" s="272"/>
      <c r="Q27" s="272"/>
      <c r="R27" s="272"/>
      <c r="S27" s="272"/>
      <c r="U27" s="11" t="s">
        <v>1229</v>
      </c>
    </row>
    <row r="28" spans="1:21" x14ac:dyDescent="0.25">
      <c r="A28" s="260" t="s">
        <v>1178</v>
      </c>
      <c r="B28" s="5"/>
      <c r="C28" s="387">
        <v>43125</v>
      </c>
      <c r="D28" s="261" t="s">
        <v>1195</v>
      </c>
      <c r="E28" s="261" t="s">
        <v>1194</v>
      </c>
      <c r="F28" s="11">
        <v>170</v>
      </c>
      <c r="G28" s="11">
        <v>5</v>
      </c>
      <c r="H28" s="11">
        <v>5</v>
      </c>
      <c r="I28" s="11">
        <v>200</v>
      </c>
      <c r="J28" s="11" t="s">
        <v>670</v>
      </c>
      <c r="K28" s="11" t="s">
        <v>274</v>
      </c>
      <c r="L28" s="11" t="s">
        <v>670</v>
      </c>
      <c r="M28" s="11" t="s">
        <v>274</v>
      </c>
      <c r="N28" s="386" t="s">
        <v>1302</v>
      </c>
      <c r="O28" s="272"/>
      <c r="P28" s="272"/>
      <c r="Q28" s="272"/>
      <c r="R28" s="272"/>
      <c r="S28" s="272"/>
      <c r="U28" s="11" t="s">
        <v>1230</v>
      </c>
    </row>
    <row r="29" spans="1:21" x14ac:dyDescent="0.25">
      <c r="A29" s="260" t="s">
        <v>1177</v>
      </c>
      <c r="B29" s="5"/>
      <c r="C29" s="387">
        <v>43125</v>
      </c>
      <c r="D29" s="261" t="s">
        <v>1195</v>
      </c>
      <c r="E29" s="261" t="s">
        <v>1194</v>
      </c>
      <c r="F29" s="11">
        <v>110</v>
      </c>
      <c r="G29" s="11">
        <v>35</v>
      </c>
      <c r="H29" s="11">
        <v>35</v>
      </c>
      <c r="I29" s="11">
        <v>1000</v>
      </c>
      <c r="J29" s="11" t="s">
        <v>670</v>
      </c>
      <c r="K29" s="11" t="s">
        <v>274</v>
      </c>
      <c r="L29" s="11" t="s">
        <v>670</v>
      </c>
      <c r="M29" s="11" t="s">
        <v>274</v>
      </c>
      <c r="N29" s="386" t="s">
        <v>1302</v>
      </c>
      <c r="O29" s="272"/>
      <c r="P29" s="272"/>
      <c r="Q29" s="272"/>
      <c r="R29" s="272"/>
      <c r="S29" s="272"/>
      <c r="U29" s="11" t="s">
        <v>1231</v>
      </c>
    </row>
    <row r="30" spans="1:21" x14ac:dyDescent="0.25">
      <c r="A30" s="260" t="s">
        <v>1176</v>
      </c>
      <c r="B30" s="5"/>
      <c r="C30" s="387">
        <v>43125</v>
      </c>
      <c r="D30" s="261" t="s">
        <v>1195</v>
      </c>
      <c r="E30" s="261" t="s">
        <v>1194</v>
      </c>
      <c r="F30" s="11">
        <v>110</v>
      </c>
      <c r="G30" s="11">
        <v>35</v>
      </c>
      <c r="H30" s="11">
        <v>35</v>
      </c>
      <c r="I30" s="11">
        <v>200</v>
      </c>
      <c r="J30" s="11" t="s">
        <v>670</v>
      </c>
      <c r="K30" s="11" t="s">
        <v>274</v>
      </c>
      <c r="L30" s="11" t="s">
        <v>670</v>
      </c>
      <c r="M30" s="11" t="s">
        <v>274</v>
      </c>
      <c r="N30" s="386" t="s">
        <v>1302</v>
      </c>
      <c r="O30" s="272"/>
      <c r="P30" s="272"/>
      <c r="Q30" s="272"/>
      <c r="R30" s="272"/>
      <c r="S30" s="272"/>
      <c r="U30" s="11" t="s">
        <v>1232</v>
      </c>
    </row>
    <row r="31" spans="1:21" x14ac:dyDescent="0.25">
      <c r="A31" s="260" t="s">
        <v>1175</v>
      </c>
      <c r="B31" s="5"/>
      <c r="C31" s="387">
        <v>43124</v>
      </c>
      <c r="D31" s="261" t="s">
        <v>1306</v>
      </c>
      <c r="E31" s="261" t="s">
        <v>1304</v>
      </c>
      <c r="F31" s="11" t="s">
        <v>1305</v>
      </c>
      <c r="G31" s="11" t="s">
        <v>1305</v>
      </c>
      <c r="H31" s="11" t="s">
        <v>1305</v>
      </c>
      <c r="I31" s="11" t="s">
        <v>1305</v>
      </c>
      <c r="J31" s="11" t="s">
        <v>670</v>
      </c>
      <c r="K31" s="11" t="s">
        <v>274</v>
      </c>
      <c r="L31" s="11" t="s">
        <v>670</v>
      </c>
      <c r="M31" s="11" t="s">
        <v>274</v>
      </c>
      <c r="N31" s="386" t="s">
        <v>1302</v>
      </c>
      <c r="O31" s="272"/>
      <c r="P31" s="272"/>
      <c r="Q31" s="272"/>
      <c r="R31" s="272"/>
      <c r="S31" s="272"/>
    </row>
    <row r="32" spans="1:21" ht="30" x14ac:dyDescent="0.25">
      <c r="A32" s="260" t="s">
        <v>1174</v>
      </c>
      <c r="B32" s="5"/>
      <c r="C32" s="387">
        <v>43124</v>
      </c>
      <c r="D32" s="261" t="s">
        <v>1307</v>
      </c>
      <c r="E32" s="261" t="s">
        <v>1308</v>
      </c>
      <c r="F32" s="11" t="s">
        <v>1305</v>
      </c>
      <c r="G32" s="11" t="s">
        <v>1305</v>
      </c>
      <c r="H32" s="11" t="s">
        <v>1305</v>
      </c>
      <c r="I32" s="11" t="s">
        <v>1305</v>
      </c>
      <c r="J32" s="11" t="s">
        <v>670</v>
      </c>
      <c r="K32" s="11" t="s">
        <v>274</v>
      </c>
      <c r="L32" s="11" t="s">
        <v>670</v>
      </c>
      <c r="M32" s="11" t="s">
        <v>274</v>
      </c>
      <c r="N32" s="386" t="s">
        <v>1302</v>
      </c>
      <c r="O32" s="272"/>
      <c r="P32" s="272"/>
      <c r="Q32" s="272"/>
      <c r="R32" s="272"/>
      <c r="S32" s="272"/>
      <c r="U32" s="400" t="s">
        <v>1332</v>
      </c>
    </row>
    <row r="33" spans="1:21" x14ac:dyDescent="0.25">
      <c r="A33" s="260" t="s">
        <v>1173</v>
      </c>
      <c r="C33" s="387">
        <v>43124</v>
      </c>
      <c r="D33" s="261" t="s">
        <v>1306</v>
      </c>
      <c r="E33" s="11" t="s">
        <v>1304</v>
      </c>
      <c r="F33" s="11" t="s">
        <v>1305</v>
      </c>
      <c r="G33" s="11" t="s">
        <v>1305</v>
      </c>
      <c r="H33" s="11" t="s">
        <v>1305</v>
      </c>
      <c r="I33" s="11" t="s">
        <v>1305</v>
      </c>
      <c r="J33" s="11" t="s">
        <v>743</v>
      </c>
      <c r="K33" s="11" t="s">
        <v>174</v>
      </c>
      <c r="L33" s="11" t="s">
        <v>743</v>
      </c>
      <c r="M33" s="11" t="s">
        <v>174</v>
      </c>
      <c r="N33" s="386" t="s">
        <v>1302</v>
      </c>
      <c r="P33" s="272">
        <v>10.794000000000002</v>
      </c>
      <c r="Q33" s="272" t="s">
        <v>1374</v>
      </c>
      <c r="R33" s="272"/>
      <c r="S33" s="272"/>
    </row>
    <row r="34" spans="1:21" x14ac:dyDescent="0.25">
      <c r="A34" s="260" t="s">
        <v>1172</v>
      </c>
      <c r="B34" s="5"/>
      <c r="C34" s="387">
        <v>43124</v>
      </c>
      <c r="D34" s="261" t="s">
        <v>1306</v>
      </c>
      <c r="E34" s="11" t="s">
        <v>1304</v>
      </c>
      <c r="F34" s="11" t="s">
        <v>1305</v>
      </c>
      <c r="G34" s="11" t="s">
        <v>1305</v>
      </c>
      <c r="H34" s="11" t="s">
        <v>1305</v>
      </c>
      <c r="I34" s="11" t="s">
        <v>1305</v>
      </c>
      <c r="J34" s="11" t="s">
        <v>743</v>
      </c>
      <c r="K34" s="11" t="s">
        <v>174</v>
      </c>
      <c r="L34" s="11" t="s">
        <v>743</v>
      </c>
      <c r="M34" s="11" t="s">
        <v>174</v>
      </c>
      <c r="N34" s="386" t="s">
        <v>1302</v>
      </c>
      <c r="O34" s="272">
        <v>13.752000000000001</v>
      </c>
      <c r="Q34" s="272" t="s">
        <v>1374</v>
      </c>
      <c r="R34" s="272"/>
      <c r="S34" s="272"/>
    </row>
    <row r="35" spans="1:21" ht="30" x14ac:dyDescent="0.25">
      <c r="A35" s="260" t="s">
        <v>1171</v>
      </c>
      <c r="B35" s="5"/>
      <c r="C35" s="387">
        <v>43124</v>
      </c>
      <c r="D35" s="261" t="s">
        <v>1307</v>
      </c>
      <c r="E35" s="261" t="s">
        <v>1308</v>
      </c>
      <c r="F35" s="11" t="s">
        <v>1305</v>
      </c>
      <c r="G35" s="11" t="s">
        <v>1305</v>
      </c>
      <c r="H35" s="11" t="s">
        <v>1305</v>
      </c>
      <c r="I35" s="11" t="s">
        <v>1305</v>
      </c>
      <c r="J35" s="11" t="s">
        <v>743</v>
      </c>
      <c r="K35" s="11" t="s">
        <v>174</v>
      </c>
      <c r="L35" s="11" t="s">
        <v>743</v>
      </c>
      <c r="M35" s="11" t="s">
        <v>174</v>
      </c>
      <c r="N35" s="386" t="s">
        <v>1302</v>
      </c>
      <c r="O35" s="272">
        <v>3.2078333333333333</v>
      </c>
      <c r="P35" s="272"/>
      <c r="Q35" s="272"/>
      <c r="R35" s="272"/>
      <c r="S35" s="272"/>
      <c r="U35" s="257" t="s">
        <v>1332</v>
      </c>
    </row>
    <row r="36" spans="1:21" x14ac:dyDescent="0.25">
      <c r="A36" s="260" t="s">
        <v>1170</v>
      </c>
      <c r="B36" s="5"/>
      <c r="C36" s="387">
        <v>43126</v>
      </c>
      <c r="D36" s="261" t="s">
        <v>1195</v>
      </c>
      <c r="E36" s="261" t="s">
        <v>1194</v>
      </c>
      <c r="F36" s="11">
        <v>170</v>
      </c>
      <c r="G36" s="11">
        <v>5</v>
      </c>
      <c r="H36" s="11">
        <v>5</v>
      </c>
      <c r="I36" s="11">
        <v>200</v>
      </c>
      <c r="J36" s="11" t="s">
        <v>743</v>
      </c>
      <c r="K36" s="11" t="s">
        <v>174</v>
      </c>
      <c r="L36" s="11" t="s">
        <v>743</v>
      </c>
      <c r="M36" s="11" t="s">
        <v>174</v>
      </c>
      <c r="N36" s="386" t="s">
        <v>1302</v>
      </c>
      <c r="O36" s="272"/>
      <c r="P36" s="395">
        <v>4.4672999999999998</v>
      </c>
      <c r="Q36" s="395"/>
      <c r="R36" s="272"/>
    </row>
    <row r="37" spans="1:21" x14ac:dyDescent="0.25">
      <c r="A37" s="260" t="s">
        <v>1169</v>
      </c>
      <c r="B37" s="5"/>
      <c r="C37" s="387">
        <v>43126</v>
      </c>
      <c r="D37" s="261" t="s">
        <v>1195</v>
      </c>
      <c r="E37" s="261" t="s">
        <v>1194</v>
      </c>
      <c r="F37" s="11">
        <v>170</v>
      </c>
      <c r="G37" s="11">
        <v>5</v>
      </c>
      <c r="H37" s="11">
        <v>5</v>
      </c>
      <c r="I37" s="11">
        <v>400</v>
      </c>
      <c r="J37" s="11" t="s">
        <v>743</v>
      </c>
      <c r="K37" s="11" t="s">
        <v>174</v>
      </c>
      <c r="L37" s="11" t="s">
        <v>743</v>
      </c>
      <c r="M37" s="11" t="s">
        <v>174</v>
      </c>
      <c r="N37" s="386" t="s">
        <v>1302</v>
      </c>
      <c r="O37" s="272"/>
      <c r="P37" s="395">
        <v>3.8102666666666667</v>
      </c>
      <c r="Q37" s="395"/>
      <c r="R37" s="272"/>
    </row>
    <row r="38" spans="1:21" x14ac:dyDescent="0.25">
      <c r="A38" s="260" t="s">
        <v>1168</v>
      </c>
      <c r="B38" s="5"/>
      <c r="C38" s="387">
        <v>43126</v>
      </c>
      <c r="D38" s="261" t="s">
        <v>1195</v>
      </c>
      <c r="E38" s="261" t="s">
        <v>1194</v>
      </c>
      <c r="F38" s="11">
        <v>170</v>
      </c>
      <c r="G38" s="11">
        <v>5</v>
      </c>
      <c r="H38" s="11">
        <v>5</v>
      </c>
      <c r="I38" s="11">
        <v>600</v>
      </c>
      <c r="J38" s="11" t="s">
        <v>743</v>
      </c>
      <c r="K38" s="11" t="s">
        <v>174</v>
      </c>
      <c r="L38" s="11" t="s">
        <v>743</v>
      </c>
      <c r="M38" s="11" t="s">
        <v>174</v>
      </c>
      <c r="N38" s="386" t="s">
        <v>1302</v>
      </c>
      <c r="O38" s="272"/>
      <c r="P38" s="395">
        <v>4.1620333333333335</v>
      </c>
      <c r="Q38" s="395"/>
      <c r="R38" s="272"/>
    </row>
    <row r="39" spans="1:21" x14ac:dyDescent="0.25">
      <c r="A39" s="260" t="s">
        <v>1167</v>
      </c>
      <c r="B39" s="5"/>
      <c r="C39" s="387">
        <v>43126</v>
      </c>
      <c r="D39" s="261" t="s">
        <v>1195</v>
      </c>
      <c r="E39" s="261" t="s">
        <v>1194</v>
      </c>
      <c r="F39" s="11">
        <v>170</v>
      </c>
      <c r="G39" s="11">
        <v>5</v>
      </c>
      <c r="H39" s="11">
        <v>5</v>
      </c>
      <c r="I39" s="11">
        <v>800</v>
      </c>
      <c r="J39" s="11" t="s">
        <v>743</v>
      </c>
      <c r="K39" s="11" t="s">
        <v>174</v>
      </c>
      <c r="L39" s="11" t="s">
        <v>743</v>
      </c>
      <c r="M39" s="11" t="s">
        <v>174</v>
      </c>
      <c r="N39" s="386" t="s">
        <v>1302</v>
      </c>
      <c r="O39" s="272"/>
      <c r="P39" s="395">
        <v>3.9698666666666664</v>
      </c>
      <c r="Q39" s="395"/>
      <c r="R39" s="272"/>
    </row>
    <row r="40" spans="1:21" x14ac:dyDescent="0.25">
      <c r="A40" s="260" t="s">
        <v>1166</v>
      </c>
      <c r="B40" s="5"/>
      <c r="C40" s="387">
        <v>43126</v>
      </c>
      <c r="D40" s="261" t="s">
        <v>1195</v>
      </c>
      <c r="E40" s="261" t="s">
        <v>1194</v>
      </c>
      <c r="F40" s="11">
        <v>170</v>
      </c>
      <c r="G40" s="11">
        <v>5</v>
      </c>
      <c r="H40" s="11">
        <v>5</v>
      </c>
      <c r="I40" s="11">
        <v>1000</v>
      </c>
      <c r="J40" s="11" t="s">
        <v>743</v>
      </c>
      <c r="K40" s="11" t="s">
        <v>174</v>
      </c>
      <c r="L40" s="11" t="s">
        <v>743</v>
      </c>
      <c r="M40" s="11" t="s">
        <v>174</v>
      </c>
      <c r="N40" s="386" t="s">
        <v>1302</v>
      </c>
      <c r="O40" s="272"/>
      <c r="P40" s="395">
        <v>2.8250666666666668</v>
      </c>
      <c r="Q40" s="395"/>
      <c r="R40" s="272"/>
    </row>
    <row r="41" spans="1:21" x14ac:dyDescent="0.25">
      <c r="A41" s="260" t="s">
        <v>1165</v>
      </c>
      <c r="B41" s="5"/>
      <c r="C41" s="387">
        <v>43126</v>
      </c>
      <c r="D41" s="261" t="s">
        <v>1195</v>
      </c>
      <c r="E41" s="261" t="s">
        <v>1194</v>
      </c>
      <c r="F41" s="11">
        <v>170</v>
      </c>
      <c r="G41" s="11">
        <v>5</v>
      </c>
      <c r="H41" s="11">
        <v>5</v>
      </c>
      <c r="I41" s="11">
        <v>200</v>
      </c>
      <c r="J41" s="11" t="s">
        <v>743</v>
      </c>
      <c r="K41" s="11" t="s">
        <v>174</v>
      </c>
      <c r="L41" s="11" t="s">
        <v>743</v>
      </c>
      <c r="M41" s="11" t="s">
        <v>174</v>
      </c>
      <c r="N41" s="386" t="s">
        <v>1302</v>
      </c>
      <c r="O41" s="395">
        <v>3.9372000000000003</v>
      </c>
      <c r="P41" s="272"/>
      <c r="Q41" s="272"/>
      <c r="S41" s="272"/>
    </row>
    <row r="42" spans="1:21" x14ac:dyDescent="0.25">
      <c r="A42" s="260" t="s">
        <v>1164</v>
      </c>
      <c r="B42" s="5"/>
      <c r="C42" s="387">
        <v>43126</v>
      </c>
      <c r="D42" s="261" t="s">
        <v>1195</v>
      </c>
      <c r="E42" s="261" t="s">
        <v>1194</v>
      </c>
      <c r="F42" s="11">
        <v>170</v>
      </c>
      <c r="G42" s="11">
        <v>5</v>
      </c>
      <c r="H42" s="11">
        <v>5</v>
      </c>
      <c r="I42" s="11">
        <v>400</v>
      </c>
      <c r="J42" s="11" t="s">
        <v>743</v>
      </c>
      <c r="K42" s="11" t="s">
        <v>174</v>
      </c>
      <c r="L42" s="11" t="s">
        <v>743</v>
      </c>
      <c r="M42" s="11" t="s">
        <v>174</v>
      </c>
      <c r="N42" s="386" t="s">
        <v>1302</v>
      </c>
      <c r="O42" s="395">
        <v>4.130933333333334</v>
      </c>
      <c r="P42" s="272"/>
      <c r="Q42" s="272"/>
      <c r="S42" s="272"/>
    </row>
    <row r="43" spans="1:21" x14ac:dyDescent="0.25">
      <c r="A43" s="260" t="s">
        <v>1163</v>
      </c>
      <c r="B43" s="5"/>
      <c r="C43" s="387">
        <v>43126</v>
      </c>
      <c r="D43" s="261" t="s">
        <v>1195</v>
      </c>
      <c r="E43" s="261" t="s">
        <v>1194</v>
      </c>
      <c r="F43" s="11">
        <v>170</v>
      </c>
      <c r="G43" s="11">
        <v>5</v>
      </c>
      <c r="H43" s="11">
        <v>5</v>
      </c>
      <c r="I43" s="11">
        <v>600</v>
      </c>
      <c r="J43" s="11" t="s">
        <v>743</v>
      </c>
      <c r="K43" s="11" t="s">
        <v>174</v>
      </c>
      <c r="L43" s="11" t="s">
        <v>743</v>
      </c>
      <c r="M43" s="11" t="s">
        <v>174</v>
      </c>
      <c r="N43" s="386" t="s">
        <v>1302</v>
      </c>
      <c r="O43" s="395">
        <v>3.0322666666666667</v>
      </c>
      <c r="P43" s="272"/>
      <c r="Q43" s="272"/>
      <c r="S43" s="272"/>
    </row>
    <row r="44" spans="1:21" x14ac:dyDescent="0.25">
      <c r="A44" s="260" t="s">
        <v>1162</v>
      </c>
      <c r="B44" s="5"/>
      <c r="C44" s="387">
        <v>43126</v>
      </c>
      <c r="D44" s="261" t="s">
        <v>1195</v>
      </c>
      <c r="E44" s="261" t="s">
        <v>1194</v>
      </c>
      <c r="F44" s="11">
        <v>170</v>
      </c>
      <c r="G44" s="11">
        <v>5</v>
      </c>
      <c r="H44" s="11">
        <v>5</v>
      </c>
      <c r="I44" s="11">
        <v>800</v>
      </c>
      <c r="J44" s="11" t="s">
        <v>743</v>
      </c>
      <c r="K44" s="11" t="s">
        <v>174</v>
      </c>
      <c r="L44" s="11" t="s">
        <v>743</v>
      </c>
      <c r="M44" s="11" t="s">
        <v>174</v>
      </c>
      <c r="N44" s="386" t="s">
        <v>1302</v>
      </c>
      <c r="O44" s="395">
        <v>2.4746666666666663</v>
      </c>
      <c r="P44" s="272"/>
      <c r="Q44" s="272"/>
      <c r="S44" s="272"/>
    </row>
    <row r="45" spans="1:21" x14ac:dyDescent="0.25">
      <c r="A45" s="260" t="s">
        <v>1161</v>
      </c>
      <c r="B45" s="5"/>
      <c r="C45" s="387">
        <v>43126</v>
      </c>
      <c r="D45" s="261" t="s">
        <v>1195</v>
      </c>
      <c r="E45" s="261" t="s">
        <v>1194</v>
      </c>
      <c r="F45" s="11">
        <v>170</v>
      </c>
      <c r="G45" s="11">
        <v>5</v>
      </c>
      <c r="H45" s="11">
        <v>5</v>
      </c>
      <c r="I45" s="11">
        <v>1000</v>
      </c>
      <c r="J45" s="11" t="s">
        <v>743</v>
      </c>
      <c r="K45" s="11" t="s">
        <v>174</v>
      </c>
      <c r="L45" s="11" t="s">
        <v>743</v>
      </c>
      <c r="M45" s="11" t="s">
        <v>174</v>
      </c>
      <c r="N45" s="386" t="s">
        <v>1302</v>
      </c>
      <c r="O45" s="395">
        <v>2.7215333333333334</v>
      </c>
      <c r="P45" s="272"/>
      <c r="Q45" s="272"/>
      <c r="S45" s="272"/>
    </row>
    <row r="46" spans="1:21" x14ac:dyDescent="0.25">
      <c r="A46" s="260" t="s">
        <v>1160</v>
      </c>
      <c r="B46" s="5"/>
      <c r="C46" s="387">
        <v>43126</v>
      </c>
      <c r="D46" s="261" t="s">
        <v>1195</v>
      </c>
      <c r="E46" s="261" t="s">
        <v>1194</v>
      </c>
      <c r="F46" s="11">
        <v>170</v>
      </c>
      <c r="G46" s="11">
        <v>5</v>
      </c>
      <c r="H46" s="11">
        <v>5</v>
      </c>
      <c r="I46" s="11">
        <v>200</v>
      </c>
      <c r="J46" s="11" t="s">
        <v>681</v>
      </c>
      <c r="K46" s="11" t="s">
        <v>174</v>
      </c>
      <c r="L46" s="11" t="s">
        <v>681</v>
      </c>
      <c r="M46" s="11" t="s">
        <v>174</v>
      </c>
      <c r="N46" s="386" t="s">
        <v>1302</v>
      </c>
      <c r="O46" s="272"/>
      <c r="P46" s="395">
        <v>4.9656333333333338</v>
      </c>
      <c r="Q46" s="395"/>
      <c r="R46" s="272"/>
    </row>
    <row r="47" spans="1:21" x14ac:dyDescent="0.25">
      <c r="A47" s="260" t="s">
        <v>1159</v>
      </c>
      <c r="B47" s="5"/>
      <c r="C47" s="387">
        <v>43126</v>
      </c>
      <c r="D47" s="261" t="s">
        <v>1195</v>
      </c>
      <c r="E47" s="261" t="s">
        <v>1194</v>
      </c>
      <c r="F47" s="11">
        <v>170</v>
      </c>
      <c r="G47" s="11">
        <v>5</v>
      </c>
      <c r="H47" s="11">
        <v>5</v>
      </c>
      <c r="I47" s="11">
        <v>400</v>
      </c>
      <c r="J47" s="11" t="s">
        <v>681</v>
      </c>
      <c r="K47" s="11" t="s">
        <v>174</v>
      </c>
      <c r="L47" s="11" t="s">
        <v>681</v>
      </c>
      <c r="M47" s="11" t="s">
        <v>174</v>
      </c>
      <c r="N47" s="386" t="s">
        <v>1302</v>
      </c>
      <c r="O47" s="272"/>
      <c r="P47" s="395">
        <v>4.4569000000000001</v>
      </c>
      <c r="Q47" s="395"/>
      <c r="R47" s="272"/>
    </row>
    <row r="48" spans="1:21" x14ac:dyDescent="0.25">
      <c r="A48" s="260" t="s">
        <v>1158</v>
      </c>
      <c r="B48" s="5"/>
      <c r="C48" s="387">
        <v>43126</v>
      </c>
      <c r="D48" s="261" t="s">
        <v>1195</v>
      </c>
      <c r="E48" s="261" t="s">
        <v>1194</v>
      </c>
      <c r="F48" s="11">
        <v>170</v>
      </c>
      <c r="G48" s="11">
        <v>5</v>
      </c>
      <c r="H48" s="11">
        <v>5</v>
      </c>
      <c r="I48" s="11">
        <v>600</v>
      </c>
      <c r="J48" s="11" t="s">
        <v>681</v>
      </c>
      <c r="K48" s="11" t="s">
        <v>174</v>
      </c>
      <c r="L48" s="11" t="s">
        <v>681</v>
      </c>
      <c r="M48" s="11" t="s">
        <v>174</v>
      </c>
      <c r="N48" s="386" t="s">
        <v>1302</v>
      </c>
      <c r="O48" s="272"/>
      <c r="P48" s="395">
        <v>5.0185000000000004</v>
      </c>
      <c r="Q48" s="395"/>
      <c r="R48" s="272"/>
    </row>
    <row r="49" spans="1:19" x14ac:dyDescent="0.25">
      <c r="A49" s="260" t="s">
        <v>1157</v>
      </c>
      <c r="B49" s="5"/>
      <c r="C49" s="387">
        <v>43129</v>
      </c>
      <c r="D49" s="261" t="s">
        <v>1306</v>
      </c>
      <c r="E49" s="261" t="s">
        <v>1333</v>
      </c>
      <c r="F49" s="11" t="s">
        <v>1305</v>
      </c>
      <c r="G49" s="11" t="s">
        <v>1305</v>
      </c>
      <c r="H49" s="11" t="s">
        <v>1305</v>
      </c>
      <c r="I49" s="11" t="s">
        <v>1305</v>
      </c>
      <c r="J49" s="11" t="s">
        <v>82</v>
      </c>
      <c r="K49" s="11" t="s">
        <v>82</v>
      </c>
      <c r="L49" s="11" t="s">
        <v>82</v>
      </c>
      <c r="M49" s="11" t="s">
        <v>82</v>
      </c>
      <c r="N49" s="386" t="s">
        <v>1302</v>
      </c>
      <c r="O49" s="272"/>
      <c r="P49" s="272"/>
      <c r="Q49" s="272"/>
      <c r="R49" s="272"/>
    </row>
    <row r="50" spans="1:19" x14ac:dyDescent="0.25">
      <c r="A50" s="260" t="s">
        <v>1156</v>
      </c>
      <c r="B50" s="5"/>
      <c r="C50" s="387">
        <v>43129</v>
      </c>
      <c r="D50" s="261" t="s">
        <v>1334</v>
      </c>
      <c r="E50" s="261" t="s">
        <v>1335</v>
      </c>
      <c r="F50" s="11" t="s">
        <v>1305</v>
      </c>
      <c r="G50" s="11" t="s">
        <v>1305</v>
      </c>
      <c r="H50" s="11" t="s">
        <v>1305</v>
      </c>
      <c r="I50" s="11" t="s">
        <v>1305</v>
      </c>
      <c r="J50" s="11" t="s">
        <v>743</v>
      </c>
      <c r="K50" s="11" t="s">
        <v>174</v>
      </c>
      <c r="L50" s="11" t="s">
        <v>743</v>
      </c>
      <c r="M50" s="11" t="s">
        <v>174</v>
      </c>
      <c r="N50" s="386" t="s">
        <v>1302</v>
      </c>
      <c r="O50" s="272"/>
      <c r="P50" s="395">
        <v>1.0015000000000001</v>
      </c>
      <c r="Q50" s="395"/>
      <c r="R50" s="272"/>
    </row>
    <row r="51" spans="1:19" x14ac:dyDescent="0.25">
      <c r="A51" s="260" t="s">
        <v>1155</v>
      </c>
      <c r="B51" s="5"/>
      <c r="C51" s="387">
        <v>43146</v>
      </c>
      <c r="D51" s="261" t="s">
        <v>1306</v>
      </c>
      <c r="E51" s="261" t="s">
        <v>1344</v>
      </c>
      <c r="F51" s="11" t="s">
        <v>1305</v>
      </c>
      <c r="G51" s="11" t="s">
        <v>1305</v>
      </c>
      <c r="H51" s="11" t="s">
        <v>1305</v>
      </c>
      <c r="I51" s="11" t="s">
        <v>1305</v>
      </c>
      <c r="J51" s="11" t="s">
        <v>743</v>
      </c>
      <c r="K51" s="11" t="s">
        <v>174</v>
      </c>
      <c r="L51" s="11" t="s">
        <v>743</v>
      </c>
      <c r="M51" s="11" t="s">
        <v>174</v>
      </c>
      <c r="N51" s="386" t="s">
        <v>1302</v>
      </c>
      <c r="O51" s="272"/>
      <c r="P51" s="272">
        <v>12.7315</v>
      </c>
      <c r="Q51" s="272" t="s">
        <v>1371</v>
      </c>
      <c r="R51" s="272"/>
      <c r="S51" s="272"/>
    </row>
    <row r="52" spans="1:19" x14ac:dyDescent="0.25">
      <c r="A52" s="260" t="s">
        <v>1154</v>
      </c>
      <c r="B52" s="5"/>
      <c r="C52" s="387">
        <v>43151</v>
      </c>
      <c r="D52" s="261" t="s">
        <v>1306</v>
      </c>
      <c r="E52" s="261" t="s">
        <v>1343</v>
      </c>
      <c r="F52" s="11" t="s">
        <v>1305</v>
      </c>
      <c r="G52" s="11" t="s">
        <v>1305</v>
      </c>
      <c r="H52" s="11" t="s">
        <v>1305</v>
      </c>
      <c r="I52" s="11" t="s">
        <v>1305</v>
      </c>
      <c r="J52" s="11" t="s">
        <v>743</v>
      </c>
      <c r="K52" s="11" t="s">
        <v>174</v>
      </c>
      <c r="L52" s="11" t="s">
        <v>743</v>
      </c>
      <c r="M52" s="11" t="s">
        <v>174</v>
      </c>
      <c r="N52" s="386" t="s">
        <v>1302</v>
      </c>
      <c r="O52" s="272"/>
      <c r="P52" s="272">
        <v>7.2345000000000006</v>
      </c>
      <c r="Q52" s="272" t="s">
        <v>1372</v>
      </c>
      <c r="R52" s="272"/>
      <c r="S52" s="272"/>
    </row>
    <row r="53" spans="1:19" x14ac:dyDescent="0.25">
      <c r="A53" s="260" t="s">
        <v>1153</v>
      </c>
      <c r="B53" s="5"/>
      <c r="C53" s="387">
        <v>43167</v>
      </c>
      <c r="D53" s="261" t="s">
        <v>1306</v>
      </c>
      <c r="E53" s="261" t="s">
        <v>1345</v>
      </c>
      <c r="F53" s="11" t="s">
        <v>1305</v>
      </c>
      <c r="G53" s="11" t="s">
        <v>1305</v>
      </c>
      <c r="H53" s="11" t="s">
        <v>1305</v>
      </c>
      <c r="I53" s="11" t="s">
        <v>1305</v>
      </c>
      <c r="J53" s="11" t="s">
        <v>743</v>
      </c>
      <c r="K53" s="11" t="s">
        <v>174</v>
      </c>
      <c r="L53" s="11" t="s">
        <v>743</v>
      </c>
      <c r="M53" s="11" t="s">
        <v>174</v>
      </c>
      <c r="N53" s="386" t="s">
        <v>1302</v>
      </c>
      <c r="O53" s="272"/>
      <c r="P53" s="272">
        <v>3.4325333333333337</v>
      </c>
      <c r="Q53" s="272" t="s">
        <v>1373</v>
      </c>
      <c r="R53" s="272"/>
      <c r="S53" s="272"/>
    </row>
    <row r="54" spans="1:19" x14ac:dyDescent="0.25">
      <c r="A54" s="260" t="s">
        <v>1152</v>
      </c>
      <c r="B54" s="5"/>
      <c r="C54" s="387">
        <v>43167</v>
      </c>
      <c r="D54" s="261" t="s">
        <v>1306</v>
      </c>
      <c r="E54" s="261" t="s">
        <v>1356</v>
      </c>
      <c r="F54" s="11" t="s">
        <v>1305</v>
      </c>
      <c r="G54" s="11" t="s">
        <v>1305</v>
      </c>
      <c r="H54" s="11" t="s">
        <v>1305</v>
      </c>
      <c r="I54" s="11" t="s">
        <v>1305</v>
      </c>
      <c r="J54" s="11" t="s">
        <v>743</v>
      </c>
      <c r="K54" s="11" t="s">
        <v>174</v>
      </c>
      <c r="L54" s="11" t="s">
        <v>743</v>
      </c>
      <c r="M54" s="11" t="s">
        <v>174</v>
      </c>
      <c r="N54" s="386" t="s">
        <v>1302</v>
      </c>
      <c r="O54" s="272"/>
      <c r="P54" s="272">
        <v>8.9005500000000008</v>
      </c>
      <c r="Q54" s="272" t="s">
        <v>1374</v>
      </c>
      <c r="R54" s="272"/>
      <c r="S54" s="272"/>
    </row>
    <row r="55" spans="1:19" x14ac:dyDescent="0.25">
      <c r="A55" s="260" t="s">
        <v>1151</v>
      </c>
      <c r="B55" s="5"/>
      <c r="D55" s="261" t="s">
        <v>1357</v>
      </c>
      <c r="E55" s="261" t="s">
        <v>1375</v>
      </c>
      <c r="N55" s="386" t="s">
        <v>1302</v>
      </c>
      <c r="O55" s="272"/>
      <c r="P55" s="272"/>
      <c r="Q55" s="272"/>
      <c r="R55" s="272"/>
      <c r="S55" s="272"/>
    </row>
    <row r="56" spans="1:19" ht="45" x14ac:dyDescent="0.25">
      <c r="A56" s="260" t="s">
        <v>1150</v>
      </c>
      <c r="B56" s="5"/>
      <c r="E56" s="402" t="s">
        <v>1376</v>
      </c>
      <c r="F56" s="11" t="s">
        <v>1305</v>
      </c>
      <c r="G56" s="11" t="s">
        <v>1305</v>
      </c>
      <c r="H56" s="11" t="s">
        <v>1305</v>
      </c>
      <c r="I56" s="11" t="s">
        <v>1305</v>
      </c>
      <c r="J56" s="11" t="s">
        <v>743</v>
      </c>
      <c r="K56" s="11" t="s">
        <v>174</v>
      </c>
      <c r="L56" s="11" t="s">
        <v>743</v>
      </c>
      <c r="M56" s="11" t="s">
        <v>174</v>
      </c>
      <c r="N56" s="386" t="s">
        <v>1302</v>
      </c>
      <c r="O56" s="272"/>
      <c r="P56" s="272">
        <v>4.3</v>
      </c>
      <c r="Q56" s="405" t="s">
        <v>1429</v>
      </c>
      <c r="R56" s="272"/>
      <c r="S56" s="272"/>
    </row>
    <row r="57" spans="1:19" x14ac:dyDescent="0.25">
      <c r="A57" s="260" t="s">
        <v>1149</v>
      </c>
      <c r="B57" s="5"/>
      <c r="O57" s="272"/>
      <c r="P57" s="272"/>
      <c r="Q57" s="272"/>
      <c r="R57" s="272"/>
      <c r="S57" s="272"/>
    </row>
    <row r="58" spans="1:19" x14ac:dyDescent="0.25">
      <c r="A58" s="260" t="s">
        <v>1148</v>
      </c>
      <c r="B58" s="5"/>
      <c r="O58" s="272"/>
      <c r="P58" s="272"/>
      <c r="Q58" s="272"/>
      <c r="R58" s="272"/>
      <c r="S58" s="272"/>
    </row>
    <row r="59" spans="1:19" x14ac:dyDescent="0.25">
      <c r="A59" s="260" t="s">
        <v>1147</v>
      </c>
      <c r="B59" s="5"/>
      <c r="O59" s="272"/>
      <c r="P59" s="272"/>
      <c r="Q59" s="272"/>
      <c r="R59" s="272"/>
      <c r="S59" s="272"/>
    </row>
    <row r="60" spans="1:19" x14ac:dyDescent="0.25">
      <c r="A60" s="260" t="s">
        <v>1146</v>
      </c>
      <c r="B60" s="5"/>
      <c r="O60" s="272"/>
      <c r="P60" s="272"/>
      <c r="Q60" s="272"/>
      <c r="R60" s="272"/>
      <c r="S60" s="272"/>
    </row>
    <row r="61" spans="1:19" x14ac:dyDescent="0.25">
      <c r="A61" s="260" t="s">
        <v>1145</v>
      </c>
      <c r="B61" s="5"/>
      <c r="O61" s="272"/>
      <c r="P61" s="272"/>
      <c r="Q61" s="272"/>
      <c r="R61" s="272"/>
      <c r="S61" s="272"/>
    </row>
    <row r="62" spans="1:19" x14ac:dyDescent="0.25">
      <c r="A62" s="260" t="s">
        <v>1144</v>
      </c>
      <c r="B62" s="5"/>
      <c r="O62" s="272"/>
      <c r="P62" s="272"/>
      <c r="Q62" s="272"/>
      <c r="R62" s="272"/>
      <c r="S62" s="272"/>
    </row>
    <row r="63" spans="1:19" x14ac:dyDescent="0.25">
      <c r="A63" s="260" t="s">
        <v>1143</v>
      </c>
      <c r="B63" s="5"/>
      <c r="O63" s="272"/>
      <c r="P63" s="272"/>
      <c r="Q63" s="272"/>
      <c r="R63" s="272"/>
      <c r="S63" s="272"/>
    </row>
    <row r="64" spans="1:19" x14ac:dyDescent="0.25">
      <c r="A64" s="260" t="s">
        <v>1142</v>
      </c>
      <c r="B64" s="5"/>
    </row>
    <row r="65" spans="1:2" x14ac:dyDescent="0.25">
      <c r="A65" s="260" t="s">
        <v>1141</v>
      </c>
      <c r="B65" s="5"/>
    </row>
    <row r="66" spans="1:2" x14ac:dyDescent="0.25">
      <c r="A66" s="260" t="s">
        <v>1140</v>
      </c>
      <c r="B66" s="5"/>
    </row>
    <row r="67" spans="1:2" x14ac:dyDescent="0.25">
      <c r="A67" s="260" t="s">
        <v>1139</v>
      </c>
      <c r="B67" s="5"/>
    </row>
    <row r="68" spans="1:2" x14ac:dyDescent="0.25">
      <c r="A68" s="260" t="s">
        <v>1138</v>
      </c>
      <c r="B68" s="5"/>
    </row>
    <row r="69" spans="1:2" x14ac:dyDescent="0.25">
      <c r="A69" s="260" t="s">
        <v>1137</v>
      </c>
      <c r="B69" s="5"/>
    </row>
    <row r="70" spans="1:2" x14ac:dyDescent="0.25">
      <c r="A70" s="260" t="s">
        <v>1136</v>
      </c>
      <c r="B70" s="5"/>
    </row>
    <row r="71" spans="1:2" x14ac:dyDescent="0.25">
      <c r="A71" s="260" t="s">
        <v>1135</v>
      </c>
      <c r="B71" s="5"/>
    </row>
    <row r="72" spans="1:2" x14ac:dyDescent="0.25">
      <c r="A72" s="260" t="s">
        <v>1134</v>
      </c>
      <c r="B72" s="5"/>
    </row>
    <row r="73" spans="1:2" x14ac:dyDescent="0.25">
      <c r="A73" s="260" t="s">
        <v>1133</v>
      </c>
      <c r="B73" s="5"/>
    </row>
    <row r="74" spans="1:2" x14ac:dyDescent="0.25">
      <c r="A74" s="260" t="s">
        <v>1132</v>
      </c>
      <c r="B74" s="5"/>
    </row>
    <row r="75" spans="1:2" x14ac:dyDescent="0.25">
      <c r="A75" s="260" t="s">
        <v>1131</v>
      </c>
      <c r="B75" s="5"/>
    </row>
    <row r="76" spans="1:2" x14ac:dyDescent="0.25">
      <c r="A76" s="260" t="s">
        <v>1130</v>
      </c>
      <c r="B76" s="5"/>
    </row>
    <row r="77" spans="1:2" x14ac:dyDescent="0.25">
      <c r="A77" s="260" t="s">
        <v>1129</v>
      </c>
      <c r="B77" s="5"/>
    </row>
    <row r="78" spans="1:2" x14ac:dyDescent="0.25">
      <c r="A78" s="260" t="s">
        <v>1128</v>
      </c>
      <c r="B78" s="5"/>
    </row>
    <row r="79" spans="1:2" x14ac:dyDescent="0.25">
      <c r="A79" s="260" t="s">
        <v>1127</v>
      </c>
      <c r="B79" s="5"/>
    </row>
    <row r="80" spans="1:2" x14ac:dyDescent="0.25">
      <c r="A80" s="260" t="s">
        <v>1126</v>
      </c>
      <c r="B80" s="5"/>
    </row>
    <row r="81" spans="1:2" x14ac:dyDescent="0.25">
      <c r="A81" s="260" t="s">
        <v>1125</v>
      </c>
      <c r="B81" s="5"/>
    </row>
    <row r="82" spans="1:2" x14ac:dyDescent="0.25">
      <c r="A82" s="260" t="s">
        <v>1124</v>
      </c>
      <c r="B82" s="5"/>
    </row>
    <row r="83" spans="1:2" x14ac:dyDescent="0.25">
      <c r="A83" s="260" t="s">
        <v>1123</v>
      </c>
      <c r="B83" s="5"/>
    </row>
    <row r="84" spans="1:2" x14ac:dyDescent="0.25">
      <c r="A84" s="260" t="s">
        <v>1122</v>
      </c>
      <c r="B84" s="5"/>
    </row>
    <row r="85" spans="1:2" x14ac:dyDescent="0.25">
      <c r="A85" s="260" t="s">
        <v>1121</v>
      </c>
      <c r="B85" s="5"/>
    </row>
    <row r="86" spans="1:2" x14ac:dyDescent="0.25">
      <c r="A86" s="260" t="s">
        <v>1120</v>
      </c>
      <c r="B86" s="5"/>
    </row>
    <row r="87" spans="1:2" x14ac:dyDescent="0.25">
      <c r="A87" s="260" t="s">
        <v>1119</v>
      </c>
      <c r="B87" s="5"/>
    </row>
    <row r="88" spans="1:2" x14ac:dyDescent="0.25">
      <c r="A88" s="260" t="s">
        <v>1118</v>
      </c>
      <c r="B88" s="5"/>
    </row>
    <row r="89" spans="1:2" x14ac:dyDescent="0.25">
      <c r="A89" s="260" t="s">
        <v>1117</v>
      </c>
      <c r="B89" s="5"/>
    </row>
    <row r="90" spans="1:2" x14ac:dyDescent="0.25">
      <c r="A90" s="260" t="s">
        <v>1116</v>
      </c>
      <c r="B90" s="5"/>
    </row>
    <row r="91" spans="1:2" x14ac:dyDescent="0.25">
      <c r="A91" s="260" t="s">
        <v>1115</v>
      </c>
      <c r="B91" s="5"/>
    </row>
    <row r="92" spans="1:2" x14ac:dyDescent="0.25">
      <c r="A92" s="260" t="s">
        <v>1114</v>
      </c>
      <c r="B92" s="5"/>
    </row>
    <row r="93" spans="1:2" x14ac:dyDescent="0.25">
      <c r="A93" s="260" t="s">
        <v>1113</v>
      </c>
      <c r="B93" s="5"/>
    </row>
    <row r="94" spans="1:2" x14ac:dyDescent="0.25">
      <c r="A94" s="260" t="s">
        <v>1112</v>
      </c>
      <c r="B94" s="5"/>
    </row>
    <row r="95" spans="1:2" x14ac:dyDescent="0.25">
      <c r="A95" s="260" t="s">
        <v>1111</v>
      </c>
      <c r="B95" s="5"/>
    </row>
    <row r="96" spans="1:2" x14ac:dyDescent="0.25">
      <c r="A96" s="260" t="s">
        <v>1110</v>
      </c>
      <c r="B96" s="5"/>
    </row>
    <row r="97" spans="1:2" x14ac:dyDescent="0.25">
      <c r="A97" s="260" t="s">
        <v>1109</v>
      </c>
      <c r="B97" s="5"/>
    </row>
    <row r="98" spans="1:2" x14ac:dyDescent="0.25">
      <c r="A98" s="260" t="s">
        <v>1108</v>
      </c>
      <c r="B98" s="5"/>
    </row>
    <row r="99" spans="1:2" x14ac:dyDescent="0.25">
      <c r="A99" s="260" t="s">
        <v>1107</v>
      </c>
      <c r="B99" s="5"/>
    </row>
    <row r="100" spans="1:2" x14ac:dyDescent="0.25">
      <c r="A100" s="260" t="s">
        <v>1106</v>
      </c>
      <c r="B100" s="5"/>
    </row>
    <row r="101" spans="1:2" x14ac:dyDescent="0.25">
      <c r="A101" s="260" t="s">
        <v>1105</v>
      </c>
      <c r="B101" s="5"/>
    </row>
    <row r="102" spans="1:2" x14ac:dyDescent="0.25">
      <c r="A102" s="260" t="s">
        <v>1104</v>
      </c>
      <c r="B102" s="5"/>
    </row>
    <row r="103" spans="1:2" x14ac:dyDescent="0.25">
      <c r="A103" s="260" t="s">
        <v>1103</v>
      </c>
      <c r="B103" s="5"/>
    </row>
    <row r="104" spans="1:2" x14ac:dyDescent="0.25">
      <c r="A104" s="260" t="s">
        <v>1102</v>
      </c>
      <c r="B104" s="5"/>
    </row>
    <row r="105" spans="1:2" x14ac:dyDescent="0.25">
      <c r="A105" s="260" t="s">
        <v>1101</v>
      </c>
      <c r="B105" s="5"/>
    </row>
    <row r="106" spans="1:2" x14ac:dyDescent="0.25">
      <c r="A106" s="260" t="s">
        <v>1100</v>
      </c>
      <c r="B106" s="5"/>
    </row>
    <row r="107" spans="1:2" x14ac:dyDescent="0.25">
      <c r="A107" s="260" t="s">
        <v>1099</v>
      </c>
      <c r="B107" s="5"/>
    </row>
    <row r="108" spans="1:2" x14ac:dyDescent="0.25">
      <c r="A108" s="260" t="s">
        <v>1098</v>
      </c>
      <c r="B108" s="5"/>
    </row>
    <row r="109" spans="1:2" x14ac:dyDescent="0.25">
      <c r="A109" s="260" t="s">
        <v>1097</v>
      </c>
      <c r="B109" s="5"/>
    </row>
    <row r="110" spans="1:2" x14ac:dyDescent="0.25">
      <c r="A110" s="260" t="s">
        <v>1096</v>
      </c>
      <c r="B110" s="5"/>
    </row>
    <row r="111" spans="1:2" x14ac:dyDescent="0.25">
      <c r="A111" s="260" t="s">
        <v>1095</v>
      </c>
      <c r="B111" s="5"/>
    </row>
    <row r="112" spans="1:2" x14ac:dyDescent="0.25">
      <c r="A112" s="260" t="s">
        <v>1094</v>
      </c>
      <c r="B112" s="5"/>
    </row>
    <row r="113" spans="1:2" x14ac:dyDescent="0.25">
      <c r="A113" s="260" t="s">
        <v>1093</v>
      </c>
      <c r="B113" s="5"/>
    </row>
    <row r="114" spans="1:2" x14ac:dyDescent="0.25">
      <c r="A114" s="260" t="s">
        <v>1092</v>
      </c>
      <c r="B114" s="5"/>
    </row>
    <row r="115" spans="1:2" x14ac:dyDescent="0.25">
      <c r="A115" s="260" t="s">
        <v>1091</v>
      </c>
      <c r="B115" s="5"/>
    </row>
    <row r="116" spans="1:2" x14ac:dyDescent="0.25">
      <c r="A116" s="260" t="s">
        <v>1090</v>
      </c>
      <c r="B116" s="5"/>
    </row>
    <row r="117" spans="1:2" x14ac:dyDescent="0.25">
      <c r="A117" s="260" t="s">
        <v>1089</v>
      </c>
      <c r="B117" s="5"/>
    </row>
    <row r="118" spans="1:2" x14ac:dyDescent="0.25">
      <c r="A118" s="260" t="s">
        <v>1088</v>
      </c>
      <c r="B118" s="5"/>
    </row>
    <row r="119" spans="1:2" x14ac:dyDescent="0.25">
      <c r="A119" s="260" t="s">
        <v>1087</v>
      </c>
      <c r="B119" s="5"/>
    </row>
    <row r="120" spans="1:2" x14ac:dyDescent="0.25">
      <c r="A120" s="260" t="s">
        <v>1086</v>
      </c>
      <c r="B120" s="5"/>
    </row>
    <row r="121" spans="1:2" x14ac:dyDescent="0.25">
      <c r="A121" s="260" t="s">
        <v>1085</v>
      </c>
      <c r="B121" s="5"/>
    </row>
    <row r="122" spans="1:2" x14ac:dyDescent="0.25">
      <c r="A122" s="260" t="s">
        <v>1084</v>
      </c>
      <c r="B122" s="5"/>
    </row>
    <row r="123" spans="1:2" x14ac:dyDescent="0.25">
      <c r="A123" s="260" t="s">
        <v>1083</v>
      </c>
      <c r="B123" s="5"/>
    </row>
    <row r="124" spans="1:2" x14ac:dyDescent="0.25">
      <c r="A124" s="260" t="s">
        <v>1082</v>
      </c>
      <c r="B124" s="5"/>
    </row>
    <row r="125" spans="1:2" x14ac:dyDescent="0.25">
      <c r="A125" s="260" t="s">
        <v>1081</v>
      </c>
      <c r="B125" s="5"/>
    </row>
    <row r="126" spans="1:2" x14ac:dyDescent="0.25">
      <c r="A126" s="260" t="s">
        <v>1080</v>
      </c>
      <c r="B126" s="5"/>
    </row>
    <row r="127" spans="1:2" x14ac:dyDescent="0.25">
      <c r="A127" s="260" t="s">
        <v>1079</v>
      </c>
      <c r="B127" s="5"/>
    </row>
    <row r="128" spans="1:2" x14ac:dyDescent="0.25">
      <c r="A128" s="260" t="s">
        <v>1078</v>
      </c>
      <c r="B128" s="5"/>
    </row>
    <row r="129" spans="1:2" x14ac:dyDescent="0.25">
      <c r="A129" s="260" t="s">
        <v>1077</v>
      </c>
      <c r="B129" s="5"/>
    </row>
    <row r="130" spans="1:2" x14ac:dyDescent="0.25">
      <c r="A130" s="260" t="s">
        <v>1076</v>
      </c>
      <c r="B130" s="5"/>
    </row>
    <row r="131" spans="1:2" x14ac:dyDescent="0.25">
      <c r="A131" s="260" t="s">
        <v>1075</v>
      </c>
      <c r="B131" s="5"/>
    </row>
    <row r="132" spans="1:2" x14ac:dyDescent="0.25">
      <c r="A132" s="260" t="s">
        <v>1074</v>
      </c>
      <c r="B132" s="5"/>
    </row>
    <row r="133" spans="1:2" x14ac:dyDescent="0.25">
      <c r="A133" s="260" t="s">
        <v>1073</v>
      </c>
      <c r="B133" s="5"/>
    </row>
    <row r="134" spans="1:2" x14ac:dyDescent="0.25">
      <c r="A134" s="260" t="s">
        <v>1072</v>
      </c>
      <c r="B134" s="5"/>
    </row>
    <row r="135" spans="1:2" x14ac:dyDescent="0.25">
      <c r="A135" s="260" t="s">
        <v>1071</v>
      </c>
      <c r="B135" s="5"/>
    </row>
    <row r="136" spans="1:2" x14ac:dyDescent="0.25">
      <c r="A136" s="260" t="s">
        <v>1070</v>
      </c>
      <c r="B136" s="5"/>
    </row>
    <row r="137" spans="1:2" x14ac:dyDescent="0.25">
      <c r="A137" s="260" t="s">
        <v>1069</v>
      </c>
      <c r="B137" s="5"/>
    </row>
    <row r="138" spans="1:2" x14ac:dyDescent="0.25">
      <c r="A138" s="260" t="s">
        <v>1068</v>
      </c>
      <c r="B138" s="5"/>
    </row>
    <row r="139" spans="1:2" x14ac:dyDescent="0.25">
      <c r="A139" s="260" t="s">
        <v>1067</v>
      </c>
      <c r="B139" s="5"/>
    </row>
    <row r="140" spans="1:2" x14ac:dyDescent="0.25">
      <c r="A140" s="260" t="s">
        <v>1066</v>
      </c>
      <c r="B140" s="5"/>
    </row>
    <row r="141" spans="1:2" x14ac:dyDescent="0.25">
      <c r="A141" s="260" t="s">
        <v>1065</v>
      </c>
      <c r="B141" s="5"/>
    </row>
    <row r="142" spans="1:2" x14ac:dyDescent="0.25">
      <c r="A142" s="260" t="s">
        <v>1064</v>
      </c>
      <c r="B142" s="5"/>
    </row>
    <row r="143" spans="1:2" x14ac:dyDescent="0.25">
      <c r="A143" s="260" t="s">
        <v>1063</v>
      </c>
      <c r="B143" s="5"/>
    </row>
    <row r="144" spans="1:2" x14ac:dyDescent="0.25">
      <c r="A144" s="260" t="s">
        <v>1062</v>
      </c>
      <c r="B144" s="5"/>
    </row>
    <row r="145" spans="1:2" x14ac:dyDescent="0.25">
      <c r="A145" s="260" t="s">
        <v>1061</v>
      </c>
      <c r="B145" s="5"/>
    </row>
    <row r="146" spans="1:2" x14ac:dyDescent="0.25">
      <c r="A146" s="260" t="s">
        <v>1060</v>
      </c>
      <c r="B146" s="5"/>
    </row>
    <row r="147" spans="1:2" x14ac:dyDescent="0.25">
      <c r="A147" s="260" t="s">
        <v>1059</v>
      </c>
      <c r="B147" s="5"/>
    </row>
    <row r="148" spans="1:2" x14ac:dyDescent="0.25">
      <c r="A148" s="260" t="s">
        <v>1058</v>
      </c>
      <c r="B148" s="5"/>
    </row>
    <row r="149" spans="1:2" x14ac:dyDescent="0.25">
      <c r="A149" s="260" t="s">
        <v>1057</v>
      </c>
      <c r="B149" s="5"/>
    </row>
    <row r="150" spans="1:2" x14ac:dyDescent="0.25">
      <c r="A150" s="260" t="s">
        <v>1056</v>
      </c>
      <c r="B150" s="5"/>
    </row>
    <row r="151" spans="1:2" x14ac:dyDescent="0.25">
      <c r="A151" s="260" t="s">
        <v>1055</v>
      </c>
      <c r="B151" s="5"/>
    </row>
    <row r="152" spans="1:2" x14ac:dyDescent="0.25">
      <c r="A152" s="260" t="s">
        <v>1054</v>
      </c>
      <c r="B152" s="5"/>
    </row>
    <row r="153" spans="1:2" x14ac:dyDescent="0.25">
      <c r="A153" s="260" t="s">
        <v>1053</v>
      </c>
      <c r="B153" s="5"/>
    </row>
    <row r="154" spans="1:2" x14ac:dyDescent="0.25">
      <c r="A154" s="260" t="s">
        <v>1052</v>
      </c>
      <c r="B154" s="5"/>
    </row>
    <row r="155" spans="1:2" x14ac:dyDescent="0.25">
      <c r="A155" s="260" t="s">
        <v>1051</v>
      </c>
      <c r="B155" s="5"/>
    </row>
    <row r="156" spans="1:2" x14ac:dyDescent="0.25">
      <c r="A156" s="260" t="s">
        <v>1050</v>
      </c>
      <c r="B156" s="5"/>
    </row>
    <row r="157" spans="1:2" x14ac:dyDescent="0.25">
      <c r="A157" s="260" t="s">
        <v>1049</v>
      </c>
      <c r="B157" s="5"/>
    </row>
    <row r="158" spans="1:2" x14ac:dyDescent="0.25">
      <c r="A158" s="260" t="s">
        <v>1048</v>
      </c>
      <c r="B158" s="5"/>
    </row>
    <row r="159" spans="1:2" x14ac:dyDescent="0.25">
      <c r="A159" s="260" t="s">
        <v>1047</v>
      </c>
      <c r="B159" s="5"/>
    </row>
    <row r="160" spans="1:2" x14ac:dyDescent="0.25">
      <c r="A160" s="260" t="s">
        <v>1046</v>
      </c>
      <c r="B160" s="5"/>
    </row>
    <row r="161" spans="1:2" x14ac:dyDescent="0.25">
      <c r="A161" s="260" t="s">
        <v>1045</v>
      </c>
      <c r="B161" s="5"/>
    </row>
    <row r="162" spans="1:2" x14ac:dyDescent="0.25">
      <c r="A162" s="260" t="s">
        <v>1044</v>
      </c>
      <c r="B162" s="5"/>
    </row>
    <row r="163" spans="1:2" x14ac:dyDescent="0.25">
      <c r="A163" s="260" t="s">
        <v>1043</v>
      </c>
      <c r="B163" s="5"/>
    </row>
    <row r="164" spans="1:2" x14ac:dyDescent="0.25">
      <c r="A164" s="260" t="s">
        <v>1042</v>
      </c>
      <c r="B164" s="5"/>
    </row>
    <row r="165" spans="1:2" x14ac:dyDescent="0.25">
      <c r="A165" s="260" t="s">
        <v>1041</v>
      </c>
      <c r="B165" s="5"/>
    </row>
    <row r="166" spans="1:2" x14ac:dyDescent="0.25">
      <c r="A166" s="260" t="s">
        <v>1040</v>
      </c>
      <c r="B166" s="5"/>
    </row>
    <row r="167" spans="1:2" x14ac:dyDescent="0.25">
      <c r="A167" s="260" t="s">
        <v>1039</v>
      </c>
      <c r="B167" s="5"/>
    </row>
    <row r="168" spans="1:2" x14ac:dyDescent="0.25">
      <c r="A168" s="260" t="s">
        <v>1038</v>
      </c>
      <c r="B168" s="5"/>
    </row>
    <row r="169" spans="1:2" x14ac:dyDescent="0.25">
      <c r="A169" s="260" t="s">
        <v>1037</v>
      </c>
      <c r="B169" s="5"/>
    </row>
    <row r="170" spans="1:2" x14ac:dyDescent="0.25">
      <c r="A170" s="260" t="s">
        <v>1036</v>
      </c>
      <c r="B170" s="5"/>
    </row>
    <row r="171" spans="1:2" x14ac:dyDescent="0.25">
      <c r="A171" s="260" t="s">
        <v>1035</v>
      </c>
      <c r="B171" s="5"/>
    </row>
    <row r="172" spans="1:2" x14ac:dyDescent="0.25">
      <c r="A172" s="260" t="s">
        <v>1034</v>
      </c>
      <c r="B172" s="5"/>
    </row>
    <row r="173" spans="1:2" x14ac:dyDescent="0.25">
      <c r="A173" s="260" t="s">
        <v>1033</v>
      </c>
      <c r="B173" s="5"/>
    </row>
    <row r="174" spans="1:2" x14ac:dyDescent="0.25">
      <c r="A174" s="260" t="s">
        <v>1032</v>
      </c>
      <c r="B174" s="5"/>
    </row>
    <row r="175" spans="1:2" x14ac:dyDescent="0.25">
      <c r="A175" s="260" t="s">
        <v>1031</v>
      </c>
      <c r="B175" s="5"/>
    </row>
    <row r="176" spans="1:2" x14ac:dyDescent="0.25">
      <c r="A176" s="260" t="s">
        <v>1030</v>
      </c>
      <c r="B176" s="5"/>
    </row>
    <row r="177" spans="1:19" x14ac:dyDescent="0.25">
      <c r="A177" s="260" t="s">
        <v>1029</v>
      </c>
      <c r="B177" s="5"/>
    </row>
    <row r="178" spans="1:19" x14ac:dyDescent="0.25">
      <c r="A178" s="260" t="s">
        <v>1028</v>
      </c>
      <c r="B178" s="5"/>
    </row>
    <row r="179" spans="1:19" x14ac:dyDescent="0.25">
      <c r="A179" s="260" t="s">
        <v>1027</v>
      </c>
      <c r="B179" s="5"/>
    </row>
    <row r="180" spans="1:19" x14ac:dyDescent="0.25">
      <c r="A180" s="260" t="s">
        <v>1026</v>
      </c>
      <c r="B180" s="5"/>
    </row>
    <row r="181" spans="1:19" x14ac:dyDescent="0.25">
      <c r="A181" s="260" t="s">
        <v>1025</v>
      </c>
      <c r="B181" s="5"/>
    </row>
    <row r="182" spans="1:19" x14ac:dyDescent="0.25">
      <c r="A182" s="260" t="s">
        <v>1024</v>
      </c>
      <c r="B182" s="5"/>
    </row>
    <row r="183" spans="1:19" x14ac:dyDescent="0.25">
      <c r="A183" s="260" t="s">
        <v>1023</v>
      </c>
      <c r="B183" s="5"/>
    </row>
    <row r="184" spans="1:19" x14ac:dyDescent="0.25">
      <c r="A184" s="260" t="s">
        <v>1022</v>
      </c>
      <c r="B184" s="5"/>
    </row>
    <row r="185" spans="1:19" x14ac:dyDescent="0.25">
      <c r="A185" s="260" t="s">
        <v>1021</v>
      </c>
      <c r="B185" s="5"/>
    </row>
    <row r="186" spans="1:19" x14ac:dyDescent="0.25">
      <c r="A186" s="260" t="s">
        <v>1020</v>
      </c>
      <c r="B186" s="5">
        <v>1</v>
      </c>
      <c r="G186" s="11">
        <v>90</v>
      </c>
      <c r="H186" s="11">
        <v>90</v>
      </c>
      <c r="O186" s="11">
        <v>20</v>
      </c>
      <c r="P186" s="11">
        <v>20</v>
      </c>
      <c r="R186" s="11">
        <v>20</v>
      </c>
      <c r="S186" s="11">
        <v>20</v>
      </c>
    </row>
    <row r="187" spans="1:19" x14ac:dyDescent="0.25">
      <c r="A187" s="260" t="s">
        <v>1019</v>
      </c>
      <c r="B187" s="5">
        <v>5</v>
      </c>
      <c r="G187" s="11">
        <v>0</v>
      </c>
      <c r="H187" s="11">
        <v>0</v>
      </c>
      <c r="O187" s="11">
        <v>0</v>
      </c>
      <c r="P187" s="11">
        <v>0</v>
      </c>
      <c r="R187" s="11">
        <v>0</v>
      </c>
      <c r="S187" s="11">
        <v>0</v>
      </c>
    </row>
  </sheetData>
  <mergeCells count="3">
    <mergeCell ref="G1:H1"/>
    <mergeCell ref="J1:K1"/>
    <mergeCell ref="L1:M1"/>
  </mergeCells>
  <conditionalFormatting sqref="T1:T1048576">
    <cfRule type="dataBar" priority="27">
      <dataBar>
        <cfvo type="min"/>
        <cfvo type="max"/>
        <color rgb="FFFFB628"/>
      </dataBar>
      <extLst>
        <ext xmlns:x14="http://schemas.microsoft.com/office/spreadsheetml/2009/9/main" uri="{B025F937-C7B1-47D3-B67F-A62EFF666E3E}">
          <x14:id>{7C6DA39B-8E37-49CE-862E-32DC02E24476}</x14:id>
        </ext>
      </extLst>
    </cfRule>
  </conditionalFormatting>
  <conditionalFormatting sqref="B3:B32 B34:B187">
    <cfRule type="colorScale" priority="549">
      <colorScale>
        <cfvo type="min"/>
        <cfvo type="max"/>
        <color rgb="FFFFEF9C"/>
        <color rgb="FFFF7128"/>
      </colorScale>
    </cfRule>
    <cfRule type="colorScale" priority="550">
      <colorScale>
        <cfvo type="min"/>
        <cfvo type="max"/>
        <color theme="5" tint="0.79998168889431442"/>
        <color theme="8" tint="-0.249977111117893"/>
      </colorScale>
    </cfRule>
    <cfRule type="colorScale" priority="551">
      <colorScale>
        <cfvo type="min"/>
        <cfvo type="max"/>
        <color theme="4" tint="0.79998168889431442"/>
        <color theme="7" tint="-0.249977111117893"/>
      </colorScale>
    </cfRule>
    <cfRule type="colorScale" priority="552">
      <colorScale>
        <cfvo type="min"/>
        <cfvo type="max"/>
        <color theme="8" tint="0.79998168889431442"/>
        <color theme="3"/>
      </colorScale>
    </cfRule>
    <cfRule type="colorScale" priority="553">
      <colorScale>
        <cfvo type="min"/>
        <cfvo type="max"/>
        <color theme="4"/>
        <color theme="8" tint="0.79998168889431442"/>
      </colorScale>
    </cfRule>
  </conditionalFormatting>
  <conditionalFormatting sqref="B3:B32 B34:B187">
    <cfRule type="colorScale" priority="559">
      <colorScale>
        <cfvo type="min"/>
        <cfvo type="percentile" val="50"/>
        <cfvo type="max"/>
        <color rgb="FFF8696B"/>
        <color rgb="FFFFEB84"/>
        <color rgb="FF63BE7B"/>
      </colorScale>
    </cfRule>
  </conditionalFormatting>
  <conditionalFormatting sqref="B3:B32 B34:B187">
    <cfRule type="colorScale" priority="561">
      <colorScale>
        <cfvo type="min"/>
        <cfvo type="max"/>
        <color rgb="FFFFEF9C"/>
        <color rgb="FF63BE7B"/>
      </colorScale>
    </cfRule>
  </conditionalFormatting>
  <conditionalFormatting sqref="N1:N45 N51:N1048576">
    <cfRule type="cellIs" dxfId="23" priority="24" operator="equal">
      <formula>"n"</formula>
    </cfRule>
    <cfRule type="cellIs" dxfId="22" priority="25" operator="equal">
      <formula>"y"</formula>
    </cfRule>
  </conditionalFormatting>
  <conditionalFormatting sqref="G35:H35">
    <cfRule type="dataBar" priority="22">
      <dataBar>
        <cfvo type="min"/>
        <cfvo type="max"/>
        <color rgb="FF63C384"/>
      </dataBar>
      <extLst>
        <ext xmlns:x14="http://schemas.microsoft.com/office/spreadsheetml/2009/9/main" uri="{B025F937-C7B1-47D3-B67F-A62EFF666E3E}">
          <x14:id>{9331D5E1-169B-4C74-AA78-9B4D9325D957}</x14:id>
        </ext>
      </extLst>
    </cfRule>
  </conditionalFormatting>
  <conditionalFormatting sqref="I35">
    <cfRule type="dataBar" priority="21">
      <dataBar>
        <cfvo type="min"/>
        <cfvo type="max"/>
        <color rgb="FFFF555A"/>
      </dataBar>
      <extLst>
        <ext xmlns:x14="http://schemas.microsoft.com/office/spreadsheetml/2009/9/main" uri="{B025F937-C7B1-47D3-B67F-A62EFF666E3E}">
          <x14:id>{D5307A29-8582-4C2C-9BC4-EEC3ABED0D81}</x14:id>
        </ext>
      </extLst>
    </cfRule>
  </conditionalFormatting>
  <conditionalFormatting sqref="I35">
    <cfRule type="dataBar" priority="23">
      <dataBar>
        <cfvo type="min"/>
        <cfvo type="max"/>
        <color rgb="FFFF555A"/>
      </dataBar>
      <extLst>
        <ext xmlns:x14="http://schemas.microsoft.com/office/spreadsheetml/2009/9/main" uri="{B025F937-C7B1-47D3-B67F-A62EFF666E3E}">
          <x14:id>{4713362A-8527-4E27-93CD-0280B5729936}</x14:id>
        </ext>
      </extLst>
    </cfRule>
  </conditionalFormatting>
  <conditionalFormatting sqref="N35">
    <cfRule type="cellIs" dxfId="21" priority="19" operator="equal">
      <formula>"n"</formula>
    </cfRule>
    <cfRule type="cellIs" dxfId="20" priority="20" operator="equal">
      <formula>"y"</formula>
    </cfRule>
  </conditionalFormatting>
  <conditionalFormatting sqref="G1:H32 G36:H49 G55:H55 G57:H1048576">
    <cfRule type="dataBar" priority="567">
      <dataBar>
        <cfvo type="min"/>
        <cfvo type="max"/>
        <color rgb="FF63C384"/>
      </dataBar>
      <extLst>
        <ext xmlns:x14="http://schemas.microsoft.com/office/spreadsheetml/2009/9/main" uri="{B025F937-C7B1-47D3-B67F-A62EFF666E3E}">
          <x14:id>{570512B6-0522-4408-A1FF-D68EA7F0EE8B}</x14:id>
        </ext>
      </extLst>
    </cfRule>
  </conditionalFormatting>
  <conditionalFormatting sqref="I1:I21 I27:I32 I36:I49 I55 I57:I1048576">
    <cfRule type="dataBar" priority="571">
      <dataBar>
        <cfvo type="min"/>
        <cfvo type="max"/>
        <color rgb="FFFF555A"/>
      </dataBar>
      <extLst>
        <ext xmlns:x14="http://schemas.microsoft.com/office/spreadsheetml/2009/9/main" uri="{B025F937-C7B1-47D3-B67F-A62EFF666E3E}">
          <x14:id>{6CC30B76-33FC-4B0F-8FBD-9F2E6F336539}</x14:id>
        </ext>
      </extLst>
    </cfRule>
  </conditionalFormatting>
  <conditionalFormatting sqref="I3:I32 I36:I49 I55 I57:I186">
    <cfRule type="dataBar" priority="577">
      <dataBar>
        <cfvo type="min"/>
        <cfvo type="max"/>
        <color rgb="FFFF555A"/>
      </dataBar>
      <extLst>
        <ext xmlns:x14="http://schemas.microsoft.com/office/spreadsheetml/2009/9/main" uri="{B025F937-C7B1-47D3-B67F-A62EFF666E3E}">
          <x14:id>{5B48A6BC-61E2-4D55-8B2E-9F42CC6CF0A9}</x14:id>
        </ext>
      </extLst>
    </cfRule>
  </conditionalFormatting>
  <conditionalFormatting sqref="N46:N49">
    <cfRule type="cellIs" dxfId="19" priority="13" operator="equal">
      <formula>"n"</formula>
    </cfRule>
    <cfRule type="cellIs" dxfId="18" priority="14" operator="equal">
      <formula>"y"</formula>
    </cfRule>
  </conditionalFormatting>
  <conditionalFormatting sqref="G50:H50">
    <cfRule type="dataBar" priority="10">
      <dataBar>
        <cfvo type="min"/>
        <cfvo type="max"/>
        <color rgb="FF63C384"/>
      </dataBar>
      <extLst>
        <ext xmlns:x14="http://schemas.microsoft.com/office/spreadsheetml/2009/9/main" uri="{B025F937-C7B1-47D3-B67F-A62EFF666E3E}">
          <x14:id>{A53A3509-EE0C-4707-96BF-5CCCDB16E0A8}</x14:id>
        </ext>
      </extLst>
    </cfRule>
  </conditionalFormatting>
  <conditionalFormatting sqref="I50">
    <cfRule type="dataBar" priority="11">
      <dataBar>
        <cfvo type="min"/>
        <cfvo type="max"/>
        <color rgb="FFFF555A"/>
      </dataBar>
      <extLst>
        <ext xmlns:x14="http://schemas.microsoft.com/office/spreadsheetml/2009/9/main" uri="{B025F937-C7B1-47D3-B67F-A62EFF666E3E}">
          <x14:id>{D83F356C-E4AE-4D38-A905-D0EE24F70C36}</x14:id>
        </ext>
      </extLst>
    </cfRule>
  </conditionalFormatting>
  <conditionalFormatting sqref="I50">
    <cfRule type="dataBar" priority="12">
      <dataBar>
        <cfvo type="min"/>
        <cfvo type="max"/>
        <color rgb="FFFF555A"/>
      </dataBar>
      <extLst>
        <ext xmlns:x14="http://schemas.microsoft.com/office/spreadsheetml/2009/9/main" uri="{B025F937-C7B1-47D3-B67F-A62EFF666E3E}">
          <x14:id>{A4E2A00D-6156-4E93-A6B0-7B6341162C8E}</x14:id>
        </ext>
      </extLst>
    </cfRule>
  </conditionalFormatting>
  <conditionalFormatting sqref="N50">
    <cfRule type="cellIs" dxfId="17" priority="8" operator="equal">
      <formula>"n"</formula>
    </cfRule>
    <cfRule type="cellIs" dxfId="16" priority="9" operator="equal">
      <formula>"y"</formula>
    </cfRule>
  </conditionalFormatting>
  <conditionalFormatting sqref="O1:S6 O13:S16 O17:R26 O7:R12 O35:S35 O46:R48 O49 R49 O50:R50 S41:S45 O41:O45 O36:R40 O34 P33 O51:S1048576 R33:S34 O27:S32">
    <cfRule type="dataBar" priority="578">
      <dataBar>
        <cfvo type="min"/>
        <cfvo type="max"/>
        <color rgb="FF51F5FD"/>
      </dataBar>
      <extLst>
        <ext xmlns:x14="http://schemas.microsoft.com/office/spreadsheetml/2009/9/main" uri="{B025F937-C7B1-47D3-B67F-A62EFF666E3E}">
          <x14:id>{00000000-000E-0000-0400-000007000000}</x14:id>
        </ext>
      </extLst>
    </cfRule>
  </conditionalFormatting>
  <conditionalFormatting sqref="G51:H54">
    <cfRule type="dataBar" priority="5">
      <dataBar>
        <cfvo type="min"/>
        <cfvo type="max"/>
        <color rgb="FF63C384"/>
      </dataBar>
      <extLst>
        <ext xmlns:x14="http://schemas.microsoft.com/office/spreadsheetml/2009/9/main" uri="{B025F937-C7B1-47D3-B67F-A62EFF666E3E}">
          <x14:id>{97129CB6-A1FB-4C8D-AB76-5F7D5CA262D8}</x14:id>
        </ext>
      </extLst>
    </cfRule>
  </conditionalFormatting>
  <conditionalFormatting sqref="I51:I54">
    <cfRule type="dataBar" priority="6">
      <dataBar>
        <cfvo type="min"/>
        <cfvo type="max"/>
        <color rgb="FFFF555A"/>
      </dataBar>
      <extLst>
        <ext xmlns:x14="http://schemas.microsoft.com/office/spreadsheetml/2009/9/main" uri="{B025F937-C7B1-47D3-B67F-A62EFF666E3E}">
          <x14:id>{AB207FE9-E3C9-4FFC-B06C-A417E6A7230E}</x14:id>
        </ext>
      </extLst>
    </cfRule>
  </conditionalFormatting>
  <conditionalFormatting sqref="I51:I54">
    <cfRule type="dataBar" priority="7">
      <dataBar>
        <cfvo type="min"/>
        <cfvo type="max"/>
        <color rgb="FFFF555A"/>
      </dataBar>
      <extLst>
        <ext xmlns:x14="http://schemas.microsoft.com/office/spreadsheetml/2009/9/main" uri="{B025F937-C7B1-47D3-B67F-A62EFF666E3E}">
          <x14:id>{C3726131-568B-406E-B1D1-C5870063170C}</x14:id>
        </ext>
      </extLst>
    </cfRule>
  </conditionalFormatting>
  <conditionalFormatting sqref="Q33:Q34">
    <cfRule type="dataBar" priority="4">
      <dataBar>
        <cfvo type="min"/>
        <cfvo type="max"/>
        <color rgb="FF51F5FD"/>
      </dataBar>
      <extLst>
        <ext xmlns:x14="http://schemas.microsoft.com/office/spreadsheetml/2009/9/main" uri="{B025F937-C7B1-47D3-B67F-A62EFF666E3E}">
          <x14:id>{DE5F05DB-B042-4B56-80C4-624CB7111609}</x14:id>
        </ext>
      </extLst>
    </cfRule>
  </conditionalFormatting>
  <conditionalFormatting sqref="G56:H56">
    <cfRule type="dataBar" priority="1">
      <dataBar>
        <cfvo type="min"/>
        <cfvo type="max"/>
        <color rgb="FF63C384"/>
      </dataBar>
      <extLst>
        <ext xmlns:x14="http://schemas.microsoft.com/office/spreadsheetml/2009/9/main" uri="{B025F937-C7B1-47D3-B67F-A62EFF666E3E}">
          <x14:id>{CAA1690B-E220-49B0-B23E-36B5A00469EB}</x14:id>
        </ext>
      </extLst>
    </cfRule>
  </conditionalFormatting>
  <conditionalFormatting sqref="I56">
    <cfRule type="dataBar" priority="2">
      <dataBar>
        <cfvo type="min"/>
        <cfvo type="max"/>
        <color rgb="FFFF555A"/>
      </dataBar>
      <extLst>
        <ext xmlns:x14="http://schemas.microsoft.com/office/spreadsheetml/2009/9/main" uri="{B025F937-C7B1-47D3-B67F-A62EFF666E3E}">
          <x14:id>{5833C4D2-8FA2-450A-A50A-D40AA733C617}</x14:id>
        </ext>
      </extLst>
    </cfRule>
  </conditionalFormatting>
  <conditionalFormatting sqref="I56">
    <cfRule type="dataBar" priority="3">
      <dataBar>
        <cfvo type="min"/>
        <cfvo type="max"/>
        <color rgb="FFFF555A"/>
      </dataBar>
      <extLst>
        <ext xmlns:x14="http://schemas.microsoft.com/office/spreadsheetml/2009/9/main" uri="{B025F937-C7B1-47D3-B67F-A62EFF666E3E}">
          <x14:id>{FD1D7CD0-AA41-4E90-9C6D-DA4029F6E5EA}</x14:id>
        </ext>
      </extLst>
    </cfRule>
  </conditionalFormatting>
  <pageMargins left="0.7" right="0.7" top="0.75" bottom="0.75" header="0.3" footer="0.3"/>
  <pageSetup paperSize="8"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7C6DA39B-8E37-49CE-862E-32DC02E24476}">
            <x14:dataBar minLength="0" maxLength="100" gradient="0">
              <x14:cfvo type="autoMin"/>
              <x14:cfvo type="autoMax"/>
              <x14:negativeFillColor rgb="FFFF0000"/>
              <x14:axisColor rgb="FF000000"/>
            </x14:dataBar>
          </x14:cfRule>
          <xm:sqref>T1:T1048576</xm:sqref>
        </x14:conditionalFormatting>
        <x14:conditionalFormatting xmlns:xm="http://schemas.microsoft.com/office/excel/2006/main">
          <x14:cfRule type="dataBar" id="{9331D5E1-169B-4C74-AA78-9B4D9325D957}">
            <x14:dataBar minLength="0" maxLength="100" gradient="0">
              <x14:cfvo type="autoMin"/>
              <x14:cfvo type="autoMax"/>
              <x14:negativeFillColor rgb="FFFF0000"/>
              <x14:axisColor rgb="FF000000"/>
            </x14:dataBar>
          </x14:cfRule>
          <xm:sqref>G35:H35</xm:sqref>
        </x14:conditionalFormatting>
        <x14:conditionalFormatting xmlns:xm="http://schemas.microsoft.com/office/excel/2006/main">
          <x14:cfRule type="dataBar" id="{D5307A29-8582-4C2C-9BC4-EEC3ABED0D81}">
            <x14:dataBar minLength="0" maxLength="100" gradient="0">
              <x14:cfvo type="autoMin"/>
              <x14:cfvo type="autoMax"/>
              <x14:negativeFillColor rgb="FFFF0000"/>
              <x14:axisColor rgb="FF000000"/>
            </x14:dataBar>
          </x14:cfRule>
          <xm:sqref>I35</xm:sqref>
        </x14:conditionalFormatting>
        <x14:conditionalFormatting xmlns:xm="http://schemas.microsoft.com/office/excel/2006/main">
          <x14:cfRule type="dataBar" id="{4713362A-8527-4E27-93CD-0280B5729936}">
            <x14:dataBar minLength="0" maxLength="100" gradient="0">
              <x14:cfvo type="autoMin"/>
              <x14:cfvo type="autoMax"/>
              <x14:negativeFillColor rgb="FFFF0000"/>
              <x14:axisColor rgb="FF000000"/>
            </x14:dataBar>
          </x14:cfRule>
          <xm:sqref>I35</xm:sqref>
        </x14:conditionalFormatting>
        <x14:conditionalFormatting xmlns:xm="http://schemas.microsoft.com/office/excel/2006/main">
          <x14:cfRule type="dataBar" id="{570512B6-0522-4408-A1FF-D68EA7F0EE8B}">
            <x14:dataBar minLength="0" maxLength="100" gradient="0">
              <x14:cfvo type="autoMin"/>
              <x14:cfvo type="autoMax"/>
              <x14:negativeFillColor rgb="FFFF0000"/>
              <x14:axisColor rgb="FF000000"/>
            </x14:dataBar>
          </x14:cfRule>
          <xm:sqref>G1:H32 G36:H49 G55:H55 G57:H1048576</xm:sqref>
        </x14:conditionalFormatting>
        <x14:conditionalFormatting xmlns:xm="http://schemas.microsoft.com/office/excel/2006/main">
          <x14:cfRule type="dataBar" id="{6CC30B76-33FC-4B0F-8FBD-9F2E6F336539}">
            <x14:dataBar minLength="0" maxLength="100" gradient="0">
              <x14:cfvo type="autoMin"/>
              <x14:cfvo type="autoMax"/>
              <x14:negativeFillColor rgb="FFFF0000"/>
              <x14:axisColor rgb="FF000000"/>
            </x14:dataBar>
          </x14:cfRule>
          <xm:sqref>I1:I21 I27:I32 I36:I49 I55 I57:I1048576</xm:sqref>
        </x14:conditionalFormatting>
        <x14:conditionalFormatting xmlns:xm="http://schemas.microsoft.com/office/excel/2006/main">
          <x14:cfRule type="dataBar" id="{5B48A6BC-61E2-4D55-8B2E-9F42CC6CF0A9}">
            <x14:dataBar minLength="0" maxLength="100" gradient="0">
              <x14:cfvo type="autoMin"/>
              <x14:cfvo type="autoMax"/>
              <x14:negativeFillColor rgb="FFFF0000"/>
              <x14:axisColor rgb="FF000000"/>
            </x14:dataBar>
          </x14:cfRule>
          <xm:sqref>I3:I32 I36:I49 I55 I57:I186</xm:sqref>
        </x14:conditionalFormatting>
        <x14:conditionalFormatting xmlns:xm="http://schemas.microsoft.com/office/excel/2006/main">
          <x14:cfRule type="dataBar" id="{A53A3509-EE0C-4707-96BF-5CCCDB16E0A8}">
            <x14:dataBar minLength="0" maxLength="100" gradient="0">
              <x14:cfvo type="autoMin"/>
              <x14:cfvo type="autoMax"/>
              <x14:negativeFillColor rgb="FFFF0000"/>
              <x14:axisColor rgb="FF000000"/>
            </x14:dataBar>
          </x14:cfRule>
          <xm:sqref>G50:H50</xm:sqref>
        </x14:conditionalFormatting>
        <x14:conditionalFormatting xmlns:xm="http://schemas.microsoft.com/office/excel/2006/main">
          <x14:cfRule type="dataBar" id="{D83F356C-E4AE-4D38-A905-D0EE24F70C36}">
            <x14:dataBar minLength="0" maxLength="100" gradient="0">
              <x14:cfvo type="autoMin"/>
              <x14:cfvo type="autoMax"/>
              <x14:negativeFillColor rgb="FFFF0000"/>
              <x14:axisColor rgb="FF000000"/>
            </x14:dataBar>
          </x14:cfRule>
          <xm:sqref>I50</xm:sqref>
        </x14:conditionalFormatting>
        <x14:conditionalFormatting xmlns:xm="http://schemas.microsoft.com/office/excel/2006/main">
          <x14:cfRule type="dataBar" id="{A4E2A00D-6156-4E93-A6B0-7B6341162C8E}">
            <x14:dataBar minLength="0" maxLength="100" gradient="0">
              <x14:cfvo type="autoMin"/>
              <x14:cfvo type="autoMax"/>
              <x14:negativeFillColor rgb="FFFF0000"/>
              <x14:axisColor rgb="FF000000"/>
            </x14:dataBar>
          </x14:cfRule>
          <xm:sqref>I50</xm:sqref>
        </x14:conditionalFormatting>
        <x14:conditionalFormatting xmlns:xm="http://schemas.microsoft.com/office/excel/2006/main">
          <x14:cfRule type="dataBar" id="{00000000-000E-0000-0400-000007000000}">
            <x14:dataBar minLength="0" maxLength="100" gradient="0">
              <x14:cfvo type="autoMin"/>
              <x14:cfvo type="autoMax"/>
              <x14:negativeFillColor rgb="FFFF0000"/>
              <x14:axisColor rgb="FF000000"/>
            </x14:dataBar>
          </x14:cfRule>
          <xm:sqref>O1:S6 O13:S16 O17:R26 O7:R12 O35:S35 O46:R48 O49 R49 O50:R50 S41:S45 O41:O45 O36:R40 O34 P33 O51:S1048576 R33:S34 O27:S32</xm:sqref>
        </x14:conditionalFormatting>
        <x14:conditionalFormatting xmlns:xm="http://schemas.microsoft.com/office/excel/2006/main">
          <x14:cfRule type="dataBar" id="{97129CB6-A1FB-4C8D-AB76-5F7D5CA262D8}">
            <x14:dataBar minLength="0" maxLength="100" gradient="0">
              <x14:cfvo type="autoMin"/>
              <x14:cfvo type="autoMax"/>
              <x14:negativeFillColor rgb="FFFF0000"/>
              <x14:axisColor rgb="FF000000"/>
            </x14:dataBar>
          </x14:cfRule>
          <xm:sqref>G51:H54</xm:sqref>
        </x14:conditionalFormatting>
        <x14:conditionalFormatting xmlns:xm="http://schemas.microsoft.com/office/excel/2006/main">
          <x14:cfRule type="dataBar" id="{AB207FE9-E3C9-4FFC-B06C-A417E6A7230E}">
            <x14:dataBar minLength="0" maxLength="100" gradient="0">
              <x14:cfvo type="autoMin"/>
              <x14:cfvo type="autoMax"/>
              <x14:negativeFillColor rgb="FFFF0000"/>
              <x14:axisColor rgb="FF000000"/>
            </x14:dataBar>
          </x14:cfRule>
          <xm:sqref>I51:I54</xm:sqref>
        </x14:conditionalFormatting>
        <x14:conditionalFormatting xmlns:xm="http://schemas.microsoft.com/office/excel/2006/main">
          <x14:cfRule type="dataBar" id="{C3726131-568B-406E-B1D1-C5870063170C}">
            <x14:dataBar minLength="0" maxLength="100" gradient="0">
              <x14:cfvo type="autoMin"/>
              <x14:cfvo type="autoMax"/>
              <x14:negativeFillColor rgb="FFFF0000"/>
              <x14:axisColor rgb="FF000000"/>
            </x14:dataBar>
          </x14:cfRule>
          <xm:sqref>I51:I54</xm:sqref>
        </x14:conditionalFormatting>
        <x14:conditionalFormatting xmlns:xm="http://schemas.microsoft.com/office/excel/2006/main">
          <x14:cfRule type="dataBar" id="{DE5F05DB-B042-4B56-80C4-624CB7111609}">
            <x14:dataBar minLength="0" maxLength="100" gradient="0">
              <x14:cfvo type="autoMin"/>
              <x14:cfvo type="autoMax"/>
              <x14:negativeFillColor rgb="FFFF0000"/>
              <x14:axisColor rgb="FF000000"/>
            </x14:dataBar>
          </x14:cfRule>
          <xm:sqref>Q33:Q34</xm:sqref>
        </x14:conditionalFormatting>
        <x14:conditionalFormatting xmlns:xm="http://schemas.microsoft.com/office/excel/2006/main">
          <x14:cfRule type="dataBar" id="{CAA1690B-E220-49B0-B23E-36B5A00469EB}">
            <x14:dataBar minLength="0" maxLength="100" gradient="0">
              <x14:cfvo type="autoMin"/>
              <x14:cfvo type="autoMax"/>
              <x14:negativeFillColor rgb="FFFF0000"/>
              <x14:axisColor rgb="FF000000"/>
            </x14:dataBar>
          </x14:cfRule>
          <xm:sqref>G56:H56</xm:sqref>
        </x14:conditionalFormatting>
        <x14:conditionalFormatting xmlns:xm="http://schemas.microsoft.com/office/excel/2006/main">
          <x14:cfRule type="dataBar" id="{5833C4D2-8FA2-450A-A50A-D40AA733C617}">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FD1D7CD0-AA41-4E90-9C6D-DA4029F6E5EA}">
            <x14:dataBar minLength="0" maxLength="100" gradient="0">
              <x14:cfvo type="autoMin"/>
              <x14:cfvo type="autoMax"/>
              <x14:negativeFillColor rgb="FFFF0000"/>
              <x14:axisColor rgb="FF000000"/>
            </x14:dataBar>
          </x14:cfRule>
          <xm:sqref>I56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W13"/>
  <sheetViews>
    <sheetView view="pageBreakPreview" zoomScale="85" zoomScaleNormal="100" zoomScaleSheetLayoutView="85" workbookViewId="0">
      <selection activeCell="L7" sqref="L7"/>
    </sheetView>
  </sheetViews>
  <sheetFormatPr defaultColWidth="8.85546875" defaultRowHeight="15" x14ac:dyDescent="0.25"/>
  <cols>
    <col min="1" max="1" width="13.85546875" bestFit="1" customWidth="1"/>
    <col min="2" max="2" width="12.140625" customWidth="1"/>
    <col min="3" max="3" width="13.28515625" customWidth="1"/>
    <col min="12" max="12" width="81.7109375" customWidth="1"/>
  </cols>
  <sheetData>
    <row r="1" spans="1:23" s="11" customFormat="1" ht="75.599999999999994" customHeight="1" x14ac:dyDescent="0.25">
      <c r="A1" s="388" t="s">
        <v>1318</v>
      </c>
      <c r="B1" s="389" t="s">
        <v>1321</v>
      </c>
      <c r="C1" s="389" t="s">
        <v>947</v>
      </c>
      <c r="D1" s="390" t="s">
        <v>1227</v>
      </c>
      <c r="E1" s="388" t="s">
        <v>1319</v>
      </c>
      <c r="F1" s="388" t="s">
        <v>1320</v>
      </c>
      <c r="G1" s="388" t="s">
        <v>1209</v>
      </c>
      <c r="H1" s="388" t="s">
        <v>947</v>
      </c>
      <c r="I1" s="388" t="s">
        <v>1208</v>
      </c>
      <c r="J1" s="388" t="s">
        <v>947</v>
      </c>
      <c r="K1" s="388" t="s">
        <v>1208</v>
      </c>
      <c r="L1" s="393" t="s">
        <v>1214</v>
      </c>
      <c r="M1"/>
      <c r="N1"/>
      <c r="O1"/>
      <c r="P1"/>
      <c r="Q1"/>
      <c r="R1"/>
      <c r="S1"/>
      <c r="T1"/>
      <c r="U1"/>
      <c r="V1"/>
      <c r="W1" s="260"/>
    </row>
    <row r="2" spans="1:23" ht="42.6" customHeight="1" x14ac:dyDescent="0.25">
      <c r="A2" s="391" t="s">
        <v>1322</v>
      </c>
      <c r="B2" s="392" t="s">
        <v>1195</v>
      </c>
      <c r="C2" s="392" t="s">
        <v>1194</v>
      </c>
      <c r="D2" s="391">
        <v>170</v>
      </c>
      <c r="E2" s="391">
        <v>5</v>
      </c>
      <c r="F2" s="391">
        <v>5</v>
      </c>
      <c r="G2" s="391">
        <v>1000</v>
      </c>
      <c r="H2" s="391" t="s">
        <v>670</v>
      </c>
      <c r="I2" s="391" t="s">
        <v>274</v>
      </c>
      <c r="J2" s="391" t="s">
        <v>670</v>
      </c>
      <c r="K2" s="391" t="s">
        <v>274</v>
      </c>
      <c r="L2" s="394"/>
      <c r="M2" s="395"/>
    </row>
    <row r="3" spans="1:23" ht="42.6" customHeight="1" x14ac:dyDescent="0.25">
      <c r="A3" s="391" t="s">
        <v>1323</v>
      </c>
      <c r="B3" s="392" t="s">
        <v>1195</v>
      </c>
      <c r="C3" s="392" t="s">
        <v>1194</v>
      </c>
      <c r="D3" s="391">
        <v>170</v>
      </c>
      <c r="E3" s="391">
        <v>5</v>
      </c>
      <c r="F3" s="391">
        <v>5</v>
      </c>
      <c r="G3" s="391">
        <v>1000</v>
      </c>
      <c r="H3" s="391" t="s">
        <v>670</v>
      </c>
      <c r="I3" s="391" t="s">
        <v>274</v>
      </c>
      <c r="J3" s="391" t="s">
        <v>670</v>
      </c>
      <c r="K3" s="391" t="s">
        <v>274</v>
      </c>
      <c r="L3" s="394"/>
      <c r="M3" s="395"/>
    </row>
    <row r="4" spans="1:23" ht="42.6" customHeight="1" x14ac:dyDescent="0.25">
      <c r="A4" s="391" t="s">
        <v>1324</v>
      </c>
      <c r="B4" s="392" t="s">
        <v>1195</v>
      </c>
      <c r="C4" s="392" t="s">
        <v>1194</v>
      </c>
      <c r="D4" s="391">
        <v>170</v>
      </c>
      <c r="E4" s="391">
        <v>5</v>
      </c>
      <c r="F4" s="391">
        <v>5</v>
      </c>
      <c r="G4" s="391">
        <v>1000</v>
      </c>
      <c r="H4" s="391" t="s">
        <v>670</v>
      </c>
      <c r="I4" s="391" t="s">
        <v>274</v>
      </c>
      <c r="J4" s="391" t="s">
        <v>670</v>
      </c>
      <c r="K4" s="391" t="s">
        <v>274</v>
      </c>
      <c r="L4" s="394"/>
      <c r="M4" s="395"/>
    </row>
    <row r="5" spans="1:23" ht="42.6" customHeight="1" x14ac:dyDescent="0.25">
      <c r="A5" s="391" t="s">
        <v>1178</v>
      </c>
      <c r="B5" s="392" t="s">
        <v>1195</v>
      </c>
      <c r="C5" s="392" t="s">
        <v>1194</v>
      </c>
      <c r="D5" s="391">
        <v>170</v>
      </c>
      <c r="E5" s="391">
        <v>5</v>
      </c>
      <c r="F5" s="391">
        <v>5</v>
      </c>
      <c r="G5" s="391">
        <v>200</v>
      </c>
      <c r="H5" s="391" t="s">
        <v>670</v>
      </c>
      <c r="I5" s="391" t="s">
        <v>274</v>
      </c>
      <c r="J5" s="391" t="s">
        <v>670</v>
      </c>
      <c r="K5" s="391" t="s">
        <v>274</v>
      </c>
      <c r="L5" s="394"/>
      <c r="M5" s="395"/>
    </row>
    <row r="6" spans="1:23" ht="42.6" customHeight="1" x14ac:dyDescent="0.25">
      <c r="A6" s="391" t="s">
        <v>1177</v>
      </c>
      <c r="B6" s="392" t="s">
        <v>1195</v>
      </c>
      <c r="C6" s="392" t="s">
        <v>1194</v>
      </c>
      <c r="D6" s="391">
        <v>110</v>
      </c>
      <c r="E6" s="391">
        <v>35</v>
      </c>
      <c r="F6" s="391">
        <v>35</v>
      </c>
      <c r="G6" s="391">
        <v>1000</v>
      </c>
      <c r="H6" s="391" t="s">
        <v>670</v>
      </c>
      <c r="I6" s="391" t="s">
        <v>274</v>
      </c>
      <c r="J6" s="391" t="s">
        <v>670</v>
      </c>
      <c r="K6" s="391" t="s">
        <v>274</v>
      </c>
      <c r="L6" s="394"/>
      <c r="M6" s="395"/>
    </row>
    <row r="7" spans="1:23" ht="42.6" customHeight="1" x14ac:dyDescent="0.25">
      <c r="A7" s="391" t="s">
        <v>1176</v>
      </c>
      <c r="B7" s="392" t="s">
        <v>1195</v>
      </c>
      <c r="C7" s="392" t="s">
        <v>1194</v>
      </c>
      <c r="D7" s="391">
        <v>110</v>
      </c>
      <c r="E7" s="391">
        <v>35</v>
      </c>
      <c r="F7" s="391">
        <v>35</v>
      </c>
      <c r="G7" s="391">
        <v>200</v>
      </c>
      <c r="H7" s="391" t="s">
        <v>670</v>
      </c>
      <c r="I7" s="391" t="s">
        <v>274</v>
      </c>
      <c r="J7" s="391" t="s">
        <v>670</v>
      </c>
      <c r="K7" s="391" t="s">
        <v>274</v>
      </c>
      <c r="L7" s="394"/>
      <c r="M7" s="395"/>
    </row>
    <row r="8" spans="1:23" ht="42.6" customHeight="1" x14ac:dyDescent="0.25">
      <c r="A8" s="391" t="s">
        <v>1325</v>
      </c>
      <c r="B8" s="392" t="s">
        <v>1306</v>
      </c>
      <c r="C8" s="392" t="s">
        <v>1304</v>
      </c>
      <c r="D8" s="391" t="s">
        <v>1305</v>
      </c>
      <c r="E8" s="391" t="s">
        <v>1305</v>
      </c>
      <c r="F8" s="391" t="s">
        <v>1305</v>
      </c>
      <c r="G8" s="391" t="s">
        <v>1305</v>
      </c>
      <c r="H8" s="391" t="s">
        <v>670</v>
      </c>
      <c r="I8" s="391" t="s">
        <v>274</v>
      </c>
      <c r="J8" s="391" t="s">
        <v>670</v>
      </c>
      <c r="K8" s="391" t="s">
        <v>274</v>
      </c>
      <c r="L8" s="394"/>
      <c r="M8" s="395"/>
    </row>
    <row r="9" spans="1:23" ht="42.6" customHeight="1" x14ac:dyDescent="0.25">
      <c r="A9" s="391" t="s">
        <v>1326</v>
      </c>
      <c r="B9" s="392" t="s">
        <v>1306</v>
      </c>
      <c r="C9" s="392" t="s">
        <v>1304</v>
      </c>
      <c r="D9" s="391" t="s">
        <v>1305</v>
      </c>
      <c r="E9" s="391" t="s">
        <v>1305</v>
      </c>
      <c r="F9" s="391" t="s">
        <v>1305</v>
      </c>
      <c r="G9" s="391" t="s">
        <v>1305</v>
      </c>
      <c r="H9" s="391" t="s">
        <v>670</v>
      </c>
      <c r="I9" s="391" t="s">
        <v>274</v>
      </c>
      <c r="J9" s="391" t="s">
        <v>670</v>
      </c>
      <c r="K9" s="391" t="s">
        <v>274</v>
      </c>
      <c r="L9" s="394"/>
      <c r="M9" s="395"/>
    </row>
    <row r="10" spans="1:23" ht="42.6" customHeight="1" x14ac:dyDescent="0.25">
      <c r="A10" s="391" t="s">
        <v>1327</v>
      </c>
      <c r="B10" s="392" t="s">
        <v>1306</v>
      </c>
      <c r="C10" s="392" t="s">
        <v>1304</v>
      </c>
      <c r="D10" s="391" t="s">
        <v>1305</v>
      </c>
      <c r="E10" s="391" t="s">
        <v>1305</v>
      </c>
      <c r="F10" s="391" t="s">
        <v>1305</v>
      </c>
      <c r="G10" s="391" t="s">
        <v>1305</v>
      </c>
      <c r="H10" s="391" t="s">
        <v>670</v>
      </c>
      <c r="I10" s="391" t="s">
        <v>274</v>
      </c>
      <c r="J10" s="391" t="s">
        <v>670</v>
      </c>
      <c r="K10" s="391" t="s">
        <v>274</v>
      </c>
      <c r="L10" s="394"/>
      <c r="M10" s="395"/>
    </row>
    <row r="11" spans="1:23" ht="42.6" customHeight="1" x14ac:dyDescent="0.25">
      <c r="A11" s="391" t="s">
        <v>1328</v>
      </c>
      <c r="B11" s="392" t="s">
        <v>1307</v>
      </c>
      <c r="C11" s="392" t="s">
        <v>1308</v>
      </c>
      <c r="D11" s="391" t="s">
        <v>1305</v>
      </c>
      <c r="E11" s="391" t="s">
        <v>1305</v>
      </c>
      <c r="F11" s="391" t="s">
        <v>1305</v>
      </c>
      <c r="G11" s="391" t="s">
        <v>1305</v>
      </c>
      <c r="H11" s="391" t="s">
        <v>670</v>
      </c>
      <c r="I11" s="391" t="s">
        <v>274</v>
      </c>
      <c r="J11" s="391" t="s">
        <v>670</v>
      </c>
      <c r="K11" s="391" t="s">
        <v>274</v>
      </c>
      <c r="L11" s="394"/>
      <c r="M11" s="395"/>
    </row>
    <row r="12" spans="1:23" ht="42.6" customHeight="1" x14ac:dyDescent="0.25">
      <c r="A12" s="391" t="s">
        <v>1329</v>
      </c>
      <c r="B12" s="392" t="s">
        <v>1307</v>
      </c>
      <c r="C12" s="392" t="s">
        <v>1308</v>
      </c>
      <c r="D12" s="391" t="s">
        <v>1305</v>
      </c>
      <c r="E12" s="391" t="s">
        <v>1305</v>
      </c>
      <c r="F12" s="391" t="s">
        <v>1305</v>
      </c>
      <c r="G12" s="391" t="s">
        <v>1305</v>
      </c>
      <c r="H12" s="391" t="s">
        <v>670</v>
      </c>
      <c r="I12" s="391" t="s">
        <v>274</v>
      </c>
      <c r="J12" s="391" t="s">
        <v>670</v>
      </c>
      <c r="K12" s="391" t="s">
        <v>274</v>
      </c>
      <c r="L12" s="394"/>
      <c r="M12" s="395"/>
    </row>
    <row r="13" spans="1:23" ht="42.6" customHeight="1" x14ac:dyDescent="0.25">
      <c r="A13" s="391" t="s">
        <v>1330</v>
      </c>
      <c r="B13" s="392" t="s">
        <v>1307</v>
      </c>
      <c r="C13" s="392" t="s">
        <v>1308</v>
      </c>
      <c r="D13" s="391" t="s">
        <v>1305</v>
      </c>
      <c r="E13" s="391" t="s">
        <v>1305</v>
      </c>
      <c r="F13" s="391" t="s">
        <v>1305</v>
      </c>
      <c r="G13" s="391" t="s">
        <v>1305</v>
      </c>
      <c r="H13" s="391" t="s">
        <v>670</v>
      </c>
      <c r="I13" s="391" t="s">
        <v>274</v>
      </c>
      <c r="J13" s="391" t="s">
        <v>670</v>
      </c>
      <c r="K13" s="391" t="s">
        <v>274</v>
      </c>
      <c r="L13" s="394"/>
      <c r="M13" s="395"/>
    </row>
  </sheetData>
  <conditionalFormatting sqref="M5:M7 M2 M10 M13">
    <cfRule type="dataBar" priority="47">
      <dataBar>
        <cfvo type="min"/>
        <cfvo type="max"/>
        <color rgb="FF51F5FD"/>
      </dataBar>
      <extLst>
        <ext xmlns:x14="http://schemas.microsoft.com/office/spreadsheetml/2009/9/main" uri="{B025F937-C7B1-47D3-B67F-A62EFF666E3E}">
          <x14:id>{300E7A26-41FB-483A-9A4B-BA15A5C1C313}</x14:id>
        </ext>
      </extLst>
    </cfRule>
  </conditionalFormatting>
  <conditionalFormatting sqref="E2:F2 E5:F7 E10:F10 E13:F13">
    <cfRule type="dataBar" priority="46">
      <dataBar>
        <cfvo type="min"/>
        <cfvo type="max"/>
        <color rgb="FF63C384"/>
      </dataBar>
      <extLst>
        <ext xmlns:x14="http://schemas.microsoft.com/office/spreadsheetml/2009/9/main" uri="{B025F937-C7B1-47D3-B67F-A62EFF666E3E}">
          <x14:id>{D8C6FABA-8DFE-4C27-819F-1E98CD7D0F8E}</x14:id>
        </ext>
      </extLst>
    </cfRule>
  </conditionalFormatting>
  <conditionalFormatting sqref="G5:G7 G2 G10 G13">
    <cfRule type="dataBar" priority="45">
      <dataBar>
        <cfvo type="min"/>
        <cfvo type="max"/>
        <color rgb="FFFF555A"/>
      </dataBar>
      <extLst>
        <ext xmlns:x14="http://schemas.microsoft.com/office/spreadsheetml/2009/9/main" uri="{B025F937-C7B1-47D3-B67F-A62EFF666E3E}">
          <x14:id>{CF56CE92-8EE4-45C7-8966-62EC325E090A}</x14:id>
        </ext>
      </extLst>
    </cfRule>
  </conditionalFormatting>
  <conditionalFormatting sqref="G5:G7 G10 G13">
    <cfRule type="dataBar" priority="48">
      <dataBar>
        <cfvo type="min"/>
        <cfvo type="max"/>
        <color rgb="FFFF555A"/>
      </dataBar>
      <extLst>
        <ext xmlns:x14="http://schemas.microsoft.com/office/spreadsheetml/2009/9/main" uri="{B025F937-C7B1-47D3-B67F-A62EFF666E3E}">
          <x14:id>{9BB18770-6AE4-4B54-B1B9-E2AF45AE287D}</x14:id>
        </ext>
      </extLst>
    </cfRule>
  </conditionalFormatting>
  <conditionalFormatting sqref="L2 L5:L7 L10 L13">
    <cfRule type="cellIs" dxfId="15" priority="43" operator="equal">
      <formula>"n"</formula>
    </cfRule>
    <cfRule type="cellIs" dxfId="14" priority="44" operator="equal">
      <formula>"y"</formula>
    </cfRule>
  </conditionalFormatting>
  <conditionalFormatting sqref="M1:P1">
    <cfRule type="dataBar" priority="42">
      <dataBar>
        <cfvo type="min"/>
        <cfvo type="max"/>
        <color rgb="FF51F5FD"/>
      </dataBar>
      <extLst>
        <ext xmlns:x14="http://schemas.microsoft.com/office/spreadsheetml/2009/9/main" uri="{B025F937-C7B1-47D3-B67F-A62EFF666E3E}">
          <x14:id>{EDCA871B-FC17-4FCD-80A4-6A3A9D08C8B0}</x14:id>
        </ext>
      </extLst>
    </cfRule>
  </conditionalFormatting>
  <conditionalFormatting sqref="E1:F1">
    <cfRule type="dataBar" priority="41">
      <dataBar>
        <cfvo type="min"/>
        <cfvo type="max"/>
        <color rgb="FF63C384"/>
      </dataBar>
      <extLst>
        <ext xmlns:x14="http://schemas.microsoft.com/office/spreadsheetml/2009/9/main" uri="{B025F937-C7B1-47D3-B67F-A62EFF666E3E}">
          <x14:id>{E1964B18-6E54-4937-BAFC-2F9D6A9883B1}</x14:id>
        </ext>
      </extLst>
    </cfRule>
  </conditionalFormatting>
  <conditionalFormatting sqref="G1">
    <cfRule type="dataBar" priority="40">
      <dataBar>
        <cfvo type="min"/>
        <cfvo type="max"/>
        <color rgb="FFFF555A"/>
      </dataBar>
      <extLst>
        <ext xmlns:x14="http://schemas.microsoft.com/office/spreadsheetml/2009/9/main" uri="{B025F937-C7B1-47D3-B67F-A62EFF666E3E}">
          <x14:id>{A2ECA3F1-D808-4E72-BE12-61F9F8B1F190}</x14:id>
        </ext>
      </extLst>
    </cfRule>
  </conditionalFormatting>
  <conditionalFormatting sqref="Q1">
    <cfRule type="dataBar" priority="39">
      <dataBar>
        <cfvo type="min"/>
        <cfvo type="max"/>
        <color rgb="FFFFB628"/>
      </dataBar>
      <extLst>
        <ext xmlns:x14="http://schemas.microsoft.com/office/spreadsheetml/2009/9/main" uri="{B025F937-C7B1-47D3-B67F-A62EFF666E3E}">
          <x14:id>{DF823573-1CFB-4919-9B21-27BC34BB203F}</x14:id>
        </ext>
      </extLst>
    </cfRule>
  </conditionalFormatting>
  <conditionalFormatting sqref="L1">
    <cfRule type="cellIs" dxfId="13" priority="37" operator="equal">
      <formula>"n"</formula>
    </cfRule>
    <cfRule type="cellIs" dxfId="12" priority="38" operator="equal">
      <formula>"y"</formula>
    </cfRule>
  </conditionalFormatting>
  <conditionalFormatting sqref="M4">
    <cfRule type="dataBar" priority="35">
      <dataBar>
        <cfvo type="min"/>
        <cfvo type="max"/>
        <color rgb="FF51F5FD"/>
      </dataBar>
      <extLst>
        <ext xmlns:x14="http://schemas.microsoft.com/office/spreadsheetml/2009/9/main" uri="{B025F937-C7B1-47D3-B67F-A62EFF666E3E}">
          <x14:id>{DF1B785A-12AF-4819-B050-D769EA594566}</x14:id>
        </ext>
      </extLst>
    </cfRule>
  </conditionalFormatting>
  <conditionalFormatting sqref="E4:F4">
    <cfRule type="dataBar" priority="34">
      <dataBar>
        <cfvo type="min"/>
        <cfvo type="max"/>
        <color rgb="FF63C384"/>
      </dataBar>
      <extLst>
        <ext xmlns:x14="http://schemas.microsoft.com/office/spreadsheetml/2009/9/main" uri="{B025F937-C7B1-47D3-B67F-A62EFF666E3E}">
          <x14:id>{271BD566-9768-446E-AAB7-D9EE5951AA70}</x14:id>
        </ext>
      </extLst>
    </cfRule>
  </conditionalFormatting>
  <conditionalFormatting sqref="G4">
    <cfRule type="dataBar" priority="33">
      <dataBar>
        <cfvo type="min"/>
        <cfvo type="max"/>
        <color rgb="FFFF555A"/>
      </dataBar>
      <extLst>
        <ext xmlns:x14="http://schemas.microsoft.com/office/spreadsheetml/2009/9/main" uri="{B025F937-C7B1-47D3-B67F-A62EFF666E3E}">
          <x14:id>{CAEC82A9-13E5-47F4-BE42-0B7EA089A180}</x14:id>
        </ext>
      </extLst>
    </cfRule>
  </conditionalFormatting>
  <conditionalFormatting sqref="G4">
    <cfRule type="dataBar" priority="36">
      <dataBar>
        <cfvo type="min"/>
        <cfvo type="max"/>
        <color rgb="FFFF555A"/>
      </dataBar>
      <extLst>
        <ext xmlns:x14="http://schemas.microsoft.com/office/spreadsheetml/2009/9/main" uri="{B025F937-C7B1-47D3-B67F-A62EFF666E3E}">
          <x14:id>{C7F0F6E1-A62A-45D4-B98D-F7967CA637EF}</x14:id>
        </ext>
      </extLst>
    </cfRule>
  </conditionalFormatting>
  <conditionalFormatting sqref="L4">
    <cfRule type="cellIs" dxfId="11" priority="31" operator="equal">
      <formula>"n"</formula>
    </cfRule>
    <cfRule type="cellIs" dxfId="10" priority="32" operator="equal">
      <formula>"y"</formula>
    </cfRule>
  </conditionalFormatting>
  <conditionalFormatting sqref="M3">
    <cfRule type="dataBar" priority="29">
      <dataBar>
        <cfvo type="min"/>
        <cfvo type="max"/>
        <color rgb="FF51F5FD"/>
      </dataBar>
      <extLst>
        <ext xmlns:x14="http://schemas.microsoft.com/office/spreadsheetml/2009/9/main" uri="{B025F937-C7B1-47D3-B67F-A62EFF666E3E}">
          <x14:id>{9B145F0E-9F23-4E7A-801A-44C0F565274C}</x14:id>
        </ext>
      </extLst>
    </cfRule>
  </conditionalFormatting>
  <conditionalFormatting sqref="E3:F3">
    <cfRule type="dataBar" priority="28">
      <dataBar>
        <cfvo type="min"/>
        <cfvo type="max"/>
        <color rgb="FF63C384"/>
      </dataBar>
      <extLst>
        <ext xmlns:x14="http://schemas.microsoft.com/office/spreadsheetml/2009/9/main" uri="{B025F937-C7B1-47D3-B67F-A62EFF666E3E}">
          <x14:id>{8B7F47BE-5D51-48A3-A148-6D4CADAEFC83}</x14:id>
        </ext>
      </extLst>
    </cfRule>
  </conditionalFormatting>
  <conditionalFormatting sqref="G3">
    <cfRule type="dataBar" priority="27">
      <dataBar>
        <cfvo type="min"/>
        <cfvo type="max"/>
        <color rgb="FFFF555A"/>
      </dataBar>
      <extLst>
        <ext xmlns:x14="http://schemas.microsoft.com/office/spreadsheetml/2009/9/main" uri="{B025F937-C7B1-47D3-B67F-A62EFF666E3E}">
          <x14:id>{9BA5C3CD-C600-434A-AE7D-49A06999E568}</x14:id>
        </ext>
      </extLst>
    </cfRule>
  </conditionalFormatting>
  <conditionalFormatting sqref="G3">
    <cfRule type="dataBar" priority="30">
      <dataBar>
        <cfvo type="min"/>
        <cfvo type="max"/>
        <color rgb="FFFF555A"/>
      </dataBar>
      <extLst>
        <ext xmlns:x14="http://schemas.microsoft.com/office/spreadsheetml/2009/9/main" uri="{B025F937-C7B1-47D3-B67F-A62EFF666E3E}">
          <x14:id>{572D1E9C-6040-4BF8-99F6-F85D07B4D855}</x14:id>
        </ext>
      </extLst>
    </cfRule>
  </conditionalFormatting>
  <conditionalFormatting sqref="L3">
    <cfRule type="cellIs" dxfId="9" priority="25" operator="equal">
      <formula>"n"</formula>
    </cfRule>
    <cfRule type="cellIs" dxfId="8" priority="26" operator="equal">
      <formula>"y"</formula>
    </cfRule>
  </conditionalFormatting>
  <conditionalFormatting sqref="M9">
    <cfRule type="dataBar" priority="23">
      <dataBar>
        <cfvo type="min"/>
        <cfvo type="max"/>
        <color rgb="FF51F5FD"/>
      </dataBar>
      <extLst>
        <ext xmlns:x14="http://schemas.microsoft.com/office/spreadsheetml/2009/9/main" uri="{B025F937-C7B1-47D3-B67F-A62EFF666E3E}">
          <x14:id>{498C6BFA-A1F5-4DAC-9CD3-98C199679FBE}</x14:id>
        </ext>
      </extLst>
    </cfRule>
  </conditionalFormatting>
  <conditionalFormatting sqref="E9:F9">
    <cfRule type="dataBar" priority="22">
      <dataBar>
        <cfvo type="min"/>
        <cfvo type="max"/>
        <color rgb="FF63C384"/>
      </dataBar>
      <extLst>
        <ext xmlns:x14="http://schemas.microsoft.com/office/spreadsheetml/2009/9/main" uri="{B025F937-C7B1-47D3-B67F-A62EFF666E3E}">
          <x14:id>{32B253EC-2B34-46B3-99E2-E5067086932B}</x14:id>
        </ext>
      </extLst>
    </cfRule>
  </conditionalFormatting>
  <conditionalFormatting sqref="G9">
    <cfRule type="dataBar" priority="21">
      <dataBar>
        <cfvo type="min"/>
        <cfvo type="max"/>
        <color rgb="FFFF555A"/>
      </dataBar>
      <extLst>
        <ext xmlns:x14="http://schemas.microsoft.com/office/spreadsheetml/2009/9/main" uri="{B025F937-C7B1-47D3-B67F-A62EFF666E3E}">
          <x14:id>{024DF3F5-57AC-4094-951D-DF8FA8051C8C}</x14:id>
        </ext>
      </extLst>
    </cfRule>
  </conditionalFormatting>
  <conditionalFormatting sqref="G9">
    <cfRule type="dataBar" priority="24">
      <dataBar>
        <cfvo type="min"/>
        <cfvo type="max"/>
        <color rgb="FFFF555A"/>
      </dataBar>
      <extLst>
        <ext xmlns:x14="http://schemas.microsoft.com/office/spreadsheetml/2009/9/main" uri="{B025F937-C7B1-47D3-B67F-A62EFF666E3E}">
          <x14:id>{25FFA704-1806-4A48-9BE7-DDDA6F6A5F9E}</x14:id>
        </ext>
      </extLst>
    </cfRule>
  </conditionalFormatting>
  <conditionalFormatting sqref="L9">
    <cfRule type="cellIs" dxfId="7" priority="19" operator="equal">
      <formula>"n"</formula>
    </cfRule>
    <cfRule type="cellIs" dxfId="6" priority="20" operator="equal">
      <formula>"y"</formula>
    </cfRule>
  </conditionalFormatting>
  <conditionalFormatting sqref="M8">
    <cfRule type="dataBar" priority="17">
      <dataBar>
        <cfvo type="min"/>
        <cfvo type="max"/>
        <color rgb="FF51F5FD"/>
      </dataBar>
      <extLst>
        <ext xmlns:x14="http://schemas.microsoft.com/office/spreadsheetml/2009/9/main" uri="{B025F937-C7B1-47D3-B67F-A62EFF666E3E}">
          <x14:id>{EA8280DA-7F57-4CFE-8767-8974C4674C2C}</x14:id>
        </ext>
      </extLst>
    </cfRule>
  </conditionalFormatting>
  <conditionalFormatting sqref="E8:F8">
    <cfRule type="dataBar" priority="16">
      <dataBar>
        <cfvo type="min"/>
        <cfvo type="max"/>
        <color rgb="FF63C384"/>
      </dataBar>
      <extLst>
        <ext xmlns:x14="http://schemas.microsoft.com/office/spreadsheetml/2009/9/main" uri="{B025F937-C7B1-47D3-B67F-A62EFF666E3E}">
          <x14:id>{F91579B7-2831-4DAC-8D45-B93E1EF258CD}</x14:id>
        </ext>
      </extLst>
    </cfRule>
  </conditionalFormatting>
  <conditionalFormatting sqref="G8">
    <cfRule type="dataBar" priority="15">
      <dataBar>
        <cfvo type="min"/>
        <cfvo type="max"/>
        <color rgb="FFFF555A"/>
      </dataBar>
      <extLst>
        <ext xmlns:x14="http://schemas.microsoft.com/office/spreadsheetml/2009/9/main" uri="{B025F937-C7B1-47D3-B67F-A62EFF666E3E}">
          <x14:id>{7CF0B38B-6D51-4575-99CA-9494171EFA48}</x14:id>
        </ext>
      </extLst>
    </cfRule>
  </conditionalFormatting>
  <conditionalFormatting sqref="G8">
    <cfRule type="dataBar" priority="18">
      <dataBar>
        <cfvo type="min"/>
        <cfvo type="max"/>
        <color rgb="FFFF555A"/>
      </dataBar>
      <extLst>
        <ext xmlns:x14="http://schemas.microsoft.com/office/spreadsheetml/2009/9/main" uri="{B025F937-C7B1-47D3-B67F-A62EFF666E3E}">
          <x14:id>{58602DC8-4E36-4A5E-BC0C-9B06964B565B}</x14:id>
        </ext>
      </extLst>
    </cfRule>
  </conditionalFormatting>
  <conditionalFormatting sqref="L8">
    <cfRule type="cellIs" dxfId="5" priority="13" operator="equal">
      <formula>"n"</formula>
    </cfRule>
    <cfRule type="cellIs" dxfId="4" priority="14" operator="equal">
      <formula>"y"</formula>
    </cfRule>
  </conditionalFormatting>
  <conditionalFormatting sqref="M11">
    <cfRule type="dataBar" priority="11">
      <dataBar>
        <cfvo type="min"/>
        <cfvo type="max"/>
        <color rgb="FF51F5FD"/>
      </dataBar>
      <extLst>
        <ext xmlns:x14="http://schemas.microsoft.com/office/spreadsheetml/2009/9/main" uri="{B025F937-C7B1-47D3-B67F-A62EFF666E3E}">
          <x14:id>{06CD7DED-526D-4D55-A49B-776194CD5066}</x14:id>
        </ext>
      </extLst>
    </cfRule>
  </conditionalFormatting>
  <conditionalFormatting sqref="E11:F11">
    <cfRule type="dataBar" priority="10">
      <dataBar>
        <cfvo type="min"/>
        <cfvo type="max"/>
        <color rgb="FF63C384"/>
      </dataBar>
      <extLst>
        <ext xmlns:x14="http://schemas.microsoft.com/office/spreadsheetml/2009/9/main" uri="{B025F937-C7B1-47D3-B67F-A62EFF666E3E}">
          <x14:id>{3362D5EC-B9F1-42E5-9FBD-DEF196DAB2FB}</x14:id>
        </ext>
      </extLst>
    </cfRule>
  </conditionalFormatting>
  <conditionalFormatting sqref="G11">
    <cfRule type="dataBar" priority="9">
      <dataBar>
        <cfvo type="min"/>
        <cfvo type="max"/>
        <color rgb="FFFF555A"/>
      </dataBar>
      <extLst>
        <ext xmlns:x14="http://schemas.microsoft.com/office/spreadsheetml/2009/9/main" uri="{B025F937-C7B1-47D3-B67F-A62EFF666E3E}">
          <x14:id>{3232C39B-203F-43D5-98C5-F301B90F0856}</x14:id>
        </ext>
      </extLst>
    </cfRule>
  </conditionalFormatting>
  <conditionalFormatting sqref="G11">
    <cfRule type="dataBar" priority="12">
      <dataBar>
        <cfvo type="min"/>
        <cfvo type="max"/>
        <color rgb="FFFF555A"/>
      </dataBar>
      <extLst>
        <ext xmlns:x14="http://schemas.microsoft.com/office/spreadsheetml/2009/9/main" uri="{B025F937-C7B1-47D3-B67F-A62EFF666E3E}">
          <x14:id>{FBFE10E7-7772-4295-9A6A-0387CD2B64BB}</x14:id>
        </ext>
      </extLst>
    </cfRule>
  </conditionalFormatting>
  <conditionalFormatting sqref="L11">
    <cfRule type="cellIs" dxfId="3" priority="7" operator="equal">
      <formula>"n"</formula>
    </cfRule>
    <cfRule type="cellIs" dxfId="2" priority="8" operator="equal">
      <formula>"y"</formula>
    </cfRule>
  </conditionalFormatting>
  <conditionalFormatting sqref="M12">
    <cfRule type="dataBar" priority="5">
      <dataBar>
        <cfvo type="min"/>
        <cfvo type="max"/>
        <color rgb="FF51F5FD"/>
      </dataBar>
      <extLst>
        <ext xmlns:x14="http://schemas.microsoft.com/office/spreadsheetml/2009/9/main" uri="{B025F937-C7B1-47D3-B67F-A62EFF666E3E}">
          <x14:id>{F01C7F23-E3A0-4378-83F5-9896CC0079D0}</x14:id>
        </ext>
      </extLst>
    </cfRule>
  </conditionalFormatting>
  <conditionalFormatting sqref="E12:F12">
    <cfRule type="dataBar" priority="4">
      <dataBar>
        <cfvo type="min"/>
        <cfvo type="max"/>
        <color rgb="FF63C384"/>
      </dataBar>
      <extLst>
        <ext xmlns:x14="http://schemas.microsoft.com/office/spreadsheetml/2009/9/main" uri="{B025F937-C7B1-47D3-B67F-A62EFF666E3E}">
          <x14:id>{C2129F64-CEA1-4062-89C2-CC8B024B5C83}</x14:id>
        </ext>
      </extLst>
    </cfRule>
  </conditionalFormatting>
  <conditionalFormatting sqref="G12">
    <cfRule type="dataBar" priority="3">
      <dataBar>
        <cfvo type="min"/>
        <cfvo type="max"/>
        <color rgb="FFFF555A"/>
      </dataBar>
      <extLst>
        <ext xmlns:x14="http://schemas.microsoft.com/office/spreadsheetml/2009/9/main" uri="{B025F937-C7B1-47D3-B67F-A62EFF666E3E}">
          <x14:id>{D6C0C25C-38EB-4C0A-A828-493B28FB358C}</x14:id>
        </ext>
      </extLst>
    </cfRule>
  </conditionalFormatting>
  <conditionalFormatting sqref="G12">
    <cfRule type="dataBar" priority="6">
      <dataBar>
        <cfvo type="min"/>
        <cfvo type="max"/>
        <color rgb="FFFF555A"/>
      </dataBar>
      <extLst>
        <ext xmlns:x14="http://schemas.microsoft.com/office/spreadsheetml/2009/9/main" uri="{B025F937-C7B1-47D3-B67F-A62EFF666E3E}">
          <x14:id>{567CFB9A-1692-49E6-87CE-D6E0A6285898}</x14:id>
        </ext>
      </extLst>
    </cfRule>
  </conditionalFormatting>
  <conditionalFormatting sqref="L12">
    <cfRule type="cellIs" dxfId="1" priority="1" operator="equal">
      <formula>"n"</formula>
    </cfRule>
    <cfRule type="cellIs" dxfId="0" priority="2" operator="equal">
      <formula>"y"</formula>
    </cfRule>
  </conditionalFormatting>
  <pageMargins left="0.7" right="0.7" top="0.75" bottom="0.75" header="0.3" footer="0.3"/>
  <pageSetup paperSize="8"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300E7A26-41FB-483A-9A4B-BA15A5C1C313}">
            <x14:dataBar minLength="0" maxLength="100" gradient="0">
              <x14:cfvo type="autoMin"/>
              <x14:cfvo type="autoMax"/>
              <x14:negativeFillColor rgb="FFFF0000"/>
              <x14:axisColor rgb="FF000000"/>
            </x14:dataBar>
          </x14:cfRule>
          <xm:sqref>M5:M7 M2 M10 M13</xm:sqref>
        </x14:conditionalFormatting>
        <x14:conditionalFormatting xmlns:xm="http://schemas.microsoft.com/office/excel/2006/main">
          <x14:cfRule type="dataBar" id="{D8C6FABA-8DFE-4C27-819F-1E98CD7D0F8E}">
            <x14:dataBar minLength="0" maxLength="100" gradient="0">
              <x14:cfvo type="autoMin"/>
              <x14:cfvo type="autoMax"/>
              <x14:negativeFillColor rgb="FFFF0000"/>
              <x14:axisColor rgb="FF000000"/>
            </x14:dataBar>
          </x14:cfRule>
          <xm:sqref>E2:F2 E5:F7 E10:F10 E13:F13</xm:sqref>
        </x14:conditionalFormatting>
        <x14:conditionalFormatting xmlns:xm="http://schemas.microsoft.com/office/excel/2006/main">
          <x14:cfRule type="dataBar" id="{CF56CE92-8EE4-45C7-8966-62EC325E090A}">
            <x14:dataBar minLength="0" maxLength="100" gradient="0">
              <x14:cfvo type="autoMin"/>
              <x14:cfvo type="autoMax"/>
              <x14:negativeFillColor rgb="FFFF0000"/>
              <x14:axisColor rgb="FF000000"/>
            </x14:dataBar>
          </x14:cfRule>
          <xm:sqref>G5:G7 G2 G10 G13</xm:sqref>
        </x14:conditionalFormatting>
        <x14:conditionalFormatting xmlns:xm="http://schemas.microsoft.com/office/excel/2006/main">
          <x14:cfRule type="dataBar" id="{9BB18770-6AE4-4B54-B1B9-E2AF45AE287D}">
            <x14:dataBar minLength="0" maxLength="100" gradient="0">
              <x14:cfvo type="autoMin"/>
              <x14:cfvo type="autoMax"/>
              <x14:negativeFillColor rgb="FFFF0000"/>
              <x14:axisColor rgb="FF000000"/>
            </x14:dataBar>
          </x14:cfRule>
          <xm:sqref>G5:G7 G10 G13</xm:sqref>
        </x14:conditionalFormatting>
        <x14:conditionalFormatting xmlns:xm="http://schemas.microsoft.com/office/excel/2006/main">
          <x14:cfRule type="dataBar" id="{EDCA871B-FC17-4FCD-80A4-6A3A9D08C8B0}">
            <x14:dataBar minLength="0" maxLength="100" gradient="0">
              <x14:cfvo type="autoMin"/>
              <x14:cfvo type="autoMax"/>
              <x14:negativeFillColor rgb="FFFF0000"/>
              <x14:axisColor rgb="FF000000"/>
            </x14:dataBar>
          </x14:cfRule>
          <xm:sqref>M1:P1</xm:sqref>
        </x14:conditionalFormatting>
        <x14:conditionalFormatting xmlns:xm="http://schemas.microsoft.com/office/excel/2006/main">
          <x14:cfRule type="dataBar" id="{E1964B18-6E54-4937-BAFC-2F9D6A9883B1}">
            <x14:dataBar minLength="0" maxLength="100" gradient="0">
              <x14:cfvo type="autoMin"/>
              <x14:cfvo type="autoMax"/>
              <x14:negativeFillColor rgb="FFFF0000"/>
              <x14:axisColor rgb="FF000000"/>
            </x14:dataBar>
          </x14:cfRule>
          <xm:sqref>E1:F1</xm:sqref>
        </x14:conditionalFormatting>
        <x14:conditionalFormatting xmlns:xm="http://schemas.microsoft.com/office/excel/2006/main">
          <x14:cfRule type="dataBar" id="{A2ECA3F1-D808-4E72-BE12-61F9F8B1F190}">
            <x14:dataBar minLength="0" maxLength="100" gradient="0">
              <x14:cfvo type="autoMin"/>
              <x14:cfvo type="autoMax"/>
              <x14:negativeFillColor rgb="FFFF0000"/>
              <x14:axisColor rgb="FF000000"/>
            </x14:dataBar>
          </x14:cfRule>
          <xm:sqref>G1</xm:sqref>
        </x14:conditionalFormatting>
        <x14:conditionalFormatting xmlns:xm="http://schemas.microsoft.com/office/excel/2006/main">
          <x14:cfRule type="dataBar" id="{DF823573-1CFB-4919-9B21-27BC34BB203F}">
            <x14:dataBar minLength="0" maxLength="100" gradient="0">
              <x14:cfvo type="autoMin"/>
              <x14:cfvo type="autoMax"/>
              <x14:negativeFillColor rgb="FFFF0000"/>
              <x14:axisColor rgb="FF000000"/>
            </x14:dataBar>
          </x14:cfRule>
          <xm:sqref>Q1</xm:sqref>
        </x14:conditionalFormatting>
        <x14:conditionalFormatting xmlns:xm="http://schemas.microsoft.com/office/excel/2006/main">
          <x14:cfRule type="dataBar" id="{DF1B785A-12AF-4819-B050-D769EA594566}">
            <x14:dataBar minLength="0" maxLength="100" gradient="0">
              <x14:cfvo type="autoMin"/>
              <x14:cfvo type="autoMax"/>
              <x14:negativeFillColor rgb="FFFF0000"/>
              <x14:axisColor rgb="FF000000"/>
            </x14:dataBar>
          </x14:cfRule>
          <xm:sqref>M4</xm:sqref>
        </x14:conditionalFormatting>
        <x14:conditionalFormatting xmlns:xm="http://schemas.microsoft.com/office/excel/2006/main">
          <x14:cfRule type="dataBar" id="{271BD566-9768-446E-AAB7-D9EE5951AA70}">
            <x14:dataBar minLength="0" maxLength="100" gradient="0">
              <x14:cfvo type="autoMin"/>
              <x14:cfvo type="autoMax"/>
              <x14:negativeFillColor rgb="FFFF0000"/>
              <x14:axisColor rgb="FF000000"/>
            </x14:dataBar>
          </x14:cfRule>
          <xm:sqref>E4:F4</xm:sqref>
        </x14:conditionalFormatting>
        <x14:conditionalFormatting xmlns:xm="http://schemas.microsoft.com/office/excel/2006/main">
          <x14:cfRule type="dataBar" id="{CAEC82A9-13E5-47F4-BE42-0B7EA089A180}">
            <x14:dataBar minLength="0" maxLength="100" gradient="0">
              <x14:cfvo type="autoMin"/>
              <x14:cfvo type="autoMax"/>
              <x14:negativeFillColor rgb="FFFF0000"/>
              <x14:axisColor rgb="FF000000"/>
            </x14:dataBar>
          </x14:cfRule>
          <xm:sqref>G4</xm:sqref>
        </x14:conditionalFormatting>
        <x14:conditionalFormatting xmlns:xm="http://schemas.microsoft.com/office/excel/2006/main">
          <x14:cfRule type="dataBar" id="{C7F0F6E1-A62A-45D4-B98D-F7967CA637EF}">
            <x14:dataBar minLength="0" maxLength="100" gradient="0">
              <x14:cfvo type="autoMin"/>
              <x14:cfvo type="autoMax"/>
              <x14:negativeFillColor rgb="FFFF0000"/>
              <x14:axisColor rgb="FF000000"/>
            </x14:dataBar>
          </x14:cfRule>
          <xm:sqref>G4</xm:sqref>
        </x14:conditionalFormatting>
        <x14:conditionalFormatting xmlns:xm="http://schemas.microsoft.com/office/excel/2006/main">
          <x14:cfRule type="dataBar" id="{9B145F0E-9F23-4E7A-801A-44C0F565274C}">
            <x14:dataBar minLength="0" maxLength="100" gradient="0">
              <x14:cfvo type="autoMin"/>
              <x14:cfvo type="autoMax"/>
              <x14:negativeFillColor rgb="FFFF0000"/>
              <x14:axisColor rgb="FF000000"/>
            </x14:dataBar>
          </x14:cfRule>
          <xm:sqref>M3</xm:sqref>
        </x14:conditionalFormatting>
        <x14:conditionalFormatting xmlns:xm="http://schemas.microsoft.com/office/excel/2006/main">
          <x14:cfRule type="dataBar" id="{8B7F47BE-5D51-48A3-A148-6D4CADAEFC83}">
            <x14:dataBar minLength="0" maxLength="100" gradient="0">
              <x14:cfvo type="autoMin"/>
              <x14:cfvo type="autoMax"/>
              <x14:negativeFillColor rgb="FFFF0000"/>
              <x14:axisColor rgb="FF000000"/>
            </x14:dataBar>
          </x14:cfRule>
          <xm:sqref>E3:F3</xm:sqref>
        </x14:conditionalFormatting>
        <x14:conditionalFormatting xmlns:xm="http://schemas.microsoft.com/office/excel/2006/main">
          <x14:cfRule type="dataBar" id="{9BA5C3CD-C600-434A-AE7D-49A06999E568}">
            <x14:dataBar minLength="0" maxLength="100" gradient="0">
              <x14:cfvo type="autoMin"/>
              <x14:cfvo type="autoMax"/>
              <x14:negativeFillColor rgb="FFFF0000"/>
              <x14:axisColor rgb="FF000000"/>
            </x14:dataBar>
          </x14:cfRule>
          <xm:sqref>G3</xm:sqref>
        </x14:conditionalFormatting>
        <x14:conditionalFormatting xmlns:xm="http://schemas.microsoft.com/office/excel/2006/main">
          <x14:cfRule type="dataBar" id="{572D1E9C-6040-4BF8-99F6-F85D07B4D855}">
            <x14:dataBar minLength="0" maxLength="100" gradient="0">
              <x14:cfvo type="autoMin"/>
              <x14:cfvo type="autoMax"/>
              <x14:negativeFillColor rgb="FFFF0000"/>
              <x14:axisColor rgb="FF000000"/>
            </x14:dataBar>
          </x14:cfRule>
          <xm:sqref>G3</xm:sqref>
        </x14:conditionalFormatting>
        <x14:conditionalFormatting xmlns:xm="http://schemas.microsoft.com/office/excel/2006/main">
          <x14:cfRule type="dataBar" id="{498C6BFA-A1F5-4DAC-9CD3-98C199679FBE}">
            <x14:dataBar minLength="0" maxLength="100" gradient="0">
              <x14:cfvo type="autoMin"/>
              <x14:cfvo type="autoMax"/>
              <x14:negativeFillColor rgb="FFFF0000"/>
              <x14:axisColor rgb="FF000000"/>
            </x14:dataBar>
          </x14:cfRule>
          <xm:sqref>M9</xm:sqref>
        </x14:conditionalFormatting>
        <x14:conditionalFormatting xmlns:xm="http://schemas.microsoft.com/office/excel/2006/main">
          <x14:cfRule type="dataBar" id="{32B253EC-2B34-46B3-99E2-E5067086932B}">
            <x14:dataBar minLength="0" maxLength="100" gradient="0">
              <x14:cfvo type="autoMin"/>
              <x14:cfvo type="autoMax"/>
              <x14:negativeFillColor rgb="FFFF0000"/>
              <x14:axisColor rgb="FF000000"/>
            </x14:dataBar>
          </x14:cfRule>
          <xm:sqref>E9:F9</xm:sqref>
        </x14:conditionalFormatting>
        <x14:conditionalFormatting xmlns:xm="http://schemas.microsoft.com/office/excel/2006/main">
          <x14:cfRule type="dataBar" id="{024DF3F5-57AC-4094-951D-DF8FA8051C8C}">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25FFA704-1806-4A48-9BE7-DDDA6F6A5F9E}">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EA8280DA-7F57-4CFE-8767-8974C4674C2C}">
            <x14:dataBar minLength="0" maxLength="100" gradient="0">
              <x14:cfvo type="autoMin"/>
              <x14:cfvo type="autoMax"/>
              <x14:negativeFillColor rgb="FFFF0000"/>
              <x14:axisColor rgb="FF000000"/>
            </x14:dataBar>
          </x14:cfRule>
          <xm:sqref>M8</xm:sqref>
        </x14:conditionalFormatting>
        <x14:conditionalFormatting xmlns:xm="http://schemas.microsoft.com/office/excel/2006/main">
          <x14:cfRule type="dataBar" id="{F91579B7-2831-4DAC-8D45-B93E1EF258CD}">
            <x14:dataBar minLength="0" maxLength="100" gradient="0">
              <x14:cfvo type="autoMin"/>
              <x14:cfvo type="autoMax"/>
              <x14:negativeFillColor rgb="FFFF0000"/>
              <x14:axisColor rgb="FF000000"/>
            </x14:dataBar>
          </x14:cfRule>
          <xm:sqref>E8:F8</xm:sqref>
        </x14:conditionalFormatting>
        <x14:conditionalFormatting xmlns:xm="http://schemas.microsoft.com/office/excel/2006/main">
          <x14:cfRule type="dataBar" id="{7CF0B38B-6D51-4575-99CA-9494171EFA48}">
            <x14:dataBar minLength="0" maxLength="100" gradient="0">
              <x14:cfvo type="autoMin"/>
              <x14:cfvo type="autoMax"/>
              <x14:negativeFillColor rgb="FFFF0000"/>
              <x14:axisColor rgb="FF000000"/>
            </x14:dataBar>
          </x14:cfRule>
          <xm:sqref>G8</xm:sqref>
        </x14:conditionalFormatting>
        <x14:conditionalFormatting xmlns:xm="http://schemas.microsoft.com/office/excel/2006/main">
          <x14:cfRule type="dataBar" id="{58602DC8-4E36-4A5E-BC0C-9B06964B565B}">
            <x14:dataBar minLength="0" maxLength="100" gradient="0">
              <x14:cfvo type="autoMin"/>
              <x14:cfvo type="autoMax"/>
              <x14:negativeFillColor rgb="FFFF0000"/>
              <x14:axisColor rgb="FF000000"/>
            </x14:dataBar>
          </x14:cfRule>
          <xm:sqref>G8</xm:sqref>
        </x14:conditionalFormatting>
        <x14:conditionalFormatting xmlns:xm="http://schemas.microsoft.com/office/excel/2006/main">
          <x14:cfRule type="dataBar" id="{06CD7DED-526D-4D55-A49B-776194CD5066}">
            <x14:dataBar minLength="0" maxLength="100" gradient="0">
              <x14:cfvo type="autoMin"/>
              <x14:cfvo type="autoMax"/>
              <x14:negativeFillColor rgb="FFFF0000"/>
              <x14:axisColor rgb="FF000000"/>
            </x14:dataBar>
          </x14:cfRule>
          <xm:sqref>M11</xm:sqref>
        </x14:conditionalFormatting>
        <x14:conditionalFormatting xmlns:xm="http://schemas.microsoft.com/office/excel/2006/main">
          <x14:cfRule type="dataBar" id="{3362D5EC-B9F1-42E5-9FBD-DEF196DAB2FB}">
            <x14:dataBar minLength="0" maxLength="100" gradient="0">
              <x14:cfvo type="autoMin"/>
              <x14:cfvo type="autoMax"/>
              <x14:negativeFillColor rgb="FFFF0000"/>
              <x14:axisColor rgb="FF000000"/>
            </x14:dataBar>
          </x14:cfRule>
          <xm:sqref>E11:F11</xm:sqref>
        </x14:conditionalFormatting>
        <x14:conditionalFormatting xmlns:xm="http://schemas.microsoft.com/office/excel/2006/main">
          <x14:cfRule type="dataBar" id="{3232C39B-203F-43D5-98C5-F301B90F0856}">
            <x14:dataBar minLength="0" maxLength="100" gradient="0">
              <x14:cfvo type="autoMin"/>
              <x14:cfvo type="autoMax"/>
              <x14:negativeFillColor rgb="FFFF0000"/>
              <x14:axisColor rgb="FF000000"/>
            </x14:dataBar>
          </x14:cfRule>
          <xm:sqref>G11</xm:sqref>
        </x14:conditionalFormatting>
        <x14:conditionalFormatting xmlns:xm="http://schemas.microsoft.com/office/excel/2006/main">
          <x14:cfRule type="dataBar" id="{FBFE10E7-7772-4295-9A6A-0387CD2B64BB}">
            <x14:dataBar minLength="0" maxLength="100" gradient="0">
              <x14:cfvo type="autoMin"/>
              <x14:cfvo type="autoMax"/>
              <x14:negativeFillColor rgb="FFFF0000"/>
              <x14:axisColor rgb="FF000000"/>
            </x14:dataBar>
          </x14:cfRule>
          <xm:sqref>G11</xm:sqref>
        </x14:conditionalFormatting>
        <x14:conditionalFormatting xmlns:xm="http://schemas.microsoft.com/office/excel/2006/main">
          <x14:cfRule type="dataBar" id="{F01C7F23-E3A0-4378-83F5-9896CC0079D0}">
            <x14:dataBar minLength="0" maxLength="100" gradient="0">
              <x14:cfvo type="autoMin"/>
              <x14:cfvo type="autoMax"/>
              <x14:negativeFillColor rgb="FFFF0000"/>
              <x14:axisColor rgb="FF000000"/>
            </x14:dataBar>
          </x14:cfRule>
          <xm:sqref>M12</xm:sqref>
        </x14:conditionalFormatting>
        <x14:conditionalFormatting xmlns:xm="http://schemas.microsoft.com/office/excel/2006/main">
          <x14:cfRule type="dataBar" id="{C2129F64-CEA1-4062-89C2-CC8B024B5C83}">
            <x14:dataBar minLength="0" maxLength="100" gradient="0">
              <x14:cfvo type="autoMin"/>
              <x14:cfvo type="autoMax"/>
              <x14:negativeFillColor rgb="FFFF0000"/>
              <x14:axisColor rgb="FF000000"/>
            </x14:dataBar>
          </x14:cfRule>
          <xm:sqref>E12:F12</xm:sqref>
        </x14:conditionalFormatting>
        <x14:conditionalFormatting xmlns:xm="http://schemas.microsoft.com/office/excel/2006/main">
          <x14:cfRule type="dataBar" id="{D6C0C25C-38EB-4C0A-A828-493B28FB358C}">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567CFB9A-1692-49E6-87CE-D6E0A6285898}">
            <x14:dataBar minLength="0" maxLength="100" gradient="0">
              <x14:cfvo type="autoMin"/>
              <x14:cfvo type="autoMax"/>
              <x14:negativeFillColor rgb="FFFF0000"/>
              <x14:axisColor rgb="FF000000"/>
            </x14:dataBar>
          </x14:cfRule>
          <xm:sqref>G12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2:U74"/>
  <sheetViews>
    <sheetView topLeftCell="F1" workbookViewId="0">
      <selection activeCell="M24" sqref="M24"/>
    </sheetView>
  </sheetViews>
  <sheetFormatPr defaultColWidth="8.85546875" defaultRowHeight="15" x14ac:dyDescent="0.25"/>
  <cols>
    <col min="2" max="2" width="14.7109375" bestFit="1" customWidth="1"/>
    <col min="4" max="4" width="8.7109375" customWidth="1"/>
    <col min="6" max="6" width="21.42578125" style="371" customWidth="1"/>
    <col min="7" max="7" width="11.28515625" customWidth="1"/>
  </cols>
  <sheetData>
    <row r="2" spans="2:13" s="368" customFormat="1" ht="45" x14ac:dyDescent="0.25">
      <c r="D2" s="368" t="s">
        <v>1233</v>
      </c>
      <c r="E2" s="368" t="s">
        <v>1234</v>
      </c>
      <c r="F2" s="369" t="s">
        <v>1235</v>
      </c>
      <c r="G2" s="370" t="s">
        <v>1236</v>
      </c>
      <c r="I2" s="368">
        <v>45</v>
      </c>
      <c r="J2" s="368">
        <v>75</v>
      </c>
      <c r="K2" s="368">
        <v>110</v>
      </c>
      <c r="L2" s="368">
        <v>150</v>
      </c>
      <c r="M2" s="368">
        <v>170</v>
      </c>
    </row>
    <row r="3" spans="2:13" x14ac:dyDescent="0.25">
      <c r="B3" t="s">
        <v>1237</v>
      </c>
      <c r="C3">
        <v>2.4553000000000003</v>
      </c>
      <c r="H3">
        <v>200</v>
      </c>
      <c r="I3">
        <f>E5</f>
        <v>2.5032666666666668</v>
      </c>
      <c r="J3">
        <f>E38</f>
        <v>3.2067999999999999</v>
      </c>
      <c r="K3">
        <f>E53</f>
        <v>3.837333333333333</v>
      </c>
      <c r="L3">
        <f>E23</f>
        <v>5.5411999999999999</v>
      </c>
      <c r="M3" s="395">
        <v>4.4672999999999998</v>
      </c>
    </row>
    <row r="4" spans="2:13" x14ac:dyDescent="0.25">
      <c r="B4" t="s">
        <v>1238</v>
      </c>
      <c r="C4">
        <v>2.6017000000000001</v>
      </c>
      <c r="H4">
        <v>400</v>
      </c>
      <c r="I4">
        <f>E8</f>
        <v>3.2329666666666665</v>
      </c>
      <c r="J4">
        <f>E41</f>
        <v>4.4976999999999991</v>
      </c>
      <c r="K4">
        <f>E56</f>
        <v>4.5179666666666662</v>
      </c>
      <c r="L4">
        <f>E26</f>
        <v>5.1703333333333328</v>
      </c>
      <c r="M4" s="395">
        <v>3.8102666666666667</v>
      </c>
    </row>
    <row r="5" spans="2:13" x14ac:dyDescent="0.25">
      <c r="B5" t="s">
        <v>1239</v>
      </c>
      <c r="C5">
        <v>2.4528000000000003</v>
      </c>
      <c r="E5">
        <f>AVERAGE(C3:C5)</f>
        <v>2.5032666666666668</v>
      </c>
      <c r="F5" s="371">
        <f>((MAX(C3:C5)-MIN(C3:C5))/E5)</f>
        <v>5.9482276492050311E-2</v>
      </c>
      <c r="H5">
        <v>600</v>
      </c>
      <c r="I5">
        <f>E14</f>
        <v>3.6484000000000001</v>
      </c>
      <c r="J5">
        <f>E44</f>
        <v>3.6034666666666673</v>
      </c>
      <c r="K5">
        <f>E59</f>
        <v>4.1548666666666669</v>
      </c>
      <c r="L5">
        <f>E32</f>
        <v>4.3536000000000001</v>
      </c>
      <c r="M5" s="395">
        <v>4.1620333333333335</v>
      </c>
    </row>
    <row r="6" spans="2:13" x14ac:dyDescent="0.25">
      <c r="B6" t="s">
        <v>1240</v>
      </c>
      <c r="C6">
        <v>3.1573000000000002</v>
      </c>
      <c r="H6">
        <v>800</v>
      </c>
      <c r="I6">
        <f>E17</f>
        <v>3.1846666666666668</v>
      </c>
      <c r="J6">
        <f>E47</f>
        <v>2.7160666666666664</v>
      </c>
      <c r="K6">
        <f>E62</f>
        <v>3.3667666666666669</v>
      </c>
      <c r="L6" s="347">
        <v>4.3409000000000004</v>
      </c>
      <c r="M6" s="395">
        <v>3.9698666666666664</v>
      </c>
    </row>
    <row r="7" spans="2:13" x14ac:dyDescent="0.25">
      <c r="B7" t="s">
        <v>1241</v>
      </c>
      <c r="C7">
        <v>3.1938</v>
      </c>
      <c r="H7">
        <v>1000</v>
      </c>
      <c r="I7">
        <f>E20</f>
        <v>3.0479000000000003</v>
      </c>
      <c r="J7">
        <f>E50</f>
        <v>2.7721666666666671</v>
      </c>
      <c r="K7">
        <f>E65</f>
        <v>3.5436000000000001</v>
      </c>
      <c r="L7">
        <f>E35</f>
        <v>4.3281999999999998</v>
      </c>
      <c r="M7" s="395">
        <v>2.8250666666666668</v>
      </c>
    </row>
    <row r="8" spans="2:13" x14ac:dyDescent="0.25">
      <c r="B8" t="s">
        <v>1242</v>
      </c>
      <c r="C8">
        <v>3.3477999999999999</v>
      </c>
      <c r="E8">
        <f t="shared" ref="E8" si="0">AVERAGE(C6:C8)</f>
        <v>3.2329666666666665</v>
      </c>
      <c r="F8" s="371">
        <f t="shared" ref="F8" si="1">((MAX(C6:C8)-MIN(C6:C8))/E8)</f>
        <v>5.8924207899864835E-2</v>
      </c>
    </row>
    <row r="9" spans="2:13" x14ac:dyDescent="0.25">
      <c r="B9" s="372" t="s">
        <v>1243</v>
      </c>
      <c r="C9">
        <v>0.98524999999999996</v>
      </c>
    </row>
    <row r="10" spans="2:13" x14ac:dyDescent="0.25">
      <c r="B10" s="372" t="s">
        <v>1244</v>
      </c>
      <c r="C10">
        <v>0.98817999999999995</v>
      </c>
    </row>
    <row r="11" spans="2:13" x14ac:dyDescent="0.25">
      <c r="B11" s="372" t="s">
        <v>1245</v>
      </c>
      <c r="C11">
        <v>0.88428999999999991</v>
      </c>
      <c r="E11">
        <f t="shared" ref="E11" si="2">AVERAGE(C9:C11)</f>
        <v>0.95257333333333338</v>
      </c>
      <c r="F11" s="371">
        <f t="shared" ref="F11" si="3">((MAX(C9:C11)-MIN(C9:C11))/E11)</f>
        <v>0.10906246938118504</v>
      </c>
    </row>
    <row r="12" spans="2:13" x14ac:dyDescent="0.25">
      <c r="B12" t="s">
        <v>1246</v>
      </c>
      <c r="C12">
        <v>3.6061999999999999</v>
      </c>
    </row>
    <row r="13" spans="2:13" x14ac:dyDescent="0.25">
      <c r="B13" t="s">
        <v>1247</v>
      </c>
      <c r="C13">
        <v>3.3477999999999999</v>
      </c>
    </row>
    <row r="14" spans="2:13" x14ac:dyDescent="0.25">
      <c r="B14" t="s">
        <v>1248</v>
      </c>
      <c r="C14">
        <v>3.9911999999999996</v>
      </c>
      <c r="E14">
        <f t="shared" ref="E14" si="4">AVERAGE(C12:C14)</f>
        <v>3.6484000000000001</v>
      </c>
      <c r="F14" s="371">
        <f t="shared" ref="F14" si="5">((MAX(C12:C14)-MIN(C12:C14))/E14)</f>
        <v>0.17635127727222885</v>
      </c>
    </row>
    <row r="15" spans="2:13" x14ac:dyDescent="0.25">
      <c r="B15" t="s">
        <v>1249</v>
      </c>
      <c r="C15">
        <v>3.4236999999999997</v>
      </c>
    </row>
    <row r="16" spans="2:13" x14ac:dyDescent="0.25">
      <c r="B16" t="s">
        <v>1250</v>
      </c>
      <c r="C16">
        <v>2.9205000000000001</v>
      </c>
    </row>
    <row r="17" spans="1:12" x14ac:dyDescent="0.25">
      <c r="B17" t="s">
        <v>1251</v>
      </c>
      <c r="C17">
        <v>3.2098</v>
      </c>
      <c r="E17">
        <f t="shared" ref="E17" si="6">AVERAGE(C15:C17)</f>
        <v>3.1846666666666668</v>
      </c>
      <c r="F17" s="371">
        <f t="shared" ref="F17" si="7">((MAX(C15:C17)-MIN(C15:C17))/E17)</f>
        <v>0.15800711743772231</v>
      </c>
    </row>
    <row r="18" spans="1:12" x14ac:dyDescent="0.25">
      <c r="B18" t="s">
        <v>1252</v>
      </c>
      <c r="C18">
        <v>3.2688000000000001</v>
      </c>
    </row>
    <row r="19" spans="1:12" x14ac:dyDescent="0.25">
      <c r="B19" t="s">
        <v>1253</v>
      </c>
      <c r="C19">
        <v>3.4211000000000005</v>
      </c>
    </row>
    <row r="20" spans="1:12" x14ac:dyDescent="0.25">
      <c r="B20" t="s">
        <v>1254</v>
      </c>
      <c r="C20">
        <v>2.4538000000000002</v>
      </c>
      <c r="E20">
        <f t="shared" ref="E20" si="8">AVERAGE(C18:C20)</f>
        <v>3.0479000000000003</v>
      </c>
      <c r="F20" s="371">
        <f t="shared" ref="F20" si="9">((MAX(C18:C20)-MIN(C18:C20))/E20)</f>
        <v>0.31736605531677553</v>
      </c>
    </row>
    <row r="21" spans="1:12" x14ac:dyDescent="0.25">
      <c r="A21">
        <v>200</v>
      </c>
      <c r="B21" t="s">
        <v>1255</v>
      </c>
      <c r="C21">
        <v>5.6080999999999994</v>
      </c>
      <c r="D21">
        <v>27.978000000000002</v>
      </c>
    </row>
    <row r="22" spans="1:12" x14ac:dyDescent="0.25">
      <c r="A22">
        <v>200</v>
      </c>
      <c r="B22" t="s">
        <v>1256</v>
      </c>
      <c r="C22">
        <v>5.0636999999999999</v>
      </c>
      <c r="D22">
        <v>25.024999999999999</v>
      </c>
    </row>
    <row r="23" spans="1:12" x14ac:dyDescent="0.25">
      <c r="A23">
        <v>200</v>
      </c>
      <c r="B23" t="s">
        <v>1257</v>
      </c>
      <c r="C23">
        <v>5.9517999999999995</v>
      </c>
      <c r="D23">
        <v>29.745999999999999</v>
      </c>
      <c r="E23">
        <f t="shared" ref="E23" si="10">AVERAGE(C21:C23)</f>
        <v>5.5411999999999999</v>
      </c>
      <c r="F23" s="371">
        <f t="shared" ref="F23" si="11">((MAX(C21:C23)-MIN(C21:C23))/E23)</f>
        <v>0.16027214321807545</v>
      </c>
      <c r="G23">
        <f>AVERAGE(D21:D23)</f>
        <v>27.582999999999998</v>
      </c>
    </row>
    <row r="24" spans="1:12" x14ac:dyDescent="0.25">
      <c r="A24">
        <v>400</v>
      </c>
      <c r="B24" t="s">
        <v>1258</v>
      </c>
      <c r="C24">
        <v>4.2979000000000003</v>
      </c>
      <c r="D24">
        <v>30.126000000000001</v>
      </c>
    </row>
    <row r="25" spans="1:12" x14ac:dyDescent="0.25">
      <c r="A25">
        <v>400</v>
      </c>
      <c r="B25" t="s">
        <v>1259</v>
      </c>
      <c r="C25">
        <v>5.2652000000000001</v>
      </c>
      <c r="D25">
        <v>33.256999999999998</v>
      </c>
      <c r="I25">
        <v>45</v>
      </c>
      <c r="J25">
        <v>75</v>
      </c>
      <c r="K25">
        <v>110</v>
      </c>
      <c r="L25">
        <v>150</v>
      </c>
    </row>
    <row r="26" spans="1:12" x14ac:dyDescent="0.25">
      <c r="A26">
        <v>400</v>
      </c>
      <c r="B26" t="s">
        <v>1260</v>
      </c>
      <c r="C26">
        <v>5.9478999999999997</v>
      </c>
      <c r="D26">
        <v>33.293999999999997</v>
      </c>
      <c r="E26">
        <f t="shared" ref="E26" si="12">AVERAGE(C24:C26)</f>
        <v>5.1703333333333328</v>
      </c>
      <c r="F26" s="371">
        <f t="shared" ref="F26" si="13">((MAX(C24:C26)-MIN(C24:C26))/E26)</f>
        <v>0.31912836051834176</v>
      </c>
      <c r="G26">
        <f>AVERAGE(D24:D26)</f>
        <v>32.225666666666662</v>
      </c>
      <c r="H26">
        <v>200</v>
      </c>
      <c r="I26" s="373">
        <f>F5</f>
        <v>5.9482276492050311E-2</v>
      </c>
      <c r="J26" s="373">
        <f>F38</f>
        <v>0.25252588249968821</v>
      </c>
      <c r="K26" s="373">
        <f>F53</f>
        <v>0.26669562195969426</v>
      </c>
      <c r="L26" s="373">
        <f>F23</f>
        <v>0.16027214321807545</v>
      </c>
    </row>
    <row r="27" spans="1:12" x14ac:dyDescent="0.25">
      <c r="A27">
        <v>401</v>
      </c>
      <c r="B27" s="374" t="s">
        <v>1261</v>
      </c>
      <c r="C27">
        <v>4.1086999999999998</v>
      </c>
      <c r="D27">
        <v>24.692</v>
      </c>
      <c r="H27">
        <v>400</v>
      </c>
      <c r="I27" s="373">
        <f>F8</f>
        <v>5.8924207899864835E-2</v>
      </c>
      <c r="J27" s="373">
        <f>F41</f>
        <v>0.16159370344842899</v>
      </c>
      <c r="K27" s="373">
        <f>F56</f>
        <v>6.3037207003150325E-2</v>
      </c>
      <c r="L27" s="373">
        <f>F26</f>
        <v>0.31912836051834176</v>
      </c>
    </row>
    <row r="28" spans="1:12" x14ac:dyDescent="0.25">
      <c r="A28">
        <v>401</v>
      </c>
      <c r="B28" s="374" t="s">
        <v>1262</v>
      </c>
      <c r="C28">
        <v>6.0301999999999998</v>
      </c>
      <c r="D28">
        <v>31.690999999999999</v>
      </c>
      <c r="H28">
        <v>600</v>
      </c>
      <c r="I28" s="373">
        <f>F14</f>
        <v>0.17635127727222885</v>
      </c>
      <c r="J28" s="373">
        <f>F44</f>
        <v>0.30925775179456821</v>
      </c>
      <c r="K28" s="373">
        <f>F59</f>
        <v>0.27993678096368907</v>
      </c>
      <c r="L28" s="373">
        <f>F32</f>
        <v>0.29580117603822131</v>
      </c>
    </row>
    <row r="29" spans="1:12" x14ac:dyDescent="0.25">
      <c r="A29">
        <v>401</v>
      </c>
      <c r="B29" s="374" t="s">
        <v>1263</v>
      </c>
      <c r="C29">
        <v>5.7247000000000003</v>
      </c>
      <c r="D29">
        <v>33.439</v>
      </c>
      <c r="E29">
        <f t="shared" ref="E29" si="14">AVERAGE(C27:C29)</f>
        <v>5.2878666666666669</v>
      </c>
      <c r="F29" s="371">
        <f t="shared" ref="F29" si="15">((MAX(C27:C29)-MIN(C27:C29))/E29)</f>
        <v>0.36337905645628987</v>
      </c>
      <c r="G29">
        <f>AVERAGE(D27:D29)</f>
        <v>29.940666666666669</v>
      </c>
      <c r="H29">
        <v>800</v>
      </c>
      <c r="I29" s="373">
        <f>F17</f>
        <v>0.15800711743772231</v>
      </c>
      <c r="J29" s="373">
        <f>F47</f>
        <v>0.35293684494735039</v>
      </c>
      <c r="K29" s="373">
        <f>F62</f>
        <v>0.14574814609467068</v>
      </c>
      <c r="L29" s="375">
        <v>0.3</v>
      </c>
    </row>
    <row r="30" spans="1:12" x14ac:dyDescent="0.25">
      <c r="A30">
        <v>600</v>
      </c>
      <c r="B30" t="s">
        <v>1264</v>
      </c>
      <c r="C30">
        <v>3.6386999999999996</v>
      </c>
      <c r="D30">
        <v>17.611000000000001</v>
      </c>
      <c r="H30">
        <v>1000</v>
      </c>
      <c r="I30" s="373">
        <f>F20</f>
        <v>0.31736605531677553</v>
      </c>
      <c r="J30" s="373">
        <f>F50</f>
        <v>0.388721216858053</v>
      </c>
      <c r="K30" s="373">
        <f>F65</f>
        <v>0.25934078338412903</v>
      </c>
      <c r="L30" s="373">
        <f>F35</f>
        <v>0.30132618640543418</v>
      </c>
    </row>
    <row r="31" spans="1:12" x14ac:dyDescent="0.25">
      <c r="A31">
        <v>600</v>
      </c>
      <c r="B31" t="s">
        <v>1265</v>
      </c>
      <c r="C31">
        <v>4.9264999999999999</v>
      </c>
      <c r="D31">
        <v>28.47</v>
      </c>
    </row>
    <row r="32" spans="1:12" x14ac:dyDescent="0.25">
      <c r="A32">
        <v>600</v>
      </c>
      <c r="B32" t="s">
        <v>1266</v>
      </c>
      <c r="C32">
        <v>4.4956000000000005</v>
      </c>
      <c r="D32">
        <v>28.166</v>
      </c>
      <c r="E32">
        <f t="shared" ref="E32" si="16">AVERAGE(C30:C32)</f>
        <v>4.3536000000000001</v>
      </c>
      <c r="F32" s="371">
        <f t="shared" ref="F32" si="17">((MAX(C30:C32)-MIN(C30:C32))/E32)</f>
        <v>0.29580117603822131</v>
      </c>
      <c r="G32">
        <f>AVERAGE(D30:D32)</f>
        <v>24.748999999999999</v>
      </c>
    </row>
    <row r="33" spans="1:21" x14ac:dyDescent="0.25">
      <c r="A33">
        <v>1000</v>
      </c>
      <c r="B33" t="s">
        <v>1267</v>
      </c>
      <c r="C33">
        <v>4.7743000000000002</v>
      </c>
      <c r="D33">
        <v>28.152000000000001</v>
      </c>
    </row>
    <row r="34" spans="1:21" x14ac:dyDescent="0.25">
      <c r="A34">
        <v>1000</v>
      </c>
      <c r="B34" t="s">
        <v>1268</v>
      </c>
      <c r="C34">
        <v>3.4701</v>
      </c>
      <c r="D34">
        <v>19.18</v>
      </c>
    </row>
    <row r="35" spans="1:21" x14ac:dyDescent="0.25">
      <c r="A35">
        <v>1000</v>
      </c>
      <c r="B35" t="s">
        <v>1269</v>
      </c>
      <c r="C35">
        <v>4.7401999999999997</v>
      </c>
      <c r="D35">
        <v>26.850999999999999</v>
      </c>
      <c r="E35">
        <f t="shared" ref="E35" si="18">AVERAGE(C33:C35)</f>
        <v>4.3281999999999998</v>
      </c>
      <c r="F35" s="371">
        <f t="shared" ref="F35" si="19">((MAX(C33:C35)-MIN(C33:C35))/E35)</f>
        <v>0.30132618640543418</v>
      </c>
      <c r="G35">
        <f>AVERAGE(D33:D35)</f>
        <v>24.727666666666664</v>
      </c>
    </row>
    <row r="36" spans="1:21" x14ac:dyDescent="0.25">
      <c r="B36" t="s">
        <v>1270</v>
      </c>
      <c r="C36">
        <v>3.7373000000000003</v>
      </c>
    </row>
    <row r="37" spans="1:21" x14ac:dyDescent="0.25">
      <c r="B37" t="s">
        <v>1271</v>
      </c>
      <c r="C37">
        <v>2.9275000000000002</v>
      </c>
    </row>
    <row r="38" spans="1:21" x14ac:dyDescent="0.25">
      <c r="B38" t="s">
        <v>1272</v>
      </c>
      <c r="C38">
        <v>2.9556</v>
      </c>
      <c r="E38">
        <f t="shared" ref="E38:E65" si="20">AVERAGE(C36:C38)</f>
        <v>3.2067999999999999</v>
      </c>
      <c r="F38" s="371">
        <f t="shared" ref="F38:F65" si="21">((MAX(C36:C38)-MIN(C36:C38))/E38)</f>
        <v>0.25252588249968821</v>
      </c>
      <c r="G38">
        <v>3.7373000000000003</v>
      </c>
      <c r="H38">
        <v>2.9275000000000002</v>
      </c>
      <c r="I38">
        <v>2.9556</v>
      </c>
      <c r="J38">
        <v>4.1059999999999999</v>
      </c>
      <c r="K38">
        <v>4.5543000000000005</v>
      </c>
      <c r="L38">
        <v>4.8327999999999989</v>
      </c>
      <c r="M38">
        <v>4.2156000000000002</v>
      </c>
      <c r="N38">
        <v>3.4936000000000003</v>
      </c>
      <c r="O38">
        <v>3.1012</v>
      </c>
      <c r="P38">
        <v>2.1991999999999998</v>
      </c>
      <c r="Q38">
        <v>2.7911999999999999</v>
      </c>
      <c r="R38">
        <v>3.1577999999999999</v>
      </c>
      <c r="S38">
        <v>3.2136999999999998</v>
      </c>
      <c r="T38">
        <v>2.9667000000000003</v>
      </c>
      <c r="U38">
        <v>2.1361000000000003</v>
      </c>
    </row>
    <row r="39" spans="1:21" x14ac:dyDescent="0.25">
      <c r="B39" t="s">
        <v>1273</v>
      </c>
      <c r="C39">
        <v>4.1059999999999999</v>
      </c>
      <c r="G39">
        <v>4.4359999999999999</v>
      </c>
      <c r="H39">
        <v>3.4125999999999999</v>
      </c>
      <c r="I39">
        <v>3.6633999999999998</v>
      </c>
      <c r="J39">
        <v>4.5558999999999994</v>
      </c>
      <c r="K39">
        <v>4.3566000000000003</v>
      </c>
      <c r="L39">
        <v>4.6414</v>
      </c>
      <c r="M39">
        <v>3.5088000000000004</v>
      </c>
      <c r="N39">
        <v>4.6718999999999999</v>
      </c>
      <c r="O39">
        <v>4.2839</v>
      </c>
      <c r="P39">
        <v>3.5177999999999998</v>
      </c>
      <c r="Q39">
        <v>3.5366000000000004</v>
      </c>
      <c r="R39">
        <v>3.0458999999999996</v>
      </c>
      <c r="S39">
        <v>3.1123000000000003</v>
      </c>
      <c r="T39">
        <v>3.4872000000000001</v>
      </c>
      <c r="U39">
        <v>4.0312999999999999</v>
      </c>
    </row>
    <row r="40" spans="1:21" x14ac:dyDescent="0.25">
      <c r="B40" t="s">
        <v>1274</v>
      </c>
      <c r="C40">
        <v>4.5543000000000005</v>
      </c>
    </row>
    <row r="41" spans="1:21" x14ac:dyDescent="0.25">
      <c r="B41" t="s">
        <v>1275</v>
      </c>
      <c r="C41">
        <v>4.8327999999999989</v>
      </c>
      <c r="E41">
        <f t="shared" si="20"/>
        <v>4.4976999999999991</v>
      </c>
      <c r="F41" s="371">
        <f t="shared" si="21"/>
        <v>0.16159370344842899</v>
      </c>
    </row>
    <row r="42" spans="1:21" x14ac:dyDescent="0.25">
      <c r="B42" t="s">
        <v>1276</v>
      </c>
      <c r="C42">
        <v>4.2156000000000002</v>
      </c>
    </row>
    <row r="43" spans="1:21" x14ac:dyDescent="0.25">
      <c r="B43" t="s">
        <v>1277</v>
      </c>
      <c r="C43">
        <v>3.4936000000000003</v>
      </c>
    </row>
    <row r="44" spans="1:21" x14ac:dyDescent="0.25">
      <c r="B44" t="s">
        <v>1278</v>
      </c>
      <c r="C44">
        <v>3.1012</v>
      </c>
      <c r="E44">
        <f t="shared" si="20"/>
        <v>3.6034666666666673</v>
      </c>
      <c r="F44" s="371">
        <f t="shared" si="21"/>
        <v>0.30925775179456821</v>
      </c>
    </row>
    <row r="45" spans="1:21" x14ac:dyDescent="0.25">
      <c r="B45" t="s">
        <v>1279</v>
      </c>
      <c r="C45">
        <v>2.1991999999999998</v>
      </c>
    </row>
    <row r="46" spans="1:21" x14ac:dyDescent="0.25">
      <c r="B46" t="s">
        <v>1280</v>
      </c>
      <c r="C46">
        <v>2.7911999999999999</v>
      </c>
    </row>
    <row r="47" spans="1:21" x14ac:dyDescent="0.25">
      <c r="B47" t="s">
        <v>1281</v>
      </c>
      <c r="C47">
        <v>3.1577999999999999</v>
      </c>
      <c r="E47">
        <f t="shared" si="20"/>
        <v>2.7160666666666664</v>
      </c>
      <c r="F47" s="371">
        <f t="shared" si="21"/>
        <v>0.35293684494735039</v>
      </c>
    </row>
    <row r="48" spans="1:21" x14ac:dyDescent="0.25">
      <c r="B48" t="s">
        <v>1282</v>
      </c>
      <c r="C48">
        <v>3.2136999999999998</v>
      </c>
    </row>
    <row r="49" spans="2:6" x14ac:dyDescent="0.25">
      <c r="B49" t="s">
        <v>1283</v>
      </c>
      <c r="C49">
        <v>2.9667000000000003</v>
      </c>
    </row>
    <row r="50" spans="2:6" x14ac:dyDescent="0.25">
      <c r="B50" t="s">
        <v>1284</v>
      </c>
      <c r="C50">
        <v>2.1361000000000003</v>
      </c>
      <c r="E50">
        <f t="shared" si="20"/>
        <v>2.7721666666666671</v>
      </c>
      <c r="F50" s="371">
        <f t="shared" si="21"/>
        <v>0.388721216858053</v>
      </c>
    </row>
    <row r="51" spans="2:6" x14ac:dyDescent="0.25">
      <c r="B51" t="s">
        <v>1285</v>
      </c>
      <c r="C51">
        <v>4.4359999999999999</v>
      </c>
    </row>
    <row r="52" spans="2:6" x14ac:dyDescent="0.25">
      <c r="B52" t="s">
        <v>1286</v>
      </c>
      <c r="C52">
        <v>3.4125999999999999</v>
      </c>
    </row>
    <row r="53" spans="2:6" x14ac:dyDescent="0.25">
      <c r="B53" t="s">
        <v>1287</v>
      </c>
      <c r="C53">
        <v>3.6633999999999998</v>
      </c>
      <c r="E53">
        <f t="shared" si="20"/>
        <v>3.837333333333333</v>
      </c>
      <c r="F53" s="371">
        <f t="shared" si="21"/>
        <v>0.26669562195969426</v>
      </c>
    </row>
    <row r="54" spans="2:6" x14ac:dyDescent="0.25">
      <c r="B54" t="s">
        <v>1288</v>
      </c>
      <c r="C54">
        <v>4.5558999999999994</v>
      </c>
    </row>
    <row r="55" spans="2:6" x14ac:dyDescent="0.25">
      <c r="B55" t="s">
        <v>1289</v>
      </c>
      <c r="C55">
        <v>4.3566000000000003</v>
      </c>
    </row>
    <row r="56" spans="2:6" x14ac:dyDescent="0.25">
      <c r="B56" t="s">
        <v>1290</v>
      </c>
      <c r="C56">
        <v>4.6414</v>
      </c>
      <c r="E56">
        <f t="shared" si="20"/>
        <v>4.5179666666666662</v>
      </c>
      <c r="F56" s="371">
        <f t="shared" si="21"/>
        <v>6.3037207003150325E-2</v>
      </c>
    </row>
    <row r="57" spans="2:6" x14ac:dyDescent="0.25">
      <c r="B57" t="s">
        <v>1291</v>
      </c>
      <c r="C57">
        <v>3.5088000000000004</v>
      </c>
    </row>
    <row r="58" spans="2:6" x14ac:dyDescent="0.25">
      <c r="B58" t="s">
        <v>1292</v>
      </c>
      <c r="C58">
        <v>4.6718999999999999</v>
      </c>
    </row>
    <row r="59" spans="2:6" x14ac:dyDescent="0.25">
      <c r="B59" t="s">
        <v>1293</v>
      </c>
      <c r="C59">
        <v>4.2839</v>
      </c>
      <c r="E59">
        <f t="shared" si="20"/>
        <v>4.1548666666666669</v>
      </c>
      <c r="F59" s="371">
        <f t="shared" si="21"/>
        <v>0.27993678096368907</v>
      </c>
    </row>
    <row r="60" spans="2:6" x14ac:dyDescent="0.25">
      <c r="B60" t="s">
        <v>1294</v>
      </c>
      <c r="C60">
        <v>3.5177999999999998</v>
      </c>
    </row>
    <row r="61" spans="2:6" x14ac:dyDescent="0.25">
      <c r="B61" t="s">
        <v>1295</v>
      </c>
      <c r="C61">
        <v>3.5366000000000004</v>
      </c>
    </row>
    <row r="62" spans="2:6" x14ac:dyDescent="0.25">
      <c r="B62" t="s">
        <v>1296</v>
      </c>
      <c r="C62">
        <v>3.0458999999999996</v>
      </c>
      <c r="E62">
        <f t="shared" si="20"/>
        <v>3.3667666666666669</v>
      </c>
      <c r="F62" s="371">
        <f t="shared" si="21"/>
        <v>0.14574814609467068</v>
      </c>
    </row>
    <row r="63" spans="2:6" x14ac:dyDescent="0.25">
      <c r="B63" t="s">
        <v>1297</v>
      </c>
      <c r="C63">
        <v>3.1123000000000003</v>
      </c>
    </row>
    <row r="64" spans="2:6" x14ac:dyDescent="0.25">
      <c r="B64" t="s">
        <v>1298</v>
      </c>
      <c r="C64">
        <v>3.4872000000000001</v>
      </c>
    </row>
    <row r="65" spans="2:17" x14ac:dyDescent="0.25">
      <c r="B65" t="s">
        <v>1299</v>
      </c>
      <c r="C65">
        <v>4.0312999999999999</v>
      </c>
      <c r="E65">
        <f t="shared" si="20"/>
        <v>3.5436000000000001</v>
      </c>
      <c r="F65" s="371">
        <f t="shared" si="21"/>
        <v>0.25934078338412903</v>
      </c>
      <c r="I65" t="s">
        <v>1309</v>
      </c>
      <c r="J65" t="s">
        <v>1310</v>
      </c>
      <c r="K65" t="s">
        <v>1311</v>
      </c>
      <c r="L65" t="s">
        <v>1312</v>
      </c>
      <c r="M65" t="s">
        <v>1313</v>
      </c>
      <c r="N65" t="s">
        <v>1314</v>
      </c>
      <c r="O65" t="s">
        <v>1315</v>
      </c>
      <c r="P65" t="s">
        <v>1316</v>
      </c>
      <c r="Q65" t="s">
        <v>1317</v>
      </c>
    </row>
    <row r="66" spans="2:17" x14ac:dyDescent="0.25">
      <c r="B66" t="s">
        <v>1309</v>
      </c>
      <c r="C66">
        <v>13.125999999999999</v>
      </c>
      <c r="I66">
        <v>13.125999999999999</v>
      </c>
      <c r="J66">
        <v>13.747999999999999</v>
      </c>
      <c r="K66">
        <v>14.382</v>
      </c>
      <c r="L66">
        <v>10.393000000000001</v>
      </c>
      <c r="M66">
        <v>10.55</v>
      </c>
      <c r="N66">
        <v>11.439</v>
      </c>
      <c r="O66">
        <v>2.9283999999999994</v>
      </c>
      <c r="P66">
        <v>3.2526999999999999</v>
      </c>
      <c r="Q66">
        <v>3.4424000000000001</v>
      </c>
    </row>
    <row r="67" spans="2:17" x14ac:dyDescent="0.25">
      <c r="B67" t="s">
        <v>1310</v>
      </c>
      <c r="C67">
        <v>13.747999999999999</v>
      </c>
    </row>
    <row r="68" spans="2:17" x14ac:dyDescent="0.25">
      <c r="B68" t="s">
        <v>1311</v>
      </c>
      <c r="C68">
        <v>14.382</v>
      </c>
      <c r="E68">
        <f t="shared" ref="E68:E74" si="22">AVERAGE(C66:C68)</f>
        <v>13.752000000000001</v>
      </c>
    </row>
    <row r="69" spans="2:17" x14ac:dyDescent="0.25">
      <c r="B69" t="s">
        <v>1312</v>
      </c>
      <c r="C69">
        <v>10.393000000000001</v>
      </c>
    </row>
    <row r="70" spans="2:17" x14ac:dyDescent="0.25">
      <c r="B70" t="s">
        <v>1313</v>
      </c>
      <c r="C70">
        <v>10.55</v>
      </c>
    </row>
    <row r="71" spans="2:17" x14ac:dyDescent="0.25">
      <c r="B71" t="s">
        <v>1314</v>
      </c>
      <c r="C71">
        <v>11.439</v>
      </c>
      <c r="E71">
        <f t="shared" si="22"/>
        <v>10.794000000000002</v>
      </c>
    </row>
    <row r="72" spans="2:17" x14ac:dyDescent="0.25">
      <c r="B72" t="s">
        <v>1315</v>
      </c>
      <c r="C72">
        <v>2.9283999999999994</v>
      </c>
    </row>
    <row r="73" spans="2:17" x14ac:dyDescent="0.25">
      <c r="B73" t="s">
        <v>1316</v>
      </c>
      <c r="C73">
        <v>3.2526999999999999</v>
      </c>
    </row>
    <row r="74" spans="2:17" x14ac:dyDescent="0.25">
      <c r="B74" t="s">
        <v>1317</v>
      </c>
      <c r="C74">
        <v>3.4424000000000001</v>
      </c>
      <c r="E74">
        <f t="shared" si="22"/>
        <v>3.2078333333333333</v>
      </c>
    </row>
  </sheetData>
  <conditionalFormatting sqref="M3:M7">
    <cfRule type="dataBar" priority="1">
      <dataBar>
        <cfvo type="min"/>
        <cfvo type="max"/>
        <color rgb="FF51F5FD"/>
      </dataBar>
      <extLst>
        <ext xmlns:x14="http://schemas.microsoft.com/office/spreadsheetml/2009/9/main" uri="{B025F937-C7B1-47D3-B67F-A62EFF666E3E}">
          <x14:id>{FF86D10C-8C4A-4F1A-9E83-46C545AF6E18}</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FF86D10C-8C4A-4F1A-9E83-46C545AF6E18}">
            <x14:dataBar minLength="0" maxLength="100" gradient="0">
              <x14:cfvo type="autoMin"/>
              <x14:cfvo type="autoMax"/>
              <x14:negativeFillColor rgb="FFFF0000"/>
              <x14:axisColor rgb="FF000000"/>
            </x14:dataBar>
          </x14:cfRule>
          <xm:sqref>M3:M7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I66"/>
  <sheetViews>
    <sheetView workbookViewId="0">
      <pane xSplit="1" ySplit="1" topLeftCell="B12" activePane="bottomRight" state="frozen"/>
      <selection pane="topRight" activeCell="B1" sqref="B1"/>
      <selection pane="bottomLeft" activeCell="A2" sqref="A2"/>
      <selection pane="bottomRight" activeCell="D26" sqref="D26"/>
    </sheetView>
  </sheetViews>
  <sheetFormatPr defaultColWidth="8.85546875" defaultRowHeight="15" x14ac:dyDescent="0.25"/>
  <cols>
    <col min="1" max="1" width="16.42578125" style="124" bestFit="1" customWidth="1"/>
    <col min="2" max="2" width="28.42578125" style="5" customWidth="1"/>
    <col min="3" max="3" width="12.28515625" style="5" customWidth="1"/>
    <col min="4" max="4" width="23.42578125" style="5" bestFit="1" customWidth="1"/>
    <col min="5" max="5" width="21.28515625" style="5" customWidth="1"/>
    <col min="6" max="6" width="18.42578125" style="155" customWidth="1"/>
    <col min="7" max="7" width="18.42578125" style="3" customWidth="1"/>
    <col min="8" max="8" width="18.42578125" style="67" customWidth="1"/>
    <col min="9" max="9" width="120.42578125" style="6" customWidth="1"/>
  </cols>
  <sheetData>
    <row r="1" spans="1:9" x14ac:dyDescent="0.25">
      <c r="B1" s="5" t="s">
        <v>33</v>
      </c>
      <c r="C1" s="5" t="s">
        <v>858</v>
      </c>
      <c r="D1" s="5" t="s">
        <v>40</v>
      </c>
      <c r="E1" s="5" t="s">
        <v>34</v>
      </c>
      <c r="F1" s="155" t="s">
        <v>35</v>
      </c>
      <c r="H1" s="67" t="s">
        <v>38</v>
      </c>
      <c r="I1" s="6" t="s">
        <v>1</v>
      </c>
    </row>
    <row r="3" spans="1:9" x14ac:dyDescent="0.25">
      <c r="B3" s="116" t="s">
        <v>377</v>
      </c>
      <c r="C3" s="116"/>
      <c r="D3" s="94"/>
      <c r="F3" s="156" t="s">
        <v>305</v>
      </c>
      <c r="G3" s="95"/>
      <c r="H3" s="85" t="s">
        <v>306</v>
      </c>
      <c r="I3" s="96"/>
    </row>
    <row r="5" spans="1:9" s="2" customFormat="1" ht="22.5" customHeight="1" x14ac:dyDescent="0.25">
      <c r="A5" s="10" t="s">
        <v>1402</v>
      </c>
      <c r="B5" s="144" t="s">
        <v>859</v>
      </c>
      <c r="C5" s="144" t="s">
        <v>49</v>
      </c>
      <c r="D5" s="7" t="s">
        <v>48</v>
      </c>
      <c r="E5" s="7" t="s">
        <v>215</v>
      </c>
      <c r="F5" s="157" t="s">
        <v>46</v>
      </c>
      <c r="G5" s="4" t="s">
        <v>378</v>
      </c>
      <c r="H5" s="8">
        <v>42447</v>
      </c>
      <c r="I5" s="9" t="s">
        <v>391</v>
      </c>
    </row>
    <row r="6" spans="1:9" s="60" customFormat="1" ht="12.75" customHeight="1" x14ac:dyDescent="0.25">
      <c r="A6" s="125"/>
      <c r="B6" s="57" t="s">
        <v>860</v>
      </c>
      <c r="C6" s="57" t="s">
        <v>128</v>
      </c>
      <c r="D6" s="57" t="s">
        <v>127</v>
      </c>
      <c r="E6" s="57" t="s">
        <v>223</v>
      </c>
      <c r="F6" s="158" t="s">
        <v>46</v>
      </c>
      <c r="G6" s="58" t="s">
        <v>386</v>
      </c>
      <c r="H6" s="61">
        <v>42384</v>
      </c>
      <c r="I6" s="59" t="s">
        <v>291</v>
      </c>
    </row>
    <row r="7" spans="1:9" s="60" customFormat="1" ht="12.75" customHeight="1" x14ac:dyDescent="0.25">
      <c r="A7" s="125"/>
      <c r="B7" s="57" t="s">
        <v>87</v>
      </c>
      <c r="C7" s="57" t="s">
        <v>87</v>
      </c>
      <c r="D7" s="57"/>
      <c r="E7" s="57"/>
      <c r="F7" s="158"/>
      <c r="G7" s="58"/>
      <c r="H7" s="61">
        <v>42346</v>
      </c>
      <c r="I7" s="59" t="s">
        <v>88</v>
      </c>
    </row>
    <row r="8" spans="1:9" s="60" customFormat="1" ht="12.75" customHeight="1" x14ac:dyDescent="0.25">
      <c r="A8" s="125"/>
      <c r="B8" s="57" t="s">
        <v>136</v>
      </c>
      <c r="C8" s="57" t="s">
        <v>136</v>
      </c>
      <c r="D8" s="57" t="s">
        <v>47</v>
      </c>
      <c r="E8" s="57"/>
      <c r="F8" s="158" t="s">
        <v>46</v>
      </c>
      <c r="G8" s="58"/>
      <c r="H8" s="61"/>
      <c r="I8" s="59" t="s">
        <v>296</v>
      </c>
    </row>
    <row r="9" spans="1:9" s="115" customFormat="1" ht="12.75" customHeight="1" x14ac:dyDescent="0.25">
      <c r="A9" s="126"/>
      <c r="B9" s="111" t="s">
        <v>227</v>
      </c>
      <c r="C9" s="111" t="s">
        <v>227</v>
      </c>
      <c r="D9" s="111" t="s">
        <v>41</v>
      </c>
      <c r="E9" s="111"/>
      <c r="F9" s="159" t="s">
        <v>234</v>
      </c>
      <c r="G9" s="112"/>
      <c r="H9" s="113">
        <v>42404</v>
      </c>
      <c r="I9" s="114" t="s">
        <v>339</v>
      </c>
    </row>
    <row r="10" spans="1:9" s="154" customFormat="1" ht="26.25" customHeight="1" x14ac:dyDescent="0.25">
      <c r="A10" s="150"/>
      <c r="B10" s="144" t="s">
        <v>228</v>
      </c>
      <c r="C10" s="144" t="s">
        <v>228</v>
      </c>
      <c r="D10" s="144" t="s">
        <v>41</v>
      </c>
      <c r="E10" s="144" t="s">
        <v>240</v>
      </c>
      <c r="F10" s="223" t="s">
        <v>234</v>
      </c>
      <c r="G10" s="308" t="s">
        <v>379</v>
      </c>
      <c r="H10" s="152">
        <v>42467</v>
      </c>
      <c r="I10" s="153" t="s">
        <v>885</v>
      </c>
    </row>
    <row r="11" spans="1:9" s="149" customFormat="1" ht="45" x14ac:dyDescent="0.25">
      <c r="A11" s="145"/>
      <c r="B11" s="117" t="s">
        <v>861</v>
      </c>
      <c r="C11" s="117" t="s">
        <v>425</v>
      </c>
      <c r="D11" s="117" t="s">
        <v>229</v>
      </c>
      <c r="E11" s="117" t="s">
        <v>414</v>
      </c>
      <c r="F11" s="161" t="s">
        <v>307</v>
      </c>
      <c r="G11" s="146"/>
      <c r="H11" s="147">
        <v>42383</v>
      </c>
      <c r="I11" s="148" t="s">
        <v>884</v>
      </c>
    </row>
    <row r="12" spans="1:9" s="60" customFormat="1" ht="12.75" customHeight="1" x14ac:dyDescent="0.25">
      <c r="A12" s="125"/>
      <c r="B12" s="57" t="s">
        <v>230</v>
      </c>
      <c r="C12" s="57" t="s">
        <v>230</v>
      </c>
      <c r="D12" s="57" t="s">
        <v>231</v>
      </c>
      <c r="E12" s="57"/>
      <c r="F12" s="158" t="s">
        <v>46</v>
      </c>
      <c r="G12" s="58"/>
      <c r="H12" s="61">
        <v>42383</v>
      </c>
      <c r="I12" s="59" t="s">
        <v>249</v>
      </c>
    </row>
    <row r="13" spans="1:9" s="60" customFormat="1" ht="12.75" customHeight="1" x14ac:dyDescent="0.25">
      <c r="A13" s="125"/>
      <c r="B13" s="57" t="s">
        <v>232</v>
      </c>
      <c r="C13" s="57" t="s">
        <v>232</v>
      </c>
      <c r="D13" s="57" t="s">
        <v>45</v>
      </c>
      <c r="E13" s="57"/>
      <c r="F13" s="158" t="s">
        <v>46</v>
      </c>
      <c r="G13" s="58"/>
      <c r="H13" s="61">
        <v>42383</v>
      </c>
      <c r="I13" s="59" t="s">
        <v>249</v>
      </c>
    </row>
    <row r="14" spans="1:9" s="60" customFormat="1" ht="12.75" customHeight="1" x14ac:dyDescent="0.25">
      <c r="A14" s="125"/>
      <c r="B14" s="57" t="s">
        <v>233</v>
      </c>
      <c r="C14" s="57" t="s">
        <v>233</v>
      </c>
      <c r="D14" s="57" t="s">
        <v>45</v>
      </c>
      <c r="E14" s="57" t="s">
        <v>237</v>
      </c>
      <c r="F14" s="158" t="s">
        <v>46</v>
      </c>
      <c r="G14" s="58"/>
      <c r="H14" s="61">
        <v>42384</v>
      </c>
      <c r="I14" s="59" t="s">
        <v>238</v>
      </c>
    </row>
    <row r="15" spans="1:9" s="115" customFormat="1" ht="17.25" customHeight="1" x14ac:dyDescent="0.25">
      <c r="A15" s="126"/>
      <c r="B15" s="111" t="s">
        <v>862</v>
      </c>
      <c r="C15" s="111" t="s">
        <v>129</v>
      </c>
      <c r="D15" s="111" t="s">
        <v>41</v>
      </c>
      <c r="E15" s="111" t="s">
        <v>37</v>
      </c>
      <c r="F15" s="159" t="s">
        <v>44</v>
      </c>
      <c r="G15" s="112" t="s">
        <v>380</v>
      </c>
      <c r="H15" s="113">
        <v>42447</v>
      </c>
      <c r="I15" s="114" t="s">
        <v>868</v>
      </c>
    </row>
    <row r="16" spans="1:9" s="2" customFormat="1" ht="12.75" customHeight="1" x14ac:dyDescent="0.25">
      <c r="A16" s="127"/>
      <c r="B16" s="7" t="s">
        <v>798</v>
      </c>
      <c r="C16" s="7" t="s">
        <v>798</v>
      </c>
      <c r="D16" s="7" t="s">
        <v>45</v>
      </c>
      <c r="E16" s="7"/>
      <c r="F16" s="157"/>
      <c r="G16" s="4"/>
      <c r="H16" s="8">
        <v>42422</v>
      </c>
      <c r="I16" s="9" t="s">
        <v>390</v>
      </c>
    </row>
    <row r="17" spans="1:9" s="60" customFormat="1" ht="17.25" customHeight="1" x14ac:dyDescent="0.25">
      <c r="A17" s="125"/>
      <c r="B17" s="57" t="s">
        <v>301</v>
      </c>
      <c r="C17" s="57" t="s">
        <v>301</v>
      </c>
      <c r="D17" s="57" t="s">
        <v>42</v>
      </c>
      <c r="E17" s="57" t="s">
        <v>302</v>
      </c>
      <c r="F17" s="158" t="s">
        <v>303</v>
      </c>
      <c r="G17" s="58"/>
      <c r="H17" s="61">
        <v>42129</v>
      </c>
      <c r="I17" s="59" t="s">
        <v>304</v>
      </c>
    </row>
    <row r="18" spans="1:9" s="60" customFormat="1" ht="17.25" customHeight="1" x14ac:dyDescent="0.25">
      <c r="A18" s="125"/>
      <c r="B18" s="57" t="s">
        <v>308</v>
      </c>
      <c r="C18" s="57" t="s">
        <v>308</v>
      </c>
      <c r="D18" s="57" t="s">
        <v>239</v>
      </c>
      <c r="E18" s="57" t="s">
        <v>309</v>
      </c>
      <c r="F18" s="158" t="s">
        <v>303</v>
      </c>
      <c r="G18" s="58"/>
      <c r="H18" s="61">
        <v>42129</v>
      </c>
      <c r="I18" s="59" t="s">
        <v>310</v>
      </c>
    </row>
    <row r="19" spans="1:9" s="115" customFormat="1" ht="17.25" customHeight="1" x14ac:dyDescent="0.25">
      <c r="A19" s="126"/>
      <c r="B19" s="111" t="s">
        <v>863</v>
      </c>
      <c r="C19" s="111" t="s">
        <v>315</v>
      </c>
      <c r="D19" s="111" t="s">
        <v>45</v>
      </c>
      <c r="E19" s="111" t="s">
        <v>316</v>
      </c>
      <c r="F19" s="159" t="s">
        <v>311</v>
      </c>
      <c r="G19" s="112"/>
      <c r="H19" s="113">
        <v>42447</v>
      </c>
      <c r="I19" s="114" t="s">
        <v>392</v>
      </c>
    </row>
    <row r="20" spans="1:9" s="60" customFormat="1" ht="17.25" customHeight="1" x14ac:dyDescent="0.25">
      <c r="A20" s="125"/>
      <c r="B20" s="57" t="s">
        <v>317</v>
      </c>
      <c r="C20" s="57" t="s">
        <v>317</v>
      </c>
      <c r="D20" s="57" t="s">
        <v>45</v>
      </c>
      <c r="E20" s="57" t="s">
        <v>312</v>
      </c>
      <c r="F20" s="158" t="s">
        <v>313</v>
      </c>
      <c r="G20" s="58"/>
      <c r="H20" s="61">
        <v>41791</v>
      </c>
      <c r="I20" s="59" t="s">
        <v>314</v>
      </c>
    </row>
    <row r="21" spans="1:9" s="149" customFormat="1" ht="22.5" customHeight="1" x14ac:dyDescent="0.25">
      <c r="A21" s="145"/>
      <c r="B21" s="117" t="s">
        <v>864</v>
      </c>
      <c r="C21" s="117" t="s">
        <v>535</v>
      </c>
      <c r="D21" s="117" t="s">
        <v>407</v>
      </c>
      <c r="E21" s="117" t="s">
        <v>408</v>
      </c>
      <c r="F21" s="161"/>
      <c r="G21" s="146"/>
      <c r="H21" s="147">
        <v>42599</v>
      </c>
      <c r="I21" s="148" t="s">
        <v>191</v>
      </c>
    </row>
    <row r="22" spans="1:9" s="60" customFormat="1" ht="17.25" customHeight="1" x14ac:dyDescent="0.25">
      <c r="A22" s="125"/>
      <c r="B22" s="57" t="s">
        <v>865</v>
      </c>
      <c r="C22" s="57" t="s">
        <v>424</v>
      </c>
      <c r="D22" s="57" t="s">
        <v>409</v>
      </c>
      <c r="E22" s="57" t="s">
        <v>410</v>
      </c>
      <c r="F22" s="158"/>
      <c r="G22" s="58"/>
      <c r="H22" s="61"/>
      <c r="I22" s="59" t="s">
        <v>415</v>
      </c>
    </row>
    <row r="23" spans="1:9" s="115" customFormat="1" ht="17.25" customHeight="1" x14ac:dyDescent="0.25">
      <c r="A23" s="126"/>
      <c r="B23" s="111" t="s">
        <v>411</v>
      </c>
      <c r="C23" s="111" t="s">
        <v>411</v>
      </c>
      <c r="D23" s="111" t="s">
        <v>412</v>
      </c>
      <c r="E23" s="111" t="s">
        <v>413</v>
      </c>
      <c r="F23" s="159"/>
      <c r="G23" s="112"/>
      <c r="H23" s="113"/>
      <c r="I23" s="114" t="s">
        <v>436</v>
      </c>
    </row>
    <row r="24" spans="1:9" s="93" customFormat="1" ht="22.5" customHeight="1" x14ac:dyDescent="0.25">
      <c r="A24" s="128"/>
      <c r="B24" s="89" t="s">
        <v>416</v>
      </c>
      <c r="C24" s="89" t="s">
        <v>416</v>
      </c>
      <c r="D24" s="89" t="s">
        <v>417</v>
      </c>
      <c r="E24" s="89" t="s">
        <v>418</v>
      </c>
      <c r="F24" s="160"/>
      <c r="G24" s="90"/>
      <c r="H24" s="91"/>
      <c r="I24" s="92" t="s">
        <v>419</v>
      </c>
    </row>
    <row r="25" spans="1:9" s="60" customFormat="1" ht="17.25" customHeight="1" x14ac:dyDescent="0.25">
      <c r="A25" s="125"/>
      <c r="B25" s="57" t="s">
        <v>426</v>
      </c>
      <c r="C25" s="57" t="s">
        <v>426</v>
      </c>
      <c r="D25" s="57" t="s">
        <v>231</v>
      </c>
      <c r="E25" s="57" t="s">
        <v>420</v>
      </c>
      <c r="F25" s="158"/>
      <c r="G25" s="58"/>
      <c r="H25" s="61"/>
      <c r="I25" s="59" t="s">
        <v>421</v>
      </c>
    </row>
    <row r="26" spans="1:9" s="149" customFormat="1" ht="22.5" customHeight="1" x14ac:dyDescent="0.25">
      <c r="A26" s="145"/>
      <c r="B26" s="117" t="s">
        <v>1401</v>
      </c>
      <c r="C26" s="117" t="s">
        <v>1401</v>
      </c>
      <c r="D26" s="117" t="s">
        <v>753</v>
      </c>
      <c r="E26" s="117" t="s">
        <v>754</v>
      </c>
      <c r="F26" s="161" t="s">
        <v>755</v>
      </c>
      <c r="G26" s="146"/>
      <c r="H26" s="147"/>
      <c r="I26" s="148" t="s">
        <v>756</v>
      </c>
    </row>
    <row r="27" spans="1:9" s="115" customFormat="1" ht="17.25" customHeight="1" x14ac:dyDescent="0.25">
      <c r="A27" s="126"/>
      <c r="B27" s="111" t="s">
        <v>580</v>
      </c>
      <c r="C27" s="111" t="s">
        <v>580</v>
      </c>
      <c r="D27" s="111" t="s">
        <v>41</v>
      </c>
      <c r="E27" s="111" t="s">
        <v>613</v>
      </c>
      <c r="F27" s="159" t="s">
        <v>581</v>
      </c>
      <c r="G27" s="112"/>
      <c r="H27" s="113"/>
      <c r="I27" s="114" t="s">
        <v>582</v>
      </c>
    </row>
    <row r="28" spans="1:9" s="149" customFormat="1" ht="22.5" customHeight="1" x14ac:dyDescent="0.25">
      <c r="A28" s="145"/>
      <c r="B28" s="117" t="s">
        <v>612</v>
      </c>
      <c r="C28" s="117" t="s">
        <v>612</v>
      </c>
      <c r="D28" s="117" t="s">
        <v>47</v>
      </c>
      <c r="E28" s="117" t="s">
        <v>615</v>
      </c>
      <c r="F28" s="149" t="s">
        <v>614</v>
      </c>
      <c r="G28" s="146"/>
      <c r="H28" s="147"/>
      <c r="I28" s="148" t="s">
        <v>616</v>
      </c>
    </row>
    <row r="29" spans="1:9" s="149" customFormat="1" ht="22.5" customHeight="1" x14ac:dyDescent="0.25">
      <c r="A29" s="145"/>
      <c r="B29" s="117" t="s">
        <v>866</v>
      </c>
      <c r="C29" s="117" t="s">
        <v>774</v>
      </c>
      <c r="D29" s="117" t="s">
        <v>776</v>
      </c>
      <c r="E29" s="117" t="s">
        <v>623</v>
      </c>
      <c r="F29" s="149" t="s">
        <v>624</v>
      </c>
      <c r="G29" s="146"/>
      <c r="H29" s="147"/>
      <c r="I29" s="148" t="s">
        <v>775</v>
      </c>
    </row>
    <row r="30" spans="1:9" s="115" customFormat="1" ht="17.25" customHeight="1" x14ac:dyDescent="0.25">
      <c r="A30" s="126"/>
      <c r="B30" s="111" t="s">
        <v>647</v>
      </c>
      <c r="C30" s="111" t="s">
        <v>647</v>
      </c>
      <c r="D30" s="111" t="s">
        <v>41</v>
      </c>
      <c r="E30" s="111" t="s">
        <v>648</v>
      </c>
      <c r="F30" s="115" t="s">
        <v>663</v>
      </c>
      <c r="G30" s="112"/>
      <c r="H30" s="113"/>
      <c r="I30" s="114" t="s">
        <v>649</v>
      </c>
    </row>
    <row r="31" spans="1:9" s="154" customFormat="1" ht="22.5" customHeight="1" x14ac:dyDescent="0.25">
      <c r="A31" s="150"/>
      <c r="B31" s="144" t="s">
        <v>659</v>
      </c>
      <c r="C31" s="144" t="s">
        <v>659</v>
      </c>
      <c r="D31" s="144" t="s">
        <v>660</v>
      </c>
      <c r="E31" s="144" t="s">
        <v>661</v>
      </c>
      <c r="F31" s="2" t="s">
        <v>662</v>
      </c>
      <c r="G31" s="151"/>
      <c r="H31" s="152"/>
      <c r="I31" s="153" t="s">
        <v>664</v>
      </c>
    </row>
    <row r="32" spans="1:9" s="149" customFormat="1" ht="22.5" customHeight="1" x14ac:dyDescent="0.25">
      <c r="A32" s="145"/>
      <c r="B32" s="117" t="s">
        <v>867</v>
      </c>
      <c r="C32" s="117" t="s">
        <v>699</v>
      </c>
      <c r="D32" s="117" t="s">
        <v>41</v>
      </c>
      <c r="E32" s="117" t="s">
        <v>700</v>
      </c>
      <c r="F32" s="149" t="s">
        <v>701</v>
      </c>
      <c r="G32" s="146"/>
      <c r="H32" s="147"/>
      <c r="I32" s="148" t="s">
        <v>703</v>
      </c>
    </row>
    <row r="33" spans="1:9" s="154" customFormat="1" ht="22.5" customHeight="1" x14ac:dyDescent="0.25">
      <c r="A33" s="150"/>
      <c r="B33" s="144" t="s">
        <v>717</v>
      </c>
      <c r="C33" s="144" t="s">
        <v>717</v>
      </c>
      <c r="D33" s="144" t="s">
        <v>41</v>
      </c>
      <c r="E33" s="144" t="s">
        <v>718</v>
      </c>
      <c r="F33" s="2" t="s">
        <v>719</v>
      </c>
      <c r="G33" s="151"/>
      <c r="H33" s="152"/>
      <c r="I33" s="153" t="s">
        <v>720</v>
      </c>
    </row>
    <row r="34" spans="1:9" s="115" customFormat="1" ht="17.25" customHeight="1" x14ac:dyDescent="0.25">
      <c r="A34" s="126"/>
      <c r="B34" s="111" t="s">
        <v>784</v>
      </c>
      <c r="C34" s="111" t="s">
        <v>784</v>
      </c>
      <c r="D34" s="111" t="s">
        <v>239</v>
      </c>
      <c r="E34" s="111" t="s">
        <v>786</v>
      </c>
      <c r="F34" s="309" t="s">
        <v>785</v>
      </c>
      <c r="G34" s="112"/>
      <c r="H34" s="113"/>
      <c r="I34" s="114" t="s">
        <v>787</v>
      </c>
    </row>
    <row r="35" spans="1:9" s="154" customFormat="1" ht="22.5" customHeight="1" x14ac:dyDescent="0.25">
      <c r="A35" s="150"/>
      <c r="B35" s="144"/>
      <c r="C35" s="144"/>
      <c r="D35" s="144"/>
      <c r="E35" s="144"/>
      <c r="F35" s="2"/>
      <c r="G35" s="151"/>
      <c r="H35" s="152"/>
      <c r="I35" s="153"/>
    </row>
    <row r="36" spans="1:9" s="138" customFormat="1" ht="22.5" customHeight="1" x14ac:dyDescent="0.25">
      <c r="A36" s="129"/>
      <c r="B36" s="134"/>
      <c r="C36" s="134"/>
      <c r="D36" s="134"/>
      <c r="E36" s="134"/>
      <c r="F36" s="162"/>
      <c r="G36" s="135"/>
      <c r="H36" s="136"/>
      <c r="I36" s="137"/>
    </row>
    <row r="37" spans="1:9" s="189" customFormat="1" ht="90" x14ac:dyDescent="0.25">
      <c r="A37" s="184" t="s">
        <v>292</v>
      </c>
      <c r="B37" s="170" t="s">
        <v>269</v>
      </c>
      <c r="C37" s="170" t="s">
        <v>269</v>
      </c>
      <c r="D37" s="170" t="s">
        <v>239</v>
      </c>
      <c r="E37" s="170" t="s">
        <v>279</v>
      </c>
      <c r="F37" s="185" t="s">
        <v>46</v>
      </c>
      <c r="G37" s="186" t="s">
        <v>385</v>
      </c>
      <c r="H37" s="187">
        <v>42521</v>
      </c>
      <c r="I37" s="188" t="s">
        <v>769</v>
      </c>
    </row>
    <row r="38" spans="1:9" s="196" customFormat="1" ht="30" x14ac:dyDescent="0.25">
      <c r="A38" s="190" t="s">
        <v>595</v>
      </c>
      <c r="B38" s="191" t="s">
        <v>281</v>
      </c>
      <c r="C38" s="191" t="s">
        <v>281</v>
      </c>
      <c r="D38" s="191" t="s">
        <v>41</v>
      </c>
      <c r="E38" s="191" t="s">
        <v>496</v>
      </c>
      <c r="F38" s="192" t="s">
        <v>497</v>
      </c>
      <c r="G38" s="193" t="s">
        <v>499</v>
      </c>
      <c r="H38" s="194">
        <v>42649</v>
      </c>
      <c r="I38" s="195" t="s">
        <v>498</v>
      </c>
    </row>
    <row r="39" spans="1:9" s="77" customFormat="1" x14ac:dyDescent="0.25">
      <c r="A39" s="132"/>
      <c r="B39" s="74"/>
      <c r="C39" s="74"/>
      <c r="D39" s="74"/>
      <c r="E39" s="74"/>
      <c r="F39" s="165"/>
      <c r="G39" s="75"/>
      <c r="H39" s="83"/>
      <c r="I39" s="76"/>
    </row>
    <row r="40" spans="1:9" s="77" customFormat="1" x14ac:dyDescent="0.25">
      <c r="A40" s="132"/>
      <c r="B40" s="74"/>
      <c r="C40" s="74"/>
      <c r="D40" s="74"/>
      <c r="E40" s="74"/>
      <c r="F40" s="165"/>
      <c r="G40" s="75"/>
      <c r="H40" s="83"/>
      <c r="I40" s="76"/>
    </row>
    <row r="41" spans="1:9" s="81" customFormat="1" x14ac:dyDescent="0.25">
      <c r="A41" s="133"/>
      <c r="B41" s="78"/>
      <c r="C41" s="78"/>
      <c r="D41" s="78"/>
      <c r="E41" s="78"/>
      <c r="F41" s="166"/>
      <c r="G41" s="79"/>
      <c r="H41" s="84"/>
      <c r="I41" s="80"/>
    </row>
    <row r="42" spans="1:9" s="1" customFormat="1" ht="45" x14ac:dyDescent="0.25">
      <c r="A42" s="169" t="s">
        <v>596</v>
      </c>
      <c r="B42" s="85" t="s">
        <v>241</v>
      </c>
      <c r="C42" s="85" t="s">
        <v>241</v>
      </c>
      <c r="D42" s="85" t="s">
        <v>41</v>
      </c>
      <c r="E42" s="85"/>
      <c r="F42" s="167" t="s">
        <v>46</v>
      </c>
      <c r="G42" s="86" t="s">
        <v>388</v>
      </c>
      <c r="H42" s="87">
        <v>42384</v>
      </c>
      <c r="I42" s="88" t="s">
        <v>297</v>
      </c>
    </row>
    <row r="43" spans="1:9" s="72" customFormat="1" ht="17.25" customHeight="1" x14ac:dyDescent="0.25">
      <c r="A43" s="197" t="s">
        <v>394</v>
      </c>
      <c r="B43" s="198" t="s">
        <v>270</v>
      </c>
      <c r="C43" s="198" t="s">
        <v>270</v>
      </c>
      <c r="D43" s="198" t="s">
        <v>271</v>
      </c>
      <c r="E43" s="72" t="s">
        <v>272</v>
      </c>
      <c r="F43" s="199" t="s">
        <v>273</v>
      </c>
      <c r="G43" s="200" t="s">
        <v>387</v>
      </c>
      <c r="H43" s="201">
        <v>42437</v>
      </c>
      <c r="I43" s="202" t="s">
        <v>338</v>
      </c>
    </row>
    <row r="44" spans="1:9" s="72" customFormat="1" ht="17.25" customHeight="1" x14ac:dyDescent="0.25">
      <c r="A44" s="197" t="s">
        <v>393</v>
      </c>
      <c r="B44" s="198" t="s">
        <v>298</v>
      </c>
      <c r="C44" s="198" t="s">
        <v>298</v>
      </c>
      <c r="D44" s="198" t="s">
        <v>239</v>
      </c>
      <c r="E44" s="198" t="s">
        <v>299</v>
      </c>
      <c r="F44" s="199" t="s">
        <v>300</v>
      </c>
      <c r="G44" s="200" t="s">
        <v>389</v>
      </c>
      <c r="H44" s="201">
        <v>42419</v>
      </c>
      <c r="I44" s="202" t="s">
        <v>869</v>
      </c>
    </row>
    <row r="45" spans="1:9" x14ac:dyDescent="0.25">
      <c r="A45" s="124" t="s">
        <v>850</v>
      </c>
      <c r="B45" s="5" t="s">
        <v>851</v>
      </c>
      <c r="C45" s="5" t="s">
        <v>851</v>
      </c>
      <c r="D45" s="5" t="s">
        <v>239</v>
      </c>
      <c r="E45" s="5" t="s">
        <v>852</v>
      </c>
      <c r="F45" t="s">
        <v>300</v>
      </c>
      <c r="G45" t="s">
        <v>853</v>
      </c>
      <c r="I45" s="6" t="s">
        <v>854</v>
      </c>
    </row>
    <row r="46" spans="1:9" s="204" customFormat="1" ht="17.25" customHeight="1" x14ac:dyDescent="0.25">
      <c r="A46" s="203" t="s">
        <v>399</v>
      </c>
      <c r="B46" s="85" t="s">
        <v>395</v>
      </c>
      <c r="C46" s="85" t="s">
        <v>395</v>
      </c>
      <c r="D46" s="85" t="s">
        <v>271</v>
      </c>
      <c r="E46" s="85"/>
      <c r="F46" s="167"/>
      <c r="G46" s="86"/>
      <c r="H46" s="87"/>
      <c r="I46" s="88" t="s">
        <v>398</v>
      </c>
    </row>
    <row r="47" spans="1:9" s="204" customFormat="1" ht="17.25" customHeight="1" x14ac:dyDescent="0.25">
      <c r="A47" s="203" t="s">
        <v>399</v>
      </c>
      <c r="B47" s="85" t="s">
        <v>396</v>
      </c>
      <c r="C47" s="85" t="s">
        <v>396</v>
      </c>
      <c r="D47" s="85" t="s">
        <v>239</v>
      </c>
      <c r="E47" s="85"/>
      <c r="F47" s="167"/>
      <c r="G47" s="86"/>
      <c r="H47" s="87"/>
      <c r="I47" s="88" t="s">
        <v>398</v>
      </c>
    </row>
    <row r="48" spans="1:9" s="204" customFormat="1" ht="17.25" customHeight="1" x14ac:dyDescent="0.25">
      <c r="A48" s="203" t="s">
        <v>399</v>
      </c>
      <c r="B48" s="85" t="s">
        <v>422</v>
      </c>
      <c r="C48" s="85" t="s">
        <v>422</v>
      </c>
      <c r="D48" s="85" t="s">
        <v>397</v>
      </c>
      <c r="E48" s="85"/>
      <c r="F48" s="167"/>
      <c r="G48" s="86"/>
      <c r="H48" s="87"/>
      <c r="I48" s="88" t="s">
        <v>398</v>
      </c>
    </row>
    <row r="49" spans="1:9" s="1" customFormat="1" x14ac:dyDescent="0.25">
      <c r="A49" s="139" t="s">
        <v>400</v>
      </c>
      <c r="B49" s="140" t="s">
        <v>423</v>
      </c>
      <c r="C49" s="140" t="s">
        <v>423</v>
      </c>
      <c r="D49" s="140" t="s">
        <v>239</v>
      </c>
      <c r="E49" s="140" t="s">
        <v>401</v>
      </c>
      <c r="F49" s="168"/>
      <c r="G49" s="141"/>
      <c r="H49" s="142"/>
      <c r="I49" s="143" t="s">
        <v>398</v>
      </c>
    </row>
    <row r="50" spans="1:9" s="204" customFormat="1" ht="17.25" customHeight="1" x14ac:dyDescent="0.25">
      <c r="A50" s="203" t="s">
        <v>400</v>
      </c>
      <c r="B50" s="85" t="s">
        <v>402</v>
      </c>
      <c r="C50" s="85" t="s">
        <v>402</v>
      </c>
      <c r="D50" s="85" t="s">
        <v>239</v>
      </c>
      <c r="E50" s="85" t="s">
        <v>403</v>
      </c>
      <c r="F50" s="167"/>
      <c r="G50" s="86"/>
      <c r="H50" s="87"/>
      <c r="I50" s="88" t="s">
        <v>398</v>
      </c>
    </row>
    <row r="51" spans="1:9" s="204" customFormat="1" ht="17.25" customHeight="1" x14ac:dyDescent="0.25">
      <c r="A51" s="203" t="s">
        <v>400</v>
      </c>
      <c r="B51" s="85" t="s">
        <v>404</v>
      </c>
      <c r="C51" s="85" t="s">
        <v>404</v>
      </c>
      <c r="D51" s="85" t="s">
        <v>41</v>
      </c>
      <c r="E51" s="85"/>
      <c r="F51" s="167"/>
      <c r="G51" s="86"/>
      <c r="H51" s="87"/>
      <c r="I51" s="88" t="s">
        <v>398</v>
      </c>
    </row>
    <row r="52" spans="1:9" s="204" customFormat="1" ht="17.25" customHeight="1" x14ac:dyDescent="0.25">
      <c r="A52" s="203" t="s">
        <v>400</v>
      </c>
      <c r="B52" s="85" t="s">
        <v>405</v>
      </c>
      <c r="C52" s="85" t="s">
        <v>405</v>
      </c>
      <c r="D52" s="85" t="s">
        <v>406</v>
      </c>
      <c r="E52" s="85"/>
      <c r="F52" s="167"/>
      <c r="G52" s="86"/>
      <c r="H52" s="87"/>
      <c r="I52" s="88" t="s">
        <v>398</v>
      </c>
    </row>
    <row r="53" spans="1:9" s="1" customFormat="1" x14ac:dyDescent="0.25">
      <c r="A53" s="139"/>
      <c r="B53" s="140"/>
      <c r="C53" s="140"/>
      <c r="D53" s="140"/>
      <c r="E53" s="140"/>
      <c r="F53" s="168"/>
      <c r="G53" s="141"/>
      <c r="H53" s="142"/>
      <c r="I53" s="143"/>
    </row>
    <row r="54" spans="1:9" s="1" customFormat="1" x14ac:dyDescent="0.25">
      <c r="A54" s="139"/>
      <c r="B54" s="140"/>
      <c r="C54" s="140"/>
      <c r="D54" s="140"/>
      <c r="E54" s="140"/>
      <c r="F54" s="168"/>
      <c r="G54" s="141"/>
      <c r="H54" s="142"/>
      <c r="I54" s="143"/>
    </row>
    <row r="55" spans="1:9" s="51" customFormat="1" x14ac:dyDescent="0.25">
      <c r="A55" s="171"/>
      <c r="B55" s="172"/>
      <c r="C55" s="172"/>
      <c r="D55" s="172"/>
      <c r="E55" s="172"/>
      <c r="F55" s="173"/>
      <c r="G55" s="174"/>
      <c r="H55" s="175"/>
      <c r="I55" s="176"/>
    </row>
    <row r="56" spans="1:9" s="208" customFormat="1" ht="17.25" customHeight="1" x14ac:dyDescent="0.25">
      <c r="A56" s="205" t="s">
        <v>593</v>
      </c>
      <c r="B56" s="206" t="s">
        <v>494</v>
      </c>
      <c r="C56" s="206" t="s">
        <v>494</v>
      </c>
      <c r="D56" s="206" t="s">
        <v>495</v>
      </c>
      <c r="E56" s="206" t="s">
        <v>500</v>
      </c>
      <c r="F56" s="207" t="s">
        <v>502</v>
      </c>
      <c r="G56" s="208" t="s">
        <v>501</v>
      </c>
      <c r="H56" s="209">
        <v>42649</v>
      </c>
      <c r="I56" s="210" t="s">
        <v>505</v>
      </c>
    </row>
    <row r="57" spans="1:9" s="208" customFormat="1" ht="17.25" customHeight="1" x14ac:dyDescent="0.25">
      <c r="A57" s="211"/>
      <c r="B57" s="206" t="s">
        <v>503</v>
      </c>
      <c r="C57" s="206" t="s">
        <v>503</v>
      </c>
      <c r="D57" s="206" t="s">
        <v>239</v>
      </c>
      <c r="E57" s="206" t="s">
        <v>508</v>
      </c>
      <c r="F57" s="212" t="s">
        <v>509</v>
      </c>
      <c r="G57" s="213" t="s">
        <v>510</v>
      </c>
      <c r="H57" s="209">
        <v>42644</v>
      </c>
      <c r="I57" s="210" t="s">
        <v>506</v>
      </c>
    </row>
    <row r="58" spans="1:9" s="208" customFormat="1" ht="17.25" customHeight="1" x14ac:dyDescent="0.25">
      <c r="A58" s="211"/>
      <c r="B58" s="206" t="s">
        <v>504</v>
      </c>
      <c r="C58" s="206" t="s">
        <v>504</v>
      </c>
      <c r="D58" s="206" t="s">
        <v>41</v>
      </c>
      <c r="E58" s="206" t="s">
        <v>511</v>
      </c>
      <c r="F58" s="212" t="s">
        <v>54</v>
      </c>
      <c r="G58" s="213" t="s">
        <v>512</v>
      </c>
      <c r="H58" s="209">
        <v>42644</v>
      </c>
      <c r="I58" s="210" t="s">
        <v>507</v>
      </c>
    </row>
    <row r="59" spans="1:9" s="121" customFormat="1" x14ac:dyDescent="0.25">
      <c r="A59" s="131"/>
      <c r="B59" s="73"/>
      <c r="C59" s="73"/>
      <c r="D59" s="73"/>
      <c r="E59" s="73"/>
      <c r="F59" s="164"/>
      <c r="G59" s="118"/>
      <c r="H59" s="119"/>
      <c r="I59" s="120"/>
    </row>
    <row r="60" spans="1:9" s="220" customFormat="1" ht="17.25" customHeight="1" x14ac:dyDescent="0.25">
      <c r="A60" s="214" t="s">
        <v>594</v>
      </c>
      <c r="B60" s="215" t="s">
        <v>862</v>
      </c>
      <c r="C60" s="215" t="s">
        <v>129</v>
      </c>
      <c r="D60" s="215" t="s">
        <v>41</v>
      </c>
      <c r="E60" s="215" t="s">
        <v>37</v>
      </c>
      <c r="F60" s="216" t="s">
        <v>44</v>
      </c>
      <c r="G60" s="217" t="s">
        <v>380</v>
      </c>
      <c r="H60" s="218">
        <v>42395</v>
      </c>
      <c r="I60" s="219" t="s">
        <v>870</v>
      </c>
    </row>
    <row r="61" spans="1:9" s="220" customFormat="1" ht="17.25" customHeight="1" x14ac:dyDescent="0.25">
      <c r="A61" s="221"/>
      <c r="B61" s="215" t="s">
        <v>39</v>
      </c>
      <c r="C61" s="215" t="s">
        <v>39</v>
      </c>
      <c r="D61" s="215" t="s">
        <v>42</v>
      </c>
      <c r="E61" s="215" t="s">
        <v>43</v>
      </c>
      <c r="F61" s="216" t="s">
        <v>36</v>
      </c>
      <c r="G61" s="217" t="s">
        <v>381</v>
      </c>
      <c r="H61" s="218">
        <v>42388</v>
      </c>
      <c r="I61" s="219" t="s">
        <v>871</v>
      </c>
    </row>
    <row r="62" spans="1:9" s="220" customFormat="1" ht="17.25" customHeight="1" x14ac:dyDescent="0.25">
      <c r="A62" s="221"/>
      <c r="B62" s="215" t="s">
        <v>55</v>
      </c>
      <c r="C62" s="215" t="s">
        <v>55</v>
      </c>
      <c r="D62" s="215" t="s">
        <v>45</v>
      </c>
      <c r="E62" s="215" t="s">
        <v>56</v>
      </c>
      <c r="F62" s="216" t="s">
        <v>54</v>
      </c>
      <c r="G62" s="217" t="s">
        <v>382</v>
      </c>
      <c r="H62" s="218">
        <v>42366</v>
      </c>
      <c r="I62" s="219" t="s">
        <v>248</v>
      </c>
    </row>
    <row r="63" spans="1:9" s="66" customFormat="1" ht="17.25" customHeight="1" x14ac:dyDescent="0.25">
      <c r="A63" s="130"/>
      <c r="B63" s="62" t="s">
        <v>97</v>
      </c>
      <c r="C63" s="62" t="s">
        <v>97</v>
      </c>
      <c r="D63" s="62"/>
      <c r="E63" s="62"/>
      <c r="F63" s="163"/>
      <c r="G63" s="63"/>
      <c r="H63" s="64">
        <v>42346</v>
      </c>
      <c r="I63" s="65" t="s">
        <v>123</v>
      </c>
    </row>
    <row r="64" spans="1:9" s="66" customFormat="1" ht="17.25" customHeight="1" x14ac:dyDescent="0.25">
      <c r="A64" s="130"/>
      <c r="B64" s="62" t="s">
        <v>102</v>
      </c>
      <c r="C64" s="62" t="s">
        <v>102</v>
      </c>
      <c r="D64" s="62"/>
      <c r="E64" s="62"/>
      <c r="F64" s="163"/>
      <c r="G64" s="63"/>
      <c r="H64" s="64"/>
      <c r="I64" s="65" t="s">
        <v>53</v>
      </c>
    </row>
    <row r="65" spans="1:9" s="220" customFormat="1" ht="17.25" customHeight="1" x14ac:dyDescent="0.25">
      <c r="A65" s="221"/>
      <c r="B65" s="215" t="s">
        <v>105</v>
      </c>
      <c r="C65" s="215" t="s">
        <v>105</v>
      </c>
      <c r="D65" s="215" t="s">
        <v>226</v>
      </c>
      <c r="E65" s="215" t="s">
        <v>384</v>
      </c>
      <c r="F65" s="216" t="s">
        <v>54</v>
      </c>
      <c r="G65" s="217" t="s">
        <v>383</v>
      </c>
      <c r="H65" s="218">
        <v>42447</v>
      </c>
      <c r="I65" s="222" t="s">
        <v>872</v>
      </c>
    </row>
    <row r="66" spans="1:9" s="183" customFormat="1" ht="12" customHeight="1" x14ac:dyDescent="0.25">
      <c r="A66" s="177"/>
      <c r="B66" s="178" t="s">
        <v>106</v>
      </c>
      <c r="C66" s="178" t="s">
        <v>106</v>
      </c>
      <c r="D66" s="178"/>
      <c r="E66" s="178"/>
      <c r="F66" s="179"/>
      <c r="G66" s="180"/>
      <c r="H66" s="181">
        <v>42346</v>
      </c>
      <c r="I66" s="182" t="s">
        <v>213</v>
      </c>
    </row>
  </sheetData>
  <hyperlinks>
    <hyperlink ref="G10" r:id="rId1" xr:uid="{00000000-0004-0000-0600-000000000000}"/>
    <hyperlink ref="F34" r:id="rId2"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Z46"/>
  <sheetViews>
    <sheetView workbookViewId="0">
      <pane xSplit="2" ySplit="2" topLeftCell="C3" activePane="bottomRight" state="frozen"/>
      <selection pane="topRight" activeCell="D1" sqref="D1"/>
      <selection pane="bottomLeft" activeCell="A3" sqref="A3"/>
      <selection pane="bottomRight" activeCell="G10" sqref="G10"/>
    </sheetView>
  </sheetViews>
  <sheetFormatPr defaultColWidth="9.140625" defaultRowHeight="15" x14ac:dyDescent="0.25"/>
  <cols>
    <col min="1" max="1" width="7.42578125" style="32" bestFit="1" customWidth="1"/>
    <col min="2" max="2" width="10.85546875" style="40" bestFit="1" customWidth="1"/>
    <col min="3" max="3" width="24" style="26" bestFit="1" customWidth="1"/>
    <col min="4" max="4" width="17.28515625" style="13" customWidth="1"/>
    <col min="5" max="5" width="8.7109375" style="13" bestFit="1" customWidth="1"/>
    <col min="6" max="6" width="7.42578125" style="13" bestFit="1" customWidth="1"/>
    <col min="7" max="7" width="17.85546875" style="13" customWidth="1"/>
    <col min="8" max="8" width="11.28515625" style="13" customWidth="1"/>
    <col min="9" max="9" width="15.42578125" style="13" bestFit="1" customWidth="1"/>
    <col min="10" max="10" width="20.28515625" style="13" customWidth="1"/>
    <col min="11" max="11" width="6.140625" style="14" customWidth="1"/>
    <col min="12" max="12" width="20.42578125" style="97" bestFit="1" customWidth="1"/>
    <col min="13" max="13" width="19.7109375" style="97" bestFit="1" customWidth="1"/>
    <col min="14" max="15" width="15.42578125" style="13" bestFit="1" customWidth="1"/>
    <col min="16" max="16" width="22.42578125" style="103" bestFit="1" customWidth="1"/>
    <col min="17" max="17" width="11.7109375" style="13" bestFit="1" customWidth="1"/>
    <col min="18" max="20" width="6.42578125" style="13" customWidth="1"/>
    <col min="21" max="21" width="10.85546875" style="13" customWidth="1"/>
    <col min="22" max="22" width="18.28515625" style="14" customWidth="1"/>
    <col min="23" max="23" width="10.42578125" style="14" customWidth="1"/>
    <col min="24" max="24" width="21" style="41" bestFit="1" customWidth="1"/>
    <col min="25" max="25" width="18.7109375" style="52" bestFit="1" customWidth="1"/>
    <col min="26" max="26" width="63.85546875" style="15" customWidth="1"/>
    <col min="27" max="16384" width="9.140625" style="13"/>
  </cols>
  <sheetData>
    <row r="1" spans="1:26" ht="18.75" x14ac:dyDescent="0.3">
      <c r="A1" s="700" t="s">
        <v>280</v>
      </c>
      <c r="B1" s="701"/>
      <c r="C1" s="26" t="s">
        <v>33</v>
      </c>
      <c r="D1" s="13" t="s">
        <v>221</v>
      </c>
      <c r="E1" s="13" t="s">
        <v>29</v>
      </c>
      <c r="F1" s="13" t="s">
        <v>220</v>
      </c>
      <c r="G1" s="13" t="s">
        <v>30</v>
      </c>
      <c r="H1" s="13" t="s">
        <v>156</v>
      </c>
      <c r="I1" s="13" t="s">
        <v>65</v>
      </c>
      <c r="J1" s="13" t="s">
        <v>57</v>
      </c>
      <c r="L1" s="102" t="s">
        <v>364</v>
      </c>
      <c r="M1" s="102" t="s">
        <v>365</v>
      </c>
      <c r="N1" s="13" t="s">
        <v>177</v>
      </c>
      <c r="O1" s="13" t="s">
        <v>178</v>
      </c>
      <c r="P1" s="103" t="s">
        <v>370</v>
      </c>
      <c r="Q1" s="13" t="s">
        <v>79</v>
      </c>
      <c r="R1" s="13" t="s">
        <v>124</v>
      </c>
      <c r="S1" s="13" t="s">
        <v>125</v>
      </c>
      <c r="T1" s="13" t="s">
        <v>126</v>
      </c>
      <c r="U1" s="11" t="s">
        <v>199</v>
      </c>
      <c r="V1" s="14" t="s">
        <v>52</v>
      </c>
      <c r="W1" s="14" t="s">
        <v>63</v>
      </c>
      <c r="X1" s="41" t="s">
        <v>50</v>
      </c>
      <c r="Y1" s="52" t="s">
        <v>236</v>
      </c>
      <c r="Z1" s="15" t="s">
        <v>1</v>
      </c>
    </row>
    <row r="2" spans="1:26" s="23" customFormat="1" ht="18" thickBot="1" x14ac:dyDescent="0.3">
      <c r="A2" s="30"/>
      <c r="B2" s="71" t="s">
        <v>289</v>
      </c>
      <c r="C2" s="27"/>
      <c r="E2" s="23" t="s">
        <v>31</v>
      </c>
      <c r="F2" s="23" t="s">
        <v>2</v>
      </c>
      <c r="H2" s="23" t="s">
        <v>72</v>
      </c>
      <c r="I2" s="23" t="s">
        <v>74</v>
      </c>
      <c r="K2" s="24"/>
      <c r="L2" s="101" t="s">
        <v>32</v>
      </c>
      <c r="M2" s="101" t="s">
        <v>32</v>
      </c>
      <c r="N2" s="23" t="s">
        <v>176</v>
      </c>
      <c r="P2" s="104" t="s">
        <v>371</v>
      </c>
      <c r="U2" s="12" t="s">
        <v>200</v>
      </c>
      <c r="V2" s="24" t="s">
        <v>191</v>
      </c>
      <c r="W2" s="24" t="s">
        <v>64</v>
      </c>
      <c r="X2" s="42" t="s">
        <v>51</v>
      </c>
      <c r="Y2" s="53" t="s">
        <v>235</v>
      </c>
      <c r="Z2" s="25"/>
    </row>
    <row r="3" spans="1:26" s="20" customFormat="1" ht="15.75" thickTop="1" x14ac:dyDescent="0.25">
      <c r="A3" s="31" t="s">
        <v>3</v>
      </c>
      <c r="B3" s="5"/>
      <c r="C3" s="28" t="str">
        <f>Manufacturers!$B$62</f>
        <v>Industrial netting</v>
      </c>
      <c r="D3" s="20" t="s">
        <v>174</v>
      </c>
      <c r="E3" s="20" t="s">
        <v>60</v>
      </c>
      <c r="F3" s="20">
        <v>34</v>
      </c>
      <c r="G3" s="20" t="s">
        <v>59</v>
      </c>
      <c r="H3" s="20" t="s">
        <v>21</v>
      </c>
      <c r="I3" s="20" t="s">
        <v>14</v>
      </c>
      <c r="J3" s="20" t="s">
        <v>62</v>
      </c>
      <c r="K3" s="31" t="s">
        <v>3</v>
      </c>
      <c r="L3" s="98" t="s">
        <v>355</v>
      </c>
      <c r="M3" s="98">
        <v>2.5</v>
      </c>
      <c r="P3" s="105">
        <f>AVERAGE(L3,M3)/F3</f>
        <v>7.3529411764705885E-2</v>
      </c>
      <c r="Q3" s="20" t="s">
        <v>83</v>
      </c>
      <c r="R3" s="20" t="s">
        <v>182</v>
      </c>
      <c r="S3" s="20" t="s">
        <v>182</v>
      </c>
      <c r="T3" s="20" t="s">
        <v>182</v>
      </c>
      <c r="U3" s="16" t="s">
        <v>201</v>
      </c>
      <c r="V3" s="21" t="s">
        <v>61</v>
      </c>
      <c r="W3" s="21">
        <v>4.2699999999999996</v>
      </c>
      <c r="X3" s="50">
        <v>0.63</v>
      </c>
      <c r="Y3" s="54">
        <f t="shared" ref="Y3:Y27" si="0">IF(F3&gt;0,X3/(F3/1000),"")</f>
        <v>18.52941176470588</v>
      </c>
      <c r="Z3" s="22" t="s">
        <v>222</v>
      </c>
    </row>
    <row r="4" spans="1:26" x14ac:dyDescent="0.25">
      <c r="A4" s="32" t="s">
        <v>4</v>
      </c>
      <c r="B4" s="5"/>
      <c r="C4" s="26" t="str">
        <f>Manufacturers!$B$62</f>
        <v>Industrial netting</v>
      </c>
      <c r="D4" s="13" t="s">
        <v>174</v>
      </c>
      <c r="E4" s="13" t="s">
        <v>68</v>
      </c>
      <c r="F4" s="13">
        <v>33</v>
      </c>
      <c r="G4" s="13" t="s">
        <v>59</v>
      </c>
      <c r="H4" s="13" t="s">
        <v>21</v>
      </c>
      <c r="I4" s="13" t="s">
        <v>14</v>
      </c>
      <c r="J4" s="13" t="s">
        <v>62</v>
      </c>
      <c r="K4" s="32" t="s">
        <v>4</v>
      </c>
      <c r="L4" s="97" t="s">
        <v>356</v>
      </c>
      <c r="M4" s="97" t="s">
        <v>357</v>
      </c>
      <c r="P4" s="106">
        <f>AVERAGE(4.5,3.9)/F4</f>
        <v>0.12727272727272729</v>
      </c>
      <c r="Q4" s="13" t="s">
        <v>83</v>
      </c>
      <c r="R4" s="13" t="s">
        <v>182</v>
      </c>
      <c r="S4" s="13" t="s">
        <v>182</v>
      </c>
      <c r="T4" s="13" t="s">
        <v>182</v>
      </c>
      <c r="U4" s="13" t="s">
        <v>201</v>
      </c>
      <c r="V4" s="14" t="s">
        <v>69</v>
      </c>
      <c r="W4" s="14">
        <v>4.2699999999999996</v>
      </c>
      <c r="X4" s="48">
        <v>0.56999999999999995</v>
      </c>
      <c r="Y4" s="56">
        <f t="shared" si="0"/>
        <v>17.27272727272727</v>
      </c>
      <c r="Z4" s="22" t="s">
        <v>222</v>
      </c>
    </row>
    <row r="5" spans="1:26" s="16" customFormat="1" x14ac:dyDescent="0.25">
      <c r="A5" s="33" t="s">
        <v>5</v>
      </c>
      <c r="B5" s="5"/>
      <c r="C5" s="29" t="str">
        <f>Manufacturers!$B$62</f>
        <v>Industrial netting</v>
      </c>
      <c r="D5" s="16" t="s">
        <v>174</v>
      </c>
      <c r="E5" s="16" t="s">
        <v>67</v>
      </c>
      <c r="F5" s="16">
        <v>49</v>
      </c>
      <c r="G5" s="16" t="s">
        <v>59</v>
      </c>
      <c r="H5" s="16" t="s">
        <v>21</v>
      </c>
      <c r="I5" s="16" t="s">
        <v>14</v>
      </c>
      <c r="J5" s="16" t="s">
        <v>62</v>
      </c>
      <c r="K5" s="33" t="s">
        <v>5</v>
      </c>
      <c r="L5" s="99" t="s">
        <v>358</v>
      </c>
      <c r="M5" s="99" t="s">
        <v>359</v>
      </c>
      <c r="P5" s="105">
        <f>AVERAGE(5.1,4.5)/F5</f>
        <v>9.7959183673469383E-2</v>
      </c>
      <c r="Q5" s="16" t="s">
        <v>83</v>
      </c>
      <c r="R5" s="16" t="s">
        <v>182</v>
      </c>
      <c r="S5" s="16" t="s">
        <v>182</v>
      </c>
      <c r="T5" s="16" t="s">
        <v>182</v>
      </c>
      <c r="U5" s="16" t="s">
        <v>201</v>
      </c>
      <c r="V5" s="17" t="s">
        <v>66</v>
      </c>
      <c r="W5" s="17">
        <v>4.2699999999999996</v>
      </c>
      <c r="X5" s="47">
        <v>0.45</v>
      </c>
      <c r="Y5" s="54">
        <f t="shared" si="0"/>
        <v>9.1836734693877542</v>
      </c>
      <c r="Z5" s="22" t="s">
        <v>222</v>
      </c>
    </row>
    <row r="6" spans="1:26" ht="60" x14ac:dyDescent="0.25">
      <c r="A6" s="32" t="s">
        <v>6</v>
      </c>
      <c r="B6" s="5">
        <v>3.5</v>
      </c>
      <c r="C6" s="26" t="str">
        <f>Manufacturers!$B$62</f>
        <v>Industrial netting</v>
      </c>
      <c r="D6" s="13" t="s">
        <v>174</v>
      </c>
      <c r="E6" s="13" t="s">
        <v>70</v>
      </c>
      <c r="F6" s="13">
        <v>29</v>
      </c>
      <c r="G6" s="13" t="s">
        <v>59</v>
      </c>
      <c r="H6" s="13" t="s">
        <v>21</v>
      </c>
      <c r="I6" s="13" t="s">
        <v>21</v>
      </c>
      <c r="J6" s="13" t="s">
        <v>62</v>
      </c>
      <c r="K6" s="32" t="s">
        <v>6</v>
      </c>
      <c r="L6" s="97" t="s">
        <v>360</v>
      </c>
      <c r="M6" s="97" t="s">
        <v>361</v>
      </c>
      <c r="P6" s="106">
        <f>AVERAGE(4.8,4.9)/F5</f>
        <v>9.8979591836734687E-2</v>
      </c>
      <c r="Q6" s="13" t="s">
        <v>83</v>
      </c>
      <c r="R6" s="13" t="s">
        <v>182</v>
      </c>
      <c r="S6" s="13" t="s">
        <v>182</v>
      </c>
      <c r="T6" s="13" t="s">
        <v>182</v>
      </c>
      <c r="U6" s="13" t="s">
        <v>201</v>
      </c>
      <c r="V6" s="14" t="s">
        <v>71</v>
      </c>
      <c r="W6" s="14">
        <v>4.2699999999999996</v>
      </c>
      <c r="X6" s="48">
        <v>0.56000000000000005</v>
      </c>
      <c r="Y6" s="56">
        <f t="shared" si="0"/>
        <v>19.310344827586206</v>
      </c>
      <c r="Z6" s="22" t="s">
        <v>374</v>
      </c>
    </row>
    <row r="7" spans="1:26" s="16" customFormat="1" ht="17.25" customHeight="1" x14ac:dyDescent="0.25">
      <c r="A7" s="33" t="s">
        <v>7</v>
      </c>
      <c r="B7" s="5"/>
      <c r="C7" s="29" t="str">
        <f>Manufacturers!$B$60</f>
        <v>Fleximas</v>
      </c>
      <c r="D7" s="16" t="e">
        <f>#REF!</f>
        <v>#REF!</v>
      </c>
      <c r="E7" s="16" t="s">
        <v>73</v>
      </c>
      <c r="G7" s="16" t="s">
        <v>59</v>
      </c>
      <c r="H7" s="16" t="s">
        <v>6</v>
      </c>
      <c r="I7" s="16" t="s">
        <v>14</v>
      </c>
      <c r="J7" s="16" t="s">
        <v>75</v>
      </c>
      <c r="K7" s="33" t="s">
        <v>7</v>
      </c>
      <c r="L7" s="99"/>
      <c r="M7" s="99"/>
      <c r="P7" s="105"/>
      <c r="Q7" s="16" t="s">
        <v>80</v>
      </c>
      <c r="R7" s="16" t="s">
        <v>182</v>
      </c>
      <c r="S7" s="16" t="s">
        <v>182</v>
      </c>
      <c r="T7" s="16" t="s">
        <v>182</v>
      </c>
      <c r="U7" s="16" t="s">
        <v>183</v>
      </c>
      <c r="V7" s="17">
        <v>6.0890000000000004</v>
      </c>
      <c r="W7" s="17"/>
      <c r="X7" s="44"/>
      <c r="Y7" s="54" t="str">
        <f t="shared" si="0"/>
        <v/>
      </c>
      <c r="Z7" s="18"/>
    </row>
    <row r="8" spans="1:26" ht="17.25" customHeight="1" x14ac:dyDescent="0.25">
      <c r="A8" s="32" t="s">
        <v>8</v>
      </c>
      <c r="B8" s="5"/>
      <c r="C8" s="26" t="str">
        <f>Manufacturers!$B$60</f>
        <v>Fleximas</v>
      </c>
      <c r="D8" s="13" t="s">
        <v>174</v>
      </c>
      <c r="E8" s="13" t="s">
        <v>89</v>
      </c>
      <c r="F8" s="13">
        <v>420</v>
      </c>
      <c r="G8" s="13" t="s">
        <v>59</v>
      </c>
      <c r="H8" s="13" t="s">
        <v>20</v>
      </c>
      <c r="I8" s="13" t="s">
        <v>14</v>
      </c>
      <c r="J8" s="13" t="s">
        <v>75</v>
      </c>
      <c r="K8" s="32" t="s">
        <v>8</v>
      </c>
      <c r="P8" s="106"/>
      <c r="Q8" s="13" t="s">
        <v>80</v>
      </c>
      <c r="R8" s="13" t="s">
        <v>182</v>
      </c>
      <c r="S8" s="13" t="s">
        <v>182</v>
      </c>
      <c r="T8" s="13" t="s">
        <v>182</v>
      </c>
      <c r="U8" s="13" t="s">
        <v>183</v>
      </c>
      <c r="V8" s="14" t="s">
        <v>90</v>
      </c>
      <c r="X8" s="43"/>
      <c r="Y8" s="56">
        <f t="shared" si="0"/>
        <v>0</v>
      </c>
    </row>
    <row r="9" spans="1:26" s="16" customFormat="1" ht="17.25" customHeight="1" x14ac:dyDescent="0.25">
      <c r="A9" s="33" t="s">
        <v>9</v>
      </c>
      <c r="B9" s="5"/>
      <c r="C9" s="26" t="str">
        <f>Manufacturers!$B$60</f>
        <v>Fleximas</v>
      </c>
      <c r="D9" s="16" t="s">
        <v>174</v>
      </c>
      <c r="E9" s="16" t="s">
        <v>91</v>
      </c>
      <c r="F9" s="16">
        <v>52.5</v>
      </c>
      <c r="G9" s="16" t="s">
        <v>59</v>
      </c>
      <c r="H9" s="16" t="s">
        <v>21</v>
      </c>
      <c r="I9" s="16" t="s">
        <v>21</v>
      </c>
      <c r="J9" s="16" t="s">
        <v>62</v>
      </c>
      <c r="K9" s="33" t="s">
        <v>9</v>
      </c>
      <c r="L9" s="99">
        <v>2.35</v>
      </c>
      <c r="M9" s="99">
        <v>2.5299999999999998</v>
      </c>
      <c r="N9" s="16">
        <v>40</v>
      </c>
      <c r="O9" s="16">
        <v>30</v>
      </c>
      <c r="P9" s="105">
        <f>AVERAGE(L9,M9)/F9</f>
        <v>4.6476190476190476E-2</v>
      </c>
      <c r="Q9" s="16" t="s">
        <v>80</v>
      </c>
      <c r="R9" s="16" t="s">
        <v>182</v>
      </c>
      <c r="S9" s="16" t="s">
        <v>182</v>
      </c>
      <c r="T9" s="16" t="s">
        <v>182</v>
      </c>
      <c r="U9" s="16" t="s">
        <v>201</v>
      </c>
      <c r="V9" s="17" t="s">
        <v>193</v>
      </c>
      <c r="W9" s="17" t="s">
        <v>179</v>
      </c>
      <c r="X9" s="44"/>
      <c r="Y9" s="54">
        <f t="shared" si="0"/>
        <v>0</v>
      </c>
      <c r="Z9" s="18" t="s">
        <v>224</v>
      </c>
    </row>
    <row r="10" spans="1:26" ht="17.25" customHeight="1" x14ac:dyDescent="0.25">
      <c r="A10" s="32" t="s">
        <v>10</v>
      </c>
      <c r="B10" s="5"/>
      <c r="C10" s="26" t="str">
        <f>Manufacturers!$B$61</f>
        <v>Conwed</v>
      </c>
      <c r="D10" s="13" t="s">
        <v>174</v>
      </c>
      <c r="E10" s="13" t="s">
        <v>92</v>
      </c>
      <c r="F10" s="13">
        <v>59</v>
      </c>
      <c r="G10" s="13" t="s">
        <v>59</v>
      </c>
      <c r="H10" s="13" t="s">
        <v>21</v>
      </c>
      <c r="I10" s="13" t="s">
        <v>14</v>
      </c>
      <c r="J10" s="13" t="s">
        <v>62</v>
      </c>
      <c r="K10" s="32" t="s">
        <v>10</v>
      </c>
      <c r="L10" s="97">
        <v>4.4000000000000004</v>
      </c>
      <c r="M10" s="97">
        <v>3.5</v>
      </c>
      <c r="P10" s="106">
        <f>AVERAGE(L9,M9)/F9</f>
        <v>4.6476190476190476E-2</v>
      </c>
      <c r="Q10" s="13" t="s">
        <v>83</v>
      </c>
      <c r="R10" s="13" t="s">
        <v>182</v>
      </c>
      <c r="S10" s="13" t="s">
        <v>182</v>
      </c>
      <c r="T10" s="13" t="s">
        <v>182</v>
      </c>
      <c r="U10" s="13" t="s">
        <v>201</v>
      </c>
      <c r="V10" s="14" t="s">
        <v>93</v>
      </c>
      <c r="W10" s="14" t="s">
        <v>210</v>
      </c>
      <c r="X10" s="48">
        <v>0.24</v>
      </c>
      <c r="Y10" s="56">
        <f t="shared" si="0"/>
        <v>4.0677966101694913</v>
      </c>
      <c r="Z10" s="15" t="s">
        <v>218</v>
      </c>
    </row>
    <row r="11" spans="1:26" s="16" customFormat="1" ht="17.25" customHeight="1" x14ac:dyDescent="0.25">
      <c r="A11" s="33" t="s">
        <v>11</v>
      </c>
      <c r="B11" s="5"/>
      <c r="C11" s="29" t="str">
        <f>Manufacturers!$B$60</f>
        <v>Fleximas</v>
      </c>
      <c r="D11" s="16" t="s">
        <v>174</v>
      </c>
      <c r="E11" s="16" t="s">
        <v>94</v>
      </c>
      <c r="F11" s="16">
        <v>66</v>
      </c>
      <c r="G11" s="16" t="s">
        <v>59</v>
      </c>
      <c r="H11" s="16" t="s">
        <v>21</v>
      </c>
      <c r="I11" s="16" t="s">
        <v>14</v>
      </c>
      <c r="J11" s="16" t="s">
        <v>75</v>
      </c>
      <c r="K11" s="33" t="s">
        <v>11</v>
      </c>
      <c r="L11" s="99">
        <v>2</v>
      </c>
      <c r="M11" s="99">
        <v>1.5</v>
      </c>
      <c r="N11" s="16">
        <v>200</v>
      </c>
      <c r="O11" s="16">
        <v>157</v>
      </c>
      <c r="P11" s="105">
        <f>AVERAGE(L11,M11)/F11</f>
        <v>2.6515151515151516E-2</v>
      </c>
      <c r="Q11" s="16" t="s">
        <v>95</v>
      </c>
      <c r="R11" s="16" t="s">
        <v>182</v>
      </c>
      <c r="S11" s="16" t="s">
        <v>182</v>
      </c>
      <c r="T11" s="16" t="s">
        <v>182</v>
      </c>
      <c r="U11" s="16" t="s">
        <v>201</v>
      </c>
      <c r="V11" s="17" t="s">
        <v>96</v>
      </c>
      <c r="W11" s="17">
        <v>2.0499999999999998</v>
      </c>
      <c r="X11" s="47">
        <v>0.15</v>
      </c>
      <c r="Y11" s="54">
        <f t="shared" si="0"/>
        <v>2.2727272727272725</v>
      </c>
      <c r="Z11" s="18" t="s">
        <v>225</v>
      </c>
    </row>
    <row r="12" spans="1:26" ht="17.25" customHeight="1" x14ac:dyDescent="0.25">
      <c r="A12" s="32" t="s">
        <v>12</v>
      </c>
      <c r="B12" s="5">
        <v>3</v>
      </c>
      <c r="C12" s="26" t="str">
        <f>Manufacturers!$B$63</f>
        <v>JX Nippon</v>
      </c>
      <c r="D12" s="13" t="s">
        <v>58</v>
      </c>
      <c r="E12" s="13" t="s">
        <v>98</v>
      </c>
      <c r="F12" s="13">
        <v>42</v>
      </c>
      <c r="G12" s="13" t="s">
        <v>85</v>
      </c>
      <c r="H12" s="13" t="s">
        <v>21</v>
      </c>
      <c r="I12" s="13" t="s">
        <v>14</v>
      </c>
      <c r="J12" s="13" t="s">
        <v>75</v>
      </c>
      <c r="K12" s="32" t="s">
        <v>12</v>
      </c>
      <c r="L12" s="97">
        <f>280*20/1000</f>
        <v>5.6</v>
      </c>
      <c r="M12" s="97">
        <f>250*20/1000</f>
        <v>5</v>
      </c>
      <c r="P12" s="106">
        <f>AVERAGE(L12,M12)/F12</f>
        <v>0.12619047619047619</v>
      </c>
      <c r="Q12" s="13" t="s">
        <v>99</v>
      </c>
      <c r="R12" s="13" t="s">
        <v>182</v>
      </c>
      <c r="S12" s="13" t="s">
        <v>182</v>
      </c>
      <c r="T12" s="13" t="s">
        <v>182</v>
      </c>
      <c r="U12" s="13" t="s">
        <v>201</v>
      </c>
      <c r="V12" s="14" t="s">
        <v>100</v>
      </c>
      <c r="W12" s="14" t="s">
        <v>101</v>
      </c>
      <c r="X12" s="43"/>
      <c r="Y12" s="56">
        <f t="shared" si="0"/>
        <v>0</v>
      </c>
    </row>
    <row r="13" spans="1:26" s="16" customFormat="1" ht="17.25" customHeight="1" x14ac:dyDescent="0.25">
      <c r="A13" s="33" t="s">
        <v>13</v>
      </c>
      <c r="B13" s="5"/>
      <c r="C13" s="29" t="str">
        <f>Manufacturers!$B$64</f>
        <v>Ikea</v>
      </c>
      <c r="E13" s="16" t="s">
        <v>103</v>
      </c>
      <c r="G13" s="16" t="s">
        <v>59</v>
      </c>
      <c r="H13" s="16" t="s">
        <v>21</v>
      </c>
      <c r="I13" s="16" t="s">
        <v>14</v>
      </c>
      <c r="J13" s="16" t="s">
        <v>75</v>
      </c>
      <c r="K13" s="33" t="s">
        <v>13</v>
      </c>
      <c r="L13" s="99"/>
      <c r="M13" s="99"/>
      <c r="P13" s="105"/>
      <c r="Q13" s="16" t="s">
        <v>104</v>
      </c>
      <c r="R13" s="16" t="s">
        <v>182</v>
      </c>
      <c r="S13" s="16" t="s">
        <v>182</v>
      </c>
      <c r="T13" s="16" t="s">
        <v>182</v>
      </c>
      <c r="U13" s="16" t="s">
        <v>183</v>
      </c>
      <c r="V13" s="17"/>
      <c r="W13" s="17"/>
      <c r="X13" s="47"/>
      <c r="Y13" s="54" t="str">
        <f t="shared" si="0"/>
        <v/>
      </c>
      <c r="Z13" s="18"/>
    </row>
    <row r="14" spans="1:26" ht="17.25" customHeight="1" x14ac:dyDescent="0.25">
      <c r="A14" s="32" t="s">
        <v>14</v>
      </c>
      <c r="B14" s="5">
        <v>2</v>
      </c>
      <c r="C14" s="26" t="str">
        <f>Manufacturers!$B$65</f>
        <v>Polytex</v>
      </c>
      <c r="D14" s="13" t="s">
        <v>107</v>
      </c>
      <c r="E14" s="13" t="s">
        <v>108</v>
      </c>
      <c r="F14" s="13">
        <v>50</v>
      </c>
      <c r="G14" s="13" t="s">
        <v>85</v>
      </c>
      <c r="H14" s="13" t="s">
        <v>21</v>
      </c>
      <c r="I14" s="13" t="s">
        <v>14</v>
      </c>
      <c r="J14" s="13" t="s">
        <v>75</v>
      </c>
      <c r="K14" s="32" t="s">
        <v>14</v>
      </c>
      <c r="L14" s="97">
        <v>8.1999999999999993</v>
      </c>
      <c r="M14" s="97">
        <v>9.6</v>
      </c>
      <c r="P14" s="106">
        <f>AVERAGE(L14,M14)/F14</f>
        <v>0.17799999999999996</v>
      </c>
      <c r="Q14" s="13" t="s">
        <v>99</v>
      </c>
      <c r="R14" s="13" t="s">
        <v>182</v>
      </c>
      <c r="S14" s="13" t="s">
        <v>182</v>
      </c>
      <c r="T14" s="13" t="s">
        <v>182</v>
      </c>
      <c r="U14" s="13" t="s">
        <v>182</v>
      </c>
      <c r="X14" s="48">
        <v>0.13</v>
      </c>
      <c r="Y14" s="56">
        <f t="shared" si="0"/>
        <v>2.6</v>
      </c>
      <c r="Z14" s="15" t="s">
        <v>250</v>
      </c>
    </row>
    <row r="15" spans="1:26" s="16" customFormat="1" ht="17.25" customHeight="1" x14ac:dyDescent="0.25">
      <c r="A15" s="33" t="s">
        <v>15</v>
      </c>
      <c r="B15" s="5"/>
      <c r="C15" s="29" t="str">
        <f>Manufacturers!$B$66</f>
        <v>DEJIA Enterprises</v>
      </c>
      <c r="D15" s="16" t="s">
        <v>109</v>
      </c>
      <c r="E15" s="16" t="s">
        <v>110</v>
      </c>
      <c r="G15" s="16" t="s">
        <v>85</v>
      </c>
      <c r="H15" s="16" t="s">
        <v>21</v>
      </c>
      <c r="I15" s="16" t="s">
        <v>21</v>
      </c>
      <c r="J15" s="16" t="s">
        <v>111</v>
      </c>
      <c r="K15" s="33" t="s">
        <v>15</v>
      </c>
      <c r="L15" s="99"/>
      <c r="M15" s="99"/>
      <c r="P15" s="105"/>
      <c r="Q15" s="16" t="s">
        <v>80</v>
      </c>
      <c r="R15" s="16" t="s">
        <v>182</v>
      </c>
      <c r="S15" s="16" t="s">
        <v>182</v>
      </c>
      <c r="T15" s="16" t="s">
        <v>182</v>
      </c>
      <c r="U15" s="16" t="s">
        <v>202</v>
      </c>
      <c r="V15" s="17"/>
      <c r="W15" s="17"/>
      <c r="X15" s="47"/>
      <c r="Y15" s="54" t="str">
        <f t="shared" si="0"/>
        <v/>
      </c>
      <c r="Z15" s="18"/>
    </row>
    <row r="16" spans="1:26" ht="17.25" customHeight="1" x14ac:dyDescent="0.25">
      <c r="A16" s="32" t="s">
        <v>16</v>
      </c>
      <c r="B16" s="5"/>
      <c r="C16" s="26" t="str">
        <f>Manufacturers!$B$65</f>
        <v>Polytex</v>
      </c>
      <c r="D16" s="13" t="s">
        <v>116</v>
      </c>
      <c r="E16" s="13" t="s">
        <v>112</v>
      </c>
      <c r="F16" s="13">
        <v>180</v>
      </c>
      <c r="G16" s="13" t="s">
        <v>113</v>
      </c>
      <c r="H16" s="13" t="s">
        <v>21</v>
      </c>
      <c r="I16" s="13" t="s">
        <v>14</v>
      </c>
      <c r="J16" s="13" t="s">
        <v>114</v>
      </c>
      <c r="K16" s="32" t="s">
        <v>16</v>
      </c>
      <c r="L16" s="97" t="s">
        <v>362</v>
      </c>
      <c r="M16" s="97" t="s">
        <v>363</v>
      </c>
      <c r="P16" s="106">
        <f>AVERAGE(24.3,11.5)/F16</f>
        <v>9.9444444444444433E-2</v>
      </c>
      <c r="Q16" s="13" t="s">
        <v>83</v>
      </c>
      <c r="R16" s="13" t="s">
        <v>182</v>
      </c>
      <c r="S16" s="13" t="s">
        <v>182</v>
      </c>
      <c r="T16" s="13" t="s">
        <v>182</v>
      </c>
      <c r="U16" s="13" t="s">
        <v>203</v>
      </c>
      <c r="V16" s="14" t="s">
        <v>191</v>
      </c>
      <c r="X16" s="48"/>
      <c r="Y16" s="56">
        <f t="shared" si="0"/>
        <v>0</v>
      </c>
      <c r="Z16" s="15" t="s">
        <v>115</v>
      </c>
    </row>
    <row r="17" spans="1:26" s="16" customFormat="1" ht="17.25" customHeight="1" x14ac:dyDescent="0.25">
      <c r="A17" s="33" t="s">
        <v>17</v>
      </c>
      <c r="B17" s="5">
        <v>4</v>
      </c>
      <c r="C17" s="29" t="str">
        <f>Manufacturers!$B$65</f>
        <v>Polytex</v>
      </c>
      <c r="D17" s="16" t="s">
        <v>117</v>
      </c>
      <c r="E17" s="16" t="s">
        <v>118</v>
      </c>
      <c r="F17" s="16">
        <v>160</v>
      </c>
      <c r="G17" s="16" t="s">
        <v>85</v>
      </c>
      <c r="H17" s="16" t="s">
        <v>21</v>
      </c>
      <c r="I17" s="16" t="s">
        <v>14</v>
      </c>
      <c r="J17" s="16" t="s">
        <v>76</v>
      </c>
      <c r="K17" s="33" t="s">
        <v>17</v>
      </c>
      <c r="L17" s="99">
        <v>30</v>
      </c>
      <c r="M17" s="99">
        <v>36</v>
      </c>
      <c r="P17" s="105">
        <f>AVERAGE(L17,M17)/F17</f>
        <v>0.20624999999999999</v>
      </c>
      <c r="Q17" s="16" t="s">
        <v>80</v>
      </c>
      <c r="R17" s="16" t="s">
        <v>182</v>
      </c>
      <c r="S17" s="16" t="s">
        <v>182</v>
      </c>
      <c r="T17" s="16" t="s">
        <v>182</v>
      </c>
      <c r="U17" s="39" t="s">
        <v>204</v>
      </c>
      <c r="V17" s="17" t="s">
        <v>191</v>
      </c>
      <c r="W17" s="17"/>
      <c r="X17" s="47">
        <v>0.19</v>
      </c>
      <c r="Y17" s="54">
        <f t="shared" si="0"/>
        <v>1.1875</v>
      </c>
      <c r="Z17" s="18" t="s">
        <v>373</v>
      </c>
    </row>
    <row r="18" spans="1:26" ht="17.25" customHeight="1" x14ac:dyDescent="0.25">
      <c r="A18" s="32" t="s">
        <v>18</v>
      </c>
      <c r="B18" s="5"/>
      <c r="C18" s="26" t="str">
        <f>Manufacturers!$B$66</f>
        <v>DEJIA Enterprises</v>
      </c>
      <c r="D18" s="13" t="s">
        <v>117</v>
      </c>
      <c r="E18" s="13" t="s">
        <v>119</v>
      </c>
      <c r="G18" s="13" t="s">
        <v>85</v>
      </c>
      <c r="H18" s="13" t="s">
        <v>21</v>
      </c>
      <c r="I18" s="13" t="s">
        <v>21</v>
      </c>
      <c r="J18" s="13" t="s">
        <v>81</v>
      </c>
      <c r="K18" s="32" t="s">
        <v>18</v>
      </c>
      <c r="P18" s="106"/>
      <c r="Q18" s="13" t="s">
        <v>80</v>
      </c>
      <c r="R18" s="13" t="s">
        <v>182</v>
      </c>
      <c r="S18" s="13" t="s">
        <v>182</v>
      </c>
      <c r="T18" s="13" t="s">
        <v>182</v>
      </c>
      <c r="U18" s="13" t="s">
        <v>203</v>
      </c>
      <c r="V18" s="14" t="s">
        <v>191</v>
      </c>
      <c r="X18" s="48"/>
      <c r="Y18" s="56" t="str">
        <f t="shared" si="0"/>
        <v/>
      </c>
    </row>
    <row r="19" spans="1:26" s="16" customFormat="1" ht="17.25" customHeight="1" x14ac:dyDescent="0.25">
      <c r="A19" s="33" t="s">
        <v>19</v>
      </c>
      <c r="B19" s="5"/>
      <c r="C19" s="29" t="str">
        <f>Manufacturers!$B$65</f>
        <v>Polytex</v>
      </c>
      <c r="D19" s="16" t="s">
        <v>120</v>
      </c>
      <c r="E19" s="16" t="s">
        <v>121</v>
      </c>
      <c r="F19" s="16">
        <v>60</v>
      </c>
      <c r="G19" s="16" t="s">
        <v>85</v>
      </c>
      <c r="H19" s="16" t="s">
        <v>21</v>
      </c>
      <c r="I19" s="16" t="s">
        <v>14</v>
      </c>
      <c r="J19" s="16" t="s">
        <v>76</v>
      </c>
      <c r="K19" s="33" t="s">
        <v>19</v>
      </c>
      <c r="L19" s="99"/>
      <c r="M19" s="99"/>
      <c r="O19" s="19">
        <v>0.3</v>
      </c>
      <c r="P19" s="105"/>
      <c r="Q19" s="16" t="s">
        <v>83</v>
      </c>
      <c r="R19" s="16" t="s">
        <v>182</v>
      </c>
      <c r="S19" s="16" t="s">
        <v>192</v>
      </c>
      <c r="T19" s="16" t="s">
        <v>190</v>
      </c>
      <c r="U19" s="16" t="s">
        <v>205</v>
      </c>
      <c r="V19" s="17" t="s">
        <v>191</v>
      </c>
      <c r="W19" s="17"/>
      <c r="X19" s="47"/>
      <c r="Y19" s="54">
        <f t="shared" si="0"/>
        <v>0</v>
      </c>
      <c r="Z19" s="18"/>
    </row>
    <row r="20" spans="1:26" ht="17.25" customHeight="1" x14ac:dyDescent="0.25">
      <c r="A20" s="32" t="s">
        <v>20</v>
      </c>
      <c r="B20" s="5"/>
      <c r="C20" s="26" t="str">
        <f>Manufacturers!$B$60</f>
        <v>Fleximas</v>
      </c>
      <c r="D20" s="13" t="s">
        <v>139</v>
      </c>
      <c r="E20" s="13" t="s">
        <v>140</v>
      </c>
      <c r="F20" s="38">
        <v>50</v>
      </c>
      <c r="G20" s="13" t="s">
        <v>59</v>
      </c>
      <c r="H20" s="13" t="s">
        <v>21</v>
      </c>
      <c r="I20" s="13" t="s">
        <v>141</v>
      </c>
      <c r="J20" s="13" t="s">
        <v>62</v>
      </c>
      <c r="K20" s="32" t="s">
        <v>20</v>
      </c>
      <c r="L20" s="97" t="s">
        <v>366</v>
      </c>
      <c r="M20" s="97" t="s">
        <v>367</v>
      </c>
      <c r="P20" s="106">
        <f>AVERAGE(4.7,3.5)/F20</f>
        <v>8.199999999999999E-2</v>
      </c>
      <c r="Q20" s="13" t="s">
        <v>83</v>
      </c>
      <c r="R20" s="13" t="s">
        <v>182</v>
      </c>
      <c r="S20" s="13" t="s">
        <v>182</v>
      </c>
      <c r="T20" s="13" t="s">
        <v>190</v>
      </c>
      <c r="U20" s="13" t="s">
        <v>201</v>
      </c>
      <c r="V20" s="14" t="s">
        <v>142</v>
      </c>
      <c r="X20" s="43"/>
      <c r="Y20" s="56">
        <f t="shared" si="0"/>
        <v>0</v>
      </c>
    </row>
    <row r="21" spans="1:26" s="16" customFormat="1" ht="17.25" customHeight="1" x14ac:dyDescent="0.25">
      <c r="A21" s="33" t="s">
        <v>21</v>
      </c>
      <c r="B21" s="5"/>
      <c r="C21" s="29" t="str">
        <f>Manufacturers!$B$60</f>
        <v>Fleximas</v>
      </c>
      <c r="D21" s="16" t="s">
        <v>82</v>
      </c>
      <c r="E21" s="16" t="s">
        <v>145</v>
      </c>
      <c r="F21" s="16">
        <v>140</v>
      </c>
      <c r="G21" s="16" t="s">
        <v>147</v>
      </c>
      <c r="H21" s="16" t="s">
        <v>21</v>
      </c>
      <c r="I21" s="16" t="s">
        <v>21</v>
      </c>
      <c r="J21" s="16" t="s">
        <v>122</v>
      </c>
      <c r="K21" s="33" t="s">
        <v>21</v>
      </c>
      <c r="L21" s="99"/>
      <c r="M21" s="99"/>
      <c r="P21" s="105"/>
      <c r="Q21" s="16" t="s">
        <v>83</v>
      </c>
      <c r="R21" s="16" t="s">
        <v>188</v>
      </c>
      <c r="S21" s="16" t="s">
        <v>189</v>
      </c>
      <c r="T21" s="16" t="s">
        <v>190</v>
      </c>
      <c r="U21" s="16" t="s">
        <v>183</v>
      </c>
      <c r="V21" s="17" t="s">
        <v>191</v>
      </c>
      <c r="W21" s="17"/>
      <c r="X21" s="44"/>
      <c r="Y21" s="54">
        <f t="shared" si="0"/>
        <v>0</v>
      </c>
      <c r="Z21" s="18" t="s">
        <v>146</v>
      </c>
    </row>
    <row r="22" spans="1:26" ht="17.25" customHeight="1" x14ac:dyDescent="0.25">
      <c r="A22" s="32" t="s">
        <v>22</v>
      </c>
      <c r="B22" s="5"/>
      <c r="C22" s="26" t="str">
        <f>Manufacturers!$B$60</f>
        <v>Fleximas</v>
      </c>
      <c r="D22" s="13" t="s">
        <v>117</v>
      </c>
      <c r="E22" s="13" t="s">
        <v>152</v>
      </c>
      <c r="G22" s="13" t="s">
        <v>85</v>
      </c>
      <c r="H22" s="13" t="s">
        <v>21</v>
      </c>
      <c r="I22" s="13" t="s">
        <v>14</v>
      </c>
      <c r="J22" s="13" t="s">
        <v>76</v>
      </c>
      <c r="K22" s="32" t="s">
        <v>22</v>
      </c>
      <c r="P22" s="106"/>
      <c r="Q22" s="13" t="s">
        <v>155</v>
      </c>
      <c r="R22" s="13" t="s">
        <v>182</v>
      </c>
      <c r="S22" s="13" t="s">
        <v>182</v>
      </c>
      <c r="T22" s="13" t="s">
        <v>182</v>
      </c>
      <c r="U22" s="13" t="s">
        <v>206</v>
      </c>
      <c r="V22" s="14" t="s">
        <v>154</v>
      </c>
      <c r="X22" s="43"/>
      <c r="Y22" s="56" t="str">
        <f t="shared" si="0"/>
        <v/>
      </c>
      <c r="Z22" s="15" t="s">
        <v>153</v>
      </c>
    </row>
    <row r="23" spans="1:26" s="16" customFormat="1" ht="17.25" customHeight="1" x14ac:dyDescent="0.25">
      <c r="A23" s="33" t="s">
        <v>23</v>
      </c>
      <c r="B23" s="5"/>
      <c r="C23" s="29" t="str">
        <f>Manufacturers!$B$60</f>
        <v>Fleximas</v>
      </c>
      <c r="D23" s="16" t="s">
        <v>139</v>
      </c>
      <c r="E23" s="16" t="s">
        <v>157</v>
      </c>
      <c r="F23" s="109">
        <v>50</v>
      </c>
      <c r="G23" s="16" t="s">
        <v>59</v>
      </c>
      <c r="H23" s="16" t="s">
        <v>21</v>
      </c>
      <c r="I23" s="16" t="s">
        <v>141</v>
      </c>
      <c r="J23" s="16" t="s">
        <v>62</v>
      </c>
      <c r="K23" s="33" t="s">
        <v>23</v>
      </c>
      <c r="L23" s="99"/>
      <c r="M23" s="99"/>
      <c r="P23" s="105"/>
      <c r="Q23" s="16" t="s">
        <v>83</v>
      </c>
      <c r="R23" s="16" t="s">
        <v>182</v>
      </c>
      <c r="S23" s="16" t="s">
        <v>189</v>
      </c>
      <c r="T23" s="16" t="s">
        <v>190</v>
      </c>
      <c r="U23" s="16" t="s">
        <v>201</v>
      </c>
      <c r="V23" s="17" t="s">
        <v>214</v>
      </c>
      <c r="W23" s="17"/>
      <c r="X23" s="44"/>
      <c r="Y23" s="54">
        <f t="shared" si="0"/>
        <v>0</v>
      </c>
      <c r="Z23" s="18"/>
    </row>
    <row r="24" spans="1:26" ht="17.25" customHeight="1" x14ac:dyDescent="0.25">
      <c r="A24" s="32" t="s">
        <v>24</v>
      </c>
      <c r="C24" s="26" t="str">
        <f>Manufacturers!$B$60</f>
        <v>Fleximas</v>
      </c>
      <c r="D24" s="13" t="s">
        <v>174</v>
      </c>
      <c r="E24" s="13" t="s">
        <v>175</v>
      </c>
      <c r="F24" s="13">
        <v>42</v>
      </c>
      <c r="G24" s="13" t="s">
        <v>59</v>
      </c>
      <c r="H24" s="13" t="s">
        <v>21</v>
      </c>
      <c r="I24" s="13" t="s">
        <v>14</v>
      </c>
      <c r="J24" s="13" t="s">
        <v>62</v>
      </c>
      <c r="K24" s="32" t="s">
        <v>24</v>
      </c>
      <c r="L24" s="97">
        <v>2.09</v>
      </c>
      <c r="M24" s="97">
        <v>2.3199999999999998</v>
      </c>
      <c r="N24" s="13">
        <v>80</v>
      </c>
      <c r="O24" s="13">
        <v>30</v>
      </c>
      <c r="P24" s="106">
        <f>AVERAGE(L24,M24)/F24</f>
        <v>5.2500000000000005E-2</v>
      </c>
      <c r="Q24" s="49" t="s">
        <v>83</v>
      </c>
      <c r="V24" s="14" t="s">
        <v>219</v>
      </c>
      <c r="W24" s="14">
        <v>2</v>
      </c>
      <c r="X24" s="43"/>
      <c r="Y24" s="56">
        <f t="shared" si="0"/>
        <v>0</v>
      </c>
    </row>
    <row r="25" spans="1:26" s="16" customFormat="1" ht="17.25" customHeight="1" x14ac:dyDescent="0.25">
      <c r="A25" s="33" t="s">
        <v>25</v>
      </c>
      <c r="C25" s="16" t="str">
        <f>Manufacturers!$B$60</f>
        <v>Fleximas</v>
      </c>
      <c r="D25" s="16" t="s">
        <v>139</v>
      </c>
      <c r="E25" s="16" t="s">
        <v>184</v>
      </c>
      <c r="G25" s="16" t="s">
        <v>59</v>
      </c>
      <c r="H25" s="16" t="s">
        <v>6</v>
      </c>
      <c r="I25" s="16" t="s">
        <v>14</v>
      </c>
      <c r="J25" s="16" t="s">
        <v>62</v>
      </c>
      <c r="K25" s="33" t="s">
        <v>25</v>
      </c>
      <c r="L25" s="99"/>
      <c r="M25" s="99"/>
      <c r="P25" s="105"/>
      <c r="Q25" s="16" t="s">
        <v>185</v>
      </c>
      <c r="R25" s="16" t="s">
        <v>188</v>
      </c>
      <c r="S25" s="16" t="s">
        <v>189</v>
      </c>
      <c r="T25" s="16" t="s">
        <v>190</v>
      </c>
      <c r="U25" s="16" t="s">
        <v>201</v>
      </c>
      <c r="V25" s="16" t="s">
        <v>191</v>
      </c>
      <c r="W25" s="17"/>
      <c r="X25" s="44"/>
      <c r="Y25" s="54" t="str">
        <f t="shared" si="0"/>
        <v/>
      </c>
      <c r="Z25" s="18"/>
    </row>
    <row r="26" spans="1:26" ht="17.25" customHeight="1" x14ac:dyDescent="0.25">
      <c r="A26" s="32" t="s">
        <v>26</v>
      </c>
      <c r="B26" s="40">
        <v>4</v>
      </c>
      <c r="C26" s="26" t="str">
        <f>Manufacturers!$B$60</f>
        <v>Fleximas</v>
      </c>
      <c r="D26" s="13" t="s">
        <v>82</v>
      </c>
      <c r="E26" s="13" t="s">
        <v>186</v>
      </c>
      <c r="F26" s="38">
        <v>40</v>
      </c>
      <c r="G26" s="13" t="s">
        <v>187</v>
      </c>
      <c r="H26" s="13" t="s">
        <v>21</v>
      </c>
      <c r="I26" s="13" t="s">
        <v>14</v>
      </c>
      <c r="J26" s="13" t="s">
        <v>138</v>
      </c>
      <c r="K26" s="32" t="s">
        <v>26</v>
      </c>
      <c r="L26" s="97" t="s">
        <v>368</v>
      </c>
      <c r="M26" s="97" t="s">
        <v>369</v>
      </c>
      <c r="P26" s="106">
        <f>AVERAGE(7.3,3.9)/F26</f>
        <v>0.13999999999999999</v>
      </c>
      <c r="Q26" s="13" t="s">
        <v>83</v>
      </c>
      <c r="R26" s="13" t="s">
        <v>190</v>
      </c>
      <c r="S26" s="13" t="s">
        <v>190</v>
      </c>
      <c r="T26" s="13" t="s">
        <v>190</v>
      </c>
      <c r="U26" s="13" t="s">
        <v>201</v>
      </c>
      <c r="V26" s="14" t="s">
        <v>191</v>
      </c>
      <c r="X26" s="43"/>
      <c r="Y26" s="56">
        <f t="shared" si="0"/>
        <v>0</v>
      </c>
      <c r="Z26" s="15" t="s">
        <v>372</v>
      </c>
    </row>
    <row r="27" spans="1:26" s="16" customFormat="1" ht="17.25" customHeight="1" x14ac:dyDescent="0.25">
      <c r="A27" s="33" t="s">
        <v>27</v>
      </c>
      <c r="B27" s="40"/>
      <c r="C27" s="29" t="str">
        <f>Manufacturers!$B$60</f>
        <v>Fleximas</v>
      </c>
      <c r="D27" s="16" t="s">
        <v>174</v>
      </c>
      <c r="E27" s="16" t="s">
        <v>181</v>
      </c>
      <c r="F27" s="16">
        <v>67</v>
      </c>
      <c r="G27" s="16" t="s">
        <v>59</v>
      </c>
      <c r="H27" s="16" t="s">
        <v>21</v>
      </c>
      <c r="I27" s="16" t="s">
        <v>14</v>
      </c>
      <c r="J27" s="16" t="s">
        <v>62</v>
      </c>
      <c r="K27" s="33" t="s">
        <v>27</v>
      </c>
      <c r="L27" s="99">
        <v>2.23</v>
      </c>
      <c r="M27" s="99">
        <v>2.38</v>
      </c>
      <c r="N27" s="16">
        <v>70</v>
      </c>
      <c r="O27" s="16">
        <v>80</v>
      </c>
      <c r="P27" s="105">
        <f>AVERAGE(L27,M27)/F27</f>
        <v>3.4402985074626864E-2</v>
      </c>
      <c r="Q27" s="38" t="s">
        <v>209</v>
      </c>
      <c r="V27" s="17" t="s">
        <v>180</v>
      </c>
      <c r="W27" s="17">
        <v>5</v>
      </c>
      <c r="X27" s="47">
        <v>0.36</v>
      </c>
      <c r="Y27" s="54">
        <f t="shared" si="0"/>
        <v>5.3731343283582085</v>
      </c>
      <c r="Z27" s="18" t="s">
        <v>225</v>
      </c>
    </row>
    <row r="28" spans="1:26" ht="17.25" customHeight="1" x14ac:dyDescent="0.25">
      <c r="A28" s="32" t="str">
        <f>A1</f>
        <v>Rienforcement</v>
      </c>
      <c r="C28" s="26" t="str">
        <f t="shared" ref="C28:Z28" si="1">C1</f>
        <v>Manufacturer</v>
      </c>
      <c r="D28" s="13" t="str">
        <f t="shared" si="1"/>
        <v>Material - double check on most promising, ask if anything special</v>
      </c>
      <c r="E28" s="13" t="str">
        <f t="shared" si="1"/>
        <v>Grid Size</v>
      </c>
      <c r="F28" s="13" t="str">
        <f t="shared" si="1"/>
        <v>Weight - may need doule checking</v>
      </c>
      <c r="G28" s="13" t="str">
        <f t="shared" si="1"/>
        <v>Woven/Bonded</v>
      </c>
      <c r="H28" s="13" t="str">
        <f t="shared" si="1"/>
        <v>Orientation</v>
      </c>
      <c r="I28" s="13" t="str">
        <f t="shared" si="1"/>
        <v>Lenght direction</v>
      </c>
      <c r="J28" s="13" t="str">
        <f t="shared" si="1"/>
        <v>Colour (for ref)</v>
      </c>
      <c r="K28" s="32"/>
      <c r="L28" s="102" t="str">
        <f t="shared" si="1"/>
        <v>Tensile strength (MD)    (BRACKETS: Measured using 100mm wide samples protruding 50mm in jaws and a speed of 100mm/min - not an official test, rather order of magnitude)</v>
      </c>
      <c r="M28" s="102" t="str">
        <f t="shared" si="1"/>
        <v>Tensile strength (TD)      (BRACKETS: Measured using 100mm wide samples protruding 50mm in jaws and a speed of 100mm/min - not an official test, rather order of magnitude)</v>
      </c>
      <c r="O28" s="13" t="str">
        <f>N1</f>
        <v>Elongation (MD)</v>
      </c>
      <c r="Q28" s="13" t="str">
        <f t="shared" si="1"/>
        <v>Sample Size</v>
      </c>
      <c r="R28" s="13" t="str">
        <f t="shared" si="1"/>
        <v>150oC?</v>
      </c>
      <c r="S28" s="13" t="str">
        <f t="shared" si="1"/>
        <v>175oC?</v>
      </c>
      <c r="T28" s="13" t="str">
        <f t="shared" si="1"/>
        <v>200oC?</v>
      </c>
      <c r="V28" s="13" t="str">
        <f t="shared" si="1"/>
        <v>Manufacturer Code</v>
      </c>
      <c r="W28" s="14" t="str">
        <f t="shared" si="1"/>
        <v>Master roll width</v>
      </c>
      <c r="X28" s="41" t="str">
        <f t="shared" si="1"/>
        <v>COST</v>
      </c>
      <c r="Y28" s="56"/>
      <c r="Z28" s="13" t="str">
        <f t="shared" si="1"/>
        <v>Notes</v>
      </c>
    </row>
    <row r="29" spans="1:26" s="23" customFormat="1" ht="17.25" customHeight="1" thickBot="1" x14ac:dyDescent="0.3">
      <c r="A29" s="30"/>
      <c r="B29" s="40"/>
      <c r="C29" s="27"/>
      <c r="E29" s="23" t="str">
        <f>E2</f>
        <v>mm</v>
      </c>
      <c r="F29" s="23" t="str">
        <f>F2</f>
        <v>g/m2</v>
      </c>
      <c r="H29" s="23" t="str">
        <f>H2</f>
        <v>(S)quare/(R)otated square/(D)iamond/</v>
      </c>
      <c r="I29" s="23" t="str">
        <f>I2</f>
        <v>(L)ong or (S)hort</v>
      </c>
      <c r="K29" s="30"/>
      <c r="L29" s="101" t="str">
        <f>L2</f>
        <v>kN/m</v>
      </c>
      <c r="M29" s="101" t="str">
        <f>M2</f>
        <v>kN/m</v>
      </c>
      <c r="P29" s="107"/>
      <c r="W29" s="24" t="str">
        <f>W2</f>
        <v>m</v>
      </c>
      <c r="X29" s="42" t="str">
        <f>X2</f>
        <v>£/m2 @ 10,000m2/year</v>
      </c>
      <c r="Y29" s="110"/>
      <c r="Z29" s="23">
        <f>Z2</f>
        <v>0</v>
      </c>
    </row>
    <row r="30" spans="1:26" s="35" customFormat="1" ht="17.25" customHeight="1" thickTop="1" x14ac:dyDescent="0.25">
      <c r="A30" s="34" t="s">
        <v>28</v>
      </c>
      <c r="B30" s="40"/>
      <c r="C30" s="26" t="str">
        <f>Manufacturers!$B$61</f>
        <v>Conwed</v>
      </c>
      <c r="D30" s="35" t="s">
        <v>82</v>
      </c>
      <c r="E30" s="35" t="s">
        <v>194</v>
      </c>
      <c r="F30" s="35">
        <v>10.5</v>
      </c>
      <c r="G30" s="35" t="s">
        <v>59</v>
      </c>
      <c r="H30" s="35" t="s">
        <v>21</v>
      </c>
      <c r="I30" s="35" t="s">
        <v>195</v>
      </c>
      <c r="J30" s="35" t="s">
        <v>75</v>
      </c>
      <c r="K30" s="34" t="s">
        <v>28</v>
      </c>
      <c r="L30" s="100">
        <v>1.1000000000000001</v>
      </c>
      <c r="M30" s="100">
        <v>1.1000000000000001</v>
      </c>
      <c r="P30" s="106">
        <f>AVERAGE(L30,M30)/F30</f>
        <v>0.10476190476190476</v>
      </c>
      <c r="Q30" s="35" t="s">
        <v>83</v>
      </c>
      <c r="R30" s="35" t="s">
        <v>182</v>
      </c>
      <c r="S30" s="35" t="s">
        <v>207</v>
      </c>
      <c r="T30" s="35" t="s">
        <v>183</v>
      </c>
      <c r="V30" s="36" t="s">
        <v>196</v>
      </c>
      <c r="W30" s="36" t="s">
        <v>212</v>
      </c>
      <c r="X30" s="46">
        <v>0.05</v>
      </c>
      <c r="Y30" s="56">
        <f t="shared" ref="Y30:Y42" si="2">IF(F30&gt;0,X30/(F30/1000),"")</f>
        <v>4.7619047619047619</v>
      </c>
      <c r="Z30" s="37" t="s">
        <v>216</v>
      </c>
    </row>
    <row r="31" spans="1:26" s="16" customFormat="1" ht="17.25" customHeight="1" x14ac:dyDescent="0.25">
      <c r="A31" s="33" t="s">
        <v>158</v>
      </c>
      <c r="B31" s="40"/>
      <c r="C31" s="29" t="str">
        <f>Manufacturers!$B$61</f>
        <v>Conwed</v>
      </c>
      <c r="D31" s="16" t="s">
        <v>82</v>
      </c>
      <c r="E31" s="16" t="s">
        <v>197</v>
      </c>
      <c r="F31" s="16">
        <v>33</v>
      </c>
      <c r="G31" s="16" t="s">
        <v>59</v>
      </c>
      <c r="H31" s="16" t="s">
        <v>21</v>
      </c>
      <c r="I31" s="16" t="s">
        <v>14</v>
      </c>
      <c r="J31" s="16" t="s">
        <v>75</v>
      </c>
      <c r="K31" s="33" t="s">
        <v>158</v>
      </c>
      <c r="L31" s="99">
        <v>3</v>
      </c>
      <c r="M31" s="99">
        <v>2.9</v>
      </c>
      <c r="P31" s="105">
        <f>AVERAGE(L31,M31)/F31</f>
        <v>8.9393939393939401E-2</v>
      </c>
      <c r="Q31" s="16" t="s">
        <v>83</v>
      </c>
      <c r="R31" s="16" t="s">
        <v>182</v>
      </c>
      <c r="S31" s="16" t="s">
        <v>182</v>
      </c>
      <c r="T31" s="16" t="s">
        <v>183</v>
      </c>
      <c r="V31" s="17" t="s">
        <v>198</v>
      </c>
      <c r="W31" s="17" t="s">
        <v>211</v>
      </c>
      <c r="X31" s="47">
        <v>0.13</v>
      </c>
      <c r="Y31" s="54">
        <f t="shared" si="2"/>
        <v>3.9393939393939394</v>
      </c>
      <c r="Z31" s="18" t="s">
        <v>217</v>
      </c>
    </row>
    <row r="32" spans="1:26" ht="17.25" customHeight="1" x14ac:dyDescent="0.25">
      <c r="A32" s="32" t="s">
        <v>159</v>
      </c>
      <c r="K32" s="32"/>
      <c r="Y32" s="56" t="str">
        <f t="shared" si="2"/>
        <v/>
      </c>
    </row>
    <row r="33" spans="1:26" s="16" customFormat="1" ht="17.25" customHeight="1" x14ac:dyDescent="0.25">
      <c r="A33" s="33" t="s">
        <v>160</v>
      </c>
      <c r="B33" s="40"/>
      <c r="C33" s="29"/>
      <c r="K33" s="33" t="s">
        <v>160</v>
      </c>
      <c r="L33" s="99"/>
      <c r="M33" s="99"/>
      <c r="P33" s="108"/>
      <c r="V33" s="17"/>
      <c r="W33" s="17"/>
      <c r="X33" s="45"/>
      <c r="Y33" s="54" t="str">
        <f t="shared" si="2"/>
        <v/>
      </c>
      <c r="Z33" s="18"/>
    </row>
    <row r="34" spans="1:26" ht="17.25" customHeight="1" x14ac:dyDescent="0.25">
      <c r="A34" s="32" t="s">
        <v>161</v>
      </c>
      <c r="K34" s="32" t="s">
        <v>161</v>
      </c>
      <c r="Y34" s="56" t="str">
        <f t="shared" si="2"/>
        <v/>
      </c>
    </row>
    <row r="35" spans="1:26" s="16" customFormat="1" x14ac:dyDescent="0.25">
      <c r="A35" s="33" t="s">
        <v>162</v>
      </c>
      <c r="B35" s="40"/>
      <c r="C35" s="29"/>
      <c r="K35" s="33" t="s">
        <v>162</v>
      </c>
      <c r="L35" s="99"/>
      <c r="M35" s="99"/>
      <c r="P35" s="108"/>
      <c r="V35" s="17"/>
      <c r="W35" s="17"/>
      <c r="X35" s="45"/>
      <c r="Y35" s="54" t="str">
        <f t="shared" si="2"/>
        <v/>
      </c>
      <c r="Z35" s="18"/>
    </row>
    <row r="36" spans="1:26" x14ac:dyDescent="0.25">
      <c r="A36" s="32" t="s">
        <v>163</v>
      </c>
      <c r="K36" s="32" t="s">
        <v>163</v>
      </c>
      <c r="Y36" s="56" t="str">
        <f t="shared" si="2"/>
        <v/>
      </c>
    </row>
    <row r="37" spans="1:26" s="16" customFormat="1" x14ac:dyDescent="0.25">
      <c r="A37" s="33" t="s">
        <v>164</v>
      </c>
      <c r="B37" s="40"/>
      <c r="C37" s="29"/>
      <c r="K37" s="33" t="s">
        <v>164</v>
      </c>
      <c r="L37" s="99"/>
      <c r="M37" s="99"/>
      <c r="P37" s="108"/>
      <c r="V37" s="17"/>
      <c r="W37" s="17"/>
      <c r="X37" s="45"/>
      <c r="Y37" s="54" t="str">
        <f t="shared" si="2"/>
        <v/>
      </c>
      <c r="Z37" s="18"/>
    </row>
    <row r="38" spans="1:26" x14ac:dyDescent="0.25">
      <c r="A38" s="32" t="s">
        <v>165</v>
      </c>
      <c r="K38" s="32" t="s">
        <v>165</v>
      </c>
      <c r="Y38" s="56" t="str">
        <f t="shared" si="2"/>
        <v/>
      </c>
    </row>
    <row r="39" spans="1:26" s="16" customFormat="1" x14ac:dyDescent="0.25">
      <c r="A39" s="33" t="s">
        <v>166</v>
      </c>
      <c r="B39" s="40"/>
      <c r="C39" s="29"/>
      <c r="K39" s="33" t="s">
        <v>166</v>
      </c>
      <c r="L39" s="99"/>
      <c r="M39" s="99"/>
      <c r="P39" s="108"/>
      <c r="V39" s="17"/>
      <c r="W39" s="17"/>
      <c r="X39" s="45"/>
      <c r="Y39" s="54" t="str">
        <f t="shared" si="2"/>
        <v/>
      </c>
      <c r="Z39" s="18"/>
    </row>
    <row r="40" spans="1:26" x14ac:dyDescent="0.25">
      <c r="A40" s="32" t="s">
        <v>167</v>
      </c>
      <c r="K40" s="32" t="s">
        <v>167</v>
      </c>
      <c r="Y40" s="56" t="str">
        <f t="shared" si="2"/>
        <v/>
      </c>
    </row>
    <row r="41" spans="1:26" s="16" customFormat="1" x14ac:dyDescent="0.25">
      <c r="A41" s="33" t="s">
        <v>168</v>
      </c>
      <c r="B41" s="40"/>
      <c r="C41" s="29"/>
      <c r="K41" s="33" t="s">
        <v>168</v>
      </c>
      <c r="L41" s="99"/>
      <c r="M41" s="99"/>
      <c r="P41" s="108"/>
      <c r="V41" s="17"/>
      <c r="W41" s="17"/>
      <c r="X41" s="45"/>
      <c r="Y41" s="54" t="str">
        <f t="shared" si="2"/>
        <v/>
      </c>
      <c r="Z41" s="18"/>
    </row>
    <row r="42" spans="1:26" x14ac:dyDescent="0.25">
      <c r="A42" s="32" t="s">
        <v>169</v>
      </c>
      <c r="K42" s="32" t="s">
        <v>169</v>
      </c>
      <c r="Y42" s="56" t="str">
        <f t="shared" si="2"/>
        <v/>
      </c>
    </row>
    <row r="43" spans="1:26" s="16" customFormat="1" x14ac:dyDescent="0.25">
      <c r="A43" s="33" t="s">
        <v>170</v>
      </c>
      <c r="B43" s="40"/>
      <c r="C43" s="29"/>
      <c r="K43" s="33" t="s">
        <v>170</v>
      </c>
      <c r="L43" s="99"/>
      <c r="M43" s="99"/>
      <c r="P43" s="108"/>
      <c r="V43" s="17"/>
      <c r="W43" s="17"/>
      <c r="X43" s="45"/>
      <c r="Y43" s="55"/>
      <c r="Z43" s="18"/>
    </row>
    <row r="44" spans="1:26" x14ac:dyDescent="0.25">
      <c r="A44" s="32" t="s">
        <v>171</v>
      </c>
      <c r="K44" s="32" t="s">
        <v>171</v>
      </c>
    </row>
    <row r="45" spans="1:26" s="16" customFormat="1" x14ac:dyDescent="0.25">
      <c r="A45" s="33" t="s">
        <v>172</v>
      </c>
      <c r="B45" s="5">
        <v>1</v>
      </c>
      <c r="C45" s="29"/>
      <c r="K45" s="33" t="s">
        <v>172</v>
      </c>
      <c r="L45" s="99"/>
      <c r="M45" s="99"/>
      <c r="P45" s="108"/>
      <c r="V45" s="17"/>
      <c r="W45" s="17"/>
      <c r="X45" s="45"/>
      <c r="Y45" s="55"/>
      <c r="Z45" s="18"/>
    </row>
    <row r="46" spans="1:26" x14ac:dyDescent="0.25">
      <c r="A46" s="32" t="s">
        <v>173</v>
      </c>
      <c r="B46" s="5">
        <v>5</v>
      </c>
      <c r="K46" s="32" t="s">
        <v>173</v>
      </c>
    </row>
  </sheetData>
  <mergeCells count="1">
    <mergeCell ref="A1:B1"/>
  </mergeCells>
  <conditionalFormatting sqref="B3:B23 B26:B46">
    <cfRule type="colorScale" priority="13">
      <colorScale>
        <cfvo type="min"/>
        <cfvo type="percentile" val="50"/>
        <cfvo type="max"/>
        <color rgb="FFF8696B"/>
        <color rgb="FFFFEB84"/>
        <color rgb="FF63BE7B"/>
      </colorScale>
    </cfRule>
  </conditionalFormatting>
  <conditionalFormatting sqref="B3:B23 B26:B46">
    <cfRule type="colorScale" priority="12">
      <colorScale>
        <cfvo type="min"/>
        <cfvo type="max"/>
        <color rgb="FFFFEF9C"/>
        <color rgb="FF63BE7B"/>
      </colorScale>
    </cfRule>
  </conditionalFormatting>
  <conditionalFormatting sqref="B26:B1048576 B2:B23">
    <cfRule type="colorScale" priority="5">
      <colorScale>
        <cfvo type="min"/>
        <cfvo type="max"/>
        <color rgb="FFFFEF9C"/>
        <color rgb="FFFF7128"/>
      </colorScale>
    </cfRule>
    <cfRule type="colorScale" priority="6">
      <colorScale>
        <cfvo type="min"/>
        <cfvo type="max"/>
        <color theme="5" tint="0.79998168889431442"/>
        <color theme="8" tint="-0.249977111117893"/>
      </colorScale>
    </cfRule>
    <cfRule type="colorScale" priority="7">
      <colorScale>
        <cfvo type="min"/>
        <cfvo type="max"/>
        <color theme="4" tint="0.79998168889431442"/>
        <color theme="7" tint="-0.249977111117893"/>
      </colorScale>
    </cfRule>
    <cfRule type="colorScale" priority="8">
      <colorScale>
        <cfvo type="min"/>
        <cfvo type="max"/>
        <color theme="8" tint="0.79998168889431442"/>
        <color theme="3"/>
      </colorScale>
    </cfRule>
    <cfRule type="colorScale" priority="9">
      <colorScale>
        <cfvo type="min"/>
        <cfvo type="max"/>
        <color theme="4"/>
        <color theme="8" tint="0.79998168889431442"/>
      </colorScale>
    </cfRule>
  </conditionalFormatting>
  <conditionalFormatting sqref="B3:B23 B45:B46">
    <cfRule type="colorScale" priority="20">
      <colorScale>
        <cfvo type="min"/>
        <cfvo type="percentile" val="50"/>
        <cfvo type="max"/>
        <color rgb="FFF8696B"/>
        <color rgb="FFFFEB84"/>
        <color rgb="FF63BE7B"/>
      </colorScale>
    </cfRule>
  </conditionalFormatting>
  <conditionalFormatting sqref="B3:B23 B45:B46">
    <cfRule type="colorScale" priority="22">
      <colorScale>
        <cfvo type="min"/>
        <cfvo type="max"/>
        <color rgb="FFFFEF9C"/>
        <color rgb="FF63BE7B"/>
      </colorScale>
    </cfRule>
  </conditionalFormatting>
  <conditionalFormatting sqref="P1:P1048576">
    <cfRule type="dataBar" priority="1">
      <dataBar>
        <cfvo type="min"/>
        <cfvo type="max"/>
        <color rgb="FF638EC6"/>
      </dataBar>
    </cfRule>
    <cfRule type="dataBar" priority="2">
      <dataBar>
        <cfvo type="min"/>
        <cfvo type="max"/>
        <color rgb="FF638EC6"/>
      </dataBar>
    </cfRule>
  </conditionalFormatting>
  <pageMargins left="0.70866141732283472" right="0.70866141732283472" top="0.74803149606299213" bottom="0.74803149606299213" header="0.31496062992125984" footer="0.31496062992125984"/>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4FC1-8B10-454C-A068-5482490D12BA}">
  <dimension ref="B2:F17"/>
  <sheetViews>
    <sheetView workbookViewId="0">
      <selection activeCell="P36" sqref="P36"/>
    </sheetView>
  </sheetViews>
  <sheetFormatPr defaultRowHeight="15" x14ac:dyDescent="0.25"/>
  <sheetData>
    <row r="2" spans="2:6" x14ac:dyDescent="0.25">
      <c r="B2">
        <v>1.1499999999999999</v>
      </c>
      <c r="D2">
        <v>1.52</v>
      </c>
      <c r="F2">
        <v>1.18</v>
      </c>
    </row>
    <row r="3" spans="2:6" x14ac:dyDescent="0.25">
      <c r="B3">
        <v>1.1100000000000001</v>
      </c>
      <c r="D3">
        <v>1.53</v>
      </c>
      <c r="F3">
        <v>1.1200000000000001</v>
      </c>
    </row>
    <row r="4" spans="2:6" x14ac:dyDescent="0.25">
      <c r="B4">
        <v>1.08</v>
      </c>
      <c r="D4">
        <v>1.51</v>
      </c>
      <c r="F4">
        <v>1.07</v>
      </c>
    </row>
    <row r="5" spans="2:6" x14ac:dyDescent="0.25">
      <c r="B5">
        <v>1.1399999999999999</v>
      </c>
      <c r="D5">
        <v>1.57</v>
      </c>
      <c r="F5">
        <v>1.1499999999999999</v>
      </c>
    </row>
    <row r="6" spans="2:6" x14ac:dyDescent="0.25">
      <c r="B6">
        <v>1.17</v>
      </c>
      <c r="D6">
        <v>1.42</v>
      </c>
      <c r="F6">
        <v>1.17</v>
      </c>
    </row>
    <row r="7" spans="2:6" x14ac:dyDescent="0.25">
      <c r="B7">
        <v>1.1599999999999999</v>
      </c>
      <c r="D7">
        <v>1.52</v>
      </c>
      <c r="F7">
        <v>1.18</v>
      </c>
    </row>
    <row r="8" spans="2:6" x14ac:dyDescent="0.25">
      <c r="B8">
        <v>1.1599999999999999</v>
      </c>
      <c r="D8">
        <v>1.41</v>
      </c>
      <c r="F8">
        <v>1.05</v>
      </c>
    </row>
    <row r="9" spans="2:6" x14ac:dyDescent="0.25">
      <c r="B9">
        <v>1.17</v>
      </c>
      <c r="D9">
        <v>1.45</v>
      </c>
      <c r="F9">
        <v>1.1499999999999999</v>
      </c>
    </row>
    <row r="10" spans="2:6" x14ac:dyDescent="0.25">
      <c r="B10">
        <v>1.26</v>
      </c>
      <c r="D10">
        <v>1.54</v>
      </c>
      <c r="F10">
        <v>1.1399999999999999</v>
      </c>
    </row>
    <row r="11" spans="2:6" x14ac:dyDescent="0.25">
      <c r="B11">
        <v>1.17</v>
      </c>
      <c r="D11">
        <v>1.48</v>
      </c>
      <c r="F11">
        <v>1.1200000000000001</v>
      </c>
    </row>
    <row r="12" spans="2:6" x14ac:dyDescent="0.25">
      <c r="B12">
        <f>AVERAGE(B2:B11)</f>
        <v>1.157</v>
      </c>
      <c r="D12">
        <f>AVERAGE(D2:D11)</f>
        <v>1.4949999999999999</v>
      </c>
      <c r="F12">
        <f>AVERAGE(F2:F11)</f>
        <v>1.1329999999999998</v>
      </c>
    </row>
    <row r="15" spans="2:6" x14ac:dyDescent="0.25">
      <c r="B15">
        <v>1.157</v>
      </c>
    </row>
    <row r="16" spans="2:6" x14ac:dyDescent="0.25">
      <c r="B16">
        <v>1.4949999999999999</v>
      </c>
    </row>
    <row r="17" spans="2:2" x14ac:dyDescent="0.25">
      <c r="B17">
        <v>1.1329999999999998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Materials</vt:lpstr>
      <vt:lpstr>Yarns</vt:lpstr>
      <vt:lpstr>Hook and Loops</vt:lpstr>
      <vt:lpstr>Joints</vt:lpstr>
      <vt:lpstr>Joint testing sheet</vt:lpstr>
      <vt:lpstr>Joints Trends</vt:lpstr>
      <vt:lpstr>Manufacturers</vt:lpstr>
      <vt:lpstr>Mesh Rienforcement (Legacy)</vt:lpstr>
      <vt:lpstr>notes1</vt:lpstr>
      <vt:lpstr>notes2</vt:lpstr>
      <vt:lpstr>'Hook and Loops'!Print_Area</vt:lpstr>
      <vt:lpstr>Materials!Print_Area</vt:lpstr>
      <vt:lpstr>'Mesh Rienforcement (Legacy)'!Print_Area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Jayne</dc:creator>
  <cp:lastModifiedBy>Charles Plumridge</cp:lastModifiedBy>
  <cp:lastPrinted>2019-11-29T12:15:06Z</cp:lastPrinted>
  <dcterms:created xsi:type="dcterms:W3CDTF">2015-12-01T08:58:14Z</dcterms:created>
  <dcterms:modified xsi:type="dcterms:W3CDTF">2020-01-20T15:12:05Z</dcterms:modified>
</cp:coreProperties>
</file>