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4.xml" ContentType="application/vnd.openxmlformats-officedocument.spreadsheetml.comment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Midterm/"/>
    </mc:Choice>
  </mc:AlternateContent>
  <bookViews>
    <workbookView xWindow="4020" yWindow="460" windowWidth="18580" windowHeight="18820" tabRatio="500" firstSheet="6" activeTab="12"/>
  </bookViews>
  <sheets>
    <sheet name="Group Decision Making Methods" sheetId="1" r:id="rId1"/>
    <sheet name="SPAN" sheetId="3" r:id="rId2"/>
    <sheet name="SPAN Summary" sheetId="4" r:id="rId3"/>
    <sheet name="Borda" sheetId="5" r:id="rId4"/>
    <sheet name="Forecasting" sheetId="6" r:id="rId5"/>
    <sheet name="Satisficing Methods" sheetId="7" r:id="rId6"/>
    <sheet name="Cutting Scores" sheetId="9" r:id="rId7"/>
    <sheet name="Approximation Method" sheetId="10" r:id="rId8"/>
    <sheet name="AHP Eigen Value" sheetId="8" r:id="rId9"/>
    <sheet name="Geometric Mean" sheetId="11" r:id="rId10"/>
    <sheet name="MAUT" sheetId="12" r:id="rId11"/>
    <sheet name="Sensitivity Analysis" sheetId="13" r:id="rId12"/>
    <sheet name="TOPSIS and SAW" sheetId="14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5" i="14" l="1"/>
  <c r="E55" i="14"/>
  <c r="F55" i="14"/>
  <c r="G55" i="14"/>
  <c r="D65" i="14"/>
  <c r="E65" i="14"/>
  <c r="F65" i="14"/>
  <c r="G65" i="14"/>
  <c r="D66" i="14"/>
  <c r="E66" i="14"/>
  <c r="F66" i="14"/>
  <c r="G66" i="14"/>
  <c r="D69" i="14"/>
  <c r="E69" i="14"/>
  <c r="F69" i="14"/>
  <c r="G69" i="14"/>
  <c r="D70" i="14"/>
  <c r="E70" i="14"/>
  <c r="F70" i="14"/>
  <c r="G70" i="14"/>
  <c r="D71" i="14"/>
  <c r="E71" i="14"/>
  <c r="F71" i="14"/>
  <c r="G71" i="14"/>
  <c r="C72" i="14"/>
  <c r="D72" i="14"/>
  <c r="E72" i="14"/>
  <c r="F72" i="14"/>
  <c r="G72" i="14"/>
  <c r="C73" i="14"/>
  <c r="D73" i="14"/>
  <c r="E73" i="14"/>
  <c r="F73" i="14"/>
  <c r="G73" i="14"/>
  <c r="C74" i="14"/>
  <c r="D74" i="14"/>
  <c r="E74" i="14"/>
  <c r="F74" i="14"/>
  <c r="G74" i="14"/>
  <c r="C75" i="14"/>
  <c r="D75" i="14"/>
  <c r="E75" i="14"/>
  <c r="F75" i="14"/>
  <c r="G75" i="14"/>
  <c r="D79" i="14"/>
  <c r="E79" i="14"/>
  <c r="F79" i="14"/>
  <c r="G79" i="14"/>
  <c r="D80" i="14"/>
  <c r="E80" i="14"/>
  <c r="F80" i="14"/>
  <c r="G80" i="14"/>
  <c r="I44" i="14"/>
  <c r="I45" i="14"/>
  <c r="I46" i="14"/>
  <c r="I47" i="14"/>
  <c r="C13" i="14"/>
  <c r="D13" i="14"/>
  <c r="E13" i="14"/>
  <c r="F13" i="14"/>
  <c r="C19" i="14"/>
  <c r="D19" i="14"/>
  <c r="E19" i="14"/>
  <c r="F19" i="14"/>
  <c r="C20" i="14"/>
  <c r="D20" i="14"/>
  <c r="E20" i="14"/>
  <c r="F20" i="14"/>
  <c r="C21" i="14"/>
  <c r="D21" i="14"/>
  <c r="E21" i="14"/>
  <c r="F21" i="14"/>
  <c r="C22" i="14"/>
  <c r="D22" i="14"/>
  <c r="E22" i="14"/>
  <c r="F22" i="14"/>
  <c r="C23" i="14"/>
  <c r="D23" i="14"/>
  <c r="E23" i="14"/>
  <c r="F23" i="14"/>
  <c r="C24" i="14"/>
  <c r="D24" i="14"/>
  <c r="E24" i="14"/>
  <c r="F24" i="14"/>
  <c r="C25" i="14"/>
  <c r="D25" i="14"/>
  <c r="E25" i="14"/>
  <c r="F25" i="14"/>
  <c r="C30" i="14"/>
  <c r="D30" i="14"/>
  <c r="E30" i="14"/>
  <c r="F30" i="14"/>
  <c r="G30" i="14"/>
  <c r="C31" i="14"/>
  <c r="D31" i="14"/>
  <c r="E31" i="14"/>
  <c r="F31" i="14"/>
  <c r="G31" i="14"/>
  <c r="C32" i="14"/>
  <c r="D32" i="14"/>
  <c r="E32" i="14"/>
  <c r="F32" i="14"/>
  <c r="G32" i="14"/>
  <c r="C33" i="14"/>
  <c r="D33" i="14"/>
  <c r="E33" i="14"/>
  <c r="F33" i="14"/>
  <c r="G33" i="14"/>
  <c r="C34" i="14"/>
  <c r="D34" i="14"/>
  <c r="E34" i="14"/>
  <c r="F34" i="14"/>
  <c r="G34" i="14"/>
  <c r="C35" i="14"/>
  <c r="D35" i="14"/>
  <c r="E35" i="14"/>
  <c r="F35" i="14"/>
  <c r="G35" i="14"/>
  <c r="C36" i="14"/>
  <c r="D36" i="14"/>
  <c r="E36" i="14"/>
  <c r="F36" i="14"/>
  <c r="G36" i="14"/>
  <c r="B18" i="13"/>
  <c r="C18" i="13"/>
  <c r="D18" i="13"/>
  <c r="E18" i="13"/>
  <c r="B19" i="13"/>
  <c r="C19" i="13"/>
  <c r="D19" i="13"/>
  <c r="E19" i="13"/>
  <c r="B23" i="13"/>
  <c r="C23" i="13"/>
  <c r="D23" i="13"/>
  <c r="E23" i="13"/>
  <c r="B24" i="13"/>
  <c r="C24" i="13"/>
  <c r="D24" i="13"/>
  <c r="E24" i="13"/>
  <c r="B25" i="13"/>
  <c r="C25" i="13"/>
  <c r="D25" i="13"/>
  <c r="E25" i="13"/>
  <c r="B26" i="13"/>
  <c r="C26" i="13"/>
  <c r="D26" i="13"/>
  <c r="E26" i="13"/>
  <c r="B27" i="13"/>
  <c r="C27" i="13"/>
  <c r="D27" i="13"/>
  <c r="E27" i="13"/>
  <c r="B32" i="13"/>
  <c r="D32" i="13"/>
  <c r="E32" i="13"/>
  <c r="H32" i="13"/>
  <c r="I32" i="13"/>
  <c r="J32" i="13"/>
  <c r="K32" i="13"/>
  <c r="B33" i="13"/>
  <c r="D33" i="13"/>
  <c r="E33" i="13"/>
  <c r="H33" i="13"/>
  <c r="I33" i="13"/>
  <c r="J33" i="13"/>
  <c r="K33" i="13"/>
  <c r="B34" i="13"/>
  <c r="D34" i="13"/>
  <c r="E34" i="13"/>
  <c r="H34" i="13"/>
  <c r="I34" i="13"/>
  <c r="J34" i="13"/>
  <c r="K34" i="13"/>
  <c r="B35" i="13"/>
  <c r="D35" i="13"/>
  <c r="E35" i="13"/>
  <c r="H35" i="13"/>
  <c r="I35" i="13"/>
  <c r="J35" i="13"/>
  <c r="K35" i="13"/>
  <c r="B36" i="13"/>
  <c r="D36" i="13"/>
  <c r="E36" i="13"/>
  <c r="H36" i="13"/>
  <c r="I36" i="13"/>
  <c r="J36" i="13"/>
  <c r="K36" i="13"/>
  <c r="B44" i="13"/>
  <c r="B45" i="13"/>
  <c r="B46" i="13"/>
  <c r="B47" i="13"/>
  <c r="B48" i="13"/>
  <c r="B18" i="12"/>
  <c r="C18" i="12"/>
  <c r="D18" i="12"/>
  <c r="E18" i="12"/>
  <c r="B19" i="12"/>
  <c r="C19" i="12"/>
  <c r="D19" i="12"/>
  <c r="E19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32" i="12"/>
  <c r="C32" i="12"/>
  <c r="D32" i="12"/>
  <c r="E32" i="12"/>
  <c r="H32" i="12"/>
  <c r="I32" i="12"/>
  <c r="J32" i="12"/>
  <c r="K32" i="12"/>
  <c r="L32" i="12"/>
  <c r="B33" i="12"/>
  <c r="C33" i="12"/>
  <c r="D33" i="12"/>
  <c r="E33" i="12"/>
  <c r="H33" i="12"/>
  <c r="I33" i="12"/>
  <c r="J33" i="12"/>
  <c r="K33" i="12"/>
  <c r="L33" i="12"/>
  <c r="B34" i="12"/>
  <c r="C34" i="12"/>
  <c r="D34" i="12"/>
  <c r="E34" i="12"/>
  <c r="H34" i="12"/>
  <c r="I34" i="12"/>
  <c r="J34" i="12"/>
  <c r="K34" i="12"/>
  <c r="L34" i="12"/>
  <c r="B35" i="12"/>
  <c r="C35" i="12"/>
  <c r="D35" i="12"/>
  <c r="E35" i="12"/>
  <c r="H35" i="12"/>
  <c r="I35" i="12"/>
  <c r="J35" i="12"/>
  <c r="K35" i="12"/>
  <c r="L35" i="12"/>
  <c r="B36" i="12"/>
  <c r="C36" i="12"/>
  <c r="D36" i="12"/>
  <c r="E36" i="12"/>
  <c r="H36" i="12"/>
  <c r="I36" i="12"/>
  <c r="J36" i="12"/>
  <c r="K36" i="12"/>
  <c r="L36" i="12"/>
  <c r="B44" i="12"/>
  <c r="B45" i="12"/>
  <c r="B46" i="12"/>
  <c r="B47" i="12"/>
  <c r="B48" i="12"/>
  <c r="B17" i="11"/>
  <c r="C17" i="11"/>
  <c r="D17" i="11"/>
  <c r="E17" i="11"/>
  <c r="F17" i="11"/>
  <c r="F18" i="11"/>
  <c r="F19" i="11"/>
  <c r="F20" i="11"/>
  <c r="F21" i="11"/>
  <c r="G17" i="11"/>
  <c r="I17" i="11"/>
  <c r="J17" i="11"/>
  <c r="B18" i="11"/>
  <c r="C18" i="11"/>
  <c r="D18" i="11"/>
  <c r="E18" i="11"/>
  <c r="G18" i="11"/>
  <c r="I18" i="11"/>
  <c r="J18" i="11"/>
  <c r="B19" i="11"/>
  <c r="C19" i="11"/>
  <c r="D19" i="11"/>
  <c r="E19" i="11"/>
  <c r="G19" i="11"/>
  <c r="I19" i="11"/>
  <c r="J19" i="11"/>
  <c r="B20" i="11"/>
  <c r="C20" i="11"/>
  <c r="D20" i="11"/>
  <c r="E20" i="11"/>
  <c r="G20" i="11"/>
  <c r="I20" i="11"/>
  <c r="J20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E36" i="11"/>
  <c r="F33" i="11"/>
  <c r="F34" i="11"/>
  <c r="F35" i="11"/>
  <c r="B39" i="11"/>
  <c r="B40" i="11"/>
  <c r="B41" i="11"/>
  <c r="B42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E55" i="11"/>
  <c r="F52" i="11"/>
  <c r="F53" i="11"/>
  <c r="F54" i="11"/>
  <c r="B58" i="11"/>
  <c r="B59" i="11"/>
  <c r="B60" i="11"/>
  <c r="B61" i="11"/>
  <c r="B71" i="11"/>
  <c r="C71" i="11"/>
  <c r="D71" i="11"/>
  <c r="E71" i="11"/>
  <c r="B72" i="11"/>
  <c r="C72" i="11"/>
  <c r="D72" i="11"/>
  <c r="E72" i="11"/>
  <c r="B73" i="11"/>
  <c r="C73" i="11"/>
  <c r="D73" i="11"/>
  <c r="E73" i="11"/>
  <c r="E74" i="11"/>
  <c r="F71" i="11"/>
  <c r="F72" i="11"/>
  <c r="F73" i="11"/>
  <c r="B77" i="11"/>
  <c r="B78" i="11"/>
  <c r="B79" i="11"/>
  <c r="B80" i="11"/>
  <c r="B90" i="11"/>
  <c r="C90" i="11"/>
  <c r="D90" i="11"/>
  <c r="E90" i="11"/>
  <c r="B91" i="11"/>
  <c r="C91" i="11"/>
  <c r="D91" i="11"/>
  <c r="E91" i="11"/>
  <c r="B92" i="11"/>
  <c r="C92" i="11"/>
  <c r="D92" i="11"/>
  <c r="E92" i="11"/>
  <c r="E93" i="11"/>
  <c r="F90" i="11"/>
  <c r="F91" i="11"/>
  <c r="F92" i="11"/>
  <c r="B96" i="11"/>
  <c r="B97" i="11"/>
  <c r="B98" i="11"/>
  <c r="B99" i="11"/>
  <c r="B104" i="11"/>
  <c r="B105" i="11"/>
  <c r="B106" i="11"/>
  <c r="B107" i="11"/>
  <c r="B112" i="11"/>
  <c r="C112" i="11"/>
  <c r="D112" i="11"/>
  <c r="E112" i="11"/>
  <c r="F112" i="11"/>
  <c r="B113" i="11"/>
  <c r="C113" i="11"/>
  <c r="D113" i="11"/>
  <c r="E113" i="11"/>
  <c r="F113" i="11"/>
  <c r="B114" i="11"/>
  <c r="C114" i="11"/>
  <c r="D114" i="11"/>
  <c r="E114" i="11"/>
  <c r="F114" i="11"/>
  <c r="B17" i="10"/>
  <c r="C17" i="10"/>
  <c r="D17" i="10"/>
  <c r="E17" i="10"/>
  <c r="F17" i="10"/>
  <c r="B18" i="10"/>
  <c r="C18" i="10"/>
  <c r="D18" i="10"/>
  <c r="E18" i="10"/>
  <c r="F18" i="10"/>
  <c r="B19" i="10"/>
  <c r="C19" i="10"/>
  <c r="D19" i="10"/>
  <c r="E19" i="10"/>
  <c r="F19" i="10"/>
  <c r="B20" i="10"/>
  <c r="C20" i="10"/>
  <c r="D20" i="10"/>
  <c r="E20" i="10"/>
  <c r="F20" i="10"/>
  <c r="F21" i="10"/>
  <c r="G17" i="10" a="1"/>
  <c r="G17" i="10"/>
  <c r="I17" i="10"/>
  <c r="J17" i="10"/>
  <c r="G18" i="10"/>
  <c r="I18" i="10"/>
  <c r="J18" i="10"/>
  <c r="G19" i="10"/>
  <c r="I19" i="10"/>
  <c r="J19" i="10"/>
  <c r="G20" i="10"/>
  <c r="I20" i="10"/>
  <c r="J20" i="10"/>
  <c r="G21" i="10"/>
  <c r="B33" i="10"/>
  <c r="C33" i="10"/>
  <c r="D33" i="10"/>
  <c r="E33" i="10"/>
  <c r="B34" i="10"/>
  <c r="C34" i="10"/>
  <c r="D34" i="10"/>
  <c r="E34" i="10"/>
  <c r="B35" i="10"/>
  <c r="C35" i="10"/>
  <c r="D35" i="10"/>
  <c r="E35" i="10"/>
  <c r="E36" i="10"/>
  <c r="F33" i="10"/>
  <c r="F34" i="10"/>
  <c r="F35" i="10"/>
  <c r="B39" i="10"/>
  <c r="B40" i="10"/>
  <c r="B41" i="10"/>
  <c r="B42" i="10"/>
  <c r="B52" i="10"/>
  <c r="C52" i="10"/>
  <c r="D52" i="10"/>
  <c r="E52" i="10"/>
  <c r="B53" i="10"/>
  <c r="C53" i="10"/>
  <c r="D53" i="10"/>
  <c r="E53" i="10"/>
  <c r="B54" i="10"/>
  <c r="C54" i="10"/>
  <c r="D54" i="10"/>
  <c r="E54" i="10"/>
  <c r="E55" i="10"/>
  <c r="F52" i="10"/>
  <c r="F53" i="10"/>
  <c r="F54" i="10"/>
  <c r="B58" i="10"/>
  <c r="B59" i="10"/>
  <c r="B60" i="10"/>
  <c r="B61" i="10"/>
  <c r="B71" i="10"/>
  <c r="C71" i="10"/>
  <c r="D71" i="10"/>
  <c r="E71" i="10"/>
  <c r="B72" i="10"/>
  <c r="C72" i="10"/>
  <c r="D72" i="10"/>
  <c r="E72" i="10"/>
  <c r="B73" i="10"/>
  <c r="C73" i="10"/>
  <c r="D73" i="10"/>
  <c r="E73" i="10"/>
  <c r="E74" i="10"/>
  <c r="F71" i="10"/>
  <c r="F72" i="10"/>
  <c r="F73" i="10"/>
  <c r="B77" i="10"/>
  <c r="B78" i="10"/>
  <c r="B79" i="10"/>
  <c r="B80" i="10"/>
  <c r="B90" i="10"/>
  <c r="C90" i="10"/>
  <c r="D90" i="10"/>
  <c r="E90" i="10"/>
  <c r="B91" i="10"/>
  <c r="C91" i="10"/>
  <c r="D91" i="10"/>
  <c r="E91" i="10"/>
  <c r="B92" i="10"/>
  <c r="C92" i="10"/>
  <c r="D92" i="10"/>
  <c r="E92" i="10"/>
  <c r="E93" i="10"/>
  <c r="F90" i="10"/>
  <c r="F91" i="10"/>
  <c r="F92" i="10"/>
  <c r="B96" i="10"/>
  <c r="B97" i="10"/>
  <c r="B98" i="10"/>
  <c r="B99" i="10"/>
  <c r="B104" i="10"/>
  <c r="B105" i="10"/>
  <c r="B106" i="10"/>
  <c r="B107" i="10"/>
  <c r="B112" i="10"/>
  <c r="C112" i="10"/>
  <c r="D112" i="10"/>
  <c r="E112" i="10"/>
  <c r="F112" i="10"/>
  <c r="B113" i="10"/>
  <c r="C113" i="10"/>
  <c r="D113" i="10"/>
  <c r="E113" i="10"/>
  <c r="F113" i="10"/>
  <c r="B114" i="10"/>
  <c r="C114" i="10"/>
  <c r="D114" i="10"/>
  <c r="E114" i="10"/>
  <c r="F114" i="10"/>
  <c r="D150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34" i="9"/>
  <c r="F150" i="9"/>
  <c r="E150" i="9"/>
  <c r="J137" i="9"/>
  <c r="G150" i="9"/>
  <c r="J134" i="9"/>
  <c r="J135" i="9"/>
  <c r="J139" i="9"/>
  <c r="J140" i="9"/>
  <c r="J110" i="9"/>
  <c r="J111" i="9"/>
  <c r="J113" i="9"/>
  <c r="D126" i="9"/>
  <c r="E126" i="9"/>
  <c r="F126" i="9"/>
  <c r="G110" i="9"/>
  <c r="G111" i="9"/>
  <c r="G112" i="9"/>
  <c r="G113" i="9"/>
  <c r="J115" i="9"/>
  <c r="G114" i="9"/>
  <c r="J116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J14" i="9"/>
  <c r="J15" i="9"/>
  <c r="J16" i="9"/>
  <c r="J20" i="9"/>
  <c r="P20" i="9"/>
  <c r="J46" i="9"/>
  <c r="Q20" i="9"/>
  <c r="J72" i="9"/>
  <c r="R20" i="9"/>
  <c r="F21" i="9"/>
  <c r="G21" i="9"/>
  <c r="H21" i="9"/>
  <c r="I21" i="9"/>
  <c r="J21" i="9"/>
  <c r="F22" i="9"/>
  <c r="G22" i="9"/>
  <c r="H22" i="9"/>
  <c r="I22" i="9"/>
  <c r="J22" i="9"/>
  <c r="S22" i="9"/>
  <c r="F23" i="9"/>
  <c r="G23" i="9"/>
  <c r="H23" i="9"/>
  <c r="I23" i="9"/>
  <c r="J23" i="9"/>
  <c r="S23" i="9"/>
  <c r="F24" i="9"/>
  <c r="G24" i="9"/>
  <c r="H24" i="9"/>
  <c r="I24" i="9"/>
  <c r="J24" i="9"/>
  <c r="S24" i="9"/>
  <c r="F25" i="9"/>
  <c r="G25" i="9"/>
  <c r="H25" i="9"/>
  <c r="I25" i="9"/>
  <c r="J25" i="9"/>
  <c r="S25" i="9"/>
  <c r="F26" i="9"/>
  <c r="G26" i="9"/>
  <c r="H26" i="9"/>
  <c r="I26" i="9"/>
  <c r="J26" i="9"/>
  <c r="S26" i="9"/>
  <c r="F27" i="9"/>
  <c r="G27" i="9"/>
  <c r="H27" i="9"/>
  <c r="I27" i="9"/>
  <c r="J27" i="9"/>
  <c r="S27" i="9"/>
  <c r="F28" i="9"/>
  <c r="G28" i="9"/>
  <c r="H28" i="9"/>
  <c r="I28" i="9"/>
  <c r="J28" i="9"/>
  <c r="S28" i="9"/>
  <c r="F29" i="9"/>
  <c r="G29" i="9"/>
  <c r="H29" i="9"/>
  <c r="I29" i="9"/>
  <c r="J29" i="9"/>
  <c r="S29" i="9"/>
  <c r="F30" i="9"/>
  <c r="G30" i="9"/>
  <c r="H30" i="9"/>
  <c r="I30" i="9"/>
  <c r="J30" i="9"/>
  <c r="S30" i="9"/>
  <c r="F31" i="9"/>
  <c r="G31" i="9"/>
  <c r="H31" i="9"/>
  <c r="I31" i="9"/>
  <c r="J31" i="9"/>
  <c r="S31" i="9"/>
  <c r="F32" i="9"/>
  <c r="G32" i="9"/>
  <c r="H32" i="9"/>
  <c r="I32" i="9"/>
  <c r="J32" i="9"/>
  <c r="S32" i="9"/>
  <c r="F33" i="9"/>
  <c r="G33" i="9"/>
  <c r="H33" i="9"/>
  <c r="I33" i="9"/>
  <c r="J33" i="9"/>
  <c r="S33" i="9"/>
  <c r="F34" i="9"/>
  <c r="G34" i="9"/>
  <c r="H34" i="9"/>
  <c r="I34" i="9"/>
  <c r="J34" i="9"/>
  <c r="S34" i="9"/>
  <c r="F35" i="9"/>
  <c r="G35" i="9"/>
  <c r="H35" i="9"/>
  <c r="I35" i="9"/>
  <c r="J35" i="9"/>
  <c r="S35" i="9"/>
  <c r="F36" i="9"/>
  <c r="G36" i="9"/>
  <c r="H36" i="9"/>
  <c r="I36" i="9"/>
  <c r="J36" i="9"/>
  <c r="S36" i="9"/>
  <c r="F37" i="9"/>
  <c r="G37" i="9"/>
  <c r="H37" i="9"/>
  <c r="I37" i="9"/>
  <c r="J37" i="9"/>
  <c r="S37" i="9"/>
  <c r="F38" i="9"/>
  <c r="G38" i="9"/>
  <c r="H38" i="9"/>
  <c r="I38" i="9"/>
  <c r="J38" i="9"/>
  <c r="S38" i="9"/>
  <c r="F39" i="9"/>
  <c r="G39" i="9"/>
  <c r="H39" i="9"/>
  <c r="I39" i="9"/>
  <c r="J39" i="9"/>
  <c r="S39" i="9"/>
  <c r="F40" i="9"/>
  <c r="G40" i="9"/>
  <c r="H40" i="9"/>
  <c r="I40" i="9"/>
  <c r="J40" i="9"/>
  <c r="S40" i="9"/>
  <c r="S41" i="9"/>
  <c r="F42" i="9"/>
  <c r="G42" i="9"/>
  <c r="H42" i="9"/>
  <c r="I42" i="9"/>
  <c r="J42" i="9"/>
  <c r="S42" i="9"/>
  <c r="F47" i="9"/>
  <c r="G47" i="9"/>
  <c r="H47" i="9"/>
  <c r="I47" i="9"/>
  <c r="J47" i="9"/>
  <c r="F48" i="9"/>
  <c r="G48" i="9"/>
  <c r="H48" i="9"/>
  <c r="I48" i="9"/>
  <c r="J48" i="9"/>
  <c r="F49" i="9"/>
  <c r="G49" i="9"/>
  <c r="H49" i="9"/>
  <c r="I49" i="9"/>
  <c r="J49" i="9"/>
  <c r="F50" i="9"/>
  <c r="G50" i="9"/>
  <c r="H50" i="9"/>
  <c r="I50" i="9"/>
  <c r="J50" i="9"/>
  <c r="F51" i="9"/>
  <c r="G51" i="9"/>
  <c r="H51" i="9"/>
  <c r="I51" i="9"/>
  <c r="J51" i="9"/>
  <c r="F52" i="9"/>
  <c r="G52" i="9"/>
  <c r="H52" i="9"/>
  <c r="I52" i="9"/>
  <c r="J52" i="9"/>
  <c r="F53" i="9"/>
  <c r="G53" i="9"/>
  <c r="H53" i="9"/>
  <c r="I53" i="9"/>
  <c r="J53" i="9"/>
  <c r="F54" i="9"/>
  <c r="G54" i="9"/>
  <c r="H54" i="9"/>
  <c r="I54" i="9"/>
  <c r="J54" i="9"/>
  <c r="F55" i="9"/>
  <c r="G55" i="9"/>
  <c r="H55" i="9"/>
  <c r="I55" i="9"/>
  <c r="J55" i="9"/>
  <c r="F56" i="9"/>
  <c r="G56" i="9"/>
  <c r="H56" i="9"/>
  <c r="I56" i="9"/>
  <c r="J56" i="9"/>
  <c r="F57" i="9"/>
  <c r="G57" i="9"/>
  <c r="H57" i="9"/>
  <c r="I57" i="9"/>
  <c r="J57" i="9"/>
  <c r="F58" i="9"/>
  <c r="G58" i="9"/>
  <c r="H58" i="9"/>
  <c r="I58" i="9"/>
  <c r="J58" i="9"/>
  <c r="F59" i="9"/>
  <c r="G59" i="9"/>
  <c r="H59" i="9"/>
  <c r="I59" i="9"/>
  <c r="J59" i="9"/>
  <c r="F60" i="9"/>
  <c r="G60" i="9"/>
  <c r="H60" i="9"/>
  <c r="I60" i="9"/>
  <c r="J60" i="9"/>
  <c r="F61" i="9"/>
  <c r="G61" i="9"/>
  <c r="H61" i="9"/>
  <c r="I61" i="9"/>
  <c r="J61" i="9"/>
  <c r="F62" i="9"/>
  <c r="G62" i="9"/>
  <c r="H62" i="9"/>
  <c r="I62" i="9"/>
  <c r="J62" i="9"/>
  <c r="F63" i="9"/>
  <c r="G63" i="9"/>
  <c r="H63" i="9"/>
  <c r="I63" i="9"/>
  <c r="J63" i="9"/>
  <c r="F64" i="9"/>
  <c r="G64" i="9"/>
  <c r="H64" i="9"/>
  <c r="I64" i="9"/>
  <c r="J64" i="9"/>
  <c r="F65" i="9"/>
  <c r="G65" i="9"/>
  <c r="H65" i="9"/>
  <c r="I65" i="9"/>
  <c r="J65" i="9"/>
  <c r="F66" i="9"/>
  <c r="G66" i="9"/>
  <c r="H66" i="9"/>
  <c r="I66" i="9"/>
  <c r="J66" i="9"/>
  <c r="F68" i="9"/>
  <c r="G68" i="9"/>
  <c r="H68" i="9"/>
  <c r="I68" i="9"/>
  <c r="J68" i="9"/>
  <c r="F73" i="9"/>
  <c r="G73" i="9"/>
  <c r="H73" i="9"/>
  <c r="J73" i="9"/>
  <c r="F74" i="9"/>
  <c r="G74" i="9"/>
  <c r="H74" i="9"/>
  <c r="J74" i="9"/>
  <c r="F75" i="9"/>
  <c r="G75" i="9"/>
  <c r="H75" i="9"/>
  <c r="J75" i="9"/>
  <c r="F76" i="9"/>
  <c r="G76" i="9"/>
  <c r="H76" i="9"/>
  <c r="J76" i="9"/>
  <c r="F77" i="9"/>
  <c r="G77" i="9"/>
  <c r="H77" i="9"/>
  <c r="J77" i="9"/>
  <c r="F78" i="9"/>
  <c r="G78" i="9"/>
  <c r="H78" i="9"/>
  <c r="J78" i="9"/>
  <c r="F79" i="9"/>
  <c r="G79" i="9"/>
  <c r="H79" i="9"/>
  <c r="J79" i="9"/>
  <c r="F80" i="9"/>
  <c r="G80" i="9"/>
  <c r="H80" i="9"/>
  <c r="J80" i="9"/>
  <c r="F81" i="9"/>
  <c r="G81" i="9"/>
  <c r="H81" i="9"/>
  <c r="J81" i="9"/>
  <c r="F82" i="9"/>
  <c r="G82" i="9"/>
  <c r="H82" i="9"/>
  <c r="J82" i="9"/>
  <c r="F83" i="9"/>
  <c r="G83" i="9"/>
  <c r="H83" i="9"/>
  <c r="J83" i="9"/>
  <c r="F84" i="9"/>
  <c r="G84" i="9"/>
  <c r="H84" i="9"/>
  <c r="J84" i="9"/>
  <c r="F85" i="9"/>
  <c r="G85" i="9"/>
  <c r="H85" i="9"/>
  <c r="J85" i="9"/>
  <c r="F86" i="9"/>
  <c r="G86" i="9"/>
  <c r="H86" i="9"/>
  <c r="J86" i="9"/>
  <c r="F87" i="9"/>
  <c r="G87" i="9"/>
  <c r="H87" i="9"/>
  <c r="J87" i="9"/>
  <c r="F88" i="9"/>
  <c r="G88" i="9"/>
  <c r="H88" i="9"/>
  <c r="J88" i="9"/>
  <c r="F89" i="9"/>
  <c r="G89" i="9"/>
  <c r="H89" i="9"/>
  <c r="J89" i="9"/>
  <c r="F90" i="9"/>
  <c r="G90" i="9"/>
  <c r="H90" i="9"/>
  <c r="J90" i="9"/>
  <c r="F91" i="9"/>
  <c r="G91" i="9"/>
  <c r="H91" i="9"/>
  <c r="J91" i="9"/>
  <c r="F92" i="9"/>
  <c r="G92" i="9"/>
  <c r="H92" i="9"/>
  <c r="J92" i="9"/>
  <c r="F94" i="9"/>
  <c r="G94" i="9"/>
  <c r="H94" i="9"/>
  <c r="J94" i="9"/>
  <c r="F35" i="8"/>
  <c r="F36" i="8"/>
  <c r="F37" i="8"/>
  <c r="F38" i="8"/>
  <c r="G35" i="8"/>
  <c r="G36" i="8"/>
  <c r="G37" i="8"/>
  <c r="O37" i="8"/>
  <c r="O38" i="8"/>
  <c r="O39" i="8"/>
  <c r="O40" i="8"/>
  <c r="P37" i="8"/>
  <c r="V37" i="8"/>
  <c r="V38" i="8"/>
  <c r="V39" i="8"/>
  <c r="V40" i="8"/>
  <c r="W37" i="8"/>
  <c r="AC37" i="8"/>
  <c r="AC38" i="8"/>
  <c r="AC39" i="8"/>
  <c r="AC40" i="8"/>
  <c r="AD37" i="8"/>
  <c r="G38" i="8"/>
  <c r="P38" i="8"/>
  <c r="W38" i="8"/>
  <c r="AD38" i="8"/>
  <c r="P39" i="8"/>
  <c r="W39" i="8"/>
  <c r="AD39" i="8"/>
  <c r="P40" i="8"/>
  <c r="W40" i="8"/>
  <c r="AD40" i="8"/>
  <c r="C41" i="8" a="1"/>
  <c r="C41" i="8"/>
  <c r="D41" i="8"/>
  <c r="E41" i="8"/>
  <c r="F41" i="8"/>
  <c r="C42" i="8"/>
  <c r="D42" i="8"/>
  <c r="E42" i="8"/>
  <c r="F42" i="8"/>
  <c r="C43" i="8"/>
  <c r="D43" i="8"/>
  <c r="E43" i="8"/>
  <c r="F43" i="8"/>
  <c r="F44" i="8"/>
  <c r="G41" i="8"/>
  <c r="G42" i="8"/>
  <c r="G43" i="8"/>
  <c r="H41" i="8"/>
  <c r="I41" i="8"/>
  <c r="H42" i="8"/>
  <c r="I42" i="8"/>
  <c r="H43" i="8"/>
  <c r="I43" i="8"/>
  <c r="G44" i="8"/>
  <c r="C47" i="8" a="1"/>
  <c r="C47" i="8"/>
  <c r="D47" i="8"/>
  <c r="E47" i="8"/>
  <c r="F47" i="8"/>
  <c r="C48" i="8"/>
  <c r="D48" i="8"/>
  <c r="E48" i="8"/>
  <c r="F48" i="8"/>
  <c r="C49" i="8"/>
  <c r="D49" i="8"/>
  <c r="E49" i="8"/>
  <c r="F49" i="8"/>
  <c r="F50" i="8"/>
  <c r="G47" i="8"/>
  <c r="G48" i="8"/>
  <c r="G49" i="8"/>
  <c r="H47" i="8"/>
  <c r="I47" i="8"/>
  <c r="H48" i="8"/>
  <c r="I48" i="8"/>
  <c r="H49" i="8"/>
  <c r="I49" i="8"/>
  <c r="G50" i="8"/>
  <c r="C53" i="8" a="1"/>
  <c r="C53" i="8"/>
  <c r="D53" i="8"/>
  <c r="E53" i="8"/>
  <c r="F53" i="8"/>
  <c r="C54" i="8"/>
  <c r="D54" i="8"/>
  <c r="E54" i="8"/>
  <c r="F54" i="8"/>
  <c r="C55" i="8"/>
  <c r="D55" i="8"/>
  <c r="E55" i="8"/>
  <c r="F55" i="8"/>
  <c r="F56" i="8"/>
  <c r="G53" i="8"/>
  <c r="G54" i="8"/>
  <c r="G55" i="8"/>
  <c r="H53" i="8"/>
  <c r="I53" i="8"/>
  <c r="H54" i="8"/>
  <c r="I54" i="8"/>
  <c r="H55" i="8"/>
  <c r="I55" i="8"/>
  <c r="G56" i="8"/>
  <c r="E59" i="8"/>
  <c r="E60" i="8"/>
  <c r="E61" i="8"/>
  <c r="C65" i="8"/>
  <c r="F65" i="8"/>
  <c r="I65" i="8"/>
  <c r="C66" i="8"/>
  <c r="F66" i="8"/>
  <c r="I66" i="8"/>
  <c r="C67" i="8"/>
  <c r="F67" i="8"/>
  <c r="I67" i="8"/>
  <c r="C71" i="8"/>
  <c r="D71" i="8"/>
  <c r="E71" i="8"/>
  <c r="F71" i="8"/>
  <c r="C72" i="8"/>
  <c r="D72" i="8"/>
  <c r="E72" i="8"/>
  <c r="C73" i="8"/>
  <c r="D73" i="8"/>
  <c r="E73" i="8"/>
  <c r="F73" i="8"/>
  <c r="F79" i="8"/>
  <c r="F80" i="8"/>
  <c r="F81" i="8"/>
  <c r="G79" i="8"/>
  <c r="H79" i="8"/>
  <c r="G80" i="8"/>
  <c r="H80" i="8"/>
  <c r="G81" i="8"/>
  <c r="H81" i="8"/>
  <c r="I79" i="8"/>
  <c r="J79" i="8"/>
  <c r="H76" i="7"/>
  <c r="G76" i="7"/>
  <c r="I76" i="7"/>
  <c r="H77" i="7"/>
  <c r="G77" i="7"/>
  <c r="I77" i="7"/>
  <c r="H78" i="7"/>
  <c r="G78" i="7"/>
  <c r="I78" i="7"/>
  <c r="H79" i="7"/>
  <c r="G79" i="7"/>
  <c r="I79" i="7"/>
  <c r="H80" i="7"/>
  <c r="G80" i="7"/>
  <c r="I80" i="7"/>
  <c r="I81" i="7"/>
  <c r="J76" i="7"/>
  <c r="K76" i="7"/>
  <c r="L76" i="7"/>
  <c r="M76" i="7"/>
  <c r="N76" i="7"/>
  <c r="J77" i="7"/>
  <c r="K77" i="7"/>
  <c r="L77" i="7"/>
  <c r="M77" i="7"/>
  <c r="N77" i="7"/>
  <c r="J78" i="7"/>
  <c r="K78" i="7"/>
  <c r="L78" i="7"/>
  <c r="M78" i="7"/>
  <c r="N78" i="7"/>
  <c r="J79" i="7"/>
  <c r="K79" i="7"/>
  <c r="L79" i="7"/>
  <c r="M79" i="7"/>
  <c r="N79" i="7"/>
  <c r="J80" i="7"/>
  <c r="K80" i="7"/>
  <c r="L80" i="7"/>
  <c r="M80" i="7"/>
  <c r="N80" i="7"/>
  <c r="J81" i="7"/>
  <c r="K81" i="7"/>
  <c r="L81" i="7"/>
  <c r="M81" i="7"/>
  <c r="N81" i="7"/>
  <c r="G50" i="7"/>
  <c r="G51" i="7"/>
  <c r="G52" i="7"/>
  <c r="G53" i="7"/>
  <c r="G54" i="7"/>
  <c r="H52" i="7"/>
  <c r="E50" i="6"/>
  <c r="D22" i="6"/>
  <c r="E22" i="6"/>
  <c r="D23" i="6"/>
  <c r="E23" i="6"/>
  <c r="D24" i="6"/>
  <c r="E24" i="6"/>
  <c r="D25" i="6"/>
  <c r="E25" i="6"/>
  <c r="D26" i="6"/>
  <c r="E26" i="6"/>
  <c r="D27" i="6"/>
  <c r="E27" i="6"/>
  <c r="I11" i="6"/>
  <c r="I12" i="6"/>
  <c r="I13" i="6"/>
  <c r="L13" i="6"/>
  <c r="I14" i="6"/>
  <c r="K14" i="6"/>
  <c r="L14" i="6"/>
  <c r="N14" i="6"/>
  <c r="D11" i="6"/>
  <c r="D12" i="6"/>
  <c r="D13" i="6"/>
  <c r="E13" i="6"/>
  <c r="D14" i="6"/>
  <c r="E14" i="6"/>
  <c r="E8" i="5"/>
  <c r="E7" i="5"/>
  <c r="E6" i="5"/>
  <c r="E5" i="5"/>
  <c r="E4" i="5"/>
  <c r="E3" i="5"/>
  <c r="E2" i="5"/>
  <c r="F13" i="4"/>
  <c r="F12" i="4"/>
  <c r="F11" i="4"/>
  <c r="F10" i="4"/>
  <c r="F9" i="4"/>
  <c r="F8" i="4"/>
  <c r="F7" i="4"/>
  <c r="F6" i="4"/>
  <c r="F5" i="4"/>
  <c r="F4" i="4"/>
  <c r="F3" i="4"/>
  <c r="H6" i="3"/>
  <c r="H8" i="3"/>
  <c r="M6" i="3"/>
  <c r="M8" i="3"/>
  <c r="R6" i="3"/>
  <c r="R8" i="3"/>
  <c r="H11" i="3"/>
  <c r="H12" i="3"/>
  <c r="I6" i="3"/>
  <c r="I8" i="3"/>
  <c r="N6" i="3"/>
  <c r="N8" i="3"/>
  <c r="S6" i="3"/>
  <c r="S8" i="3"/>
  <c r="M11" i="3"/>
  <c r="M12" i="3"/>
  <c r="J6" i="3"/>
  <c r="J8" i="3"/>
  <c r="O6" i="3"/>
  <c r="O8" i="3"/>
  <c r="T6" i="3"/>
  <c r="T8" i="3"/>
  <c r="R11" i="3"/>
  <c r="R12" i="3"/>
  <c r="H15" i="3"/>
  <c r="H16" i="3"/>
  <c r="I12" i="3"/>
  <c r="N12" i="3"/>
  <c r="S12" i="3"/>
  <c r="M15" i="3"/>
  <c r="M16" i="3"/>
  <c r="J12" i="3"/>
  <c r="O12" i="3"/>
  <c r="T12" i="3"/>
  <c r="R15" i="3"/>
  <c r="R16" i="3"/>
  <c r="H19" i="3"/>
  <c r="H20" i="3"/>
  <c r="I16" i="3"/>
  <c r="N16" i="3"/>
  <c r="S16" i="3"/>
  <c r="M19" i="3"/>
  <c r="M20" i="3"/>
  <c r="J16" i="3"/>
  <c r="O16" i="3"/>
  <c r="T16" i="3"/>
  <c r="R19" i="3"/>
  <c r="R20" i="3"/>
  <c r="H23" i="3"/>
  <c r="H24" i="3"/>
  <c r="I20" i="3"/>
  <c r="N20" i="3"/>
  <c r="S20" i="3"/>
  <c r="M23" i="3"/>
  <c r="M24" i="3"/>
  <c r="J20" i="3"/>
  <c r="O20" i="3"/>
  <c r="T20" i="3"/>
  <c r="R23" i="3"/>
  <c r="R24" i="3"/>
  <c r="H27" i="3"/>
  <c r="H28" i="3"/>
  <c r="I24" i="3"/>
  <c r="N24" i="3"/>
  <c r="S24" i="3"/>
  <c r="M27" i="3"/>
  <c r="M28" i="3"/>
  <c r="J24" i="3"/>
  <c r="O24" i="3"/>
  <c r="T24" i="3"/>
  <c r="R27" i="3"/>
  <c r="R28" i="3"/>
  <c r="H31" i="3"/>
  <c r="H32" i="3"/>
  <c r="I28" i="3"/>
  <c r="N28" i="3"/>
  <c r="S28" i="3"/>
  <c r="M31" i="3"/>
  <c r="M32" i="3"/>
  <c r="J28" i="3"/>
  <c r="O28" i="3"/>
  <c r="T28" i="3"/>
  <c r="R31" i="3"/>
  <c r="R32" i="3"/>
  <c r="H35" i="3"/>
  <c r="H36" i="3"/>
  <c r="I32" i="3"/>
  <c r="N32" i="3"/>
  <c r="S32" i="3"/>
  <c r="M35" i="3"/>
  <c r="M36" i="3"/>
  <c r="J32" i="3"/>
  <c r="O32" i="3"/>
  <c r="T32" i="3"/>
  <c r="R35" i="3"/>
  <c r="R36" i="3"/>
  <c r="H39" i="3"/>
  <c r="H40" i="3"/>
  <c r="I36" i="3"/>
  <c r="N36" i="3"/>
  <c r="S36" i="3"/>
  <c r="M39" i="3"/>
  <c r="M40" i="3"/>
  <c r="J36" i="3"/>
  <c r="O36" i="3"/>
  <c r="T36" i="3"/>
  <c r="R39" i="3"/>
  <c r="R40" i="3"/>
  <c r="H43" i="3"/>
  <c r="H44" i="3"/>
  <c r="I40" i="3"/>
  <c r="N40" i="3"/>
  <c r="S40" i="3"/>
  <c r="M43" i="3"/>
  <c r="M44" i="3"/>
  <c r="J40" i="3"/>
  <c r="O40" i="3"/>
  <c r="T40" i="3"/>
  <c r="R43" i="3"/>
  <c r="R44" i="3"/>
  <c r="H47" i="3"/>
  <c r="H48" i="3"/>
  <c r="I44" i="3"/>
  <c r="N44" i="3"/>
  <c r="S44" i="3"/>
  <c r="M47" i="3"/>
  <c r="M48" i="3"/>
  <c r="J44" i="3"/>
  <c r="O44" i="3"/>
  <c r="T44" i="3"/>
  <c r="R47" i="3"/>
  <c r="R48" i="3"/>
  <c r="H51" i="3"/>
  <c r="I48" i="3"/>
  <c r="N48" i="3"/>
  <c r="S48" i="3"/>
  <c r="M51" i="3"/>
  <c r="J48" i="3"/>
  <c r="O48" i="3"/>
  <c r="T48" i="3"/>
  <c r="R51" i="3"/>
  <c r="AD51" i="3"/>
  <c r="V6" i="3"/>
  <c r="V13" i="3"/>
  <c r="Q6" i="3"/>
  <c r="Q13" i="3"/>
  <c r="L6" i="3"/>
  <c r="L13" i="3"/>
  <c r="Y13" i="3"/>
  <c r="V9" i="3"/>
  <c r="Q9" i="3"/>
  <c r="L9" i="3"/>
  <c r="Y9" i="3"/>
  <c r="AB13" i="3"/>
  <c r="V17" i="3"/>
  <c r="Q17" i="3"/>
  <c r="L17" i="3"/>
  <c r="Y17" i="3"/>
  <c r="AB17" i="3"/>
  <c r="V21" i="3"/>
  <c r="Q21" i="3"/>
  <c r="L21" i="3"/>
  <c r="Y21" i="3"/>
  <c r="AB21" i="3"/>
  <c r="V25" i="3"/>
  <c r="Q25" i="3"/>
  <c r="L25" i="3"/>
  <c r="Y25" i="3"/>
  <c r="AB25" i="3"/>
  <c r="V29" i="3"/>
  <c r="Q29" i="3"/>
  <c r="L29" i="3"/>
  <c r="Y29" i="3"/>
  <c r="AB29" i="3"/>
  <c r="V33" i="3"/>
  <c r="Q33" i="3"/>
  <c r="L33" i="3"/>
  <c r="Y33" i="3"/>
  <c r="AB33" i="3"/>
  <c r="V37" i="3"/>
  <c r="Q37" i="3"/>
  <c r="L37" i="3"/>
  <c r="Y37" i="3"/>
  <c r="AB37" i="3"/>
  <c r="V41" i="3"/>
  <c r="Q41" i="3"/>
  <c r="L41" i="3"/>
  <c r="Y41" i="3"/>
  <c r="AB41" i="3"/>
  <c r="V45" i="3"/>
  <c r="Q45" i="3"/>
  <c r="L45" i="3"/>
  <c r="Y45" i="3"/>
  <c r="AB45" i="3"/>
  <c r="V49" i="3"/>
  <c r="Q49" i="3"/>
  <c r="L49" i="3"/>
  <c r="Y49" i="3"/>
  <c r="AB49" i="3"/>
  <c r="U6" i="3"/>
  <c r="U13" i="3"/>
  <c r="P6" i="3"/>
  <c r="P13" i="3"/>
  <c r="K6" i="3"/>
  <c r="K13" i="3"/>
  <c r="X13" i="3"/>
  <c r="U9" i="3"/>
  <c r="P9" i="3"/>
  <c r="K9" i="3"/>
  <c r="X9" i="3"/>
  <c r="AA13" i="3"/>
  <c r="U17" i="3"/>
  <c r="P17" i="3"/>
  <c r="K17" i="3"/>
  <c r="X17" i="3"/>
  <c r="AA17" i="3"/>
  <c r="U21" i="3"/>
  <c r="P21" i="3"/>
  <c r="K21" i="3"/>
  <c r="X21" i="3"/>
  <c r="AA21" i="3"/>
  <c r="U25" i="3"/>
  <c r="P25" i="3"/>
  <c r="K25" i="3"/>
  <c r="X25" i="3"/>
  <c r="AA25" i="3"/>
  <c r="U29" i="3"/>
  <c r="P29" i="3"/>
  <c r="K29" i="3"/>
  <c r="X29" i="3"/>
  <c r="AA29" i="3"/>
  <c r="U33" i="3"/>
  <c r="P33" i="3"/>
  <c r="K33" i="3"/>
  <c r="X33" i="3"/>
  <c r="AA33" i="3"/>
  <c r="U37" i="3"/>
  <c r="P37" i="3"/>
  <c r="K37" i="3"/>
  <c r="X37" i="3"/>
  <c r="AA37" i="3"/>
  <c r="U41" i="3"/>
  <c r="P41" i="3"/>
  <c r="K41" i="3"/>
  <c r="X41" i="3"/>
  <c r="AA41" i="3"/>
  <c r="U45" i="3"/>
  <c r="P45" i="3"/>
  <c r="K45" i="3"/>
  <c r="X45" i="3"/>
  <c r="AA45" i="3"/>
  <c r="U49" i="3"/>
  <c r="P49" i="3"/>
  <c r="K49" i="3"/>
  <c r="X49" i="3"/>
  <c r="AA49" i="3"/>
  <c r="AD47" i="3"/>
  <c r="AD43" i="3"/>
  <c r="AD39" i="3"/>
  <c r="AD35" i="3"/>
  <c r="AD31" i="3"/>
  <c r="AD27" i="3"/>
  <c r="AD23" i="3"/>
  <c r="AD19" i="3"/>
  <c r="AD15" i="3"/>
  <c r="AD11" i="3"/>
  <c r="AB9" i="3"/>
  <c r="AA9" i="3"/>
  <c r="I18" i="1"/>
  <c r="I19" i="1"/>
  <c r="I20" i="1"/>
  <c r="J18" i="1"/>
  <c r="F72" i="8"/>
  <c r="G73" i="8"/>
  <c r="G72" i="8"/>
  <c r="G71" i="8"/>
  <c r="I75" i="14"/>
  <c r="H75" i="14"/>
  <c r="J75" i="14"/>
  <c r="I72" i="14"/>
  <c r="H72" i="14"/>
  <c r="J72" i="14"/>
  <c r="I73" i="14"/>
  <c r="H73" i="14"/>
  <c r="J73" i="14"/>
  <c r="I74" i="14"/>
  <c r="H74" i="14"/>
  <c r="J74" i="14"/>
  <c r="K75" i="14"/>
  <c r="K74" i="14"/>
  <c r="K73" i="14"/>
  <c r="K72" i="14"/>
</calcChain>
</file>

<file path=xl/comments1.xml><?xml version="1.0" encoding="utf-8"?>
<comments xmlns="http://schemas.openxmlformats.org/spreadsheetml/2006/main">
  <authors>
    <author>Microsoft Office User</author>
  </authors>
  <commentList>
    <comment ref="E17" authorId="0">
      <text>
        <r>
          <rPr>
            <sz val="10"/>
            <color indexed="81"/>
            <rFont val="Calibri"/>
          </rPr>
          <t xml:space="preserve">We prefere A to B by 15, ect.. Then get the maximin
</t>
        </r>
      </text>
    </comment>
  </commentList>
</comments>
</file>

<file path=xl/comments2.xml><?xml version="1.0" encoding="utf-8"?>
<comments xmlns="http://schemas.openxmlformats.org/spreadsheetml/2006/main">
  <authors>
    <author>IshizakA</author>
  </authors>
  <commentList>
    <comment ref="G17" authorId="0">
      <text>
        <r>
          <rPr>
            <b/>
            <u/>
            <sz val="8"/>
            <color indexed="81"/>
            <rFont val="Tahoma"/>
            <family val="2"/>
          </rPr>
          <t>Normalisation</t>
        </r>
        <r>
          <rPr>
            <b/>
            <sz val="8"/>
            <color indexed="81"/>
            <rFont val="Tahoma"/>
            <family val="2"/>
          </rPr>
          <t xml:space="preserve">:
</t>
        </r>
        <r>
          <rPr>
            <sz val="8"/>
            <color indexed="81"/>
            <rFont val="Tahoma"/>
            <family val="2"/>
          </rPr>
          <t>Sum of the row/Sum of the all matrix elements</t>
        </r>
      </text>
    </comment>
  </commentList>
</comments>
</file>

<file path=xl/comments3.xml><?xml version="1.0" encoding="utf-8"?>
<comments xmlns="http://schemas.openxmlformats.org/spreadsheetml/2006/main">
  <authors>
    <author>Philou</author>
  </authors>
  <commentList>
    <comment ref="A9" authorId="0">
      <text>
        <r>
          <rPr>
            <sz val="9"/>
            <color indexed="81"/>
            <rFont val="Tahoma"/>
            <family val="2"/>
          </rPr>
          <t xml:space="preserve">The DM needs to define if the criteria have to be maximised or minimised.
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 xml:space="preserve">Red bold indicates the worst performances on the criterion.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Philou:</t>
        </r>
        <r>
          <rPr>
            <sz val="9"/>
            <color indexed="81"/>
            <rFont val="Tahoma"/>
            <family val="2"/>
          </rPr>
          <t xml:space="preserve">
Green bold indicates the best performances on the criterion.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For each criterion will compute the minimum and the maximum of the evaluations in order to normalise the evaluations between 0 and 1. We use therefore the function Min() and Max() from Excel.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For each criterion will compute the minimum and the maximum of the evaluations in order to normalise the evaluations between 0 and 1. We use therefore the function Min() and Max() from Excel.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Based on the minimum and the maximum evaluations for each criterion, we obtain the normalised score as follows:
 f_j' (a_i )=  (f_j (a_i )-min⁡(f_j)) / (max⁡(fj)-min⁡(f_j ) )   if the criterion has to be maximised
f_j' (a_i )=1+((min⁡(f_j )-f_j (a_i ))/(max⁡(fj)-min⁡(f_j ) ))   if the criterion has to be minimised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 xml:space="preserve">The marginal utility score of the Price is obtained with following exponential function:
U_1 (a_j )=(exp⁡(〖f_j' (a_i )〗^2 )-1)/1.71
where f_j' is the normalised score of each Smart Phone
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The marginal utility score of the Screen Size is similar to the normalised score since the DM used a linear nomralisation function and a linear marginal utility function.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 xml:space="preserve">In order to see the contribution of each criterion, we mutiply the marginal utility by the corresponding weight, which can then be used to construct Figure 2.
</t>
        </r>
      </text>
    </comment>
  </commentList>
</comments>
</file>

<file path=xl/comments4.xml><?xml version="1.0" encoding="utf-8"?>
<comments xmlns="http://schemas.openxmlformats.org/spreadsheetml/2006/main">
  <authors>
    <author>Philou</author>
  </authors>
  <commentList>
    <comment ref="A9" authorId="0">
      <text>
        <r>
          <rPr>
            <sz val="9"/>
            <color indexed="81"/>
            <rFont val="Tahoma"/>
            <family val="2"/>
          </rPr>
          <t xml:space="preserve">The DM needs to define if the criteria have to be maximised or minimised.
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 xml:space="preserve">Red bold indicates the worst performances on the criterion.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Philou:</t>
        </r>
        <r>
          <rPr>
            <sz val="9"/>
            <color indexed="81"/>
            <rFont val="Tahoma"/>
            <family val="2"/>
          </rPr>
          <t xml:space="preserve">
Green bold indicates the best performances on the criterion.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For each criterion will compute the minimum and the maximum of the evaluations in order to normalise the evaluations between 0 and 1. We use therefore the function Min() and Max() from Excel.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For each criterion will compute the minimum and the maximum of the evaluations in order to normalise the evaluations between 0 and 1. We use therefore the function Min() and Max() from Excel.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Based on the minimum and the maximum evaluations for each criterion, we obtain the normalised score as follows:
 f_j' (a_i )=  (f_j (a_i )-min⁡(f_j)) / (max⁡(fj)-min⁡(f_j ) )   if the criterion has to be maximised
f_j' (a_i )=1+((min⁡(f_j )-f_j (a_i ))/(max⁡(fj)-min⁡(f_j ) ))   if the criterion has to be minimised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 xml:space="preserve">The marginal utility score of the Price is obtained with following exponential function:
U_1 (a_j )=(exp⁡(〖f_j' (a_i )〗^2 )-1)/1.71
where f_j' is the normalised score of each Smart Phone
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The marginal utility score of the Screen Size is similar to the normalised score since the DM used a linear nomralisation function and a linear marginal utility function.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 xml:space="preserve">In order to see the contribution of each criterion, we mutiply the marginal utility by the corresponding weight, which can then be used to construct Figure 2.
</t>
        </r>
      </text>
    </comment>
  </commentList>
</comments>
</file>

<file path=xl/sharedStrings.xml><?xml version="1.0" encoding="utf-8"?>
<sst xmlns="http://schemas.openxmlformats.org/spreadsheetml/2006/main" count="1038" uniqueCount="317">
  <si>
    <t>5 Steps to MADM</t>
  </si>
  <si>
    <t>Establish Objectives and goals</t>
  </si>
  <si>
    <t>Weight the objectives to determine their importance</t>
  </si>
  <si>
    <t>Select the decision criteria</t>
  </si>
  <si>
    <t>Weight the decision criteria</t>
  </si>
  <si>
    <t>Develop metrics</t>
  </si>
  <si>
    <t>Group Decision Making Methods</t>
  </si>
  <si>
    <t>Condorcet's Principle</t>
  </si>
  <si>
    <t>Preference</t>
  </si>
  <si>
    <t>A</t>
  </si>
  <si>
    <t>B</t>
  </si>
  <si>
    <t>C</t>
  </si>
  <si>
    <t>-</t>
  </si>
  <si>
    <t>Min</t>
  </si>
  <si>
    <t>Max</t>
  </si>
  <si>
    <t>Borda</t>
  </si>
  <si>
    <t>1. Rank candidates 1 to N</t>
  </si>
  <si>
    <t>2. Each participant ranks each objective</t>
  </si>
  <si>
    <t>3. Aggregate each voters vote per objective</t>
  </si>
  <si>
    <t>4. Select the highest counted rank</t>
  </si>
  <si>
    <t>brainstorming</t>
  </si>
  <si>
    <t>Nominal Group Technique (NGT)</t>
  </si>
  <si>
    <t>Survey</t>
  </si>
  <si>
    <t>Benchmarking and best practices</t>
  </si>
  <si>
    <t>Delphi</t>
  </si>
  <si>
    <t>SPAN</t>
  </si>
  <si>
    <t>1. Each member chooses %allocation to Objectives and %allocation to Others</t>
  </si>
  <si>
    <t>3. Iteratively updates the pool of points with %'s held constant each iteration</t>
  </si>
  <si>
    <t>4. Solution will be found based on given parameters</t>
  </si>
  <si>
    <t>2. Each member chooses % to each project and % to each person</t>
  </si>
  <si>
    <t>Member A</t>
  </si>
  <si>
    <t>Member B</t>
  </si>
  <si>
    <t>Member C</t>
  </si>
  <si>
    <t>Members (A, B, C)</t>
  </si>
  <si>
    <t>Options (1 and 2)</t>
  </si>
  <si>
    <t>Option 1</t>
  </si>
  <si>
    <t>Option 2</t>
  </si>
  <si>
    <t>Individual A Voting</t>
  </si>
  <si>
    <t>Individual B Voting</t>
  </si>
  <si>
    <t>Individual C Voting</t>
  </si>
  <si>
    <t>Parcel (points)</t>
  </si>
  <si>
    <t>Individuals</t>
  </si>
  <si>
    <t>Options</t>
  </si>
  <si>
    <t>Cumulative</t>
  </si>
  <si>
    <t>Remaining</t>
  </si>
  <si>
    <t>Proportions</t>
  </si>
  <si>
    <t>Members Pts</t>
  </si>
  <si>
    <t>Options Pts</t>
  </si>
  <si>
    <t>Parcel Points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</si>
  <si>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</si>
  <si>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</si>
  <si>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</si>
  <si>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</si>
  <si>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</si>
  <si>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</si>
  <si>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</si>
  <si>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</si>
  <si>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</si>
  <si>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</si>
  <si>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Cycle or Iteration</t>
  </si>
  <si>
    <t>Final parcel</t>
  </si>
  <si>
    <t>Cumulative votes</t>
  </si>
  <si>
    <t>Votes Remaining</t>
  </si>
  <si>
    <t>Coach 1</t>
  </si>
  <si>
    <t>Coach 2</t>
  </si>
  <si>
    <t>Coach 3</t>
  </si>
  <si>
    <t>Sum</t>
  </si>
  <si>
    <t>Rank</t>
  </si>
  <si>
    <t>Royals</t>
  </si>
  <si>
    <t>Mets</t>
  </si>
  <si>
    <t>Blue Jays</t>
  </si>
  <si>
    <t>Cubs</t>
  </si>
  <si>
    <t>Yankees</t>
  </si>
  <si>
    <t>Twins</t>
  </si>
  <si>
    <t>Cardinals</t>
  </si>
  <si>
    <t>July</t>
  </si>
  <si>
    <t>?</t>
  </si>
  <si>
    <t>June</t>
  </si>
  <si>
    <t>May</t>
  </si>
  <si>
    <t>April</t>
  </si>
  <si>
    <t>March</t>
  </si>
  <si>
    <t>February</t>
  </si>
  <si>
    <t>January</t>
  </si>
  <si>
    <t>Weighted 
5-Month Moving Average</t>
  </si>
  <si>
    <t>Weights for 
5-Month Moving Average</t>
  </si>
  <si>
    <t>5-Month Moving Average</t>
  </si>
  <si>
    <t>Weighted 
3-Month Moving Average</t>
  </si>
  <si>
    <t>Weights for 
3-Month Moving Average</t>
  </si>
  <si>
    <t>3-Month Moving Average</t>
  </si>
  <si>
    <t>Quantity</t>
  </si>
  <si>
    <t>Month</t>
  </si>
  <si>
    <t>5-Month Avg</t>
  </si>
  <si>
    <t>3-Month Avg</t>
  </si>
  <si>
    <t>Weighted Averages</t>
  </si>
  <si>
    <t>Moving Averages</t>
  </si>
  <si>
    <t>Initial Forecast</t>
  </si>
  <si>
    <t>α</t>
  </si>
  <si>
    <t>α = 0.8</t>
  </si>
  <si>
    <t>α = 0.2</t>
  </si>
  <si>
    <t>Actual Demand</t>
  </si>
  <si>
    <t>Week</t>
  </si>
  <si>
    <t>Solved Model</t>
  </si>
  <si>
    <t>y-value</t>
  </si>
  <si>
    <t>x-value</t>
  </si>
  <si>
    <t>Y-Predicted</t>
  </si>
  <si>
    <t>Companies</t>
  </si>
  <si>
    <t>A1</t>
  </si>
  <si>
    <t>A2</t>
  </si>
  <si>
    <t>A3</t>
  </si>
  <si>
    <t>A4</t>
  </si>
  <si>
    <t>A5</t>
  </si>
  <si>
    <t>Service</t>
  </si>
  <si>
    <t>Credits</t>
  </si>
  <si>
    <t>Global</t>
  </si>
  <si>
    <t>Connection</t>
  </si>
  <si>
    <t>Discounts</t>
  </si>
  <si>
    <t>Y</t>
  </si>
  <si>
    <t>N</t>
  </si>
  <si>
    <t>Order of Aspects</t>
  </si>
  <si>
    <t>Filter by connection</t>
  </si>
  <si>
    <t>Remaining Alternatives</t>
  </si>
  <si>
    <t>Since we crossed out something in each column except A3</t>
  </si>
  <si>
    <t>We keep A3.</t>
  </si>
  <si>
    <t>X4</t>
  </si>
  <si>
    <t>X3</t>
  </si>
  <si>
    <t>X2</t>
  </si>
  <si>
    <t>X1</t>
  </si>
  <si>
    <t>Alternatives</t>
  </si>
  <si>
    <t>Attributes</t>
  </si>
  <si>
    <t>Maximax</t>
  </si>
  <si>
    <t>Hurwicz Criteria</t>
  </si>
  <si>
    <t>Random</t>
  </si>
  <si>
    <t>Order of Matrix</t>
  </si>
  <si>
    <t>Strategic Importance</t>
  </si>
  <si>
    <t>Probability of Success</t>
  </si>
  <si>
    <t>NPV</t>
  </si>
  <si>
    <t>consistency index</t>
  </si>
  <si>
    <t>lambda_avg</t>
  </si>
  <si>
    <t>lambd_max</t>
  </si>
  <si>
    <t>Aw</t>
  </si>
  <si>
    <t>eigven vectors</t>
  </si>
  <si>
    <t>c. Consistency</t>
  </si>
  <si>
    <t>Project 3</t>
  </si>
  <si>
    <t>Project 2</t>
  </si>
  <si>
    <t>Project 1</t>
  </si>
  <si>
    <t>Local X Global</t>
  </si>
  <si>
    <t>Local Priorities</t>
  </si>
  <si>
    <t>Global Priorities</t>
  </si>
  <si>
    <t>&lt; 1% Change?</t>
  </si>
  <si>
    <t>eigen vector</t>
  </si>
  <si>
    <t>sum</t>
  </si>
  <si>
    <t>Pairwise comparison of Strategic Importance</t>
  </si>
  <si>
    <t>Pairwise Comparisons for Probability of Success</t>
  </si>
  <si>
    <t>Pairwise Comparison of NPV</t>
  </si>
  <si>
    <t>Project Selection Process</t>
  </si>
  <si>
    <t>b. Eigenvector method</t>
  </si>
  <si>
    <t xml:space="preserve">
</t>
  </si>
  <si>
    <t>a. Diagram</t>
  </si>
  <si>
    <t>Blake Conrad
HW2 Problem 3</t>
  </si>
  <si>
    <t>% of Alternatives that Score Above Cutting Score</t>
  </si>
  <si>
    <t>Optimal Cutting Score</t>
  </si>
  <si>
    <t>Potential Cutting Scores</t>
  </si>
  <si>
    <t>The appropriate set of alternatives is the following:
P1,P4,P7,P11,P12,P16, and P17.</t>
  </si>
  <si>
    <t>% of Alternatives Kept</t>
  </si>
  <si>
    <t>ALL TRUE?</t>
  </si>
  <si>
    <t>Net Present Value</t>
  </si>
  <si>
    <t>P</t>
  </si>
  <si>
    <t>Minimum Cutting Score</t>
  </si>
  <si>
    <t>Pc</t>
  </si>
  <si>
    <t>r</t>
  </si>
  <si>
    <t>a</t>
  </si>
  <si>
    <t>n</t>
  </si>
  <si>
    <t>Constants</t>
  </si>
  <si>
    <t>Blake Conrad
HW2 Problem 1</t>
  </si>
  <si>
    <t>Minimum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</si>
  <si>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</si>
  <si>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</si>
  <si>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</si>
  <si>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</si>
  <si>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</si>
  <si>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</si>
  <si>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</si>
  <si>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</si>
  <si>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</si>
  <si>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</si>
  <si>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</si>
  <si>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#keepPerAttr</t>
  </si>
  <si>
    <t>#rows</t>
  </si>
  <si>
    <t>Accept</t>
  </si>
  <si>
    <t>GPA</t>
  </si>
  <si>
    <t>GRE</t>
  </si>
  <si>
    <t>TOEFL</t>
  </si>
  <si>
    <t>Students</t>
  </si>
  <si>
    <t>Choose a cutting score value s.t. 62% of our alternatives are above it (i.e., You want the 38th percentile of each column, then color based on whos greater than or equal to).</t>
  </si>
  <si>
    <t>Lookup</t>
  </si>
  <si>
    <t>Conjunctive</t>
  </si>
  <si>
    <t>Disjunctive</t>
  </si>
  <si>
    <t>Pd = 1 - r^(1/n)</t>
  </si>
  <si>
    <t>Choose a cutting score value s.t. 9% of our alternatives are above it (i.e., You want the 38th percentile of each column, then color based on whos greater than or equal to).</t>
  </si>
  <si>
    <t>1st</t>
  </si>
  <si>
    <t>Shopping centre</t>
  </si>
  <si>
    <t>City centre</t>
  </si>
  <si>
    <t>Industrial area</t>
  </si>
  <si>
    <t>Local x Global</t>
  </si>
  <si>
    <t>Rental Costs</t>
  </si>
  <si>
    <t>Frequency</t>
  </si>
  <si>
    <t>Visibility</t>
  </si>
  <si>
    <t>Competition</t>
  </si>
  <si>
    <t>Renting costs</t>
  </si>
  <si>
    <t>Criteria Priorities</t>
  </si>
  <si>
    <t>Compute Global Priorities</t>
  </si>
  <si>
    <t>Normalized Sum</t>
  </si>
  <si>
    <t>Sum of Rows</t>
  </si>
  <si>
    <t>Pairwise comparison of Rental Costs</t>
  </si>
  <si>
    <t>Pairwise comparison of Frequency</t>
  </si>
  <si>
    <t>Pairwise comparison of Visibility</t>
  </si>
  <si>
    <t>Pairwise comparison of Competition</t>
  </si>
  <si>
    <t>4)  Calculate Local Priorities</t>
  </si>
  <si>
    <t>Score</t>
  </si>
  <si>
    <t>Sum of the rows</t>
  </si>
  <si>
    <t>2)  Sum the rows and normalize</t>
  </si>
  <si>
    <r>
      <t xml:space="preserve">1) </t>
    </r>
    <r>
      <rPr>
        <b/>
        <sz val="12"/>
        <rFont val="Calibri"/>
        <family val="2"/>
      </rPr>
      <t>Compare pairwise the importance of each criteria as regard to the goal</t>
    </r>
  </si>
  <si>
    <r>
      <rPr>
        <b/>
        <sz val="13"/>
        <rFont val="Calibri"/>
        <family val="2"/>
      </rPr>
      <t xml:space="preserve">A) Criteria </t>
    </r>
    <r>
      <rPr>
        <sz val="13"/>
        <rFont val="Calibri"/>
        <family val="2"/>
      </rPr>
      <t>(Visibility, Competition, Frequency, Renting costs)</t>
    </r>
  </si>
  <si>
    <r>
      <t xml:space="preserve">Priority calculation with the </t>
    </r>
    <r>
      <rPr>
        <b/>
        <sz val="16"/>
        <rFont val="Calibri"/>
        <family val="2"/>
      </rPr>
      <t>approximate Method</t>
    </r>
  </si>
  <si>
    <t>Geometric Mean</t>
  </si>
  <si>
    <t>3) Normalise the geometric mean = criteria priorities</t>
  </si>
  <si>
    <t>2) Calculate the geometric mean of the rows</t>
  </si>
  <si>
    <t>1) Compare pairwise the importance of each criteria as regard to the goal</t>
  </si>
  <si>
    <r>
      <t xml:space="preserve">Priority calculation with the </t>
    </r>
    <r>
      <rPr>
        <b/>
        <sz val="16"/>
        <rFont val="Calibri"/>
        <family val="2"/>
      </rPr>
      <t>Geometric Mean Method</t>
    </r>
  </si>
  <si>
    <t>SP 2</t>
  </si>
  <si>
    <t>SP 3</t>
  </si>
  <si>
    <t>SP 1</t>
  </si>
  <si>
    <t>SP 5</t>
  </si>
  <si>
    <t>SP 4</t>
  </si>
  <si>
    <t>Marginal Utility</t>
  </si>
  <si>
    <t>Raw Data</t>
  </si>
  <si>
    <t>Storage Size</t>
  </si>
  <si>
    <t>Screen Size</t>
  </si>
  <si>
    <t>Customer Review</t>
  </si>
  <si>
    <t>SP4</t>
  </si>
  <si>
    <t>SP1</t>
  </si>
  <si>
    <t>SP3</t>
  </si>
  <si>
    <t>SP5</t>
  </si>
  <si>
    <t>SP2</t>
  </si>
  <si>
    <t xml:space="preserve">Price Euros </t>
  </si>
  <si>
    <t>Scores</t>
  </si>
  <si>
    <t>Final Utility Scores</t>
  </si>
  <si>
    <t>Weight</t>
  </si>
  <si>
    <t>Storage Size (Go)</t>
  </si>
  <si>
    <t>Screen Size (in)</t>
  </si>
  <si>
    <t>Price (Euros)</t>
  </si>
  <si>
    <t>Weights</t>
  </si>
  <si>
    <t>Weighted Marginal Utility Scores</t>
  </si>
  <si>
    <t>Marginal Utility Scores</t>
  </si>
  <si>
    <t>Linear Score</t>
  </si>
  <si>
    <t>Exponential Score</t>
  </si>
  <si>
    <t>Note:  Best score for criterion is 1.00 and the worst score for a criterion is 0.00</t>
  </si>
  <si>
    <t>Normalised Scores</t>
  </si>
  <si>
    <t>max</t>
  </si>
  <si>
    <t xml:space="preserve">min </t>
  </si>
  <si>
    <t>Min/Max</t>
  </si>
  <si>
    <t>MAX</t>
  </si>
  <si>
    <t>MIN</t>
  </si>
  <si>
    <t>Performances of the different Smart Phones: 5 smartphones evaluated on 4 criteria.</t>
  </si>
  <si>
    <t>He/she has collated the raw evaluations (as found for instance on the web) of the 5 smart phones in the following performance table.</t>
  </si>
  <si>
    <t>Let us consider the following problem where a decision maker (DM) wants to rank 5 different smartphones. He/She defines therefore 4 criteria.</t>
  </si>
  <si>
    <r>
      <rPr>
        <b/>
        <sz val="16"/>
        <color indexed="8"/>
        <rFont val="Calibri"/>
        <family val="2"/>
      </rPr>
      <t>Exercise 4 - 1</t>
    </r>
    <r>
      <rPr>
        <sz val="16"/>
        <color indexed="8"/>
        <rFont val="Calibri"/>
        <family val="2"/>
      </rPr>
      <t>: Computation of the MAUT Scores of Case study 4 -  1</t>
    </r>
  </si>
  <si>
    <t>a7</t>
  </si>
  <si>
    <t>a6</t>
  </si>
  <si>
    <t>a5</t>
  </si>
  <si>
    <t>a4</t>
  </si>
  <si>
    <t>a3</t>
  </si>
  <si>
    <t>a2</t>
  </si>
  <si>
    <t>a1</t>
  </si>
  <si>
    <t>Design</t>
  </si>
  <si>
    <t>Perf.</t>
  </si>
  <si>
    <t>Comfort</t>
  </si>
  <si>
    <t>Price</t>
  </si>
  <si>
    <t>Normalized Weights</t>
  </si>
  <si>
    <t>Normalized Data</t>
  </si>
  <si>
    <t>Best Score</t>
  </si>
  <si>
    <t>Performance</t>
  </si>
  <si>
    <t>Maximize</t>
  </si>
  <si>
    <t>Minimize</t>
  </si>
  <si>
    <t>Repair Cost Reduction</t>
  </si>
  <si>
    <t>Transportation Optimization</t>
  </si>
  <si>
    <t>Acquisition Improvements</t>
  </si>
  <si>
    <t>System Enhancements</t>
  </si>
  <si>
    <t>(See Scale)</t>
  </si>
  <si>
    <t>(Scale - 1 (low) to 5 (high))</t>
  </si>
  <si>
    <t xml:space="preserve">Economic Benefit  </t>
  </si>
  <si>
    <t>Transportation Cost</t>
  </si>
  <si>
    <t>System Interface  (Scale - 1 (low) to 5 (high))</t>
  </si>
  <si>
    <t>Inventory Investment</t>
  </si>
  <si>
    <t>Development Cost</t>
  </si>
  <si>
    <t>Importance Weight</t>
  </si>
  <si>
    <t>NIS</t>
  </si>
  <si>
    <t>PIS</t>
  </si>
  <si>
    <t>Cost</t>
  </si>
  <si>
    <t>Fuel Economy</t>
  </si>
  <si>
    <t>Reliability</t>
  </si>
  <si>
    <t>Style</t>
  </si>
  <si>
    <t>Ford</t>
  </si>
  <si>
    <t>Saturn</t>
  </si>
  <si>
    <t>Mazda</t>
  </si>
  <si>
    <t>Civic</t>
  </si>
  <si>
    <t>Relative Score</t>
  </si>
  <si>
    <t>Auto</t>
  </si>
  <si>
    <t>Relative Score C*</t>
  </si>
  <si>
    <r>
      <t>S</t>
    </r>
    <r>
      <rPr>
        <vertAlign val="superscript"/>
        <sz val="11"/>
        <rFont val="Calibri"/>
        <family val="2"/>
      </rPr>
      <t>-</t>
    </r>
  </si>
  <si>
    <t>S*</t>
  </si>
  <si>
    <t>Attribute Weights</t>
  </si>
  <si>
    <t>Attribute Name</t>
  </si>
  <si>
    <t>Altermantives</t>
  </si>
  <si>
    <t>COST</t>
  </si>
  <si>
    <t>BENEFIT</t>
  </si>
  <si>
    <t>Input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</si>
</sst>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0.0"/>
    <numFmt numFmtId="166" formatCode="&quot;$&quot;#,##0"/>
    <numFmt numFmtId="167" formatCode="&quot;$&quot;#,##0.0"/>
    <numFmt numFmtId="168" formatCode="0.0000"/>
    <numFmt numFmtId="169" formatCode="0.000"/>
    <numFmt numFmtId="170" formatCode="&quot;$&quot;#,##0_);[Red]\(&quot;$&quot;#,##0\)"/>
    <numFmt numFmtId="172" formatCode="_(&quot;$&quot;* #,##0.0_);_(&quot;$&quot;* \(#,##0.0\);_(&quot;$&quot;* &quot;-&quot;??_);_(@_)"/>
    <numFmt numFmtId="174" formatCode="_(* #,##0_);_(* \(#,##0\);_(* &quot;-&quot;??_);_(@_)"/>
  </numFmts>
  <fonts count="6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indexed="81"/>
      <name val="Calibri"/>
    </font>
    <font>
      <b/>
      <sz val="14"/>
      <color theme="1"/>
      <name val="Calibri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mbria Math"/>
    </font>
    <font>
      <sz val="9"/>
      <color rgb="FF595959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Georgia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theme="1"/>
      <name val="Georgia"/>
      <family val="1"/>
    </font>
    <font>
      <b/>
      <i/>
      <sz val="18"/>
      <color rgb="FFFF0000"/>
      <name val="Georgia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sz val="18"/>
      <name val="Calibri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3"/>
      <name val="Calibri"/>
      <family val="2"/>
    </font>
    <font>
      <b/>
      <sz val="13"/>
      <name val="Calibri"/>
      <family val="2"/>
    </font>
    <font>
      <sz val="16"/>
      <name val="Calibri"/>
      <family val="2"/>
      <scheme val="minor"/>
    </font>
    <font>
      <b/>
      <sz val="16"/>
      <name val="Calibri"/>
      <family val="2"/>
    </font>
    <font>
      <b/>
      <u/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000000"/>
      <name val="Lucida Console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vertAlign val="superscript"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6CCA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9" applyNumberFormat="0" applyAlignment="0" applyProtection="0"/>
    <xf numFmtId="0" fontId="62" fillId="0" borderId="0"/>
  </cellStyleXfs>
  <cellXfs count="3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4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2" xfId="0" applyFont="1" applyBorder="1"/>
    <xf numFmtId="0" fontId="7" fillId="0" borderId="2" xfId="0" applyFont="1" applyBorder="1"/>
    <xf numFmtId="9" fontId="7" fillId="0" borderId="2" xfId="1" applyFont="1" applyBorder="1"/>
    <xf numFmtId="0" fontId="8" fillId="3" borderId="0" xfId="0" applyFont="1" applyFill="1" applyBorder="1"/>
    <xf numFmtId="0" fontId="7" fillId="3" borderId="0" xfId="0" applyFont="1" applyFill="1"/>
    <xf numFmtId="9" fontId="7" fillId="3" borderId="0" xfId="1" applyFont="1" applyFill="1" applyBorder="1"/>
    <xf numFmtId="0" fontId="9" fillId="3" borderId="0" xfId="0" applyFont="1" applyFill="1"/>
    <xf numFmtId="0" fontId="7" fillId="3" borderId="5" xfId="0" applyFont="1" applyFill="1" applyBorder="1"/>
    <xf numFmtId="0" fontId="7" fillId="3" borderId="0" xfId="0" applyFont="1" applyFill="1" applyBorder="1"/>
    <xf numFmtId="0" fontId="7" fillId="3" borderId="0" xfId="0" applyFont="1" applyFill="1" applyBorder="1" applyAlignment="1"/>
    <xf numFmtId="0" fontId="7" fillId="3" borderId="4" xfId="0" applyFont="1" applyFill="1" applyBorder="1" applyAlignment="1"/>
    <xf numFmtId="0" fontId="7" fillId="3" borderId="2" xfId="0" applyFont="1" applyFill="1" applyBorder="1"/>
    <xf numFmtId="0" fontId="7" fillId="3" borderId="0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/>
    <xf numFmtId="0" fontId="7" fillId="3" borderId="3" xfId="0" applyFont="1" applyFill="1" applyBorder="1"/>
    <xf numFmtId="164" fontId="7" fillId="3" borderId="7" xfId="1" applyNumberFormat="1" applyFont="1" applyFill="1" applyBorder="1"/>
    <xf numFmtId="164" fontId="7" fillId="3" borderId="7" xfId="0" applyNumberFormat="1" applyFont="1" applyFill="1" applyBorder="1"/>
    <xf numFmtId="164" fontId="7" fillId="3" borderId="6" xfId="1" applyNumberFormat="1" applyFont="1" applyFill="1" applyBorder="1"/>
    <xf numFmtId="165" fontId="7" fillId="3" borderId="2" xfId="1" applyNumberFormat="1" applyFont="1" applyFill="1" applyBorder="1"/>
    <xf numFmtId="165" fontId="7" fillId="3" borderId="2" xfId="0" applyNumberFormat="1" applyFont="1" applyFill="1" applyBorder="1"/>
    <xf numFmtId="165" fontId="7" fillId="3" borderId="0" xfId="0" applyNumberFormat="1" applyFont="1" applyFill="1"/>
    <xf numFmtId="0" fontId="8" fillId="3" borderId="0" xfId="0" applyFont="1" applyFill="1" applyAlignment="1">
      <alignment horizontal="center"/>
    </xf>
    <xf numFmtId="165" fontId="7" fillId="3" borderId="0" xfId="1" applyNumberFormat="1" applyFont="1" applyFill="1" applyBorder="1"/>
    <xf numFmtId="9" fontId="9" fillId="3" borderId="2" xfId="1" applyFont="1" applyFill="1" applyBorder="1"/>
    <xf numFmtId="0" fontId="9" fillId="3" borderId="2" xfId="0" applyFont="1" applyFill="1" applyBorder="1"/>
    <xf numFmtId="0" fontId="8" fillId="0" borderId="0" xfId="0" applyFont="1" applyFill="1" applyBorder="1"/>
    <xf numFmtId="9" fontId="7" fillId="0" borderId="0" xfId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0" fontId="11" fillId="0" borderId="2" xfId="0" applyFont="1" applyBorder="1"/>
    <xf numFmtId="2" fontId="11" fillId="0" borderId="2" xfId="0" applyNumberFormat="1" applyFont="1" applyBorder="1" applyAlignment="1">
      <alignment horizontal="center" vertical="center" wrapText="1"/>
    </xf>
    <xf numFmtId="2" fontId="11" fillId="0" borderId="2" xfId="0" applyNumberFormat="1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3" fillId="0" borderId="0" xfId="2"/>
    <xf numFmtId="1" fontId="0" fillId="0" borderId="2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14" fillId="0" borderId="0" xfId="0" applyFont="1"/>
    <xf numFmtId="0" fontId="0" fillId="4" borderId="0" xfId="0" applyFill="1" applyAlignment="1">
      <alignment horizontal="center"/>
    </xf>
    <xf numFmtId="0" fontId="15" fillId="0" borderId="0" xfId="0" applyFont="1" applyAlignment="1">
      <alignment horizontal="center" vertical="center" readingOrder="1"/>
    </xf>
    <xf numFmtId="2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66" fontId="0" fillId="0" borderId="0" xfId="0" applyNumberFormat="1"/>
    <xf numFmtId="166" fontId="0" fillId="10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6" fontId="3" fillId="9" borderId="0" xfId="0" applyNumberFormat="1" applyFont="1" applyFill="1"/>
    <xf numFmtId="166" fontId="0" fillId="9" borderId="0" xfId="0" applyNumberFormat="1" applyFill="1"/>
    <xf numFmtId="166" fontId="0" fillId="9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3" borderId="0" xfId="0" applyFill="1"/>
    <xf numFmtId="167" fontId="0" fillId="0" borderId="0" xfId="0" applyNumberFormat="1"/>
    <xf numFmtId="0" fontId="3" fillId="0" borderId="0" xfId="0" applyFont="1"/>
    <xf numFmtId="167" fontId="0" fillId="9" borderId="0" xfId="0" applyNumberFormat="1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2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17" borderId="2" xfId="0" applyFont="1" applyFill="1" applyBorder="1" applyAlignment="1">
      <alignment horizontal="center"/>
    </xf>
    <xf numFmtId="0" fontId="24" fillId="0" borderId="11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9" borderId="0" xfId="0" applyFont="1" applyFill="1" applyBorder="1" applyAlignment="1">
      <alignment horizontal="center" vertical="center"/>
    </xf>
    <xf numFmtId="0" fontId="25" fillId="9" borderId="12" xfId="0" applyFont="1" applyFill="1" applyBorder="1" applyAlignment="1">
      <alignment horizontal="center" vertical="center"/>
    </xf>
    <xf numFmtId="0" fontId="24" fillId="3" borderId="11" xfId="0" applyFont="1" applyFill="1" applyBorder="1" applyAlignment="1">
      <alignment horizontal="center" vertical="center"/>
    </xf>
    <xf numFmtId="0" fontId="25" fillId="9" borderId="13" xfId="0" applyFont="1" applyFill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9" borderId="0" xfId="0" applyFont="1" applyFill="1"/>
    <xf numFmtId="0" fontId="29" fillId="0" borderId="0" xfId="0" applyFont="1"/>
    <xf numFmtId="0" fontId="31" fillId="0" borderId="0" xfId="0" applyFont="1" applyAlignment="1">
      <alignment vertical="top" wrapText="1"/>
    </xf>
    <xf numFmtId="0" fontId="22" fillId="18" borderId="0" xfId="0" applyFont="1" applyFill="1" applyAlignment="1">
      <alignment horizontal="center" vertical="center"/>
    </xf>
    <xf numFmtId="0" fontId="32" fillId="9" borderId="0" xfId="0" applyFont="1" applyFill="1" applyAlignment="1">
      <alignment horizontal="center"/>
    </xf>
    <xf numFmtId="0" fontId="22" fillId="18" borderId="0" xfId="0" applyFont="1" applyFill="1" applyAlignment="1">
      <alignment horizontal="center" vertical="center" wrapText="1"/>
    </xf>
    <xf numFmtId="0" fontId="20" fillId="1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3" fillId="19" borderId="18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3" fillId="19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20" fillId="9" borderId="15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3" fillId="21" borderId="16" xfId="0" applyFont="1" applyFill="1" applyBorder="1" applyAlignment="1">
      <alignment horizontal="center" vertical="center"/>
    </xf>
    <xf numFmtId="0" fontId="3" fillId="21" borderId="17" xfId="0" applyFont="1" applyFill="1" applyBorder="1" applyAlignment="1">
      <alignment horizontal="center" vertical="center"/>
    </xf>
    <xf numFmtId="0" fontId="3" fillId="9" borderId="18" xfId="0" applyFont="1" applyFill="1" applyBorder="1"/>
    <xf numFmtId="0" fontId="3" fillId="19" borderId="23" xfId="0" applyFont="1" applyFill="1" applyBorder="1" applyAlignment="1">
      <alignment horizontal="center"/>
    </xf>
    <xf numFmtId="0" fontId="3" fillId="21" borderId="23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9" fontId="0" fillId="11" borderId="2" xfId="0" applyNumberFormat="1" applyFill="1" applyBorder="1" applyAlignment="1">
      <alignment horizontal="center"/>
    </xf>
    <xf numFmtId="0" fontId="33" fillId="9" borderId="0" xfId="0" applyFont="1" applyFill="1" applyAlignment="1">
      <alignment horizontal="center" vertical="center"/>
    </xf>
    <xf numFmtId="9" fontId="0" fillId="11" borderId="22" xfId="0" applyNumberFormat="1" applyFill="1" applyBorder="1" applyAlignment="1">
      <alignment horizontal="center"/>
    </xf>
    <xf numFmtId="0" fontId="33" fillId="9" borderId="0" xfId="0" applyFont="1" applyFill="1" applyAlignment="1">
      <alignment horizontal="center" vertical="center" wrapText="1"/>
    </xf>
    <xf numFmtId="9" fontId="20" fillId="9" borderId="15" xfId="0" applyNumberFormat="1" applyFon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3" borderId="16" xfId="0" applyNumberFormat="1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/>
    </xf>
    <xf numFmtId="0" fontId="3" fillId="19" borderId="26" xfId="0" applyFont="1" applyFill="1" applyBorder="1" applyAlignment="1">
      <alignment horizontal="center"/>
    </xf>
    <xf numFmtId="0" fontId="3" fillId="19" borderId="27" xfId="0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11" borderId="2" xfId="0" applyNumberFormat="1" applyFill="1" applyBorder="1" applyAlignment="1">
      <alignment horizontal="center"/>
    </xf>
    <xf numFmtId="166" fontId="0" fillId="11" borderId="22" xfId="0" applyNumberFormat="1" applyFill="1" applyBorder="1" applyAlignment="1">
      <alignment horizontal="center"/>
    </xf>
    <xf numFmtId="0" fontId="3" fillId="22" borderId="0" xfId="0" applyFont="1" applyFill="1" applyBorder="1" applyAlignment="1">
      <alignment horizontal="center" vertical="center"/>
    </xf>
    <xf numFmtId="9" fontId="3" fillId="22" borderId="0" xfId="0" applyNumberFormat="1" applyFont="1" applyFill="1" applyBorder="1" applyAlignment="1">
      <alignment horizontal="center" vertical="center"/>
    </xf>
    <xf numFmtId="166" fontId="3" fillId="22" borderId="0" xfId="0" applyNumberFormat="1" applyFont="1" applyFill="1" applyBorder="1" applyAlignment="1">
      <alignment horizontal="center" vertical="center"/>
    </xf>
    <xf numFmtId="166" fontId="20" fillId="9" borderId="15" xfId="0" applyNumberFormat="1" applyFont="1" applyFill="1" applyBorder="1" applyAlignment="1">
      <alignment horizontal="center"/>
    </xf>
    <xf numFmtId="166" fontId="0" fillId="11" borderId="16" xfId="0" applyNumberFormat="1" applyFill="1" applyBorder="1" applyAlignment="1">
      <alignment horizontal="center"/>
    </xf>
    <xf numFmtId="0" fontId="3" fillId="23" borderId="0" xfId="0" applyFont="1" applyFill="1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4" fillId="0" borderId="2" xfId="0" applyFont="1" applyBorder="1"/>
    <xf numFmtId="0" fontId="31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/>
    </xf>
    <xf numFmtId="0" fontId="22" fillId="14" borderId="0" xfId="0" applyFont="1" applyFill="1" applyAlignment="1">
      <alignment horizontal="center"/>
    </xf>
    <xf numFmtId="0" fontId="4" fillId="0" borderId="0" xfId="0" applyFont="1"/>
    <xf numFmtId="0" fontId="34" fillId="9" borderId="2" xfId="0" applyFont="1" applyFill="1" applyBorder="1"/>
    <xf numFmtId="165" fontId="34" fillId="0" borderId="2" xfId="0" applyNumberFormat="1" applyFont="1" applyBorder="1"/>
    <xf numFmtId="0" fontId="35" fillId="0" borderId="2" xfId="0" applyFont="1" applyFill="1" applyBorder="1" applyAlignment="1">
      <alignment horizontal="left" wrapText="1" readingOrder="1"/>
    </xf>
    <xf numFmtId="165" fontId="36" fillId="0" borderId="2" xfId="0" applyNumberFormat="1" applyFont="1" applyFill="1" applyBorder="1" applyAlignment="1">
      <alignment horizontal="center" wrapText="1" readingOrder="1"/>
    </xf>
    <xf numFmtId="0" fontId="36" fillId="0" borderId="2" xfId="0" applyFont="1" applyFill="1" applyBorder="1" applyAlignment="1">
      <alignment horizontal="center" wrapText="1" readingOrder="1"/>
    </xf>
    <xf numFmtId="0" fontId="36" fillId="0" borderId="2" xfId="0" applyFont="1" applyBorder="1" applyAlignment="1">
      <alignment horizontal="left" wrapText="1" readingOrder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wrapText="1" readingOrder="1"/>
    </xf>
    <xf numFmtId="0" fontId="36" fillId="0" borderId="2" xfId="0" applyFont="1" applyBorder="1" applyAlignment="1">
      <alignment horizontal="center" wrapText="1" readingOrder="1"/>
    </xf>
    <xf numFmtId="0" fontId="38" fillId="0" borderId="1" xfId="0" applyFont="1" applyBorder="1" applyAlignment="1">
      <alignment horizontal="center"/>
    </xf>
    <xf numFmtId="0" fontId="38" fillId="0" borderId="0" xfId="0" applyFont="1" applyAlignment="1"/>
    <xf numFmtId="0" fontId="39" fillId="0" borderId="0" xfId="0" applyFont="1" applyAlignment="1">
      <alignment horizontal="center" vertical="center"/>
    </xf>
    <xf numFmtId="0" fontId="23" fillId="0" borderId="0" xfId="0" applyFont="1"/>
    <xf numFmtId="2" fontId="23" fillId="0" borderId="0" xfId="0" applyNumberFormat="1" applyFont="1" applyBorder="1"/>
    <xf numFmtId="0" fontId="40" fillId="0" borderId="0" xfId="0" applyFont="1" applyBorder="1"/>
    <xf numFmtId="0" fontId="23" fillId="0" borderId="2" xfId="0" applyFont="1" applyBorder="1"/>
    <xf numFmtId="168" fontId="23" fillId="0" borderId="2" xfId="0" applyNumberFormat="1" applyFont="1" applyBorder="1"/>
    <xf numFmtId="2" fontId="23" fillId="0" borderId="2" xfId="0" applyNumberFormat="1" applyFont="1" applyBorder="1" applyAlignment="1">
      <alignment horizontal="left"/>
    </xf>
    <xf numFmtId="2" fontId="23" fillId="0" borderId="2" xfId="0" applyNumberFormat="1" applyFont="1" applyFill="1" applyBorder="1"/>
    <xf numFmtId="2" fontId="41" fillId="0" borderId="2" xfId="0" applyNumberFormat="1" applyFont="1" applyFill="1" applyBorder="1"/>
    <xf numFmtId="2" fontId="23" fillId="0" borderId="2" xfId="0" applyNumberFormat="1" applyFont="1" applyBorder="1"/>
    <xf numFmtId="2" fontId="40" fillId="0" borderId="2" xfId="0" applyNumberFormat="1" applyFont="1" applyBorder="1"/>
    <xf numFmtId="0" fontId="42" fillId="0" borderId="0" xfId="0" applyFont="1" applyBorder="1"/>
    <xf numFmtId="168" fontId="23" fillId="0" borderId="2" xfId="1" applyNumberFormat="1" applyFont="1" applyBorder="1"/>
    <xf numFmtId="2" fontId="41" fillId="0" borderId="0" xfId="0" applyNumberFormat="1" applyFont="1" applyBorder="1"/>
    <xf numFmtId="0" fontId="23" fillId="0" borderId="2" xfId="0" applyFont="1" applyBorder="1" applyAlignment="1">
      <alignment horizontal="left"/>
    </xf>
    <xf numFmtId="0" fontId="41" fillId="0" borderId="0" xfId="0" applyFont="1" applyAlignment="1">
      <alignment horizontal="center"/>
    </xf>
    <xf numFmtId="168" fontId="23" fillId="0" borderId="0" xfId="0" applyNumberFormat="1" applyFont="1"/>
    <xf numFmtId="12" fontId="23" fillId="0" borderId="0" xfId="0" applyNumberFormat="1" applyFont="1" applyFill="1" applyBorder="1" applyAlignment="1">
      <alignment horizontal="left" indent="5"/>
    </xf>
    <xf numFmtId="12" fontId="23" fillId="0" borderId="0" xfId="0" applyNumberFormat="1" applyFont="1" applyBorder="1" applyAlignment="1">
      <alignment horizontal="left" indent="5"/>
    </xf>
    <xf numFmtId="12" fontId="23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168" fontId="23" fillId="24" borderId="2" xfId="0" applyNumberFormat="1" applyFont="1" applyFill="1" applyBorder="1" applyAlignment="1">
      <alignment horizontal="left" indent="5"/>
    </xf>
    <xf numFmtId="0" fontId="23" fillId="0" borderId="2" xfId="0" applyFont="1" applyFill="1" applyBorder="1" applyAlignment="1">
      <alignment horizontal="center"/>
    </xf>
    <xf numFmtId="0" fontId="43" fillId="0" borderId="0" xfId="0" applyFont="1"/>
    <xf numFmtId="12" fontId="23" fillId="24" borderId="2" xfId="0" applyNumberFormat="1" applyFont="1" applyFill="1" applyBorder="1" applyAlignment="1">
      <alignment horizontal="left" indent="5"/>
    </xf>
    <xf numFmtId="12" fontId="23" fillId="0" borderId="2" xfId="0" applyNumberFormat="1" applyFont="1" applyBorder="1" applyAlignment="1">
      <alignment horizontal="left" indent="5"/>
    </xf>
    <xf numFmtId="12" fontId="23" fillId="0" borderId="2" xfId="0" applyNumberFormat="1" applyFont="1" applyBorder="1" applyAlignment="1">
      <alignment horizontal="center"/>
    </xf>
    <xf numFmtId="12" fontId="41" fillId="0" borderId="2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12" fontId="41" fillId="0" borderId="2" xfId="0" applyNumberFormat="1" applyFont="1" applyBorder="1" applyAlignment="1">
      <alignment horizontal="left" indent="5"/>
    </xf>
    <xf numFmtId="0" fontId="44" fillId="0" borderId="0" xfId="0" applyFont="1"/>
    <xf numFmtId="0" fontId="42" fillId="0" borderId="0" xfId="0" applyFont="1"/>
    <xf numFmtId="168" fontId="23" fillId="0" borderId="0" xfId="0" applyNumberFormat="1" applyFont="1" applyBorder="1"/>
    <xf numFmtId="0" fontId="41" fillId="0" borderId="0" xfId="0" applyFont="1"/>
    <xf numFmtId="168" fontId="23" fillId="0" borderId="0" xfId="1" applyNumberFormat="1" applyFont="1"/>
    <xf numFmtId="169" fontId="23" fillId="0" borderId="0" xfId="0" applyNumberFormat="1" applyFont="1"/>
    <xf numFmtId="0" fontId="23" fillId="0" borderId="2" xfId="0" applyFont="1" applyFill="1" applyBorder="1"/>
    <xf numFmtId="169" fontId="23" fillId="0" borderId="2" xfId="0" applyNumberFormat="1" applyFont="1" applyFill="1" applyBorder="1"/>
    <xf numFmtId="0" fontId="23" fillId="0" borderId="0" xfId="0" applyFont="1" applyFill="1"/>
    <xf numFmtId="0" fontId="23" fillId="0" borderId="0" xfId="0" applyFont="1" applyBorder="1"/>
    <xf numFmtId="12" fontId="23" fillId="0" borderId="0" xfId="0" applyNumberFormat="1" applyFont="1" applyBorder="1"/>
    <xf numFmtId="12" fontId="23" fillId="0" borderId="0" xfId="0" applyNumberFormat="1" applyFont="1"/>
    <xf numFmtId="12" fontId="23" fillId="0" borderId="0" xfId="0" applyNumberFormat="1" applyFont="1" applyAlignment="1">
      <alignment horizontal="center"/>
    </xf>
    <xf numFmtId="0" fontId="44" fillId="0" borderId="0" xfId="0" applyFont="1" applyFill="1"/>
    <xf numFmtId="0" fontId="46" fillId="0" borderId="0" xfId="0" applyFont="1"/>
    <xf numFmtId="0" fontId="48" fillId="0" borderId="0" xfId="0" applyFont="1"/>
    <xf numFmtId="12" fontId="23" fillId="0" borderId="2" xfId="0" applyNumberFormat="1" applyFont="1" applyBorder="1"/>
    <xf numFmtId="169" fontId="0" fillId="0" borderId="2" xfId="0" applyNumberFormat="1" applyBorder="1"/>
    <xf numFmtId="0" fontId="0" fillId="0" borderId="2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0" applyNumberFormat="1" applyBorder="1"/>
    <xf numFmtId="0" fontId="0" fillId="0" borderId="4" xfId="0" applyBorder="1"/>
    <xf numFmtId="169" fontId="0" fillId="0" borderId="0" xfId="0" applyNumberFormat="1" applyBorder="1"/>
    <xf numFmtId="0" fontId="19" fillId="8" borderId="4" xfId="8" applyBorder="1" applyAlignment="1">
      <alignment horizontal="center"/>
    </xf>
    <xf numFmtId="0" fontId="19" fillId="8" borderId="0" xfId="8" applyBorder="1" applyAlignment="1">
      <alignment horizontal="center"/>
    </xf>
    <xf numFmtId="0" fontId="18" fillId="7" borderId="4" xfId="7" applyBorder="1"/>
    <xf numFmtId="0" fontId="0" fillId="0" borderId="4" xfId="0" applyBorder="1" applyAlignment="1">
      <alignment horizontal="center"/>
    </xf>
    <xf numFmtId="0" fontId="0" fillId="0" borderId="0" xfId="0" applyFont="1" applyBorder="1" applyAlignment="1">
      <alignment horizontal="center"/>
    </xf>
    <xf numFmtId="169" fontId="0" fillId="0" borderId="4" xfId="0" applyNumberFormat="1" applyFont="1" applyBorder="1" applyAlignment="1">
      <alignment horizontal="center"/>
    </xf>
    <xf numFmtId="169" fontId="0" fillId="0" borderId="0" xfId="0" applyNumberFormat="1" applyFont="1" applyBorder="1" applyAlignment="1">
      <alignment horizontal="center"/>
    </xf>
    <xf numFmtId="169" fontId="53" fillId="0" borderId="0" xfId="0" applyNumberFormat="1" applyFont="1" applyBorder="1" applyAlignment="1">
      <alignment horizontal="center" vertical="center"/>
    </xf>
    <xf numFmtId="0" fontId="0" fillId="0" borderId="10" xfId="0" applyBorder="1"/>
    <xf numFmtId="0" fontId="19" fillId="8" borderId="9" xfId="8" applyAlignment="1">
      <alignment horizontal="center"/>
    </xf>
    <xf numFmtId="0" fontId="18" fillId="7" borderId="10" xfId="7" applyBorder="1"/>
    <xf numFmtId="0" fontId="19" fillId="8" borderId="4" xfId="8" applyBorder="1" applyAlignment="1">
      <alignment horizontal="center" vertical="center"/>
    </xf>
    <xf numFmtId="0" fontId="19" fillId="8" borderId="0" xfId="8" applyBorder="1" applyAlignment="1">
      <alignment horizontal="center" vertical="center"/>
    </xf>
    <xf numFmtId="169" fontId="12" fillId="0" borderId="4" xfId="0" applyNumberFormat="1" applyFont="1" applyBorder="1" applyAlignment="1">
      <alignment horizontal="center"/>
    </xf>
    <xf numFmtId="169" fontId="12" fillId="0" borderId="0" xfId="0" applyNumberFormat="1" applyFont="1" applyBorder="1" applyAlignment="1">
      <alignment horizontal="center"/>
    </xf>
    <xf numFmtId="0" fontId="0" fillId="9" borderId="0" xfId="0" applyFill="1" applyBorder="1"/>
    <xf numFmtId="169" fontId="0" fillId="9" borderId="0" xfId="0" applyNumberFormat="1" applyFill="1" applyBorder="1"/>
    <xf numFmtId="0" fontId="17" fillId="6" borderId="4" xfId="6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2" fillId="0" borderId="4" xfId="0" applyFont="1" applyBorder="1"/>
    <xf numFmtId="0" fontId="54" fillId="0" borderId="0" xfId="0" applyFont="1" applyBorder="1" applyAlignment="1">
      <alignment horizontal="center"/>
    </xf>
    <xf numFmtId="0" fontId="55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54" fillId="0" borderId="4" xfId="0" applyFont="1" applyBorder="1" applyAlignment="1">
      <alignment horizontal="center"/>
    </xf>
    <xf numFmtId="0" fontId="55" fillId="0" borderId="4" xfId="0" applyFont="1" applyBorder="1" applyAlignment="1">
      <alignment horizontal="center"/>
    </xf>
    <xf numFmtId="0" fontId="12" fillId="25" borderId="28" xfId="0" applyFont="1" applyFill="1" applyBorder="1" applyAlignment="1">
      <alignment horizontal="center"/>
    </xf>
    <xf numFmtId="0" fontId="12" fillId="25" borderId="1" xfId="0" applyFont="1" applyFill="1" applyBorder="1" applyAlignment="1">
      <alignment horizontal="center"/>
    </xf>
    <xf numFmtId="0" fontId="0" fillId="25" borderId="28" xfId="0" applyFill="1" applyBorder="1"/>
    <xf numFmtId="0" fontId="16" fillId="5" borderId="4" xfId="5" applyBorder="1"/>
    <xf numFmtId="0" fontId="33" fillId="0" borderId="0" xfId="0" applyFont="1"/>
    <xf numFmtId="168" fontId="0" fillId="0" borderId="2" xfId="0" applyNumberFormat="1" applyBorder="1"/>
    <xf numFmtId="0" fontId="12" fillId="0" borderId="2" xfId="0" applyFont="1" applyBorder="1"/>
    <xf numFmtId="0" fontId="0" fillId="9" borderId="4" xfId="0" applyFill="1" applyBorder="1"/>
    <xf numFmtId="0" fontId="55" fillId="9" borderId="4" xfId="0" applyFont="1" applyFill="1" applyBorder="1" applyAlignment="1">
      <alignment horizontal="center"/>
    </xf>
    <xf numFmtId="0" fontId="55" fillId="9" borderId="0" xfId="0" applyFont="1" applyFill="1" applyBorder="1" applyAlignment="1">
      <alignment horizontal="center"/>
    </xf>
    <xf numFmtId="0" fontId="0" fillId="0" borderId="2" xfId="0" applyFont="1" applyFill="1" applyBorder="1"/>
    <xf numFmtId="0" fontId="60" fillId="0" borderId="0" xfId="0" applyFont="1" applyBorder="1"/>
    <xf numFmtId="0" fontId="60" fillId="0" borderId="2" xfId="0" applyFont="1" applyBorder="1" applyAlignment="1">
      <alignment horizontal="center"/>
    </xf>
    <xf numFmtId="0" fontId="60" fillId="0" borderId="0" xfId="0" applyFont="1"/>
    <xf numFmtId="0" fontId="42" fillId="0" borderId="2" xfId="0" applyFont="1" applyBorder="1"/>
    <xf numFmtId="0" fontId="42" fillId="0" borderId="2" xfId="0" applyFont="1" applyFill="1" applyBorder="1"/>
    <xf numFmtId="0" fontId="60" fillId="0" borderId="2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170" fontId="0" fillId="0" borderId="2" xfId="0" applyNumberFormat="1" applyBorder="1" applyAlignment="1">
      <alignment wrapText="1"/>
    </xf>
    <xf numFmtId="9" fontId="0" fillId="0" borderId="2" xfId="0" applyNumberFormat="1" applyBorder="1" applyAlignment="1">
      <alignment wrapText="1"/>
    </xf>
    <xf numFmtId="0" fontId="12" fillId="0" borderId="2" xfId="0" applyFont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168" fontId="23" fillId="0" borderId="2" xfId="0" applyNumberFormat="1" applyFont="1" applyBorder="1" applyAlignment="1">
      <alignment horizontal="center"/>
    </xf>
    <xf numFmtId="0" fontId="41" fillId="0" borderId="2" xfId="0" applyFont="1" applyBorder="1" applyAlignment="1">
      <alignment horizontal="center"/>
    </xf>
    <xf numFmtId="0" fontId="41" fillId="0" borderId="2" xfId="0" applyFont="1" applyBorder="1"/>
    <xf numFmtId="0" fontId="23" fillId="0" borderId="2" xfId="0" applyFont="1" applyBorder="1" applyAlignment="1">
      <alignment wrapText="1"/>
    </xf>
    <xf numFmtId="9" fontId="23" fillId="0" borderId="2" xfId="0" applyNumberFormat="1" applyFont="1" applyBorder="1"/>
    <xf numFmtId="0" fontId="23" fillId="0" borderId="0" xfId="0" applyFont="1" applyAlignment="1">
      <alignment wrapText="1"/>
    </xf>
    <xf numFmtId="164" fontId="41" fillId="0" borderId="2" xfId="0" applyNumberFormat="1" applyFont="1" applyBorder="1" applyAlignment="1">
      <alignment horizontal="center" wrapText="1"/>
    </xf>
    <xf numFmtId="0" fontId="41" fillId="0" borderId="2" xfId="0" applyFont="1" applyBorder="1" applyAlignment="1">
      <alignment wrapText="1"/>
    </xf>
    <xf numFmtId="0" fontId="23" fillId="0" borderId="0" xfId="0" applyFont="1" applyBorder="1" applyAlignment="1">
      <alignment wrapText="1"/>
    </xf>
    <xf numFmtId="1" fontId="23" fillId="0" borderId="2" xfId="4" applyNumberFormat="1" applyFont="1" applyBorder="1"/>
    <xf numFmtId="1" fontId="23" fillId="0" borderId="2" xfId="1" applyNumberFormat="1" applyFont="1" applyBorder="1"/>
    <xf numFmtId="1" fontId="23" fillId="0" borderId="2" xfId="0" applyNumberFormat="1" applyFont="1" applyBorder="1"/>
    <xf numFmtId="172" fontId="29" fillId="0" borderId="0" xfId="0" applyNumberFormat="1" applyFont="1" applyBorder="1"/>
    <xf numFmtId="9" fontId="29" fillId="0" borderId="0" xfId="0" applyNumberFormat="1" applyFont="1" applyBorder="1"/>
    <xf numFmtId="174" fontId="29" fillId="0" borderId="0" xfId="3" applyNumberFormat="1" applyFont="1" applyBorder="1"/>
    <xf numFmtId="0" fontId="29" fillId="0" borderId="0" xfId="0" applyFont="1" applyBorder="1"/>
    <xf numFmtId="1" fontId="29" fillId="0" borderId="2" xfId="0" applyNumberFormat="1" applyFont="1" applyBorder="1"/>
    <xf numFmtId="174" fontId="29" fillId="0" borderId="2" xfId="3" applyNumberFormat="1" applyFont="1" applyBorder="1"/>
    <xf numFmtId="0" fontId="29" fillId="0" borderId="2" xfId="0" applyFont="1" applyBorder="1"/>
    <xf numFmtId="0" fontId="63" fillId="0" borderId="0" xfId="9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0">
    <cellStyle name="Bad" xfId="6" builtinId="27"/>
    <cellStyle name="Check Cell" xfId="8" builtinId="23"/>
    <cellStyle name="Comma" xfId="3" builtinId="3"/>
    <cellStyle name="Currency" xfId="4" builtinId="4"/>
    <cellStyle name="Good" xfId="5" builtinId="26"/>
    <cellStyle name="Hyperlink" xfId="2" builtinId="8"/>
    <cellStyle name="Neutral" xfId="7" builtinId="28"/>
    <cellStyle name="Normal" xfId="0" builtinId="0"/>
    <cellStyle name="Normal_Sheet3" xfId="9"/>
    <cellStyle name="Percent" xfId="1" builtinId="5"/>
  </cellStyles>
  <dxfs count="1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numFmt numFmtId="169" formatCode="0.000"/>
      <alignment horizontal="center" vertical="center" textRotation="0" wrapText="0" indent="0" justifyLastLine="0" shrinkToFit="0" readingOrder="0"/>
    </dxf>
    <dxf>
      <numFmt numFmtId="169" formatCode="0.00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</border>
    </dxf>
    <dxf>
      <numFmt numFmtId="169" formatCode="0.000"/>
    </dxf>
    <dxf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numFmt numFmtId="169" formatCode="0.000"/>
      <alignment horizontal="center" vertical="center" textRotation="0" wrapText="0" indent="0" justifyLastLine="0" shrinkToFit="0" readingOrder="0"/>
    </dxf>
    <dxf>
      <numFmt numFmtId="169" formatCode="0.000"/>
    </dxf>
    <dxf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6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numFmt numFmtId="169" formatCode="0.000"/>
      <alignment horizontal="center" vertical="center" textRotation="0" wrapText="0" indent="0" justifyLastLine="0" shrinkToFit="0" readingOrder="0"/>
    </dxf>
    <dxf>
      <numFmt numFmtId="169" formatCode="0.00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</border>
    </dxf>
    <dxf>
      <numFmt numFmtId="169" formatCode="0.000"/>
    </dxf>
    <dxf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numFmt numFmtId="169" formatCode="0.000"/>
      <alignment horizontal="center" vertical="center" textRotation="0" wrapText="0" indent="0" justifyLastLine="0" shrinkToFit="0" readingOrder="0"/>
    </dxf>
    <dxf>
      <numFmt numFmtId="169" formatCode="0.000"/>
    </dxf>
    <dxf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9" formatCode="0.000"/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8047900262467"/>
                  <c:y val="-0.1561858413531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Forecasting!$C$44:$C$49</c:f>
              <c:numCache>
                <c:formatCode>0.00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Forecasting!$D$44:$D$49</c:f>
              <c:numCache>
                <c:formatCode>0.00</c:formatCode>
                <c:ptCount val="6"/>
                <c:pt idx="0">
                  <c:v>1325.0</c:v>
                </c:pt>
                <c:pt idx="1">
                  <c:v>1353.0</c:v>
                </c:pt>
                <c:pt idx="2">
                  <c:v>1305.0</c:v>
                </c:pt>
                <c:pt idx="3">
                  <c:v>1275.0</c:v>
                </c:pt>
                <c:pt idx="4">
                  <c:v>1210.0</c:v>
                </c:pt>
                <c:pt idx="5">
                  <c:v>1195.0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58866000"/>
        <c:axId val="-1958862016"/>
      </c:scatterChart>
      <c:valAx>
        <c:axId val="-195886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8862016"/>
        <c:crosses val="autoZero"/>
        <c:crossBetween val="midCat"/>
      </c:valAx>
      <c:valAx>
        <c:axId val="-19588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5886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Global Utility Score</c:v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MAUT!$A$44:$A$48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MAUT!$B$44:$B$48</c:f>
              <c:numCache>
                <c:formatCode>0.000</c:formatCode>
                <c:ptCount val="5"/>
                <c:pt idx="0">
                  <c:v>0.502702444804437</c:v>
                </c:pt>
                <c:pt idx="1">
                  <c:v>0.173937673827493</c:v>
                </c:pt>
                <c:pt idx="2">
                  <c:v>0.654241267479279</c:v>
                </c:pt>
                <c:pt idx="3">
                  <c:v>0.449999965058509</c:v>
                </c:pt>
                <c:pt idx="4">
                  <c:v>0.418313872189612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98714224"/>
        <c:axId val="-1798753552"/>
      </c:barChart>
      <c:catAx>
        <c:axId val="-179871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98753552"/>
        <c:crosses val="autoZero"/>
        <c:auto val="1"/>
        <c:lblAlgn val="ctr"/>
        <c:lblOffset val="100"/>
        <c:noMultiLvlLbl val="0"/>
      </c:catAx>
      <c:valAx>
        <c:axId val="-179875355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79871422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Weighted Utility Scores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MAUT!$H$31</c:f>
              <c:strCache>
                <c:ptCount val="1"/>
                <c:pt idx="0">
                  <c:v>Price (Euros)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MAUT!$G$32:$G$36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MAUT!$H$32:$H$36</c:f>
              <c:numCache>
                <c:formatCode>0.000</c:formatCode>
                <c:ptCount val="5"/>
                <c:pt idx="0">
                  <c:v>0.285014770976944</c:v>
                </c:pt>
                <c:pt idx="1">
                  <c:v>0.0</c:v>
                </c:pt>
                <c:pt idx="2">
                  <c:v>0.15424130242077</c:v>
                </c:pt>
                <c:pt idx="3">
                  <c:v>0.349999965058509</c:v>
                </c:pt>
                <c:pt idx="4">
                  <c:v>0.040310703242567</c:v>
                </c:pt>
              </c:numCache>
            </c:numRef>
          </c:val>
        </c:ser>
        <c:ser>
          <c:idx val="1"/>
          <c:order val="1"/>
          <c:tx>
            <c:strRef>
              <c:f>MAUT!$I$31</c:f>
              <c:strCache>
                <c:ptCount val="1"/>
                <c:pt idx="0">
                  <c:v>Customer Review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strRef>
              <c:f>MAUT!$G$32:$G$36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MAUT!$I$32:$I$36</c:f>
              <c:numCache>
                <c:formatCode>0.000</c:formatCode>
                <c:ptCount val="5"/>
                <c:pt idx="0">
                  <c:v>0.023937673827493</c:v>
                </c:pt>
                <c:pt idx="1">
                  <c:v>0.023937673827493</c:v>
                </c:pt>
                <c:pt idx="2">
                  <c:v>0.349999965058509</c:v>
                </c:pt>
                <c:pt idx="3">
                  <c:v>0.0</c:v>
                </c:pt>
                <c:pt idx="4">
                  <c:v>0.228003168947045</c:v>
                </c:pt>
              </c:numCache>
            </c:numRef>
          </c:val>
        </c:ser>
        <c:ser>
          <c:idx val="2"/>
          <c:order val="2"/>
          <c:tx>
            <c:strRef>
              <c:f>MAUT!$J$31</c:f>
              <c:strCache>
                <c:ptCount val="1"/>
                <c:pt idx="0">
                  <c:v>Screen Size (in)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MAUT!$G$32:$G$36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MAUT!$J$32:$J$36</c:f>
              <c:numCache>
                <c:formatCode>0.000</c:formatCode>
                <c:ptCount val="5"/>
                <c:pt idx="0">
                  <c:v>0.14375</c:v>
                </c:pt>
                <c:pt idx="1">
                  <c:v>0.0</c:v>
                </c:pt>
                <c:pt idx="2">
                  <c:v>0.0999999999999999</c:v>
                </c:pt>
                <c:pt idx="3">
                  <c:v>0.0999999999999999</c:v>
                </c:pt>
                <c:pt idx="4">
                  <c:v>0.15</c:v>
                </c:pt>
              </c:numCache>
            </c:numRef>
          </c:val>
        </c:ser>
        <c:ser>
          <c:idx val="3"/>
          <c:order val="3"/>
          <c:tx>
            <c:strRef>
              <c:f>MAUT!$K$31</c:f>
              <c:strCache>
                <c:ptCount val="1"/>
                <c:pt idx="0">
                  <c:v>Storage Size (Go)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strRef>
              <c:f>MAUT!$G$32:$G$36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MAUT!$K$32:$K$36</c:f>
              <c:numCache>
                <c:formatCode>0.000</c:formatCode>
                <c:ptCount val="5"/>
                <c:pt idx="0">
                  <c:v>0.05</c:v>
                </c:pt>
                <c:pt idx="1">
                  <c:v>0.15</c:v>
                </c:pt>
                <c:pt idx="2">
                  <c:v>0.05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ser>
          <c:idx val="4"/>
          <c:order val="4"/>
          <c:tx>
            <c:strRef>
              <c:f>MAUT!$L$31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4BACC6"/>
            </a:solidFill>
            <a:ln w="25400">
              <a:noFill/>
            </a:ln>
          </c:spPr>
          <c:invertIfNegative val="0"/>
          <c:cat>
            <c:strRef>
              <c:f>MAUT!$G$32:$G$36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MAUT!$L$32:$L$36</c:f>
              <c:numCache>
                <c:formatCode>0.000</c:formatCode>
                <c:ptCount val="5"/>
                <c:pt idx="0">
                  <c:v>0.502702444804437</c:v>
                </c:pt>
                <c:pt idx="1">
                  <c:v>0.173937673827493</c:v>
                </c:pt>
                <c:pt idx="2">
                  <c:v>0.654241267479279</c:v>
                </c:pt>
                <c:pt idx="3">
                  <c:v>0.449999965058509</c:v>
                </c:pt>
                <c:pt idx="4">
                  <c:v>0.418313872189612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-1836990384"/>
        <c:axId val="-1836978256"/>
      </c:barChart>
      <c:catAx>
        <c:axId val="-183699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36978256"/>
        <c:crosses val="autoZero"/>
        <c:auto val="1"/>
        <c:lblAlgn val="ctr"/>
        <c:lblOffset val="100"/>
        <c:noMultiLvlLbl val="0"/>
      </c:catAx>
      <c:valAx>
        <c:axId val="-183697825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36990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54063917886956"/>
          <c:y val="0.358150515606742"/>
          <c:w val="0.125780322452443"/>
          <c:h val="0.40001226418415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rPr>
              <a:t>Marginal Utility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rPr>
              <a:t>Price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MAUT!$C$70</c:f>
              <c:strCache>
                <c:ptCount val="1"/>
                <c:pt idx="0">
                  <c:v>Marginal Utility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MAUT!$B$71:$B$75</c:f>
              <c:numCache>
                <c:formatCode>General</c:formatCode>
                <c:ptCount val="5"/>
                <c:pt idx="0">
                  <c:v>649.0</c:v>
                </c:pt>
                <c:pt idx="1">
                  <c:v>519.0</c:v>
                </c:pt>
                <c:pt idx="2">
                  <c:v>459.0</c:v>
                </c:pt>
                <c:pt idx="3">
                  <c:v>429.0</c:v>
                </c:pt>
                <c:pt idx="4">
                  <c:v>419.0</c:v>
                </c:pt>
              </c:numCache>
            </c:numRef>
          </c:xVal>
          <c:yVal>
            <c:numRef>
              <c:f>MAUT!$C$71:$C$75</c:f>
              <c:numCache>
                <c:formatCode>0.000</c:formatCode>
                <c:ptCount val="5"/>
                <c:pt idx="0">
                  <c:v>0.0</c:v>
                </c:pt>
                <c:pt idx="1">
                  <c:v>0.115173437835906</c:v>
                </c:pt>
                <c:pt idx="2">
                  <c:v>0.440689435487915</c:v>
                </c:pt>
                <c:pt idx="3">
                  <c:v>0.814327917076982</c:v>
                </c:pt>
                <c:pt idx="4">
                  <c:v>0.99999990016717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7063952"/>
        <c:axId val="-1837046032"/>
      </c:scatterChart>
      <c:valAx>
        <c:axId val="-183706395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37046032"/>
        <c:crosses val="autoZero"/>
        <c:crossBetween val="midCat"/>
      </c:valAx>
      <c:valAx>
        <c:axId val="-183704603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706395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rPr>
              <a:t>Marginal Utility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rPr>
              <a:t>Customer Review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MAUT!$C$85</c:f>
              <c:strCache>
                <c:ptCount val="1"/>
                <c:pt idx="0">
                  <c:v>Marginal Utility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MAUT!$B$86:$B$90</c:f>
              <c:numCache>
                <c:formatCode>General</c:formatCode>
                <c:ptCount val="5"/>
                <c:pt idx="0">
                  <c:v>3.5</c:v>
                </c:pt>
                <c:pt idx="1">
                  <c:v>4.0</c:v>
                </c:pt>
                <c:pt idx="2">
                  <c:v>4.0</c:v>
                </c:pt>
                <c:pt idx="3">
                  <c:v>4.8</c:v>
                </c:pt>
                <c:pt idx="4">
                  <c:v>5.0</c:v>
                </c:pt>
              </c:numCache>
            </c:numRef>
          </c:xVal>
          <c:yVal>
            <c:numRef>
              <c:f>MAUT!$C$86:$C$90</c:f>
              <c:numCache>
                <c:formatCode>0.000</c:formatCode>
                <c:ptCount val="5"/>
                <c:pt idx="0">
                  <c:v>0.0</c:v>
                </c:pt>
                <c:pt idx="1">
                  <c:v>0.0683933537928371</c:v>
                </c:pt>
                <c:pt idx="2">
                  <c:v>0.0683933537928371</c:v>
                </c:pt>
                <c:pt idx="3">
                  <c:v>0.651437625562986</c:v>
                </c:pt>
                <c:pt idx="4">
                  <c:v>0.99999990016717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37267328"/>
        <c:axId val="-1837262912"/>
      </c:scatterChart>
      <c:valAx>
        <c:axId val="-1837267328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37262912"/>
        <c:crosses val="autoZero"/>
        <c:crossBetween val="midCat"/>
      </c:valAx>
      <c:valAx>
        <c:axId val="-1837262912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372673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rPr>
              <a:t>Marginal Utility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rPr>
              <a:t>Screen Size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MAUT!$C$100</c:f>
              <c:strCache>
                <c:ptCount val="1"/>
                <c:pt idx="0">
                  <c:v>Marginal Utility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MAUT!$B$101:$B$105</c:f>
              <c:numCache>
                <c:formatCode>General</c:formatCode>
                <c:ptCount val="5"/>
                <c:pt idx="0">
                  <c:v>3.5</c:v>
                </c:pt>
                <c:pt idx="1">
                  <c:v>4.3</c:v>
                </c:pt>
                <c:pt idx="2">
                  <c:v>4.3</c:v>
                </c:pt>
                <c:pt idx="3">
                  <c:v>4.65</c:v>
                </c:pt>
                <c:pt idx="4">
                  <c:v>4.7</c:v>
                </c:pt>
              </c:numCache>
            </c:numRef>
          </c:xVal>
          <c:yVal>
            <c:numRef>
              <c:f>MAUT!$C$101:$C$105</c:f>
              <c:numCache>
                <c:formatCode>0.000</c:formatCode>
                <c:ptCount val="5"/>
                <c:pt idx="0">
                  <c:v>0.0</c:v>
                </c:pt>
                <c:pt idx="1">
                  <c:v>0.666666666666666</c:v>
                </c:pt>
                <c:pt idx="2">
                  <c:v>0.666666666666666</c:v>
                </c:pt>
                <c:pt idx="3">
                  <c:v>0.958333333333333</c:v>
                </c:pt>
                <c:pt idx="4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09156816"/>
        <c:axId val="-1809357344"/>
      </c:scatterChart>
      <c:valAx>
        <c:axId val="-1809156816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09357344"/>
        <c:crosses val="autoZero"/>
        <c:crossBetween val="midCat"/>
      </c:valAx>
      <c:valAx>
        <c:axId val="-1809357344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91568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rPr>
              <a:t>Marginal Utility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rPr>
              <a:t>Storage Size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MAUT!$C$116</c:f>
              <c:strCache>
                <c:ptCount val="1"/>
                <c:pt idx="0">
                  <c:v>Marginal Utility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MAUT!$B$117:$B$121</c:f>
              <c:numCache>
                <c:formatCode>General</c:formatCode>
                <c:ptCount val="5"/>
                <c:pt idx="0">
                  <c:v>16.0</c:v>
                </c:pt>
                <c:pt idx="1">
                  <c:v>16.0</c:v>
                </c:pt>
                <c:pt idx="2">
                  <c:v>32.0</c:v>
                </c:pt>
                <c:pt idx="3">
                  <c:v>32.0</c:v>
                </c:pt>
                <c:pt idx="4">
                  <c:v>64.0</c:v>
                </c:pt>
              </c:numCache>
            </c:numRef>
          </c:xVal>
          <c:yVal>
            <c:numRef>
              <c:f>MAUT!$C$117:$C$121</c:f>
              <c:numCache>
                <c:formatCode>0.000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0.333333333333333</c:v>
                </c:pt>
                <c:pt idx="3">
                  <c:v>0.333333333333333</c:v>
                </c:pt>
                <c:pt idx="4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29003632"/>
        <c:axId val="-1836162928"/>
      </c:scatterChart>
      <c:valAx>
        <c:axId val="-1829003632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36162928"/>
        <c:crosses val="autoZero"/>
        <c:crossBetween val="midCat"/>
      </c:valAx>
      <c:valAx>
        <c:axId val="-1836162928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90036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Global Utility Score</c:v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'Sensitivity Analysis'!$A$44:$A$48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'Sensitivity Analysis'!$B$44:$B$48</c:f>
              <c:numCache>
                <c:formatCode>0.000</c:formatCode>
                <c:ptCount val="5"/>
                <c:pt idx="0">
                  <c:v>0.667945066058509</c:v>
                </c:pt>
                <c:pt idx="1">
                  <c:v>0.174195101</c:v>
                </c:pt>
                <c:pt idx="2">
                  <c:v>0.65424130242077</c:v>
                </c:pt>
                <c:pt idx="3">
                  <c:v>0.449999965058509</c:v>
                </c:pt>
                <c:pt idx="4">
                  <c:v>0.420765858242567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35757728"/>
        <c:axId val="-1829590448"/>
      </c:barChart>
      <c:catAx>
        <c:axId val="-183575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9590448"/>
        <c:crosses val="autoZero"/>
        <c:auto val="1"/>
        <c:lblAlgn val="ctr"/>
        <c:lblOffset val="100"/>
        <c:noMultiLvlLbl val="0"/>
      </c:catAx>
      <c:valAx>
        <c:axId val="-1829590448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3575772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Weighted Utility Scores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'Sensitivity Analysis'!$H$31</c:f>
              <c:strCache>
                <c:ptCount val="1"/>
                <c:pt idx="0">
                  <c:v>Price (Euros)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'Sensitivity Analysis'!$G$32:$G$36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'Sensitivity Analysis'!$H$32:$H$36</c:f>
              <c:numCache>
                <c:formatCode>0.000</c:formatCode>
                <c:ptCount val="5"/>
                <c:pt idx="0">
                  <c:v>0.349999965058509</c:v>
                </c:pt>
                <c:pt idx="1">
                  <c:v>0.0</c:v>
                </c:pt>
                <c:pt idx="2">
                  <c:v>0.15424130242077</c:v>
                </c:pt>
                <c:pt idx="3">
                  <c:v>0.349999965058509</c:v>
                </c:pt>
                <c:pt idx="4">
                  <c:v>0.040310703242567</c:v>
                </c:pt>
              </c:numCache>
            </c:numRef>
          </c:val>
        </c:ser>
        <c:ser>
          <c:idx val="1"/>
          <c:order val="1"/>
          <c:tx>
            <c:strRef>
              <c:f>'Sensitivity Analysis'!$I$31</c:f>
              <c:strCache>
                <c:ptCount val="1"/>
                <c:pt idx="0">
                  <c:v>Customer Review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strRef>
              <c:f>'Sensitivity Analysis'!$G$32:$G$36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'Sensitivity Analysis'!$I$32:$I$36</c:f>
              <c:numCache>
                <c:formatCode>0.000</c:formatCode>
                <c:ptCount val="5"/>
                <c:pt idx="0">
                  <c:v>0.024195101</c:v>
                </c:pt>
                <c:pt idx="1">
                  <c:v>0.024195101</c:v>
                </c:pt>
                <c:pt idx="2">
                  <c:v>0.35</c:v>
                </c:pt>
                <c:pt idx="3">
                  <c:v>0.0</c:v>
                </c:pt>
                <c:pt idx="4">
                  <c:v>0.230455155</c:v>
                </c:pt>
              </c:numCache>
            </c:numRef>
          </c:val>
        </c:ser>
        <c:ser>
          <c:idx val="2"/>
          <c:order val="2"/>
          <c:tx>
            <c:strRef>
              <c:f>'Sensitivity Analysis'!$J$31</c:f>
              <c:strCache>
                <c:ptCount val="1"/>
                <c:pt idx="0">
                  <c:v>Screen Size (in)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'Sensitivity Analysis'!$G$32:$G$36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'Sensitivity Analysis'!$J$32:$J$36</c:f>
              <c:numCache>
                <c:formatCode>0.000</c:formatCode>
                <c:ptCount val="5"/>
                <c:pt idx="0">
                  <c:v>0.14375</c:v>
                </c:pt>
                <c:pt idx="1">
                  <c:v>0.0</c:v>
                </c:pt>
                <c:pt idx="2">
                  <c:v>0.0999999999999999</c:v>
                </c:pt>
                <c:pt idx="3">
                  <c:v>0.0999999999999999</c:v>
                </c:pt>
                <c:pt idx="4">
                  <c:v>0.15</c:v>
                </c:pt>
              </c:numCache>
            </c:numRef>
          </c:val>
        </c:ser>
        <c:ser>
          <c:idx val="3"/>
          <c:order val="3"/>
          <c:tx>
            <c:strRef>
              <c:f>'Sensitivity Analysis'!$K$31</c:f>
              <c:strCache>
                <c:ptCount val="1"/>
                <c:pt idx="0">
                  <c:v>Storage Size (Go)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strRef>
              <c:f>'Sensitivity Analysis'!$G$32:$G$36</c:f>
              <c:strCache>
                <c:ptCount val="5"/>
                <c:pt idx="0">
                  <c:v>SP 1</c:v>
                </c:pt>
                <c:pt idx="1">
                  <c:v>SP 2</c:v>
                </c:pt>
                <c:pt idx="2">
                  <c:v>SP 3</c:v>
                </c:pt>
                <c:pt idx="3">
                  <c:v>SP 4</c:v>
                </c:pt>
                <c:pt idx="4">
                  <c:v>SP 5</c:v>
                </c:pt>
              </c:strCache>
            </c:strRef>
          </c:cat>
          <c:val>
            <c:numRef>
              <c:f>'Sensitivity Analysis'!$K$32:$K$36</c:f>
              <c:numCache>
                <c:formatCode>0.000</c:formatCode>
                <c:ptCount val="5"/>
                <c:pt idx="0">
                  <c:v>0.15</c:v>
                </c:pt>
                <c:pt idx="1">
                  <c:v>0.15</c:v>
                </c:pt>
                <c:pt idx="2">
                  <c:v>0.05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-1829125280"/>
        <c:axId val="-1801173216"/>
      </c:barChart>
      <c:catAx>
        <c:axId val="-182912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01173216"/>
        <c:crosses val="autoZero"/>
        <c:auto val="1"/>
        <c:lblAlgn val="ctr"/>
        <c:lblOffset val="100"/>
        <c:noMultiLvlLbl val="0"/>
      </c:catAx>
      <c:valAx>
        <c:axId val="-1801173216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8291252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5199528274728"/>
          <c:y val="0.400012264184154"/>
          <c:w val="0.127563064514842"/>
          <c:h val="0.3209400724268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6" Type="http://schemas.openxmlformats.org/officeDocument/2006/relationships/chart" Target="../charts/chart7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755650</xdr:colOff>
      <xdr:row>0</xdr:row>
      <xdr:rowOff>190500</xdr:rowOff>
    </xdr:from>
    <xdr:to>
      <xdr:col>4</xdr:col>
      <xdr:colOff>400050</xdr:colOff>
      <xdr:row>4</xdr:row>
      <xdr:rowOff>139700</xdr:rowOff>
    </xdr:to>
    <xdr:sp macro="" textlink="">
      <xdr:nvSpPr>
        <xdr:cNvPr id="2" name="TextBox 1"/>
        <xdr:cNvSpPr txBox="1"/>
      </xdr:nvSpPr>
      <xdr:spPr>
        <a:xfrm>
          <a:off x="755650" y="190500"/>
          <a:ext cx="29464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Moving Averages</a:t>
          </a:r>
        </a:p>
        <a:p>
          <a:pPr algn="ctr"/>
          <a:r>
            <a:rPr lang="en-US" sz="1100"/>
            <a:t>i.e., you have a window which</a:t>
          </a:r>
          <a:r>
            <a:rPr lang="en-US" sz="1100" baseline="0"/>
            <a:t> you average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19050</xdr:colOff>
      <xdr:row>1</xdr:row>
      <xdr:rowOff>0</xdr:rowOff>
    </xdr:from>
    <xdr:to>
      <xdr:col>9</xdr:col>
      <xdr:colOff>488950</xdr:colOff>
      <xdr:row>4</xdr:row>
      <xdr:rowOff>194733</xdr:rowOff>
    </xdr:to>
    <xdr:sp macro="" textlink="">
      <xdr:nvSpPr>
        <xdr:cNvPr id="3" name="TextBox 2"/>
        <xdr:cNvSpPr txBox="1"/>
      </xdr:nvSpPr>
      <xdr:spPr>
        <a:xfrm>
          <a:off x="4972050" y="0"/>
          <a:ext cx="2946400" cy="80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Weighted</a:t>
          </a:r>
          <a:r>
            <a:rPr lang="en-US" sz="1100" baseline="0"/>
            <a:t> Moving Averages</a:t>
          </a:r>
        </a:p>
        <a:p>
          <a:pPr algn="ctr"/>
          <a:r>
            <a:rPr lang="en-US" sz="1100" baseline="0"/>
            <a:t>I.e., your window gets more weight toward recent occurances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38100</xdr:rowOff>
    </xdr:from>
    <xdr:to>
      <xdr:col>4</xdr:col>
      <xdr:colOff>469900</xdr:colOff>
      <xdr:row>18</xdr:row>
      <xdr:rowOff>0</xdr:rowOff>
    </xdr:to>
    <xdr:sp macro="" textlink="">
      <xdr:nvSpPr>
        <xdr:cNvPr id="4" name="TextBox 3"/>
        <xdr:cNvSpPr txBox="1"/>
      </xdr:nvSpPr>
      <xdr:spPr>
        <a:xfrm>
          <a:off x="825500" y="3492500"/>
          <a:ext cx="2946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Exponential Smoothing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25400</xdr:colOff>
      <xdr:row>36</xdr:row>
      <xdr:rowOff>105834</xdr:rowOff>
    </xdr:from>
    <xdr:to>
      <xdr:col>4</xdr:col>
      <xdr:colOff>495300</xdr:colOff>
      <xdr:row>39</xdr:row>
      <xdr:rowOff>67734</xdr:rowOff>
    </xdr:to>
    <xdr:sp macro="" textlink="">
      <xdr:nvSpPr>
        <xdr:cNvPr id="5" name="TextBox 4"/>
        <xdr:cNvSpPr txBox="1"/>
      </xdr:nvSpPr>
      <xdr:spPr>
        <a:xfrm>
          <a:off x="850900" y="8030634"/>
          <a:ext cx="2946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Regression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 editAs="absolute">
    <xdr:from>
      <xdr:col>5</xdr:col>
      <xdr:colOff>774700</xdr:colOff>
      <xdr:row>15</xdr:row>
      <xdr:rowOff>114300</xdr:rowOff>
    </xdr:from>
    <xdr:to>
      <xdr:col>11</xdr:col>
      <xdr:colOff>698500</xdr:colOff>
      <xdr:row>35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B7618889-3C61-408A-9C75-FBF26AE9E880}"/>
            </a:ext>
          </a:extLst>
        </xdr:cNvPr>
        <xdr:cNvSpPr txBox="1"/>
      </xdr:nvSpPr>
      <xdr:spPr>
        <a:xfrm>
          <a:off x="4902200" y="3771900"/>
          <a:ext cx="4876800" cy="4064000"/>
        </a:xfrm>
        <a:prstGeom prst="rect">
          <a:avLst/>
        </a:prstGeom>
        <a:solidFill>
          <a:srgbClr val="FFC000"/>
        </a:solidFill>
        <a:ln w="952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Exponential</a:t>
          </a:r>
          <a:r>
            <a:rPr lang="en-US" sz="1600" baseline="0"/>
            <a:t> Smoothing Formula:</a:t>
          </a:r>
        </a:p>
        <a:p>
          <a:endParaRPr lang="en-US" sz="1100" baseline="0"/>
        </a:p>
        <a:p>
          <a:r>
            <a:rPr lang="en-US" sz="2400" baseline="0"/>
            <a:t>s</a:t>
          </a:r>
          <a:r>
            <a:rPr lang="en-US" sz="2400" baseline="-25000"/>
            <a:t>t</a:t>
          </a:r>
          <a:r>
            <a:rPr lang="en-US" sz="2400" baseline="0"/>
            <a:t> = </a:t>
          </a:r>
          <a:r>
            <a:rPr lang="el-GR" sz="2400" baseline="0"/>
            <a:t>α</a:t>
          </a:r>
          <a:r>
            <a:rPr lang="en-US" sz="2400" baseline="0"/>
            <a:t>y</a:t>
          </a:r>
          <a:r>
            <a:rPr lang="en-US" sz="2400" baseline="-25000"/>
            <a:t>t-1</a:t>
          </a:r>
          <a:r>
            <a:rPr lang="en-US" sz="2400" baseline="0"/>
            <a:t>  + (1-</a:t>
          </a:r>
          <a:r>
            <a:rPr lang="el-GR" sz="2400" baseline="0"/>
            <a:t>α</a:t>
          </a:r>
          <a:r>
            <a:rPr lang="en-US" sz="2400" baseline="0"/>
            <a:t>)s</a:t>
          </a:r>
          <a:r>
            <a:rPr lang="en-US" sz="2400" baseline="-25000"/>
            <a:t>t-1</a:t>
          </a:r>
        </a:p>
        <a:p>
          <a:r>
            <a:rPr lang="en-US" sz="2400" baseline="-25000"/>
            <a:t>Where:</a:t>
          </a:r>
        </a:p>
        <a:p>
          <a:r>
            <a:rPr 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8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This forecasted value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en-US" sz="18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The previous forecasted value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8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The actual previous value</a:t>
          </a:r>
        </a:p>
        <a:p>
          <a:r>
            <a:rPr lang="el-G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smoothing constant.</a:t>
          </a:r>
        </a:p>
        <a:p>
          <a:endParaRPr lang="en-US" sz="18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i.e., As you increase alpha you rely more on historical data, less on forcasting. This gives you a weighted average if you want it (choose low alpha).</a:t>
          </a:r>
        </a:p>
      </xdr:txBody>
    </xdr:sp>
    <xdr:clientData/>
  </xdr:twoCellAnchor>
  <xdr:twoCellAnchor>
    <xdr:from>
      <xdr:col>5</xdr:col>
      <xdr:colOff>745066</xdr:colOff>
      <xdr:row>38</xdr:row>
      <xdr:rowOff>173567</xdr:rowOff>
    </xdr:from>
    <xdr:to>
      <xdr:col>11</xdr:col>
      <xdr:colOff>338666</xdr:colOff>
      <xdr:row>52</xdr:row>
      <xdr:rowOff>71967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</xdr:row>
      <xdr:rowOff>25400</xdr:rowOff>
    </xdr:from>
    <xdr:to>
      <xdr:col>4</xdr:col>
      <xdr:colOff>38100</xdr:colOff>
      <xdr:row>9</xdr:row>
      <xdr:rowOff>50800</xdr:rowOff>
    </xdr:to>
    <xdr:sp macro="" textlink="">
      <xdr:nvSpPr>
        <xdr:cNvPr id="2" name="TextBox 1"/>
        <xdr:cNvSpPr txBox="1"/>
      </xdr:nvSpPr>
      <xdr:spPr>
        <a:xfrm>
          <a:off x="558800" y="228600"/>
          <a:ext cx="27813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Conjunctive;</a:t>
          </a:r>
        </a:p>
        <a:p>
          <a:pPr algn="ctr"/>
          <a:r>
            <a:rPr lang="en-US" sz="1400"/>
            <a:t>Min cutting score set, all attributes must be greater</a:t>
          </a:r>
          <a:r>
            <a:rPr lang="en-US" sz="1400" baseline="0"/>
            <a:t> than the cutting score to be accepted</a:t>
          </a:r>
          <a:endParaRPr lang="en-US" sz="1400"/>
        </a:p>
      </xdr:txBody>
    </xdr:sp>
    <xdr:clientData/>
  </xdr:twoCellAnchor>
  <xdr:twoCellAnchor>
    <xdr:from>
      <xdr:col>4</xdr:col>
      <xdr:colOff>406400</xdr:colOff>
      <xdr:row>1</xdr:row>
      <xdr:rowOff>38100</xdr:rowOff>
    </xdr:from>
    <xdr:to>
      <xdr:col>7</xdr:col>
      <xdr:colOff>419100</xdr:colOff>
      <xdr:row>9</xdr:row>
      <xdr:rowOff>63500</xdr:rowOff>
    </xdr:to>
    <xdr:sp macro="" textlink="">
      <xdr:nvSpPr>
        <xdr:cNvPr id="4" name="TextBox 3"/>
        <xdr:cNvSpPr txBox="1"/>
      </xdr:nvSpPr>
      <xdr:spPr>
        <a:xfrm>
          <a:off x="3708400" y="241300"/>
          <a:ext cx="27813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Disjunctive;</a:t>
          </a:r>
        </a:p>
        <a:p>
          <a:pPr algn="ctr"/>
          <a:r>
            <a:rPr lang="en-US" sz="1400"/>
            <a:t>Min cutting score set, at</a:t>
          </a:r>
          <a:r>
            <a:rPr lang="en-US" sz="1400" baseline="0"/>
            <a:t> least one attribute must be greater than the cutting score to be accepted</a:t>
          </a:r>
          <a:endParaRPr lang="en-US" sz="1400"/>
        </a:p>
      </xdr:txBody>
    </xdr:sp>
    <xdr:clientData/>
  </xdr:twoCellAnchor>
  <xdr:twoCellAnchor>
    <xdr:from>
      <xdr:col>8</xdr:col>
      <xdr:colOff>76200</xdr:colOff>
      <xdr:row>1</xdr:row>
      <xdr:rowOff>25400</xdr:rowOff>
    </xdr:from>
    <xdr:to>
      <xdr:col>11</xdr:col>
      <xdr:colOff>381000</xdr:colOff>
      <xdr:row>9</xdr:row>
      <xdr:rowOff>50800</xdr:rowOff>
    </xdr:to>
    <xdr:sp macro="" textlink="">
      <xdr:nvSpPr>
        <xdr:cNvPr id="5" name="TextBox 4"/>
        <xdr:cNvSpPr txBox="1"/>
      </xdr:nvSpPr>
      <xdr:spPr>
        <a:xfrm>
          <a:off x="6972300" y="228600"/>
          <a:ext cx="27813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Lexographic Method;</a:t>
          </a:r>
        </a:p>
        <a:p>
          <a:pPr algn="ctr"/>
          <a:r>
            <a:rPr lang="en-US" sz="1400"/>
            <a:t>Pick</a:t>
          </a:r>
          <a:r>
            <a:rPr lang="en-US" sz="1400" baseline="0"/>
            <a:t> most important attribute and highest value, thats the alternative you use. If tie, go to next attribute.</a:t>
          </a:r>
          <a:endParaRPr lang="en-US" sz="1400"/>
        </a:p>
      </xdr:txBody>
    </xdr:sp>
    <xdr:clientData/>
  </xdr:twoCellAnchor>
  <xdr:twoCellAnchor>
    <xdr:from>
      <xdr:col>0</xdr:col>
      <xdr:colOff>698500</xdr:colOff>
      <xdr:row>13</xdr:row>
      <xdr:rowOff>25400</xdr:rowOff>
    </xdr:from>
    <xdr:to>
      <xdr:col>4</xdr:col>
      <xdr:colOff>177800</xdr:colOff>
      <xdr:row>21</xdr:row>
      <xdr:rowOff>50800</xdr:rowOff>
    </xdr:to>
    <xdr:sp macro="" textlink="">
      <xdr:nvSpPr>
        <xdr:cNvPr id="6" name="TextBox 5"/>
        <xdr:cNvSpPr txBox="1"/>
      </xdr:nvSpPr>
      <xdr:spPr>
        <a:xfrm>
          <a:off x="698500" y="2667000"/>
          <a:ext cx="27813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Elimination by Aspects;</a:t>
          </a:r>
        </a:p>
        <a:p>
          <a:pPr algn="ctr"/>
          <a:r>
            <a:rPr lang="en-US" sz="1400"/>
            <a:t>Same as</a:t>
          </a:r>
          <a:r>
            <a:rPr lang="en-US" sz="1400" baseline="0"/>
            <a:t> lexographic, except filters out alternatievs and do not satisfy some standard. Continues until all alternatives except one have been eliminated.</a:t>
          </a:r>
          <a:endParaRPr lang="en-US" sz="1400"/>
        </a:p>
      </xdr:txBody>
    </xdr:sp>
    <xdr:clientData/>
  </xdr:twoCellAnchor>
  <xdr:twoCellAnchor>
    <xdr:from>
      <xdr:col>0</xdr:col>
      <xdr:colOff>787400</xdr:colOff>
      <xdr:row>32</xdr:row>
      <xdr:rowOff>177800</xdr:rowOff>
    </xdr:from>
    <xdr:to>
      <xdr:col>4</xdr:col>
      <xdr:colOff>266700</xdr:colOff>
      <xdr:row>41</xdr:row>
      <xdr:rowOff>0</xdr:rowOff>
    </xdr:to>
    <xdr:sp macro="" textlink="">
      <xdr:nvSpPr>
        <xdr:cNvPr id="7" name="TextBox 6"/>
        <xdr:cNvSpPr txBox="1"/>
      </xdr:nvSpPr>
      <xdr:spPr>
        <a:xfrm>
          <a:off x="787400" y="13182600"/>
          <a:ext cx="27813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Maximin/Maximax;</a:t>
          </a:r>
        </a:p>
        <a:p>
          <a:pPr algn="ctr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1. Get max for each column</a:t>
          </a:r>
        </a:p>
        <a:p>
          <a:pPr algn="ctr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2. Get max of max</a:t>
          </a:r>
        </a:p>
      </xdr:txBody>
    </xdr:sp>
    <xdr:clientData/>
  </xdr:twoCellAnchor>
  <xdr:twoCellAnchor>
    <xdr:from>
      <xdr:col>1</xdr:col>
      <xdr:colOff>0</xdr:colOff>
      <xdr:row>58</xdr:row>
      <xdr:rowOff>25400</xdr:rowOff>
    </xdr:from>
    <xdr:to>
      <xdr:col>4</xdr:col>
      <xdr:colOff>304800</xdr:colOff>
      <xdr:row>66</xdr:row>
      <xdr:rowOff>50800</xdr:rowOff>
    </xdr:to>
    <xdr:sp macro="" textlink="">
      <xdr:nvSpPr>
        <xdr:cNvPr id="8" name="TextBox 7"/>
        <xdr:cNvSpPr txBox="1"/>
      </xdr:nvSpPr>
      <xdr:spPr>
        <a:xfrm>
          <a:off x="825500" y="18491200"/>
          <a:ext cx="2781300" cy="165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Hurwicz Criterion;</a:t>
          </a:r>
        </a:p>
        <a:p>
          <a:pPr marL="0" indent="0" algn="ctr"/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As you increase alpha=1 you lean toward maximax (optimistic) as you lean toward alpha=0 you lean toward maximin (pesimistic) </a:t>
          </a:r>
        </a:p>
      </xdr:txBody>
    </xdr:sp>
    <xdr:clientData/>
  </xdr:twoCellAnchor>
  <xdr:oneCellAnchor>
    <xdr:from>
      <xdr:col>2</xdr:col>
      <xdr:colOff>285749</xdr:colOff>
      <xdr:row>43</xdr:row>
      <xdr:rowOff>36910</xdr:rowOff>
    </xdr:from>
    <xdr:ext cx="4040981" cy="299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2000249" y="3897710"/>
              <a:ext cx="4040981" cy="299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p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|"/>
                        <m:ctrlPr>
                          <a:rPr lang="en-US" sz="1800" b="0" i="1">
                            <a:latin typeface="Cambria Math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𝑚𝑎𝑥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800" b="0" i="1">
                            <a:latin typeface="Cambria Math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2000249" y="3897710"/>
              <a:ext cx="4040981" cy="299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𝐴</a:t>
              </a:r>
              <a:r>
                <a:rPr lang="en-US" sz="1800" b="0" i="0">
                  <a:latin typeface="Cambria Math" charset="0"/>
                </a:rPr>
                <a:t>^</a:t>
              </a:r>
              <a:r>
                <a:rPr lang="en-US" sz="1800" b="0" i="0">
                  <a:latin typeface="Cambria Math" panose="02040503050406030204" pitchFamily="18" charset="0"/>
                </a:rPr>
                <a:t>+=</a:t>
              </a:r>
              <a:r>
                <a:rPr lang="en-US" sz="1800" b="0" i="0">
                  <a:latin typeface="Cambria Math" charset="0"/>
                </a:rPr>
                <a:t>{</a:t>
              </a:r>
              <a:r>
                <a:rPr lang="en-US" sz="1800" b="0" i="0">
                  <a:latin typeface="Cambria Math" panose="02040503050406030204" pitchFamily="18" charset="0"/>
                </a:rPr>
                <a:t>𝐴</a:t>
              </a:r>
              <a:r>
                <a:rPr lang="en-US" sz="1800" b="0" i="0">
                  <a:latin typeface="Cambria Math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𝑖  </a:t>
              </a:r>
              <a:r>
                <a:rPr lang="en-US" sz="1800" b="0" i="0">
                  <a:latin typeface="Cambria Math" charset="0"/>
                </a:rPr>
                <a:t>┤| 〖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〗_</a:t>
              </a:r>
              <a:r>
                <a:rPr lang="en-US" sz="1800" b="0" i="0">
                  <a:latin typeface="Cambria Math" panose="02040503050406030204" pitchFamily="18" charset="0"/>
                </a:rPr>
                <a:t>𝑖</a:t>
              </a:r>
              <a:r>
                <a:rPr lang="en-US" sz="1800" b="0" i="0">
                  <a:latin typeface="Cambria Math" charset="0"/>
                </a:rPr>
                <a:t> 〖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𝑚𝑎𝑥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〗_</a:t>
              </a:r>
              <a:r>
                <a:rPr lang="en-US" sz="1800" b="0" i="0">
                  <a:latin typeface="Cambria Math" panose="02040503050406030204" pitchFamily="18" charset="0"/>
                </a:rPr>
                <a:t>𝑗  𝑟</a:t>
              </a:r>
              <a:r>
                <a:rPr lang="en-US" sz="1800" b="0" i="0">
                  <a:latin typeface="Cambria Math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𝑖𝑗}</a:t>
              </a:r>
              <a:endParaRPr lang="en-US" sz="1800"/>
            </a:p>
          </xdr:txBody>
        </xdr:sp>
      </mc:Fallback>
    </mc:AlternateContent>
    <xdr:clientData/>
  </xdr:oneCellAnchor>
  <xdr:twoCellAnchor>
    <xdr:from>
      <xdr:col>8</xdr:col>
      <xdr:colOff>652461</xdr:colOff>
      <xdr:row>47</xdr:row>
      <xdr:rowOff>95250</xdr:rowOff>
    </xdr:from>
    <xdr:to>
      <xdr:col>13</xdr:col>
      <xdr:colOff>302418</xdr:colOff>
      <xdr:row>51</xdr:row>
      <xdr:rowOff>166687</xdr:rowOff>
    </xdr:to>
    <xdr:sp macro="" textlink="">
      <xdr:nvSpPr>
        <xdr:cNvPr id="10" name="TextBox 9"/>
        <xdr:cNvSpPr txBox="1"/>
      </xdr:nvSpPr>
      <xdr:spPr>
        <a:xfrm>
          <a:off x="9974261" y="4768850"/>
          <a:ext cx="4006057" cy="87153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We choose A3.</a:t>
          </a:r>
        </a:p>
      </xdr:txBody>
    </xdr:sp>
    <xdr:clientData/>
  </xdr:twoCellAnchor>
  <xdr:oneCellAnchor>
    <xdr:from>
      <xdr:col>2</xdr:col>
      <xdr:colOff>285749</xdr:colOff>
      <xdr:row>69</xdr:row>
      <xdr:rowOff>10716</xdr:rowOff>
    </xdr:from>
    <xdr:ext cx="4607719" cy="2993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2000249" y="9103916"/>
              <a:ext cx="4607719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max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US" sz="18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∙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a:rPr lang="en-US" sz="18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{</m:t>
                  </m:r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  <m:r>
                    <a:rPr lang="en-US" sz="18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}+</m:t>
                  </m:r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(1−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)∙</m:t>
                      </m:r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𝑚𝑖𝑛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a:rPr lang="en-US" sz="18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{</m:t>
                  </m:r>
                  <m:sSub>
                    <m:sSubPr>
                      <m:ctrlP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</m:t>
                      </m:r>
                    </m:e>
                    <m:sub>
                      <m:r>
                        <a:rPr lang="en-US" sz="18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𝑖𝑗</m:t>
                      </m:r>
                    </m:sub>
                  </m:sSub>
                  <m:r>
                    <a:rPr lang="en-US" sz="18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} }</m:t>
                  </m:r>
                </m:oMath>
              </a14:m>
              <a:endParaRPr lang="en-US" sz="1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2000249" y="9103916"/>
              <a:ext cx="4607719" cy="299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max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sz="1800" b="0" i="1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〖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𝛼∙𝑚𝑎𝑥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〗_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 {𝐸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𝑖𝑗}+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〖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(1−𝛼)∙𝑚𝑖𝑛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〗_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𝑗 {𝐸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charset="0"/>
                  <a:ea typeface="+mn-ea"/>
                  <a:cs typeface="+mn-cs"/>
                </a:rPr>
                <a:t>_</a:t>
              </a:r>
              <a:r>
                <a:rPr lang="en-US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𝑖𝑗} }</a:t>
              </a:r>
              <a:endParaRPr lang="en-US" sz="18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298450</xdr:colOff>
      <xdr:row>72</xdr:row>
      <xdr:rowOff>231775</xdr:rowOff>
    </xdr:from>
    <xdr:ext cx="298450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8020050" y="15128875"/>
              <a:ext cx="29845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𝛼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8020050" y="15128875"/>
              <a:ext cx="29845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800" b="0" i="0">
                  <a:latin typeface="Cambria Math" charset="0"/>
                  <a:ea typeface="Cambria Math" charset="0"/>
                  <a:cs typeface="Cambria Math" charset="0"/>
                </a:rPr>
                <a:t>𝛼</a:t>
              </a:r>
              <a:endParaRPr lang="en-US" sz="1800"/>
            </a:p>
          </xdr:txBody>
        </xdr:sp>
      </mc:Fallback>
    </mc:AlternateContent>
    <xdr:clientData/>
  </xdr:oneCellAnchor>
  <xdr:twoCellAnchor>
    <xdr:from>
      <xdr:col>14</xdr:col>
      <xdr:colOff>546101</xdr:colOff>
      <xdr:row>71</xdr:row>
      <xdr:rowOff>28575</xdr:rowOff>
    </xdr:from>
    <xdr:to>
      <xdr:col>18</xdr:col>
      <xdr:colOff>104631</xdr:colOff>
      <xdr:row>84</xdr:row>
      <xdr:rowOff>127000</xdr:rowOff>
    </xdr:to>
    <xdr:grpSp>
      <xdr:nvGrpSpPr>
        <xdr:cNvPr id="20" name="Group 19"/>
        <xdr:cNvGrpSpPr/>
      </xdr:nvGrpSpPr>
      <xdr:grpSpPr>
        <a:xfrm>
          <a:off x="12395201" y="14633575"/>
          <a:ext cx="2860530" cy="2917825"/>
          <a:chOff x="12395201" y="20958175"/>
          <a:chExt cx="2860530" cy="2740025"/>
        </a:xfrm>
      </xdr:grpSpPr>
      <xdr:sp macro="" textlink="">
        <xdr:nvSpPr>
          <xdr:cNvPr id="12" name="TextBox 11"/>
          <xdr:cNvSpPr txBox="1"/>
        </xdr:nvSpPr>
        <xdr:spPr>
          <a:xfrm>
            <a:off x="12395201" y="20958175"/>
            <a:ext cx="2806700" cy="2740025"/>
          </a:xfrm>
          <a:prstGeom prst="rect">
            <a:avLst/>
          </a:prstGeom>
          <a:solidFill>
            <a:srgbClr val="FFFF0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/>
          </a:p>
        </xdr:txBody>
      </xdr:sp>
      <xdr:grpSp>
        <xdr:nvGrpSpPr>
          <xdr:cNvPr id="14" name="Group 13"/>
          <xdr:cNvGrpSpPr/>
        </xdr:nvGrpSpPr>
        <xdr:grpSpPr>
          <a:xfrm>
            <a:off x="12744594" y="21221700"/>
            <a:ext cx="2511137" cy="2221733"/>
            <a:chOff x="15032182" y="9931400"/>
            <a:chExt cx="2034887" cy="2256658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5" name="TextBox 14"/>
                <xdr:cNvSpPr txBox="1"/>
              </xdr:nvSpPr>
              <xdr:spPr>
                <a:xfrm>
                  <a:off x="15032182" y="9931400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en-US" sz="18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𝛼</m:t>
                      </m:r>
                    </m:oMath>
                  </a14:m>
                  <a:r>
                    <a:rPr lang="en-US" sz="1800"/>
                    <a:t>=0.2, we choose A1</a:t>
                  </a:r>
                </a:p>
              </xdr:txBody>
            </xdr:sp>
          </mc:Choice>
          <mc:Fallback>
            <xdr:sp macro="" textlink="">
              <xdr:nvSpPr>
                <xdr:cNvPr id="15" name="TextBox 14"/>
                <xdr:cNvSpPr txBox="1"/>
              </xdr:nvSpPr>
              <xdr:spPr>
                <a:xfrm>
                  <a:off x="15032182" y="9931400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r>
                    <a:rPr lang="en-US" sz="1800" b="0" i="0">
                      <a:latin typeface="Cambria Math" charset="0"/>
                      <a:ea typeface="Cambria Math" charset="0"/>
                      <a:cs typeface="Cambria Math" charset="0"/>
                    </a:rPr>
                    <a:t>𝛼</a:t>
                  </a:r>
                  <a:r>
                    <a:rPr lang="en-US" sz="1800"/>
                    <a:t>=0.2, we choose A1</a:t>
                  </a: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6" name="TextBox 15"/>
                <xdr:cNvSpPr txBox="1"/>
              </xdr:nvSpPr>
              <xdr:spPr>
                <a:xfrm>
                  <a:off x="15032182" y="10425113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en-US" sz="18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𝛼</m:t>
                      </m:r>
                    </m:oMath>
                  </a14:m>
                  <a:r>
                    <a:rPr lang="en-US" sz="1800"/>
                    <a:t>=0.4, we choose A1</a:t>
                  </a:r>
                </a:p>
              </xdr:txBody>
            </xdr:sp>
          </mc:Choice>
          <mc:Fallback>
            <xdr:sp macro="" textlink="">
              <xdr:nvSpPr>
                <xdr:cNvPr id="16" name="TextBox 15"/>
                <xdr:cNvSpPr txBox="1"/>
              </xdr:nvSpPr>
              <xdr:spPr>
                <a:xfrm>
                  <a:off x="15032182" y="10425113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r>
                    <a:rPr lang="en-US" sz="1800" b="0" i="0">
                      <a:latin typeface="Cambria Math" charset="0"/>
                      <a:ea typeface="Cambria Math" charset="0"/>
                      <a:cs typeface="Cambria Math" charset="0"/>
                    </a:rPr>
                    <a:t>𝛼</a:t>
                  </a:r>
                  <a:r>
                    <a:rPr lang="en-US" sz="1800"/>
                    <a:t>=0.4, we choose A1</a:t>
                  </a: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7" name="TextBox 16"/>
                <xdr:cNvSpPr txBox="1"/>
              </xdr:nvSpPr>
              <xdr:spPr>
                <a:xfrm>
                  <a:off x="15032182" y="10918826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en-US" sz="18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𝛼</m:t>
                      </m:r>
                    </m:oMath>
                  </a14:m>
                  <a:r>
                    <a:rPr lang="en-US" sz="1800"/>
                    <a:t>=0.6, we choose A3</a:t>
                  </a:r>
                </a:p>
              </xdr:txBody>
            </xdr:sp>
          </mc:Choice>
          <mc:Fallback>
            <xdr:sp macro="" textlink="">
              <xdr:nvSpPr>
                <xdr:cNvPr id="17" name="TextBox 16"/>
                <xdr:cNvSpPr txBox="1"/>
              </xdr:nvSpPr>
              <xdr:spPr>
                <a:xfrm>
                  <a:off x="15032182" y="10918826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r>
                    <a:rPr lang="en-US" sz="1800" b="0" i="0">
                      <a:latin typeface="Cambria Math" charset="0"/>
                      <a:ea typeface="Cambria Math" charset="0"/>
                      <a:cs typeface="Cambria Math" charset="0"/>
                    </a:rPr>
                    <a:t>𝛼</a:t>
                  </a:r>
                  <a:r>
                    <a:rPr lang="en-US" sz="1800"/>
                    <a:t>=0.6, we choose A3</a:t>
                  </a: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8" name="TextBox 17"/>
                <xdr:cNvSpPr txBox="1"/>
              </xdr:nvSpPr>
              <xdr:spPr>
                <a:xfrm>
                  <a:off x="15032182" y="11412539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en-US" sz="18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𝛼</m:t>
                      </m:r>
                    </m:oMath>
                  </a14:m>
                  <a:r>
                    <a:rPr lang="en-US" sz="1800"/>
                    <a:t>=0.8, we choose A3</a:t>
                  </a:r>
                </a:p>
              </xdr:txBody>
            </xdr:sp>
          </mc:Choice>
          <mc:Fallback>
            <xdr:sp macro="" textlink="">
              <xdr:nvSpPr>
                <xdr:cNvPr id="18" name="TextBox 17"/>
                <xdr:cNvSpPr txBox="1"/>
              </xdr:nvSpPr>
              <xdr:spPr>
                <a:xfrm>
                  <a:off x="15032182" y="11412539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r>
                    <a:rPr lang="en-US" sz="1800" b="0" i="0">
                      <a:latin typeface="Cambria Math" charset="0"/>
                      <a:ea typeface="Cambria Math" charset="0"/>
                      <a:cs typeface="Cambria Math" charset="0"/>
                    </a:rPr>
                    <a:t>𝛼</a:t>
                  </a:r>
                  <a:r>
                    <a:rPr lang="en-US" sz="1800"/>
                    <a:t>=0.8, we choose A3</a:t>
                  </a:r>
                </a:p>
              </xdr:txBody>
            </xdr:sp>
          </mc:Fallback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9" name="TextBox 18"/>
                <xdr:cNvSpPr txBox="1"/>
              </xdr:nvSpPr>
              <xdr:spPr>
                <a:xfrm>
                  <a:off x="15032182" y="11906250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en-US" sz="1800" b="0" i="1">
                          <a:latin typeface="Cambria Math" charset="0"/>
                          <a:ea typeface="Cambria Math" charset="0"/>
                          <a:cs typeface="Cambria Math" charset="0"/>
                        </a:rPr>
                        <m:t>𝛼</m:t>
                      </m:r>
                    </m:oMath>
                  </a14:m>
                  <a:r>
                    <a:rPr lang="en-US" sz="1800"/>
                    <a:t>=1.0, we choose A3</a:t>
                  </a:r>
                </a:p>
              </xdr:txBody>
            </xdr:sp>
          </mc:Choice>
          <mc:Fallback>
            <xdr:sp macro="" textlink="">
              <xdr:nvSpPr>
                <xdr:cNvPr id="19" name="TextBox 18"/>
                <xdr:cNvSpPr txBox="1"/>
              </xdr:nvSpPr>
              <xdr:spPr>
                <a:xfrm>
                  <a:off x="15032182" y="11906250"/>
                  <a:ext cx="2034887" cy="28180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r>
                    <a:rPr lang="en-US" sz="1800" b="0" i="0">
                      <a:latin typeface="Cambria Math" charset="0"/>
                      <a:ea typeface="Cambria Math" charset="0"/>
                      <a:cs typeface="Cambria Math" charset="0"/>
                    </a:rPr>
                    <a:t>𝛼</a:t>
                  </a:r>
                  <a:r>
                    <a:rPr lang="en-US" sz="1800"/>
                    <a:t>=1.0, we choose A3</a:t>
                  </a:r>
                </a:p>
              </xdr:txBody>
            </xdr:sp>
          </mc:Fallback>
        </mc:AlternateContent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812800</xdr:colOff>
      <xdr:row>39</xdr:row>
      <xdr:rowOff>25400</xdr:rowOff>
    </xdr:from>
    <xdr:to>
      <xdr:col>13</xdr:col>
      <xdr:colOff>787400</xdr:colOff>
      <xdr:row>46</xdr:row>
      <xdr:rowOff>165100</xdr:rowOff>
    </xdr:to>
    <xdr:sp macro="" textlink="">
      <xdr:nvSpPr>
        <xdr:cNvPr id="12" name="TextBox 11"/>
        <xdr:cNvSpPr txBox="1"/>
      </xdr:nvSpPr>
      <xdr:spPr>
        <a:xfrm>
          <a:off x="10033000" y="7950200"/>
          <a:ext cx="16510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$279,816 </a:t>
          </a:r>
          <a:r>
            <a:rPr lang="en-US" sz="1100"/>
            <a:t>is a cutting score such that ~58% (60% is the next closest</a:t>
          </a:r>
          <a:r>
            <a:rPr lang="en-US" sz="1100" baseline="0"/>
            <a:t> % increment to capture at least 58%)</a:t>
          </a:r>
          <a:r>
            <a:rPr lang="en-US" sz="1100"/>
            <a:t> of the alternatives place above it.</a:t>
          </a:r>
        </a:p>
      </xdr:txBody>
    </xdr:sp>
    <xdr:clientData/>
  </xdr:twoCellAnchor>
  <xdr:twoCellAnchor>
    <xdr:from>
      <xdr:col>9</xdr:col>
      <xdr:colOff>2060223</xdr:colOff>
      <xdr:row>39</xdr:row>
      <xdr:rowOff>38100</xdr:rowOff>
    </xdr:from>
    <xdr:to>
      <xdr:col>12</xdr:col>
      <xdr:colOff>12700</xdr:colOff>
      <xdr:row>41</xdr:row>
      <xdr:rowOff>183445</xdr:rowOff>
    </xdr:to>
    <xdr:cxnSp macro="">
      <xdr:nvCxnSpPr>
        <xdr:cNvPr id="13" name="Straight Connector 12"/>
        <xdr:cNvCxnSpPr/>
      </xdr:nvCxnSpPr>
      <xdr:spPr>
        <a:xfrm flipV="1">
          <a:off x="8384823" y="7962900"/>
          <a:ext cx="1686277" cy="551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20</xdr:row>
      <xdr:rowOff>25400</xdr:rowOff>
    </xdr:from>
    <xdr:to>
      <xdr:col>12</xdr:col>
      <xdr:colOff>12700</xdr:colOff>
      <xdr:row>39</xdr:row>
      <xdr:rowOff>12700</xdr:rowOff>
    </xdr:to>
    <xdr:cxnSp macro="">
      <xdr:nvCxnSpPr>
        <xdr:cNvPr id="14" name="Straight Connector 13"/>
        <xdr:cNvCxnSpPr/>
      </xdr:nvCxnSpPr>
      <xdr:spPr>
        <a:xfrm>
          <a:off x="8420100" y="4089400"/>
          <a:ext cx="1651000" cy="384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59</xdr:row>
      <xdr:rowOff>63500</xdr:rowOff>
    </xdr:from>
    <xdr:to>
      <xdr:col>12</xdr:col>
      <xdr:colOff>38100</xdr:colOff>
      <xdr:row>66</xdr:row>
      <xdr:rowOff>190500</xdr:rowOff>
    </xdr:to>
    <xdr:cxnSp macro="">
      <xdr:nvCxnSpPr>
        <xdr:cNvPr id="15" name="Straight Connector 14"/>
        <xdr:cNvCxnSpPr/>
      </xdr:nvCxnSpPr>
      <xdr:spPr>
        <a:xfrm flipV="1">
          <a:off x="8407400" y="12052300"/>
          <a:ext cx="1689100" cy="1549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1435100</xdr:colOff>
      <xdr:row>45</xdr:row>
      <xdr:rowOff>190500</xdr:rowOff>
    </xdr:from>
    <xdr:to>
      <xdr:col>12</xdr:col>
      <xdr:colOff>38100</xdr:colOff>
      <xdr:row>59</xdr:row>
      <xdr:rowOff>50800</xdr:rowOff>
    </xdr:to>
    <xdr:cxnSp macro="">
      <xdr:nvCxnSpPr>
        <xdr:cNvPr id="16" name="Straight Connector 15"/>
        <xdr:cNvCxnSpPr/>
      </xdr:nvCxnSpPr>
      <xdr:spPr>
        <a:xfrm>
          <a:off x="8382000" y="9334500"/>
          <a:ext cx="1714500" cy="270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59</xdr:row>
      <xdr:rowOff>50800</xdr:rowOff>
    </xdr:from>
    <xdr:to>
      <xdr:col>14</xdr:col>
      <xdr:colOff>12700</xdr:colOff>
      <xdr:row>67</xdr:row>
      <xdr:rowOff>12700</xdr:rowOff>
    </xdr:to>
    <xdr:sp macro="" textlink="">
      <xdr:nvSpPr>
        <xdr:cNvPr id="17" name="TextBox 16"/>
        <xdr:cNvSpPr txBox="1"/>
      </xdr:nvSpPr>
      <xdr:spPr>
        <a:xfrm>
          <a:off x="10096500" y="12039600"/>
          <a:ext cx="1651000" cy="158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57% </a:t>
          </a:r>
          <a:r>
            <a:rPr lang="en-US" sz="1100"/>
            <a:t>is a cutting score such that ~58%</a:t>
          </a:r>
          <a:r>
            <a:rPr lang="en-US" sz="1100" baseline="0"/>
            <a:t> (</a:t>
          </a:r>
          <a:r>
            <a:rPr lang="en-US" sz="1100"/>
            <a:t>60% is the next closest</a:t>
          </a:r>
          <a:r>
            <a:rPr lang="en-US" sz="1100" baseline="0"/>
            <a:t> % increment to capture at least 58%)</a:t>
          </a:r>
          <a:r>
            <a:rPr lang="en-US" sz="1100"/>
            <a:t>of the alternatives place above it.</a:t>
          </a:r>
        </a:p>
      </xdr:txBody>
    </xdr:sp>
    <xdr:clientData/>
  </xdr:twoCellAnchor>
  <xdr:twoCellAnchor>
    <xdr:from>
      <xdr:col>10</xdr:col>
      <xdr:colOff>0</xdr:colOff>
      <xdr:row>88</xdr:row>
      <xdr:rowOff>114300</xdr:rowOff>
    </xdr:from>
    <xdr:to>
      <xdr:col>12</xdr:col>
      <xdr:colOff>12700</xdr:colOff>
      <xdr:row>93</xdr:row>
      <xdr:rowOff>0</xdr:rowOff>
    </xdr:to>
    <xdr:cxnSp macro="">
      <xdr:nvCxnSpPr>
        <xdr:cNvPr id="18" name="Straight Connector 17"/>
        <xdr:cNvCxnSpPr/>
      </xdr:nvCxnSpPr>
      <xdr:spPr>
        <a:xfrm flipV="1">
          <a:off x="8382000" y="17995900"/>
          <a:ext cx="1689100" cy="901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1435100</xdr:colOff>
      <xdr:row>71</xdr:row>
      <xdr:rowOff>203200</xdr:rowOff>
    </xdr:from>
    <xdr:to>
      <xdr:col>11</xdr:col>
      <xdr:colOff>812800</xdr:colOff>
      <xdr:row>82</xdr:row>
      <xdr:rowOff>12700</xdr:rowOff>
    </xdr:to>
    <xdr:cxnSp macro="">
      <xdr:nvCxnSpPr>
        <xdr:cNvPr id="19" name="Straight Connector 18"/>
        <xdr:cNvCxnSpPr/>
      </xdr:nvCxnSpPr>
      <xdr:spPr>
        <a:xfrm>
          <a:off x="8382000" y="14630400"/>
          <a:ext cx="1651000" cy="2044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787400</xdr:colOff>
      <xdr:row>81</xdr:row>
      <xdr:rowOff>177800</xdr:rowOff>
    </xdr:from>
    <xdr:to>
      <xdr:col>13</xdr:col>
      <xdr:colOff>762000</xdr:colOff>
      <xdr:row>88</xdr:row>
      <xdr:rowOff>127000</xdr:rowOff>
    </xdr:to>
    <xdr:sp macro="" textlink="">
      <xdr:nvSpPr>
        <xdr:cNvPr id="20" name="TextBox 19"/>
        <xdr:cNvSpPr txBox="1"/>
      </xdr:nvSpPr>
      <xdr:spPr>
        <a:xfrm>
          <a:off x="10007600" y="16637000"/>
          <a:ext cx="1651000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6 </a:t>
          </a:r>
          <a:r>
            <a:rPr lang="en-US" sz="1100"/>
            <a:t>is a cutting score such that ~58%</a:t>
          </a:r>
          <a:r>
            <a:rPr lang="en-US" sz="1100" baseline="0"/>
            <a:t> (</a:t>
          </a:r>
          <a:r>
            <a:rPr lang="en-US" sz="1100"/>
            <a:t>65% is the next closest</a:t>
          </a:r>
          <a:r>
            <a:rPr lang="en-US" sz="1100" baseline="0"/>
            <a:t> % increment on our given discrete scale to capture at least 58%)</a:t>
          </a:r>
          <a:r>
            <a:rPr lang="en-US" sz="1100"/>
            <a:t>of the alternatives place above it.</a:t>
          </a:r>
        </a:p>
      </xdr:txBody>
    </xdr:sp>
    <xdr:clientData/>
  </xdr:twoCellAnchor>
  <xdr:twoCellAnchor>
    <xdr:from>
      <xdr:col>1</xdr:col>
      <xdr:colOff>105833</xdr:colOff>
      <xdr:row>6</xdr:row>
      <xdr:rowOff>63499</xdr:rowOff>
    </xdr:from>
    <xdr:to>
      <xdr:col>6</xdr:col>
      <xdr:colOff>846667</xdr:colOff>
      <xdr:row>16</xdr:row>
      <xdr:rowOff>148165</xdr:rowOff>
    </xdr:to>
    <xdr:sp macro="" textlink="">
      <xdr:nvSpPr>
        <xdr:cNvPr id="21" name="TextBox 20"/>
        <xdr:cNvSpPr txBox="1"/>
      </xdr:nvSpPr>
      <xdr:spPr>
        <a:xfrm>
          <a:off x="944033" y="1282699"/>
          <a:ext cx="4919134" cy="211666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Georgia" charset="0"/>
              <a:ea typeface="Georgia" charset="0"/>
              <a:cs typeface="Georgia" charset="0"/>
            </a:rPr>
            <a:t>1. (5 points)  Use the Conjunctive method to select a set of projects to pursue.  Calculate the Conjunctive cutting score and develop a selection of projects so that you select approximately 1/5 of the projects for further review.  </a:t>
          </a:r>
        </a:p>
        <a:p>
          <a:r>
            <a:rPr lang="en-US" sz="1800">
              <a:latin typeface="Georgia" charset="0"/>
              <a:ea typeface="Georgia" charset="0"/>
              <a:cs typeface="Georgia" charset="0"/>
            </a:rPr>
            <a:t>In order to keep only 1/5 of our alternatives, we need a cutting score such that:</a:t>
          </a:r>
        </a:p>
        <a:p>
          <a:r>
            <a:rPr lang="en-US" sz="1800">
              <a:latin typeface="Georgia" charset="0"/>
              <a:ea typeface="Georgia" charset="0"/>
              <a:cs typeface="Georgia" charset="0"/>
            </a:rPr>
            <a:t>Pc=(1/5)^(1/3)=0.584804*100=58% of the alternatives on each attribute score above that value.</a:t>
          </a:r>
        </a:p>
        <a:p>
          <a:r>
            <a:rPr lang="en-US" sz="1800">
              <a:latin typeface="Georgia" charset="0"/>
              <a:ea typeface="Georgia" charset="0"/>
              <a:cs typeface="Georgia" charset="0"/>
            </a:rPr>
            <a:t>We can obtain this value by looking at the 1-Pc percentile in which the alternatives lie; this tells us where 58% above that number are.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605366</xdr:colOff>
      <xdr:row>6</xdr:row>
      <xdr:rowOff>71966</xdr:rowOff>
    </xdr:from>
    <xdr:to>
      <xdr:col>7</xdr:col>
      <xdr:colOff>287867</xdr:colOff>
      <xdr:row>24</xdr:row>
      <xdr:rowOff>148166</xdr:rowOff>
    </xdr:to>
    <xdr:sp macro="" textlink="">
      <xdr:nvSpPr>
        <xdr:cNvPr id="2" name="TextBox 1"/>
        <xdr:cNvSpPr txBox="1"/>
      </xdr:nvSpPr>
      <xdr:spPr>
        <a:xfrm>
          <a:off x="605366" y="1291166"/>
          <a:ext cx="5549901" cy="37338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>
              <a:latin typeface="Georgia" charset="0"/>
              <a:ea typeface="Georgia" charset="0"/>
              <a:cs typeface="Georgia" charset="0"/>
            </a:rPr>
            <a:t>3. (10 points)  The following data is given for a project selection problem.  Three criterion are used for the evaluation which are NPV, Probability of Success and Strategic Importance.  Three different projects are being evaluated, Project 1, Project 2 and Project 3.    </a:t>
          </a:r>
        </a:p>
        <a:p>
          <a:pPr algn="ctr"/>
          <a:r>
            <a:rPr lang="en-US" sz="1800">
              <a:latin typeface="Georgia" charset="0"/>
              <a:ea typeface="Georgia" charset="0"/>
              <a:cs typeface="Georgia" charset="0"/>
            </a:rPr>
            <a:t>a. Diagram the hierarchy of criterion and attributes for the selection problem.</a:t>
          </a:r>
        </a:p>
        <a:p>
          <a:pPr algn="ctr"/>
          <a:r>
            <a:rPr lang="en-US" sz="1800">
              <a:latin typeface="Georgia" charset="0"/>
              <a:ea typeface="Georgia" charset="0"/>
              <a:cs typeface="Georgia" charset="0"/>
            </a:rPr>
            <a:t>b. Use AHP with the Eigenvector (Power method) to select the alternative based on the preferences given.  </a:t>
          </a:r>
        </a:p>
        <a:p>
          <a:pPr algn="ctr"/>
          <a:r>
            <a:rPr lang="en-US" sz="1800">
              <a:latin typeface="Georgia" charset="0"/>
              <a:ea typeface="Georgia" charset="0"/>
              <a:cs typeface="Georgia" charset="0"/>
            </a:rPr>
            <a:t>c. Compute the Consistency Index for the Project Selection Criterion and tell whether the evaluation for the criterion is consistent.</a:t>
          </a:r>
        </a:p>
      </xdr:txBody>
    </xdr:sp>
    <xdr:clientData/>
  </xdr:twoCellAnchor>
  <xdr:twoCellAnchor>
    <xdr:from>
      <xdr:col>11</xdr:col>
      <xdr:colOff>820510</xdr:colOff>
      <xdr:row>2</xdr:row>
      <xdr:rowOff>99785</xdr:rowOff>
    </xdr:from>
    <xdr:to>
      <xdr:col>24</xdr:col>
      <xdr:colOff>333375</xdr:colOff>
      <xdr:row>29</xdr:row>
      <xdr:rowOff>47625</xdr:rowOff>
    </xdr:to>
    <xdr:grpSp>
      <xdr:nvGrpSpPr>
        <xdr:cNvPr id="3" name="Group 2"/>
        <xdr:cNvGrpSpPr/>
      </xdr:nvGrpSpPr>
      <xdr:grpSpPr>
        <a:xfrm>
          <a:off x="14561910" y="607785"/>
          <a:ext cx="9317265" cy="6729640"/>
          <a:chOff x="4165600" y="7258676"/>
          <a:chExt cx="7005939" cy="4419709"/>
        </a:xfrm>
      </xdr:grpSpPr>
      <xdr:grpSp>
        <xdr:nvGrpSpPr>
          <xdr:cNvPr id="4" name="Group 3"/>
          <xdr:cNvGrpSpPr/>
        </xdr:nvGrpSpPr>
        <xdr:grpSpPr>
          <a:xfrm>
            <a:off x="4279900" y="7258676"/>
            <a:ext cx="6452616" cy="2759032"/>
            <a:chOff x="4279900" y="7258676"/>
            <a:chExt cx="6452616" cy="2759032"/>
          </a:xfrm>
        </xdr:grpSpPr>
        <xdr:grpSp>
          <xdr:nvGrpSpPr>
            <xdr:cNvPr id="29" name="Group 28"/>
            <xdr:cNvGrpSpPr/>
          </xdr:nvGrpSpPr>
          <xdr:grpSpPr>
            <a:xfrm>
              <a:off x="5300315" y="7258676"/>
              <a:ext cx="4568094" cy="2042434"/>
              <a:chOff x="5300315" y="7258676"/>
              <a:chExt cx="4568094" cy="2042434"/>
            </a:xfrm>
          </xdr:grpSpPr>
          <xdr:sp macro="" textlink="">
            <xdr:nvSpPr>
              <xdr:cNvPr id="33" name="TextBox 32"/>
              <xdr:cNvSpPr txBox="1"/>
            </xdr:nvSpPr>
            <xdr:spPr>
              <a:xfrm>
                <a:off x="6667500" y="7258676"/>
                <a:ext cx="1943100" cy="55182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400"/>
                  <a:t>Project Selection Process</a:t>
                </a:r>
              </a:p>
            </xdr:txBody>
          </xdr:sp>
          <xdr:cxnSp macro="">
            <xdr:nvCxnSpPr>
              <xdr:cNvPr id="34" name="Straight Connector 33"/>
              <xdr:cNvCxnSpPr/>
            </xdr:nvCxnSpPr>
            <xdr:spPr>
              <a:xfrm flipH="1">
                <a:off x="5300315" y="7785864"/>
                <a:ext cx="1371557" cy="1390185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5" name="Straight Connector 34"/>
              <xdr:cNvCxnSpPr>
                <a:stCxn id="33" idx="2"/>
                <a:endCxn id="31" idx="0"/>
              </xdr:cNvCxnSpPr>
            </xdr:nvCxnSpPr>
            <xdr:spPr>
              <a:xfrm>
                <a:off x="7639050" y="7810500"/>
                <a:ext cx="508" cy="1490610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6" name="Straight Connector 35"/>
              <xdr:cNvCxnSpPr/>
            </xdr:nvCxnSpPr>
            <xdr:spPr>
              <a:xfrm>
                <a:off x="8620925" y="7811140"/>
                <a:ext cx="1247484" cy="1463468"/>
              </a:xfrm>
              <a:prstGeom prst="line">
                <a:avLst/>
              </a:prstGeom>
              <a:ln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0" name="TextBox 29"/>
            <xdr:cNvSpPr txBox="1"/>
          </xdr:nvSpPr>
          <xdr:spPr>
            <a:xfrm>
              <a:off x="4279900" y="9261579"/>
              <a:ext cx="1728216" cy="654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NPV</a:t>
              </a:r>
            </a:p>
            <a:p>
              <a:pPr algn="ctr"/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(0.3791)</a:t>
              </a:r>
              <a:endParaRPr lang="en-US" sz="1100"/>
            </a:p>
          </xdr:txBody>
        </xdr:sp>
        <xdr:sp macro="" textlink="">
          <xdr:nvSpPr>
            <xdr:cNvPr id="31" name="TextBox 30"/>
            <xdr:cNvSpPr txBox="1"/>
          </xdr:nvSpPr>
          <xdr:spPr>
            <a:xfrm>
              <a:off x="6775450" y="9301110"/>
              <a:ext cx="1728216" cy="654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Probability of Success</a:t>
              </a:r>
            </a:p>
            <a:p>
              <a:pPr algn="ctr"/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(0.5076)</a:t>
              </a:r>
              <a:endParaRPr lang="en-US" sz="1400"/>
            </a:p>
          </xdr:txBody>
        </xdr:sp>
        <xdr:sp macro="" textlink="">
          <xdr:nvSpPr>
            <xdr:cNvPr id="32" name="TextBox 31"/>
            <xdr:cNvSpPr txBox="1"/>
          </xdr:nvSpPr>
          <xdr:spPr>
            <a:xfrm>
              <a:off x="9004300" y="9363075"/>
              <a:ext cx="1728216" cy="65463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400"/>
                <a:t>Strategic Importance</a:t>
              </a:r>
            </a:p>
            <a:p>
              <a:pPr algn="ctr"/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(0.1133)</a:t>
              </a:r>
              <a:endParaRPr lang="en-US" sz="1400"/>
            </a:p>
          </xdr:txBody>
        </xdr:sp>
      </xdr:grpSp>
      <xdr:grpSp>
        <xdr:nvGrpSpPr>
          <xdr:cNvPr id="5" name="Group 4"/>
          <xdr:cNvGrpSpPr/>
        </xdr:nvGrpSpPr>
        <xdr:grpSpPr>
          <a:xfrm>
            <a:off x="6747691" y="9955743"/>
            <a:ext cx="1704395" cy="1330862"/>
            <a:chOff x="6671491" y="9987493"/>
            <a:chExt cx="1704395" cy="1330862"/>
          </a:xfrm>
        </xdr:grpSpPr>
        <xdr:cxnSp macro="">
          <xdr:nvCxnSpPr>
            <xdr:cNvPr id="26" name="Straight Connector 25"/>
            <xdr:cNvCxnSpPr>
              <a:endCxn id="14" idx="0"/>
            </xdr:cNvCxnSpPr>
          </xdr:nvCxnSpPr>
          <xdr:spPr>
            <a:xfrm flipH="1">
              <a:off x="6671491" y="10003998"/>
              <a:ext cx="597927" cy="130244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Connector 26"/>
            <xdr:cNvCxnSpPr>
              <a:stCxn id="31" idx="2"/>
            </xdr:cNvCxnSpPr>
          </xdr:nvCxnSpPr>
          <xdr:spPr>
            <a:xfrm>
              <a:off x="7563358" y="9987493"/>
              <a:ext cx="18871" cy="1330862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/>
            <xdr:cNvCxnSpPr>
              <a:endCxn id="16" idx="0"/>
            </xdr:cNvCxnSpPr>
          </xdr:nvCxnSpPr>
          <xdr:spPr>
            <a:xfrm>
              <a:off x="7714572" y="10003998"/>
              <a:ext cx="661314" cy="125950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" name="Group 5"/>
          <xdr:cNvGrpSpPr/>
        </xdr:nvGrpSpPr>
        <xdr:grpSpPr>
          <a:xfrm>
            <a:off x="4394201" y="9906425"/>
            <a:ext cx="1574800" cy="1325326"/>
            <a:chOff x="4381501" y="9900075"/>
            <a:chExt cx="1574800" cy="1325326"/>
          </a:xfrm>
        </xdr:grpSpPr>
        <xdr:cxnSp macro="">
          <xdr:nvCxnSpPr>
            <xdr:cNvPr id="23" name="Straight Connector 22"/>
            <xdr:cNvCxnSpPr>
              <a:endCxn id="17" idx="0"/>
            </xdr:cNvCxnSpPr>
          </xdr:nvCxnSpPr>
          <xdr:spPr>
            <a:xfrm flipH="1">
              <a:off x="4381501" y="9915346"/>
              <a:ext cx="521116" cy="1292876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Connector 23"/>
            <xdr:cNvCxnSpPr/>
          </xdr:nvCxnSpPr>
          <xdr:spPr>
            <a:xfrm>
              <a:off x="5172500" y="9900075"/>
              <a:ext cx="12700" cy="129656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Connector 24"/>
            <xdr:cNvCxnSpPr>
              <a:endCxn id="19" idx="0"/>
            </xdr:cNvCxnSpPr>
          </xdr:nvCxnSpPr>
          <xdr:spPr>
            <a:xfrm>
              <a:off x="5427418" y="9912398"/>
              <a:ext cx="528883" cy="1313003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" name="Group 6"/>
          <xdr:cNvGrpSpPr/>
        </xdr:nvGrpSpPr>
        <xdr:grpSpPr>
          <a:xfrm>
            <a:off x="9152934" y="9991913"/>
            <a:ext cx="1684285" cy="1257016"/>
            <a:chOff x="9140234" y="9934763"/>
            <a:chExt cx="1684285" cy="1257016"/>
          </a:xfrm>
        </xdr:grpSpPr>
        <xdr:cxnSp macro="">
          <xdr:nvCxnSpPr>
            <xdr:cNvPr id="20" name="Straight Connector 19"/>
            <xdr:cNvCxnSpPr>
              <a:endCxn id="11" idx="0"/>
            </xdr:cNvCxnSpPr>
          </xdr:nvCxnSpPr>
          <xdr:spPr>
            <a:xfrm flipH="1">
              <a:off x="9140234" y="9934763"/>
              <a:ext cx="394289" cy="123124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>
              <a:endCxn id="12" idx="0"/>
            </xdr:cNvCxnSpPr>
          </xdr:nvCxnSpPr>
          <xdr:spPr>
            <a:xfrm flipH="1">
              <a:off x="9940780" y="10016202"/>
              <a:ext cx="2907" cy="117557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>
              <a:endCxn id="13" idx="0"/>
            </xdr:cNvCxnSpPr>
          </xdr:nvCxnSpPr>
          <xdr:spPr>
            <a:xfrm>
              <a:off x="10328686" y="9978288"/>
              <a:ext cx="495833" cy="1161958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" name="Group 7"/>
          <xdr:cNvGrpSpPr/>
        </xdr:nvGrpSpPr>
        <xdr:grpSpPr>
          <a:xfrm>
            <a:off x="4165600" y="11214573"/>
            <a:ext cx="2032000" cy="412277"/>
            <a:chOff x="4165600" y="11157423"/>
            <a:chExt cx="2032000" cy="412277"/>
          </a:xfrm>
        </xdr:grpSpPr>
        <xdr:sp macro="" textlink="">
          <xdr:nvSpPr>
            <xdr:cNvPr id="17" name="TextBox 16"/>
            <xdr:cNvSpPr txBox="1"/>
          </xdr:nvSpPr>
          <xdr:spPr>
            <a:xfrm>
              <a:off x="4165600" y="11157423"/>
              <a:ext cx="457200" cy="41227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P1</a:t>
              </a:r>
            </a:p>
            <a:p>
              <a:pPr algn="ctr"/>
              <a:r>
                <a:rPr lang="en-US" sz="1100"/>
                <a:t>(0.375)</a:t>
              </a:r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4978400" y="11157423"/>
              <a:ext cx="457200" cy="412277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P2</a:t>
              </a:r>
            </a:p>
            <a:p>
              <a:pPr algn="ctr"/>
              <a:r>
                <a:rPr lang="en-US" sz="1100"/>
                <a:t>(0.5)</a:t>
              </a:r>
            </a:p>
          </xdr:txBody>
        </xdr:sp>
        <xdr:sp macro="" textlink="">
          <xdr:nvSpPr>
            <xdr:cNvPr id="19" name="TextBox 18"/>
            <xdr:cNvSpPr txBox="1"/>
          </xdr:nvSpPr>
          <xdr:spPr>
            <a:xfrm>
              <a:off x="5740400" y="11174601"/>
              <a:ext cx="457200" cy="395099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P3</a:t>
              </a:r>
            </a:p>
            <a:p>
              <a:pPr algn="ctr"/>
              <a:r>
                <a:rPr lang="en-US" sz="1100"/>
                <a:t>(0.125)</a:t>
              </a:r>
            </a:p>
          </xdr:txBody>
        </xdr:sp>
      </xdr:grpSp>
      <xdr:grpSp>
        <xdr:nvGrpSpPr>
          <xdr:cNvPr id="9" name="Group 8"/>
          <xdr:cNvGrpSpPr/>
        </xdr:nvGrpSpPr>
        <xdr:grpSpPr>
          <a:xfrm>
            <a:off x="6418149" y="11231752"/>
            <a:ext cx="2364375" cy="446633"/>
            <a:chOff x="4036899" y="11174602"/>
            <a:chExt cx="2364375" cy="446633"/>
          </a:xfrm>
        </xdr:grpSpPr>
        <xdr:sp macro="" textlink="">
          <xdr:nvSpPr>
            <xdr:cNvPr id="14" name="TextBox 13"/>
            <xdr:cNvSpPr txBox="1"/>
          </xdr:nvSpPr>
          <xdr:spPr>
            <a:xfrm>
              <a:off x="4036899" y="11217546"/>
              <a:ext cx="659085" cy="36074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P1</a:t>
              </a:r>
            </a:p>
            <a:p>
              <a:pPr algn="ctr"/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0.0845</a:t>
              </a:r>
              <a:endParaRPr lang="en-US" sz="1100"/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4833611" y="11200369"/>
              <a:ext cx="690886" cy="42086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P2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0.3184)</a:t>
              </a:r>
              <a:endParaRPr lang="en-US" sz="1100"/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5740400" y="11174602"/>
              <a:ext cx="660874" cy="39509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P3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0.5970)</a:t>
              </a:r>
              <a:endParaRPr lang="en-US" sz="1100"/>
            </a:p>
          </xdr:txBody>
        </xdr:sp>
      </xdr:grpSp>
      <xdr:grpSp>
        <xdr:nvGrpSpPr>
          <xdr:cNvPr id="10" name="Group 9"/>
          <xdr:cNvGrpSpPr/>
        </xdr:nvGrpSpPr>
        <xdr:grpSpPr>
          <a:xfrm>
            <a:off x="8855706" y="11197396"/>
            <a:ext cx="2315833" cy="438043"/>
            <a:chOff x="4093206" y="11140246"/>
            <a:chExt cx="2315833" cy="438043"/>
          </a:xfrm>
        </xdr:grpSpPr>
        <xdr:sp macro="" textlink="">
          <xdr:nvSpPr>
            <xdr:cNvPr id="11" name="TextBox 10"/>
            <xdr:cNvSpPr txBox="1"/>
          </xdr:nvSpPr>
          <xdr:spPr>
            <a:xfrm>
              <a:off x="4093206" y="11166012"/>
              <a:ext cx="594455" cy="40368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P1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0.5750</a:t>
              </a:r>
              <a:r>
                <a:rPr lang="en-US" sz="1100"/>
                <a:t>)</a:t>
              </a:r>
            </a:p>
          </xdr:txBody>
        </xdr:sp>
        <xdr:sp macro="" textlink="">
          <xdr:nvSpPr>
            <xdr:cNvPr id="12" name="TextBox 11"/>
            <xdr:cNvSpPr txBox="1"/>
          </xdr:nvSpPr>
          <xdr:spPr>
            <a:xfrm>
              <a:off x="4849699" y="11191779"/>
              <a:ext cx="682563" cy="38651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P2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0.1137)</a:t>
              </a:r>
              <a:endParaRPr lang="en-US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5740400" y="11140246"/>
              <a:ext cx="668639" cy="42945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/>
                <a:t>P3</a:t>
              </a:r>
            </a:p>
            <a:p>
              <a:pPr algn="ctr"/>
              <a:r>
                <a:rPr lang="en-US" sz="1100"/>
                <a:t>(</a:t>
              </a:r>
              <a:r>
                <a:rPr lang="en-US" sz="1100" b="0" i="0" u="none" strike="noStrike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0.3112)</a:t>
              </a:r>
              <a:endParaRPr lang="en-US" sz="1100"/>
            </a:p>
          </xdr:txBody>
        </xdr:sp>
      </xdr:grpSp>
    </xdr:grpSp>
    <xdr:clientData/>
  </xdr:twoCellAnchor>
  <xdr:twoCellAnchor>
    <xdr:from>
      <xdr:col>12</xdr:col>
      <xdr:colOff>39914</xdr:colOff>
      <xdr:row>10</xdr:row>
      <xdr:rowOff>170542</xdr:rowOff>
    </xdr:from>
    <xdr:to>
      <xdr:col>23</xdr:col>
      <xdr:colOff>471714</xdr:colOff>
      <xdr:row>21</xdr:row>
      <xdr:rowOff>126999</xdr:rowOff>
    </xdr:to>
    <xdr:sp macro="" textlink="">
      <xdr:nvSpPr>
        <xdr:cNvPr id="37" name="Oval 36"/>
        <xdr:cNvSpPr/>
      </xdr:nvSpPr>
      <xdr:spPr>
        <a:xfrm>
          <a:off x="10098314" y="2202542"/>
          <a:ext cx="9652000" cy="2191657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11341</xdr:colOff>
      <xdr:row>10</xdr:row>
      <xdr:rowOff>166157</xdr:rowOff>
    </xdr:from>
    <xdr:to>
      <xdr:col>15</xdr:col>
      <xdr:colOff>555625</xdr:colOff>
      <xdr:row>32</xdr:row>
      <xdr:rowOff>15874</xdr:rowOff>
    </xdr:to>
    <xdr:sp macro="" textlink="">
      <xdr:nvSpPr>
        <xdr:cNvPr id="38" name="Oval 37"/>
        <xdr:cNvSpPr/>
      </xdr:nvSpPr>
      <xdr:spPr>
        <a:xfrm>
          <a:off x="10069741" y="2198157"/>
          <a:ext cx="3058884" cy="4320117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396044</xdr:colOff>
      <xdr:row>11</xdr:row>
      <xdr:rowOff>15874</xdr:rowOff>
    </xdr:from>
    <xdr:to>
      <xdr:col>19</xdr:col>
      <xdr:colOff>539750</xdr:colOff>
      <xdr:row>32</xdr:row>
      <xdr:rowOff>47624</xdr:rowOff>
    </xdr:to>
    <xdr:sp macro="" textlink="">
      <xdr:nvSpPr>
        <xdr:cNvPr id="39" name="Oval 38"/>
        <xdr:cNvSpPr/>
      </xdr:nvSpPr>
      <xdr:spPr>
        <a:xfrm>
          <a:off x="13807244" y="2251074"/>
          <a:ext cx="2658306" cy="4298950"/>
        </a:xfrm>
        <a:prstGeom prst="ellipse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20</xdr:col>
      <xdr:colOff>488043</xdr:colOff>
      <xdr:row>10</xdr:row>
      <xdr:rowOff>190500</xdr:rowOff>
    </xdr:from>
    <xdr:to>
      <xdr:col>23</xdr:col>
      <xdr:colOff>508000</xdr:colOff>
      <xdr:row>31</xdr:row>
      <xdr:rowOff>111125</xdr:rowOff>
    </xdr:to>
    <xdr:sp macro="" textlink="">
      <xdr:nvSpPr>
        <xdr:cNvPr id="40" name="Oval 39"/>
        <xdr:cNvSpPr/>
      </xdr:nvSpPr>
      <xdr:spPr>
        <a:xfrm>
          <a:off x="17252043" y="2222500"/>
          <a:ext cx="2534557" cy="418782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587375</xdr:colOff>
      <xdr:row>32</xdr:row>
      <xdr:rowOff>15875</xdr:rowOff>
    </xdr:from>
    <xdr:to>
      <xdr:col>14</xdr:col>
      <xdr:colOff>132292</xdr:colOff>
      <xdr:row>33</xdr:row>
      <xdr:rowOff>79375</xdr:rowOff>
    </xdr:to>
    <xdr:cxnSp macro="">
      <xdr:nvCxnSpPr>
        <xdr:cNvPr id="41" name="Straight Arrow Connector 40"/>
        <xdr:cNvCxnSpPr/>
      </xdr:nvCxnSpPr>
      <xdr:spPr>
        <a:xfrm flipH="1">
          <a:off x="9807575" y="6518275"/>
          <a:ext cx="2059517" cy="266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179917</xdr:rowOff>
    </xdr:from>
    <xdr:to>
      <xdr:col>17</xdr:col>
      <xdr:colOff>375708</xdr:colOff>
      <xdr:row>33</xdr:row>
      <xdr:rowOff>127000</xdr:rowOff>
    </xdr:to>
    <xdr:cxnSp macro="">
      <xdr:nvCxnSpPr>
        <xdr:cNvPr id="42" name="Straight Arrow Connector 41"/>
        <xdr:cNvCxnSpPr/>
      </xdr:nvCxnSpPr>
      <xdr:spPr>
        <a:xfrm flipH="1">
          <a:off x="14487525" y="6275917"/>
          <a:ext cx="137583" cy="55668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733425</xdr:colOff>
      <xdr:row>29</xdr:row>
      <xdr:rowOff>171450</xdr:rowOff>
    </xdr:from>
    <xdr:to>
      <xdr:col>24</xdr:col>
      <xdr:colOff>22225</xdr:colOff>
      <xdr:row>32</xdr:row>
      <xdr:rowOff>155575</xdr:rowOff>
    </xdr:to>
    <xdr:cxnSp macro="">
      <xdr:nvCxnSpPr>
        <xdr:cNvPr id="43" name="Straight Arrow Connector 42"/>
        <xdr:cNvCxnSpPr/>
      </xdr:nvCxnSpPr>
      <xdr:spPr>
        <a:xfrm>
          <a:off x="19173825" y="6064250"/>
          <a:ext cx="965200" cy="593725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834123</xdr:colOff>
      <xdr:row>33</xdr:row>
      <xdr:rowOff>933</xdr:rowOff>
    </xdr:from>
    <xdr:ext cx="8096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/>
            <xdr:cNvSpPr txBox="1"/>
          </xdr:nvSpPr>
          <xdr:spPr>
            <a:xfrm>
              <a:off x="1672323" y="6706533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4" name="TextBox 43"/>
            <xdr:cNvSpPr txBox="1"/>
          </xdr:nvSpPr>
          <xdr:spPr>
            <a:xfrm>
              <a:off x="1672323" y="6706533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834123</xdr:colOff>
      <xdr:row>39</xdr:row>
      <xdr:rowOff>21291</xdr:rowOff>
    </xdr:from>
    <xdr:ext cx="8096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/>
            <xdr:cNvSpPr txBox="1"/>
          </xdr:nvSpPr>
          <xdr:spPr>
            <a:xfrm>
              <a:off x="1672323" y="7946091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5" name="TextBox 44"/>
            <xdr:cNvSpPr txBox="1"/>
          </xdr:nvSpPr>
          <xdr:spPr>
            <a:xfrm>
              <a:off x="1672323" y="7946091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834123</xdr:colOff>
      <xdr:row>45</xdr:row>
      <xdr:rowOff>0</xdr:rowOff>
    </xdr:from>
    <xdr:ext cx="809625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/>
            <xdr:cNvSpPr txBox="1"/>
          </xdr:nvSpPr>
          <xdr:spPr>
            <a:xfrm>
              <a:off x="1672323" y="9144000"/>
              <a:ext cx="80962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TextBox 45"/>
            <xdr:cNvSpPr txBox="1"/>
          </xdr:nvSpPr>
          <xdr:spPr>
            <a:xfrm>
              <a:off x="1672323" y="9144000"/>
              <a:ext cx="809625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834123</xdr:colOff>
      <xdr:row>51</xdr:row>
      <xdr:rowOff>12700</xdr:rowOff>
    </xdr:from>
    <xdr:ext cx="80962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/>
            <xdr:cNvSpPr txBox="1"/>
          </xdr:nvSpPr>
          <xdr:spPr>
            <a:xfrm>
              <a:off x="1672323" y="10375900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7" name="TextBox 46"/>
            <xdr:cNvSpPr txBox="1"/>
          </xdr:nvSpPr>
          <xdr:spPr>
            <a:xfrm>
              <a:off x="1672323" y="10375900"/>
              <a:ext cx="80962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latin typeface="Cambria Math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8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169334</xdr:colOff>
      <xdr:row>70</xdr:row>
      <xdr:rowOff>196850</xdr:rowOff>
    </xdr:from>
    <xdr:to>
      <xdr:col>9</xdr:col>
      <xdr:colOff>740834</xdr:colOff>
      <xdr:row>73</xdr:row>
      <xdr:rowOff>111125</xdr:rowOff>
    </xdr:to>
    <xdr:sp macro="" textlink="">
      <xdr:nvSpPr>
        <xdr:cNvPr id="48" name="TextBox 47"/>
        <xdr:cNvSpPr txBox="1"/>
      </xdr:nvSpPr>
      <xdr:spPr>
        <a:xfrm>
          <a:off x="6036734" y="14420850"/>
          <a:ext cx="2247900" cy="523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Georgia" charset="0"/>
              <a:ea typeface="Georgia" charset="0"/>
              <a:cs typeface="Georgia" charset="0"/>
            </a:rPr>
            <a:t>We choose Project 3.</a:t>
          </a:r>
        </a:p>
      </xdr:txBody>
    </xdr:sp>
    <xdr:clientData/>
  </xdr:twoCellAnchor>
  <xdr:oneCellAnchor>
    <xdr:from>
      <xdr:col>1</xdr:col>
      <xdr:colOff>834123</xdr:colOff>
      <xdr:row>77</xdr:row>
      <xdr:rowOff>18251</xdr:rowOff>
    </xdr:from>
    <xdr:ext cx="80962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TextBox 48"/>
            <xdr:cNvSpPr txBox="1"/>
          </xdr:nvSpPr>
          <xdr:spPr>
            <a:xfrm>
              <a:off x="1672323" y="15664651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9" name="TextBox 48"/>
            <xdr:cNvSpPr txBox="1"/>
          </xdr:nvSpPr>
          <xdr:spPr>
            <a:xfrm>
              <a:off x="1672323" y="15664651"/>
              <a:ext cx="80962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262467</xdr:colOff>
      <xdr:row>74</xdr:row>
      <xdr:rowOff>109006</xdr:rowOff>
    </xdr:from>
    <xdr:ext cx="1674283" cy="5241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TextBox 49"/>
            <xdr:cNvSpPr txBox="1"/>
          </xdr:nvSpPr>
          <xdr:spPr>
            <a:xfrm>
              <a:off x="6968067" y="15145806"/>
              <a:ext cx="1674283" cy="524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800" i="1">
                            <a:latin typeface="Cambria Math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800" i="1">
                                <a:latin typeface="Cambria Math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𝜆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charset="0"/>
                              </a:rPr>
                              <m:t>𝑚𝑎𝑥</m:t>
                            </m:r>
                          </m:sub>
                        </m:sSub>
                        <m:r>
                          <a:rPr lang="en-US" sz="1800" b="0" i="1">
                            <a:latin typeface="Cambria Math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charset="0"/>
                          </a:rPr>
                          <m:t>𝑁</m:t>
                        </m:r>
                      </m:num>
                      <m:den>
                        <m:r>
                          <a:rPr lang="en-US" sz="1800" b="0" i="1">
                            <a:latin typeface="Cambria Math" charset="0"/>
                          </a:rPr>
                          <m:t>𝑁</m:t>
                        </m:r>
                        <m:r>
                          <a:rPr lang="en-US" sz="1800" b="0" i="1">
                            <a:latin typeface="Cambria Math" charset="0"/>
                          </a:rPr>
                          <m:t>−1</m:t>
                        </m:r>
                      </m:den>
                    </m:f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50" name="TextBox 49"/>
            <xdr:cNvSpPr txBox="1"/>
          </xdr:nvSpPr>
          <xdr:spPr>
            <a:xfrm>
              <a:off x="6968067" y="15145806"/>
              <a:ext cx="1674283" cy="524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800" i="0">
                  <a:latin typeface="Cambria Math" charset="0"/>
                </a:rPr>
                <a:t>(</a:t>
              </a:r>
              <a:r>
                <a:rPr lang="en-US" sz="1800" i="0">
                  <a:latin typeface="Cambria Math" charset="0"/>
                  <a:ea typeface="Cambria Math" charset="0"/>
                  <a:cs typeface="Cambria Math" charset="0"/>
                </a:rPr>
                <a:t>𝜆_</a:t>
              </a:r>
              <a:r>
                <a:rPr lang="en-US" sz="1800" b="0" i="0">
                  <a:latin typeface="Cambria Math" charset="0"/>
                </a:rPr>
                <a:t>𝑚𝑎𝑥−𝑁)/(𝑁−1)</a:t>
              </a:r>
              <a:endParaRPr lang="en-US" sz="1800"/>
            </a:p>
          </xdr:txBody>
        </xdr:sp>
      </mc:Fallback>
    </mc:AlternateContent>
    <xdr:clientData/>
  </xdr:oneCellAnchor>
  <xdr:twoCellAnchor>
    <xdr:from>
      <xdr:col>10</xdr:col>
      <xdr:colOff>941916</xdr:colOff>
      <xdr:row>69</xdr:row>
      <xdr:rowOff>142875</xdr:rowOff>
    </xdr:from>
    <xdr:to>
      <xdr:col>14</xdr:col>
      <xdr:colOff>571500</xdr:colOff>
      <xdr:row>81</xdr:row>
      <xdr:rowOff>158750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/>
            <xdr:cNvSpPr txBox="1"/>
          </xdr:nvSpPr>
          <xdr:spPr>
            <a:xfrm>
              <a:off x="9222316" y="14163675"/>
              <a:ext cx="3083984" cy="2454275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If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800" i="1">
                          <a:latin typeface="Cambria Math" charset="0"/>
                          <a:ea typeface="Georgia" charset="0"/>
                          <a:cs typeface="Georgia" charset="0"/>
                        </a:rPr>
                      </m:ctrlPr>
                    </m:sSubPr>
                    <m:e>
                      <m:r>
                        <a:rPr lang="en-US" sz="1800" i="1">
                          <a:latin typeface="Cambria Math" charset="0"/>
                          <a:ea typeface="Georgia" charset="0"/>
                          <a:cs typeface="Georgia" charset="0"/>
                        </a:rPr>
                        <m:t>𝜆</m:t>
                      </m:r>
                    </m:e>
                    <m:sub>
                      <m:r>
                        <a:rPr lang="en-US" sz="1800" b="0" i="1">
                          <a:latin typeface="Cambria Math" charset="0"/>
                          <a:ea typeface="Georgia" charset="0"/>
                          <a:cs typeface="Georgia" charset="0"/>
                        </a:rPr>
                        <m:t>𝑚𝑎𝑥</m:t>
                      </m:r>
                    </m:sub>
                  </m:sSub>
                </m:oMath>
              </a14:m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 = n, then the matrix is perfectly consistent. Otherwise, the</a:t>
              </a:r>
              <a:r>
                <a:rPr lang="en-US" sz="1800" baseline="0">
                  <a:latin typeface="Georgia" charset="0"/>
                  <a:ea typeface="Georgia" charset="0"/>
                  <a:cs typeface="Georgia" charset="0"/>
                </a:rPr>
                <a:t> difference between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800" i="1">
                          <a:latin typeface="Cambria Math" charset="0"/>
                          <a:ea typeface="Georgia" charset="0"/>
                          <a:cs typeface="Georgia" charset="0"/>
                        </a:rPr>
                      </m:ctrlPr>
                    </m:sSubPr>
                    <m:e>
                      <m:r>
                        <a:rPr lang="en-US" sz="1800" i="1">
                          <a:latin typeface="Cambria Math" charset="0"/>
                          <a:ea typeface="Georgia" charset="0"/>
                          <a:cs typeface="Georgia" charset="0"/>
                        </a:rPr>
                        <m:t>𝜆</m:t>
                      </m:r>
                    </m:e>
                    <m:sub>
                      <m:r>
                        <a:rPr lang="en-US" sz="1800" b="0" i="1">
                          <a:latin typeface="Cambria Math" charset="0"/>
                          <a:ea typeface="Georgia" charset="0"/>
                          <a:cs typeface="Georgia" charset="0"/>
                        </a:rPr>
                        <m:t>𝑚𝑎𝑥</m:t>
                      </m:r>
                    </m:sub>
                  </m:sSub>
                </m:oMath>
              </a14:m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 - n</a:t>
              </a:r>
              <a:r>
                <a:rPr lang="en-US" sz="1800" baseline="0">
                  <a:latin typeface="Georgia" charset="0"/>
                  <a:ea typeface="Georgia" charset="0"/>
                  <a:cs typeface="Georgia" charset="0"/>
                </a:rPr>
                <a:t> is a measure of inconsistency. AHP allows for up to 10% inconsistency, so we can see that ours is at 0.8 which is less than 0.9 which means we are fairly consistent.</a:t>
              </a:r>
            </a:p>
          </xdr:txBody>
        </xdr:sp>
      </mc:Choice>
      <mc:Fallback>
        <xdr:sp macro="" textlink="">
          <xdr:nvSpPr>
            <xdr:cNvPr id="51" name="TextBox 50"/>
            <xdr:cNvSpPr txBox="1"/>
          </xdr:nvSpPr>
          <xdr:spPr>
            <a:xfrm>
              <a:off x="9222316" y="14163675"/>
              <a:ext cx="3083984" cy="2454275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If </a:t>
              </a:r>
              <a:r>
                <a:rPr lang="en-US" sz="1800" i="0">
                  <a:latin typeface="Cambria Math" charset="0"/>
                  <a:ea typeface="Georgia" charset="0"/>
                  <a:cs typeface="Georgia" charset="0"/>
                </a:rPr>
                <a:t>𝜆_</a:t>
              </a:r>
              <a:r>
                <a:rPr lang="en-US" sz="1800" b="0" i="0">
                  <a:latin typeface="Cambria Math" charset="0"/>
                  <a:ea typeface="Georgia" charset="0"/>
                  <a:cs typeface="Georgia" charset="0"/>
                </a:rPr>
                <a:t>𝑚𝑎𝑥</a:t>
              </a:r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 = n, then the matrix is perfectly consistent. Otherwise, the</a:t>
              </a:r>
              <a:r>
                <a:rPr lang="en-US" sz="1800" baseline="0">
                  <a:latin typeface="Georgia" charset="0"/>
                  <a:ea typeface="Georgia" charset="0"/>
                  <a:cs typeface="Georgia" charset="0"/>
                </a:rPr>
                <a:t> difference between </a:t>
              </a:r>
              <a:r>
                <a:rPr lang="en-US" sz="1800" i="0">
                  <a:latin typeface="Cambria Math" charset="0"/>
                  <a:ea typeface="Georgia" charset="0"/>
                  <a:cs typeface="Georgia" charset="0"/>
                </a:rPr>
                <a:t>𝜆_</a:t>
              </a:r>
              <a:r>
                <a:rPr lang="en-US" sz="1800" b="0" i="0">
                  <a:latin typeface="Cambria Math" charset="0"/>
                  <a:ea typeface="Georgia" charset="0"/>
                  <a:cs typeface="Georgia" charset="0"/>
                </a:rPr>
                <a:t>𝑚𝑎𝑥</a:t>
              </a:r>
              <a:r>
                <a:rPr lang="en-US" sz="1800">
                  <a:latin typeface="Georgia" charset="0"/>
                  <a:ea typeface="Georgia" charset="0"/>
                  <a:cs typeface="Georgia" charset="0"/>
                </a:rPr>
                <a:t> - n</a:t>
              </a:r>
              <a:r>
                <a:rPr lang="en-US" sz="1800" baseline="0">
                  <a:latin typeface="Georgia" charset="0"/>
                  <a:ea typeface="Georgia" charset="0"/>
                  <a:cs typeface="Georgia" charset="0"/>
                </a:rPr>
                <a:t> is a measure of inconsistency. AHP allows for up to 10% inconsistency, so we can see that ours is at 0.8 which is less than 0.9 which means we are fairly consistent.</a:t>
              </a:r>
            </a:p>
          </xdr:txBody>
        </xdr:sp>
      </mc:Fallback>
    </mc:AlternateContent>
    <xdr:clientData/>
  </xdr:twoCellAnchor>
  <xdr:twoCellAnchor>
    <xdr:from>
      <xdr:col>7</xdr:col>
      <xdr:colOff>41275</xdr:colOff>
      <xdr:row>16</xdr:row>
      <xdr:rowOff>105764</xdr:rowOff>
    </xdr:from>
    <xdr:to>
      <xdr:col>12</xdr:col>
      <xdr:colOff>50940</xdr:colOff>
      <xdr:row>51</xdr:row>
      <xdr:rowOff>131233</xdr:rowOff>
    </xdr:to>
    <xdr:cxnSp macro="">
      <xdr:nvCxnSpPr>
        <xdr:cNvPr id="52" name="Straight Arrow Connector 51"/>
        <xdr:cNvCxnSpPr>
          <a:stCxn id="30" idx="1"/>
        </xdr:cNvCxnSpPr>
      </xdr:nvCxnSpPr>
      <xdr:spPr>
        <a:xfrm flipH="1">
          <a:off x="5908675" y="3356964"/>
          <a:ext cx="4200665" cy="7137469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73024</xdr:colOff>
      <xdr:row>10</xdr:row>
      <xdr:rowOff>201083</xdr:rowOff>
    </xdr:from>
    <xdr:to>
      <xdr:col>29</xdr:col>
      <xdr:colOff>206374</xdr:colOff>
      <xdr:row>25</xdr:row>
      <xdr:rowOff>158749</xdr:rowOff>
    </xdr:to>
    <xdr:sp macro="" textlink="">
      <xdr:nvSpPr>
        <xdr:cNvPr id="53" name="TextBox 52"/>
        <xdr:cNvSpPr txBox="1"/>
      </xdr:nvSpPr>
      <xdr:spPr>
        <a:xfrm>
          <a:off x="21028024" y="2233083"/>
          <a:ext cx="3486150" cy="3005666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Each oval</a:t>
          </a:r>
          <a:r>
            <a:rPr lang="en-US" sz="1800" baseline="0"/>
            <a:t> in the diagram indicates a piece of the diagram AHP assesses explicitely.</a:t>
          </a:r>
        </a:p>
        <a:p>
          <a:endParaRPr lang="en-US" sz="1800" baseline="0"/>
        </a:p>
        <a:p>
          <a:r>
            <a:rPr lang="en-US" sz="1800" baseline="0"/>
            <a:t>Each weight per node on the tree diagram represents the attribute/alternative and its corresponding weight (rounded to 4 significant digits).</a:t>
          </a:r>
          <a:endParaRPr 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49</xdr:row>
      <xdr:rowOff>38100</xdr:rowOff>
    </xdr:from>
    <xdr:to>
      <xdr:col>3</xdr:col>
      <xdr:colOff>355600</xdr:colOff>
      <xdr:row>63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850900</xdr:colOff>
      <xdr:row>49</xdr:row>
      <xdr:rowOff>63500</xdr:rowOff>
    </xdr:from>
    <xdr:to>
      <xdr:col>8</xdr:col>
      <xdr:colOff>241300</xdr:colOff>
      <xdr:row>63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711200</xdr:colOff>
      <xdr:row>65</xdr:row>
      <xdr:rowOff>165100</xdr:rowOff>
    </xdr:from>
    <xdr:to>
      <xdr:col>6</xdr:col>
      <xdr:colOff>1689100</xdr:colOff>
      <xdr:row>80</xdr:row>
      <xdr:rowOff>50800</xdr:rowOff>
    </xdr:to>
    <xdr:graphicFrame macro="">
      <xdr:nvGraphicFramePr>
        <xdr:cNvPr id="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711200</xdr:colOff>
      <xdr:row>81</xdr:row>
      <xdr:rowOff>190500</xdr:rowOff>
    </xdr:from>
    <xdr:to>
      <xdr:col>6</xdr:col>
      <xdr:colOff>1689100</xdr:colOff>
      <xdr:row>96</xdr:row>
      <xdr:rowOff>76200</xdr:rowOff>
    </xdr:to>
    <xdr:graphicFrame macro="">
      <xdr:nvGraphicFramePr>
        <xdr:cNvPr id="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825500</xdr:colOff>
      <xdr:row>97</xdr:row>
      <xdr:rowOff>152400</xdr:rowOff>
    </xdr:from>
    <xdr:to>
      <xdr:col>6</xdr:col>
      <xdr:colOff>1803400</xdr:colOff>
      <xdr:row>112</xdr:row>
      <xdr:rowOff>38100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635000</xdr:colOff>
      <xdr:row>113</xdr:row>
      <xdr:rowOff>165100</xdr:rowOff>
    </xdr:from>
    <xdr:to>
      <xdr:col>6</xdr:col>
      <xdr:colOff>1612900</xdr:colOff>
      <xdr:row>128</xdr:row>
      <xdr:rowOff>63500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49</xdr:row>
      <xdr:rowOff>38100</xdr:rowOff>
    </xdr:from>
    <xdr:to>
      <xdr:col>3</xdr:col>
      <xdr:colOff>355600</xdr:colOff>
      <xdr:row>63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850900</xdr:colOff>
      <xdr:row>49</xdr:row>
      <xdr:rowOff>63500</xdr:rowOff>
    </xdr:from>
    <xdr:to>
      <xdr:col>8</xdr:col>
      <xdr:colOff>241300</xdr:colOff>
      <xdr:row>63</xdr:row>
      <xdr:rowOff>127000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25</xdr:row>
      <xdr:rowOff>50800</xdr:rowOff>
    </xdr:from>
    <xdr:to>
      <xdr:col>14</xdr:col>
      <xdr:colOff>355600</xdr:colOff>
      <xdr:row>35</xdr:row>
      <xdr:rowOff>152400</xdr:rowOff>
    </xdr:to>
    <xdr:sp macro="" textlink="">
      <xdr:nvSpPr>
        <xdr:cNvPr id="2" name="TextBox 1"/>
        <xdr:cNvSpPr txBox="1"/>
      </xdr:nvSpPr>
      <xdr:spPr>
        <a:xfrm>
          <a:off x="6921500" y="5130800"/>
          <a:ext cx="52959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/>
        </a:p>
        <a:p>
          <a:pPr algn="ctr"/>
          <a:r>
            <a:rPr lang="en-US" sz="1800"/>
            <a:t>BEST NORMALIZING ...</a:t>
          </a:r>
        </a:p>
        <a:p>
          <a:endParaRPr lang="en-US" sz="1100"/>
        </a:p>
        <a:p>
          <a:r>
            <a:rPr lang="en-US" sz="1100"/>
            <a:t>1. Take the ratio of</a:t>
          </a:r>
          <a:r>
            <a:rPr lang="en-US" sz="1100" baseline="0"/>
            <a:t> each value by its attributes best</a:t>
          </a:r>
          <a:endParaRPr lang="en-US" sz="1100"/>
        </a:p>
      </xdr:txBody>
    </xdr:sp>
    <xdr:clientData/>
  </xdr:twoCellAnchor>
  <xdr:twoCellAnchor>
    <xdr:from>
      <xdr:col>9</xdr:col>
      <xdr:colOff>406400</xdr:colOff>
      <xdr:row>43</xdr:row>
      <xdr:rowOff>228600</xdr:rowOff>
    </xdr:from>
    <xdr:to>
      <xdr:col>15</xdr:col>
      <xdr:colOff>596900</xdr:colOff>
      <xdr:row>49</xdr:row>
      <xdr:rowOff>101600</xdr:rowOff>
    </xdr:to>
    <xdr:sp macro="" textlink="">
      <xdr:nvSpPr>
        <xdr:cNvPr id="3" name="TextBox 2"/>
        <xdr:cNvSpPr txBox="1"/>
      </xdr:nvSpPr>
      <xdr:spPr>
        <a:xfrm>
          <a:off x="8140700" y="10185400"/>
          <a:ext cx="5143500" cy="271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/>
        </a:p>
        <a:p>
          <a:pPr algn="ctr"/>
          <a:r>
            <a:rPr lang="en-US" sz="1800"/>
            <a:t>BIN NORMALIZING</a:t>
          </a:r>
          <a:r>
            <a:rPr lang="en-US" sz="1800" baseline="0"/>
            <a:t> ...</a:t>
          </a:r>
          <a:endParaRPr lang="en-US" sz="1800"/>
        </a:p>
        <a:p>
          <a:endParaRPr lang="en-US" sz="1100"/>
        </a:p>
        <a:p>
          <a:r>
            <a:rPr lang="en-US" sz="1100"/>
            <a:t>1. Create</a:t>
          </a:r>
          <a:r>
            <a:rPr lang="en-US" sz="1100" baseline="0"/>
            <a:t> a 1-5 bin relative to each attribute</a:t>
          </a:r>
        </a:p>
        <a:p>
          <a:r>
            <a:rPr lang="en-US" sz="1100" baseline="0"/>
            <a:t>2. Bucket each value in each attributes bin.</a:t>
          </a:r>
        </a:p>
        <a:p>
          <a:r>
            <a:rPr lang="en-US" sz="1100" baseline="0"/>
            <a:t>3. This is a form of normalization.</a:t>
          </a:r>
        </a:p>
        <a:p>
          <a:r>
            <a:rPr lang="en-US" sz="1100" baseline="0"/>
            <a:t>4. Sum of products after that.</a:t>
          </a:r>
          <a:endParaRPr lang="en-US" sz="1100"/>
        </a:p>
      </xdr:txBody>
    </xdr:sp>
    <xdr:clientData/>
  </xdr:twoCellAnchor>
  <xdr:oneCellAnchor>
    <xdr:from>
      <xdr:col>8</xdr:col>
      <xdr:colOff>25400</xdr:colOff>
      <xdr:row>66</xdr:row>
      <xdr:rowOff>101600</xdr:rowOff>
    </xdr:from>
    <xdr:ext cx="1602233" cy="4098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5461000" y="2959100"/>
              <a:ext cx="1602233" cy="4098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charset="0"/>
                      </a:rPr>
                      <m:t>𝑆𝑈𝑀𝑋𝑀𝑌</m:t>
                    </m:r>
                    <m:r>
                      <a:rPr lang="en-US" sz="1100" b="0" i="1">
                        <a:latin typeface="Cambria Math" charset="0"/>
                      </a:rPr>
                      <m:t>2=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charset="0"/>
                              </a:rPr>
                              <m:t>(</m:t>
                            </m:r>
                            <m:r>
                              <a:rPr lang="en-US" sz="1100" b="0" i="1">
                                <a:latin typeface="Cambria Math" charset="0"/>
                              </a:rPr>
                              <m:t>𝑋</m:t>
                            </m:r>
                            <m:r>
                              <a:rPr lang="en-US" sz="1100" b="0" i="1">
                                <a:latin typeface="Cambria Math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charset="0"/>
                              </a:rPr>
                              <m:t>𝑌</m:t>
                            </m:r>
                            <m:r>
                              <a:rPr lang="en-US" sz="1100" b="0" i="1">
                                <a:latin typeface="Cambria Math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5461000" y="2959100"/>
              <a:ext cx="1602233" cy="4098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charset="0"/>
                </a:rPr>
                <a:t>𝑆𝑈𝑀𝑋𝑀𝑌2=</a:t>
              </a:r>
              <a:r>
                <a:rPr lang="en-US" sz="1100" i="0">
                  <a:latin typeface="Cambria Math" charset="0"/>
                </a:rPr>
                <a:t>∑▒〖</a:t>
              </a:r>
              <a:r>
                <a:rPr lang="en-US" sz="1100" b="0" i="0">
                  <a:latin typeface="Cambria Math" charset="0"/>
                </a:rPr>
                <a:t>(𝑋−𝑌)〗^2 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698500</xdr:colOff>
      <xdr:row>55</xdr:row>
      <xdr:rowOff>63500</xdr:rowOff>
    </xdr:from>
    <xdr:to>
      <xdr:col>14</xdr:col>
      <xdr:colOff>63500</xdr:colOff>
      <xdr:row>64</xdr:row>
      <xdr:rowOff>0</xdr:rowOff>
    </xdr:to>
    <xdr:sp macro="" textlink="">
      <xdr:nvSpPr>
        <xdr:cNvPr id="6" name="TextBox 5"/>
        <xdr:cNvSpPr txBox="1"/>
      </xdr:nvSpPr>
      <xdr:spPr>
        <a:xfrm>
          <a:off x="6781800" y="14084300"/>
          <a:ext cx="5143500" cy="212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/>
        </a:p>
        <a:p>
          <a:pPr algn="ctr"/>
          <a:r>
            <a:rPr lang="en-US" sz="1800" baseline="0"/>
            <a:t>TOPSIS EXAMPLE...</a:t>
          </a:r>
          <a:endParaRPr lang="en-US" sz="1800"/>
        </a:p>
        <a:p>
          <a:endParaRPr lang="en-US" sz="1100"/>
        </a:p>
        <a:p>
          <a:r>
            <a:rPr lang="en-US" sz="1100"/>
            <a:t>1. Create</a:t>
          </a:r>
          <a:r>
            <a:rPr lang="en-US" sz="1100" baseline="0"/>
            <a:t> a 1-5 bin relative to each attribute</a:t>
          </a:r>
        </a:p>
        <a:p>
          <a:r>
            <a:rPr lang="en-US" sz="1100" baseline="0"/>
            <a:t>2. Bucket each value in each attributes bin.</a:t>
          </a:r>
        </a:p>
        <a:p>
          <a:r>
            <a:rPr lang="en-US" sz="1100" baseline="0"/>
            <a:t>3. This is a form of normalization.</a:t>
          </a:r>
        </a:p>
        <a:p>
          <a:r>
            <a:rPr lang="en-US" sz="1100" baseline="0"/>
            <a:t>4. Sum of products after that.</a:t>
          </a:r>
          <a:endParaRPr lang="en-US" sz="1100"/>
        </a:p>
      </xdr:txBody>
    </xdr:sp>
    <xdr:clientData/>
  </xdr:twoCellAnchor>
  <xdr:twoCellAnchor>
    <xdr:from>
      <xdr:col>7</xdr:col>
      <xdr:colOff>203200</xdr:colOff>
      <xdr:row>78</xdr:row>
      <xdr:rowOff>127000</xdr:rowOff>
    </xdr:from>
    <xdr:to>
      <xdr:col>13</xdr:col>
      <xdr:colOff>393700</xdr:colOff>
      <xdr:row>97</xdr:row>
      <xdr:rowOff>152400</xdr:rowOff>
    </xdr:to>
    <xdr:sp macro="" textlink="">
      <xdr:nvSpPr>
        <xdr:cNvPr id="7" name="TextBox 6"/>
        <xdr:cNvSpPr txBox="1"/>
      </xdr:nvSpPr>
      <xdr:spPr>
        <a:xfrm>
          <a:off x="6286500" y="19710400"/>
          <a:ext cx="5143500" cy="3886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/>
        </a:p>
        <a:p>
          <a:pPr algn="ctr"/>
          <a:r>
            <a:rPr lang="en-US" sz="1800" baseline="0"/>
            <a:t>Sensitivity Analysis</a:t>
          </a:r>
          <a:endParaRPr lang="en-US" sz="1800"/>
        </a:p>
        <a:p>
          <a:endParaRPr lang="en-US" sz="1100"/>
        </a:p>
        <a:p>
          <a:r>
            <a:rPr lang="en-US" sz="1100"/>
            <a:t>Sensitivity</a:t>
          </a:r>
          <a:r>
            <a:rPr lang="en-US" sz="1100" baseline="0"/>
            <a:t> analysis can now be done by changing data in your data matrix and seeing how the final ranks are scored based on those things.</a:t>
          </a:r>
        </a:p>
        <a:p>
          <a:endParaRPr lang="en-US" sz="1100" baseline="0"/>
        </a:p>
        <a:p>
          <a:r>
            <a:rPr lang="en-US" sz="1100" baseline="0"/>
            <a:t>Another interesting question is, what changes would I need to independently make per attribute to accomplish a change in rank to a different alternative. </a:t>
          </a:r>
        </a:p>
        <a:p>
          <a:endParaRPr lang="en-US" sz="1100" baseline="0"/>
        </a:p>
        <a:p>
          <a:r>
            <a:rPr lang="en-US" sz="1100" baseline="0"/>
            <a:t>E.g., What would I have to give the mazda in style, reliability, and economy respectively to accomplish it being ranked #1? Is it possible w/o changing anyone else?If I did have to look at the other alternatives, how much worse would I have to make them to make the mazda accomplish this? Now consider, what weight/ rating would be needed (to keep things independent keeps things most interesting).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8:E14" totalsRowShown="0" headerRowDxfId="126" headerRowCellStyle="Check Cell">
  <autoFilter ref="A8:E14"/>
  <tableColumns count="5">
    <tableColumn id="1" name="Raw Data" dataDxfId="125"/>
    <tableColumn id="2" name="Price (Euros)"/>
    <tableColumn id="3" name="Customer Review" dataDxfId="124"/>
    <tableColumn id="4" name="Screen Size (in)" dataDxfId="123"/>
    <tableColumn id="5" name="Storage Size (Go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:E19" totalsRowShown="0" headerRowDxfId="122" dataDxfId="121">
  <autoFilter ref="A17:E19"/>
  <tableColumns count="5">
    <tableColumn id="1" name="Min/Max" dataDxfId="120"/>
    <tableColumn id="2" name="Price (Euros)" dataDxfId="119"/>
    <tableColumn id="3" name="Customer Review" dataDxfId="118"/>
    <tableColumn id="4" name="Screen Size (in)" dataDxfId="117"/>
    <tableColumn id="5" name="Storage Size (Go)" dataDxfId="1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2:E27" totalsRowShown="0" headerRowDxfId="115" dataDxfId="114" headerRowCellStyle="Check Cell">
  <autoFilter ref="A22:E27"/>
  <tableColumns count="5">
    <tableColumn id="1" name="Normalised Scores" dataDxfId="113"/>
    <tableColumn id="2" name="Price (Euros)" dataDxfId="112">
      <calculatedColumnFormula>(B$18-B10)/(B$19-B$18)+1</calculatedColumnFormula>
    </tableColumn>
    <tableColumn id="3" name="Customer Review" dataDxfId="111">
      <calculatedColumnFormula>(C10-C$18)/(C$19-C$18)</calculatedColumnFormula>
    </tableColumn>
    <tableColumn id="4" name="Screen Size (in)" dataDxfId="110">
      <calculatedColumnFormula>(D10-D$18)/(D$19-D$18)</calculatedColumnFormula>
    </tableColumn>
    <tableColumn id="5" name="Storage Size (Go)" dataDxfId="109">
      <calculatedColumnFormula>(E10-E$18)/(E$19-E$18)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1:E36" totalsRowShown="0" headerRowDxfId="108" headerRowCellStyle="Check Cell">
  <autoFilter ref="A31:E36"/>
  <tableColumns count="5">
    <tableColumn id="1" name="Marginal Utility Scores" dataDxfId="107"/>
    <tableColumn id="2" name="Price (Euros)" dataDxfId="106">
      <calculatedColumnFormula>(EXP(B23^3)-1)/1.718282</calculatedColumnFormula>
    </tableColumn>
    <tableColumn id="3" name="Customer Review" dataDxfId="105">
      <calculatedColumnFormula>(EXP(C23^2)-1)/1.718282</calculatedColumnFormula>
    </tableColumn>
    <tableColumn id="4" name="Screen Size (in)" dataDxfId="104">
      <calculatedColumnFormula>(D10-D$18)/(D$19-D$18)</calculatedColumnFormula>
    </tableColumn>
    <tableColumn id="5" name="Storage Size (Go)" dataDxfId="103">
      <calculatedColumnFormula>(E10-E$18)/(E$19-E$18)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7" displayName="Table7" ref="A43:C48" totalsRowShown="0">
  <autoFilter ref="A43:C48"/>
  <tableColumns count="3">
    <tableColumn id="1" name="Final Utility Scores" dataDxfId="102"/>
    <tableColumn id="2" name="Scores" dataDxfId="101">
      <calculatedColumnFormula>B32*B$39+C32*C$39+D32*D$39+E32*E$39</calculatedColumnFormula>
    </tableColumn>
    <tableColumn id="3" name="Rank" dataDxfId="10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8" displayName="Table8" ref="A38:E39" totalsRowShown="0" headerRowDxfId="99" dataDxfId="98" headerRowCellStyle="Check Cell">
  <autoFilter ref="A38:E39"/>
  <tableColumns count="5">
    <tableColumn id="1" name="Weights" dataDxfId="97"/>
    <tableColumn id="2" name="Price (Euros)" dataDxfId="96"/>
    <tableColumn id="3" name="Customer Review" dataDxfId="95"/>
    <tableColumn id="4" name="Screen Size (in)" dataDxfId="94"/>
    <tableColumn id="5" name="Storage Size (Go)" dataDxfId="9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9" displayName="Table9" ref="G31:L36" totalsRowShown="0" headerRowDxfId="92" headerRowCellStyle="Check Cell">
  <autoFilter ref="G31:L36"/>
  <tableColumns count="6">
    <tableColumn id="1" name="Weighted Marginal Utility Scores" dataDxfId="91"/>
    <tableColumn id="2" name="Price (Euros)" dataDxfId="90">
      <calculatedColumnFormula>B32*$B$39</calculatedColumnFormula>
    </tableColumn>
    <tableColumn id="3" name="Customer Review" dataDxfId="89">
      <calculatedColumnFormula>C32*$C$39</calculatedColumnFormula>
    </tableColumn>
    <tableColumn id="4" name="Screen Size (in)" dataDxfId="88">
      <calculatedColumnFormula>D32*$D$39</calculatedColumnFormula>
    </tableColumn>
    <tableColumn id="5" name="Storage Size (Go)" dataDxfId="87">
      <calculatedColumnFormula>E32*$E$39</calculatedColumnFormula>
    </tableColumn>
    <tableColumn id="6" name="Score" dataDxfId="86">
      <calculatedColumnFormula>SUM(H32:K32)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2" displayName="Table132" ref="A8:E14" totalsRowShown="0" headerRowDxfId="85" headerRowCellStyle="Check Cell">
  <autoFilter ref="A8:E14"/>
  <tableColumns count="5">
    <tableColumn id="1" name="Raw Data" dataDxfId="84"/>
    <tableColumn id="2" name="Price (Euros)"/>
    <tableColumn id="3" name="Customer Review" dataDxfId="83"/>
    <tableColumn id="4" name="Screen Size (in)" dataDxfId="82"/>
    <tableColumn id="5" name="Storage Size (Go)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233" displayName="Table233" ref="A17:E19" totalsRowShown="0" headerRowDxfId="81" dataDxfId="80">
  <autoFilter ref="A17:E19"/>
  <tableColumns count="5">
    <tableColumn id="1" name="Min/Max" dataDxfId="79"/>
    <tableColumn id="2" name="Price (Euros)" dataDxfId="78"/>
    <tableColumn id="3" name="Customer Review" dataDxfId="77"/>
    <tableColumn id="4" name="Screen Size (in)" dataDxfId="76"/>
    <tableColumn id="5" name="Storage Size (Go)" dataDxfId="7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334" displayName="Table334" ref="A22:E27" totalsRowShown="0" headerRowDxfId="74" dataDxfId="73" headerRowCellStyle="Check Cell">
  <autoFilter ref="A22:E27"/>
  <tableColumns count="5">
    <tableColumn id="1" name="Normalised Scores" dataDxfId="72"/>
    <tableColumn id="2" name="Price (Euros)" dataDxfId="71">
      <calculatedColumnFormula>(B$18-B10)/(B$19-B$18)+1</calculatedColumnFormula>
    </tableColumn>
    <tableColumn id="3" name="Customer Review" dataDxfId="70">
      <calculatedColumnFormula>(C10-C$18)/(C$19-C$18)</calculatedColumnFormula>
    </tableColumn>
    <tableColumn id="4" name="Screen Size (in)" dataDxfId="69">
      <calculatedColumnFormula>(D10-D$18)/(D$19-D$18)</calculatedColumnFormula>
    </tableColumn>
    <tableColumn id="5" name="Storage Size (Go)" dataDxfId="68">
      <calculatedColumnFormula>(E10-E$18)/(E$19-E$18)</calculatedColumn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435" displayName="Table435" ref="A31:E36" totalsRowShown="0" headerRowDxfId="67" headerRowCellStyle="Check Cell">
  <autoFilter ref="A31:E36"/>
  <tableColumns count="5">
    <tableColumn id="1" name="Marginal Utility Scores" dataDxfId="66"/>
    <tableColumn id="2" name="Price (Euros)" dataDxfId="65">
      <calculatedColumnFormula>(EXP(B23^3)-1)/1.718282</calculatedColumnFormula>
    </tableColumn>
    <tableColumn id="3" name="Customer Review" dataDxfId="64"/>
    <tableColumn id="4" name="Screen Size (in)" dataDxfId="63">
      <calculatedColumnFormula>(D10-D$18)/(D$19-D$18)</calculatedColumnFormula>
    </tableColumn>
    <tableColumn id="5" name="Storage Size (Go)" dataDxfId="62">
      <calculatedColumnFormula>(E10-E$18)/(E$19-E$18)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736" displayName="Table736" ref="A43:C48" totalsRowShown="0">
  <autoFilter ref="A43:C48"/>
  <tableColumns count="3">
    <tableColumn id="1" name="Final Utility Scores" dataDxfId="61"/>
    <tableColumn id="2" name="Scores" dataDxfId="60">
      <calculatedColumnFormula>B32*B$39+C32*C$39+D32*D$39+E32*E$39</calculatedColumnFormula>
    </tableColumn>
    <tableColumn id="3" name="Rank" dataDxfId="59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837" displayName="Table837" ref="A38:E39" totalsRowShown="0" headerRowDxfId="58" dataDxfId="57" headerRowCellStyle="Check Cell">
  <autoFilter ref="A38:E39"/>
  <tableColumns count="5">
    <tableColumn id="1" name="Weights" dataDxfId="56"/>
    <tableColumn id="2" name="Price (Euros)" dataDxfId="55"/>
    <tableColumn id="3" name="Customer Review" dataDxfId="54"/>
    <tableColumn id="4" name="Screen Size (in)" dataDxfId="53"/>
    <tableColumn id="5" name="Storage Size (Go)" dataDxfId="52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938" displayName="Table938" ref="G31:K36" totalsRowShown="0" headerRowDxfId="51" headerRowCellStyle="Check Cell">
  <autoFilter ref="G31:K36"/>
  <tableColumns count="5">
    <tableColumn id="1" name="Weighted Marginal Utility Scores" dataDxfId="50"/>
    <tableColumn id="2" name="Price (Euros)" dataDxfId="49">
      <calculatedColumnFormula>B32*$B$39</calculatedColumnFormula>
    </tableColumn>
    <tableColumn id="3" name="Customer Review" dataDxfId="48">
      <calculatedColumnFormula>C32*$C$39</calculatedColumnFormula>
    </tableColumn>
    <tableColumn id="4" name="Screen Size (in)" dataDxfId="47">
      <calculatedColumnFormula>D32*$D$39</calculatedColumnFormula>
    </tableColumn>
    <tableColumn id="5" name="Storage Size (Go)" dataDxfId="46">
      <calculatedColumnFormula>E32*$E$39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Relationship Id="rId6" Type="http://schemas.openxmlformats.org/officeDocument/2006/relationships/table" Target="../tables/table4.xml"/><Relationship Id="rId7" Type="http://schemas.openxmlformats.org/officeDocument/2006/relationships/table" Target="../tables/table5.xml"/><Relationship Id="rId8" Type="http://schemas.openxmlformats.org/officeDocument/2006/relationships/table" Target="../tables/table6.xml"/><Relationship Id="rId9" Type="http://schemas.openxmlformats.org/officeDocument/2006/relationships/table" Target="../tables/table7.xml"/><Relationship Id="rId10" Type="http://schemas.openxmlformats.org/officeDocument/2006/relationships/comments" Target="../comments3.xml"/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4" Type="http://schemas.openxmlformats.org/officeDocument/2006/relationships/table" Target="../tables/table9.xml"/><Relationship Id="rId5" Type="http://schemas.openxmlformats.org/officeDocument/2006/relationships/table" Target="../tables/table10.xml"/><Relationship Id="rId6" Type="http://schemas.openxmlformats.org/officeDocument/2006/relationships/table" Target="../tables/table11.xml"/><Relationship Id="rId7" Type="http://schemas.openxmlformats.org/officeDocument/2006/relationships/table" Target="../tables/table12.xml"/><Relationship Id="rId8" Type="http://schemas.openxmlformats.org/officeDocument/2006/relationships/table" Target="../tables/table13.xml"/><Relationship Id="rId9" Type="http://schemas.openxmlformats.org/officeDocument/2006/relationships/table" Target="../tables/table14.xml"/><Relationship Id="rId10" Type="http://schemas.openxmlformats.org/officeDocument/2006/relationships/comments" Target="../comments4.xml"/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45"/>
  <sheetViews>
    <sheetView topLeftCell="A6" workbookViewId="0">
      <selection activeCell="F32" sqref="F32"/>
    </sheetView>
  </sheetViews>
  <sheetFormatPr baseColWidth="10" defaultRowHeight="16" x14ac:dyDescent="0.2"/>
  <sheetData>
    <row r="2" spans="2:6" ht="16" customHeight="1" x14ac:dyDescent="0.2">
      <c r="B2" s="73" t="s">
        <v>0</v>
      </c>
      <c r="C2" s="73"/>
      <c r="D2" s="73"/>
      <c r="E2" s="73"/>
      <c r="F2" s="73"/>
    </row>
    <row r="3" spans="2:6" ht="16" customHeight="1" x14ac:dyDescent="0.2">
      <c r="B3" s="73"/>
      <c r="C3" s="73"/>
      <c r="D3" s="73"/>
      <c r="E3" s="73"/>
      <c r="F3" s="73"/>
    </row>
    <row r="4" spans="2:6" x14ac:dyDescent="0.2">
      <c r="B4" s="73"/>
      <c r="C4" s="73"/>
      <c r="D4" s="73"/>
      <c r="E4" s="73"/>
      <c r="F4" s="73"/>
    </row>
    <row r="5" spans="2:6" x14ac:dyDescent="0.2">
      <c r="B5" s="4">
        <v>1</v>
      </c>
      <c r="C5" s="71" t="s">
        <v>1</v>
      </c>
      <c r="D5" s="71"/>
      <c r="E5" s="71"/>
      <c r="F5" s="71"/>
    </row>
    <row r="6" spans="2:6" x14ac:dyDescent="0.2">
      <c r="B6" s="4">
        <v>2</v>
      </c>
      <c r="C6" s="71" t="s">
        <v>2</v>
      </c>
      <c r="D6" s="71"/>
      <c r="E6" s="71"/>
      <c r="F6" s="71"/>
    </row>
    <row r="7" spans="2:6" x14ac:dyDescent="0.2">
      <c r="B7" s="4">
        <v>3</v>
      </c>
      <c r="C7" s="71" t="s">
        <v>3</v>
      </c>
      <c r="D7" s="71"/>
      <c r="E7" s="71"/>
      <c r="F7" s="71"/>
    </row>
    <row r="8" spans="2:6" x14ac:dyDescent="0.2">
      <c r="B8" s="4">
        <v>4</v>
      </c>
      <c r="C8" s="71" t="s">
        <v>4</v>
      </c>
      <c r="D8" s="71"/>
      <c r="E8" s="71"/>
      <c r="F8" s="71"/>
    </row>
    <row r="9" spans="2:6" x14ac:dyDescent="0.2">
      <c r="B9" s="4">
        <v>5</v>
      </c>
      <c r="C9" s="71" t="s">
        <v>5</v>
      </c>
      <c r="D9" s="71"/>
      <c r="E9" s="71"/>
      <c r="F9" s="71"/>
    </row>
    <row r="12" spans="2:6" x14ac:dyDescent="0.2">
      <c r="B12" s="72" t="s">
        <v>6</v>
      </c>
      <c r="C12" s="72"/>
      <c r="D12" s="72"/>
      <c r="E12" s="72"/>
      <c r="F12" s="72"/>
    </row>
    <row r="13" spans="2:6" x14ac:dyDescent="0.2">
      <c r="B13" s="72"/>
      <c r="C13" s="72"/>
      <c r="D13" s="72"/>
      <c r="E13" s="72"/>
      <c r="F13" s="72"/>
    </row>
    <row r="14" spans="2:6" x14ac:dyDescent="0.2">
      <c r="B14" s="72"/>
      <c r="C14" s="72"/>
      <c r="D14" s="72"/>
      <c r="E14" s="72"/>
      <c r="F14" s="72"/>
    </row>
    <row r="15" spans="2:6" ht="24" x14ac:dyDescent="0.2">
      <c r="B15" s="10"/>
      <c r="C15" s="10"/>
      <c r="D15" s="10"/>
      <c r="E15" s="10"/>
      <c r="F15" s="10"/>
    </row>
    <row r="17" spans="2:10" x14ac:dyDescent="0.2">
      <c r="B17" s="67">
        <v>1</v>
      </c>
      <c r="C17" s="69" t="s">
        <v>7</v>
      </c>
      <c r="D17" s="70"/>
      <c r="E17" s="7" t="s">
        <v>8</v>
      </c>
      <c r="F17" s="8" t="s">
        <v>9</v>
      </c>
      <c r="G17" s="8" t="s">
        <v>10</v>
      </c>
      <c r="H17" s="8" t="s">
        <v>11</v>
      </c>
      <c r="I17" s="11" t="s">
        <v>13</v>
      </c>
      <c r="J17" s="11" t="s">
        <v>14</v>
      </c>
    </row>
    <row r="18" spans="2:10" x14ac:dyDescent="0.2">
      <c r="B18" s="67"/>
      <c r="C18" s="69"/>
      <c r="D18" s="70"/>
      <c r="E18" s="7" t="s">
        <v>9</v>
      </c>
      <c r="F18" s="8" t="s">
        <v>12</v>
      </c>
      <c r="G18" s="8">
        <v>15</v>
      </c>
      <c r="H18" s="8">
        <v>10</v>
      </c>
      <c r="I18" s="9">
        <f>MIN(F18:H18)</f>
        <v>10</v>
      </c>
      <c r="J18" s="9">
        <f>MAX(I18:I20)</f>
        <v>12</v>
      </c>
    </row>
    <row r="19" spans="2:10" x14ac:dyDescent="0.2">
      <c r="C19" s="69"/>
      <c r="D19" s="70"/>
      <c r="E19" s="8" t="s">
        <v>10</v>
      </c>
      <c r="F19" s="8">
        <v>17</v>
      </c>
      <c r="G19" s="8" t="s">
        <v>12</v>
      </c>
      <c r="H19" s="8">
        <v>12</v>
      </c>
      <c r="I19" s="9">
        <f t="shared" ref="I19:I20" si="0">MIN(F19:H19)</f>
        <v>12</v>
      </c>
      <c r="J19" s="6"/>
    </row>
    <row r="20" spans="2:10" x14ac:dyDescent="0.2">
      <c r="C20" s="3"/>
      <c r="D20" s="12"/>
      <c r="E20" s="8" t="s">
        <v>11</v>
      </c>
      <c r="F20" s="8">
        <v>21</v>
      </c>
      <c r="G20" s="8">
        <v>9</v>
      </c>
      <c r="H20" s="8" t="s">
        <v>12</v>
      </c>
      <c r="I20" s="9">
        <f t="shared" si="0"/>
        <v>9</v>
      </c>
      <c r="J20" s="6"/>
    </row>
    <row r="22" spans="2:10" ht="16" customHeight="1" x14ac:dyDescent="0.2">
      <c r="B22" s="67">
        <v>2</v>
      </c>
      <c r="C22" s="69" t="s">
        <v>15</v>
      </c>
      <c r="D22" s="69"/>
      <c r="E22" s="68" t="s">
        <v>16</v>
      </c>
      <c r="F22" s="68"/>
      <c r="G22" s="68"/>
    </row>
    <row r="23" spans="2:10" ht="16" customHeight="1" x14ac:dyDescent="0.2">
      <c r="B23" s="67"/>
      <c r="C23" s="69"/>
      <c r="D23" s="69"/>
      <c r="E23" s="68" t="s">
        <v>17</v>
      </c>
      <c r="F23" s="68"/>
      <c r="G23" s="68"/>
    </row>
    <row r="24" spans="2:10" ht="16" customHeight="1" x14ac:dyDescent="0.2">
      <c r="B24" s="3"/>
      <c r="C24" s="69"/>
      <c r="D24" s="69"/>
      <c r="E24" s="2" t="s">
        <v>18</v>
      </c>
      <c r="F24" s="2"/>
      <c r="G24" s="2"/>
    </row>
    <row r="25" spans="2:10" ht="16" customHeight="1" x14ac:dyDescent="0.2">
      <c r="B25" s="3"/>
      <c r="C25" s="13"/>
      <c r="D25" s="13"/>
      <c r="E25" s="2" t="s">
        <v>19</v>
      </c>
      <c r="F25" s="2"/>
      <c r="G25" s="2"/>
    </row>
    <row r="26" spans="2:10" ht="16" customHeight="1" x14ac:dyDescent="0.2">
      <c r="B26" s="3"/>
      <c r="C26" s="13"/>
      <c r="D26" s="13"/>
      <c r="E26" s="2"/>
      <c r="F26" s="2"/>
      <c r="G26" s="2"/>
    </row>
    <row r="27" spans="2:10" x14ac:dyDescent="0.2">
      <c r="B27" s="67">
        <v>3</v>
      </c>
      <c r="C27" s="67" t="s">
        <v>20</v>
      </c>
      <c r="D27" s="67"/>
      <c r="E27" s="67"/>
    </row>
    <row r="28" spans="2:10" x14ac:dyDescent="0.2">
      <c r="B28" s="67"/>
      <c r="C28" s="3"/>
      <c r="D28" s="3"/>
    </row>
    <row r="29" spans="2:10" x14ac:dyDescent="0.2">
      <c r="B29" s="4"/>
      <c r="C29" s="3"/>
      <c r="D29" s="3"/>
    </row>
    <row r="30" spans="2:10" x14ac:dyDescent="0.2">
      <c r="B30" s="67">
        <v>4</v>
      </c>
      <c r="C30" s="67" t="s">
        <v>21</v>
      </c>
      <c r="D30" s="67"/>
      <c r="E30" s="67"/>
    </row>
    <row r="31" spans="2:10" x14ac:dyDescent="0.2">
      <c r="B31" s="67"/>
      <c r="C31" s="3"/>
      <c r="D31" s="3"/>
    </row>
    <row r="32" spans="2:10" x14ac:dyDescent="0.2">
      <c r="B32" s="4"/>
      <c r="C32" s="3"/>
      <c r="D32" s="3"/>
    </row>
    <row r="33" spans="2:5" x14ac:dyDescent="0.2">
      <c r="B33" s="67">
        <v>5</v>
      </c>
      <c r="C33" s="64" t="s">
        <v>22</v>
      </c>
      <c r="D33" s="64"/>
      <c r="E33" s="64"/>
    </row>
    <row r="34" spans="2:5" x14ac:dyDescent="0.2">
      <c r="B34" s="67"/>
      <c r="D34" s="3"/>
    </row>
    <row r="35" spans="2:5" x14ac:dyDescent="0.2">
      <c r="B35" s="4"/>
      <c r="D35" s="3"/>
    </row>
    <row r="36" spans="2:5" x14ac:dyDescent="0.2">
      <c r="B36" s="67">
        <v>6</v>
      </c>
      <c r="C36" s="64" t="s">
        <v>23</v>
      </c>
      <c r="D36" s="64"/>
      <c r="E36" s="64"/>
    </row>
    <row r="37" spans="2:5" x14ac:dyDescent="0.2">
      <c r="B37" s="67"/>
      <c r="D37" s="3"/>
      <c r="E37" s="3"/>
    </row>
    <row r="38" spans="2:5" x14ac:dyDescent="0.2">
      <c r="B38" s="4"/>
      <c r="D38" s="3"/>
      <c r="E38" s="3"/>
    </row>
    <row r="39" spans="2:5" x14ac:dyDescent="0.2">
      <c r="B39" s="67">
        <v>7</v>
      </c>
      <c r="C39" s="64" t="s">
        <v>24</v>
      </c>
      <c r="D39" s="64"/>
      <c r="E39" s="64"/>
    </row>
    <row r="40" spans="2:5" x14ac:dyDescent="0.2">
      <c r="B40" s="67"/>
      <c r="D40" s="3"/>
      <c r="E40" s="3"/>
    </row>
    <row r="42" spans="2:5" ht="16" customHeight="1" x14ac:dyDescent="0.2">
      <c r="B42" s="65">
        <v>8</v>
      </c>
      <c r="C42" s="66" t="s">
        <v>25</v>
      </c>
      <c r="D42" s="66"/>
      <c r="E42" t="s">
        <v>26</v>
      </c>
    </row>
    <row r="43" spans="2:5" x14ac:dyDescent="0.2">
      <c r="B43" s="65"/>
      <c r="C43" s="66"/>
      <c r="D43" s="66"/>
      <c r="E43" t="s">
        <v>29</v>
      </c>
    </row>
    <row r="44" spans="2:5" x14ac:dyDescent="0.2">
      <c r="C44" s="66"/>
      <c r="D44" s="66"/>
      <c r="E44" t="s">
        <v>27</v>
      </c>
    </row>
    <row r="45" spans="2:5" x14ac:dyDescent="0.2">
      <c r="E45" t="s">
        <v>28</v>
      </c>
    </row>
  </sheetData>
  <mergeCells count="25">
    <mergeCell ref="B2:F4"/>
    <mergeCell ref="C6:F6"/>
    <mergeCell ref="C7:F7"/>
    <mergeCell ref="E23:G23"/>
    <mergeCell ref="C17:D19"/>
    <mergeCell ref="C22:D24"/>
    <mergeCell ref="C8:F8"/>
    <mergeCell ref="C5:F5"/>
    <mergeCell ref="C9:F9"/>
    <mergeCell ref="B12:F14"/>
    <mergeCell ref="B17:B18"/>
    <mergeCell ref="B22:B23"/>
    <mergeCell ref="E22:G22"/>
    <mergeCell ref="C36:E36"/>
    <mergeCell ref="C39:E39"/>
    <mergeCell ref="B42:B43"/>
    <mergeCell ref="C42:D44"/>
    <mergeCell ref="B27:B28"/>
    <mergeCell ref="B30:B31"/>
    <mergeCell ref="B33:B34"/>
    <mergeCell ref="B36:B37"/>
    <mergeCell ref="B39:B40"/>
    <mergeCell ref="C27:E27"/>
    <mergeCell ref="C30:E30"/>
    <mergeCell ref="C33:E3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1"/>
  <sheetViews>
    <sheetView workbookViewId="0">
      <selection activeCell="D25" sqref="D25"/>
    </sheetView>
  </sheetViews>
  <sheetFormatPr baseColWidth="10" defaultColWidth="8.83203125" defaultRowHeight="14" x14ac:dyDescent="0.2"/>
  <cols>
    <col min="1" max="1" width="16.1640625" style="14" customWidth="1"/>
    <col min="2" max="2" width="12.1640625" style="14" customWidth="1"/>
    <col min="3" max="3" width="11.33203125" style="14" customWidth="1"/>
    <col min="4" max="4" width="12" style="14" customWidth="1"/>
    <col min="5" max="5" width="4" style="44" customWidth="1"/>
    <col min="6" max="6" width="12.1640625" style="14" customWidth="1"/>
    <col min="7" max="7" width="12" style="14" customWidth="1"/>
    <col min="8" max="22" width="5.5" style="14" customWidth="1"/>
    <col min="23" max="23" width="1.6640625" style="14" customWidth="1"/>
    <col min="24" max="25" width="6.33203125" style="14" customWidth="1"/>
    <col min="26" max="26" width="1.5" style="14" customWidth="1"/>
    <col min="27" max="28" width="6" style="14" customWidth="1"/>
    <col min="29" max="29" width="2.1640625" style="14" customWidth="1"/>
    <col min="30" max="16384" width="8.83203125" style="14"/>
  </cols>
  <sheetData>
    <row r="2" spans="1:30" x14ac:dyDescent="0.2">
      <c r="B2" s="15" t="s">
        <v>30</v>
      </c>
      <c r="C2" s="15" t="s">
        <v>31</v>
      </c>
      <c r="D2" s="15" t="s">
        <v>32</v>
      </c>
      <c r="E2" s="41"/>
      <c r="F2" s="18"/>
      <c r="G2" s="19"/>
      <c r="H2" s="77" t="s">
        <v>37</v>
      </c>
      <c r="I2" s="77"/>
      <c r="J2" s="77"/>
      <c r="K2" s="77"/>
      <c r="L2" s="77"/>
      <c r="M2" s="77" t="s">
        <v>38</v>
      </c>
      <c r="N2" s="77"/>
      <c r="O2" s="77"/>
      <c r="P2" s="77"/>
      <c r="Q2" s="77"/>
      <c r="R2" s="77" t="s">
        <v>39</v>
      </c>
      <c r="S2" s="77"/>
      <c r="T2" s="77"/>
      <c r="U2" s="77"/>
      <c r="V2" s="77"/>
      <c r="W2" s="19"/>
      <c r="X2" s="19"/>
      <c r="Y2" s="19"/>
      <c r="Z2" s="19"/>
      <c r="AA2" s="19"/>
      <c r="AB2" s="19"/>
    </row>
    <row r="3" spans="1:30" x14ac:dyDescent="0.2">
      <c r="A3" s="16" t="s">
        <v>33</v>
      </c>
      <c r="B3" s="17">
        <v>0.3</v>
      </c>
      <c r="C3" s="17">
        <v>0.6</v>
      </c>
      <c r="D3" s="17">
        <v>0.8</v>
      </c>
      <c r="E3" s="42"/>
      <c r="F3" s="20"/>
      <c r="G3" s="21" t="s">
        <v>40</v>
      </c>
      <c r="H3" s="22">
        <v>100</v>
      </c>
      <c r="I3" s="23"/>
      <c r="J3" s="23"/>
      <c r="K3" s="24"/>
      <c r="L3" s="25"/>
      <c r="M3" s="22">
        <v>100</v>
      </c>
      <c r="N3" s="23"/>
      <c r="O3" s="23"/>
      <c r="P3" s="24"/>
      <c r="Q3" s="25"/>
      <c r="R3" s="22">
        <v>100</v>
      </c>
      <c r="S3" s="23"/>
      <c r="T3" s="23"/>
      <c r="U3" s="24"/>
      <c r="V3" s="25"/>
      <c r="W3" s="19"/>
      <c r="X3" s="19"/>
      <c r="Y3" s="19"/>
      <c r="Z3" s="19"/>
      <c r="AA3" s="19"/>
      <c r="AB3" s="19"/>
    </row>
    <row r="4" spans="1:30" x14ac:dyDescent="0.2">
      <c r="A4" s="16" t="s">
        <v>34</v>
      </c>
      <c r="B4" s="17">
        <v>0.7</v>
      </c>
      <c r="C4" s="17">
        <v>0.4</v>
      </c>
      <c r="D4" s="17">
        <v>0.2</v>
      </c>
      <c r="E4" s="42"/>
      <c r="F4" s="20"/>
      <c r="G4" s="19"/>
      <c r="H4" s="78" t="s">
        <v>41</v>
      </c>
      <c r="I4" s="78"/>
      <c r="J4" s="78"/>
      <c r="K4" s="78" t="s">
        <v>42</v>
      </c>
      <c r="L4" s="78"/>
      <c r="M4" s="78" t="s">
        <v>41</v>
      </c>
      <c r="N4" s="78"/>
      <c r="O4" s="78"/>
      <c r="P4" s="78" t="s">
        <v>42</v>
      </c>
      <c r="Q4" s="78"/>
      <c r="R4" s="78" t="s">
        <v>41</v>
      </c>
      <c r="S4" s="78"/>
      <c r="T4" s="78"/>
      <c r="U4" s="78" t="s">
        <v>42</v>
      </c>
      <c r="V4" s="78"/>
      <c r="W4" s="19"/>
      <c r="X4" s="74" t="s">
        <v>42</v>
      </c>
      <c r="Y4" s="75"/>
      <c r="Z4" s="19"/>
      <c r="AA4" s="74" t="s">
        <v>43</v>
      </c>
      <c r="AB4" s="75"/>
      <c r="AC4" s="19"/>
      <c r="AD4" s="26" t="s">
        <v>44</v>
      </c>
    </row>
    <row r="5" spans="1:30" x14ac:dyDescent="0.2">
      <c r="A5" s="76"/>
      <c r="B5" s="76"/>
      <c r="C5" s="76"/>
      <c r="D5" s="76"/>
      <c r="E5" s="43"/>
      <c r="F5" s="27"/>
      <c r="G5" s="19"/>
      <c r="H5" s="28" t="s">
        <v>9</v>
      </c>
      <c r="I5" s="28" t="s">
        <v>10</v>
      </c>
      <c r="J5" s="28" t="s">
        <v>11</v>
      </c>
      <c r="K5" s="28">
        <v>1</v>
      </c>
      <c r="L5" s="28">
        <v>2</v>
      </c>
      <c r="M5" s="28" t="s">
        <v>9</v>
      </c>
      <c r="N5" s="28" t="s">
        <v>10</v>
      </c>
      <c r="O5" s="28" t="s">
        <v>11</v>
      </c>
      <c r="P5" s="28">
        <v>1</v>
      </c>
      <c r="Q5" s="28">
        <v>2</v>
      </c>
      <c r="R5" s="28" t="s">
        <v>9</v>
      </c>
      <c r="S5" s="28" t="s">
        <v>10</v>
      </c>
      <c r="T5" s="28" t="s">
        <v>11</v>
      </c>
      <c r="U5" s="28">
        <v>1</v>
      </c>
      <c r="V5" s="28">
        <v>2</v>
      </c>
      <c r="W5" s="19"/>
      <c r="X5" s="29">
        <v>1</v>
      </c>
      <c r="Y5" s="29">
        <v>2</v>
      </c>
      <c r="Z5" s="19"/>
      <c r="AA5" s="29">
        <v>1</v>
      </c>
      <c r="AB5" s="29">
        <v>2</v>
      </c>
      <c r="AC5" s="19"/>
      <c r="AD5" s="19"/>
    </row>
    <row r="6" spans="1:30" x14ac:dyDescent="0.2">
      <c r="A6" s="16" t="s">
        <v>30</v>
      </c>
      <c r="B6" s="17">
        <v>0</v>
      </c>
      <c r="C6" s="17">
        <v>0.95</v>
      </c>
      <c r="D6" s="17">
        <v>0</v>
      </c>
      <c r="E6" s="42"/>
      <c r="F6" s="20"/>
      <c r="G6" s="30" t="s">
        <v>45</v>
      </c>
      <c r="H6" s="31">
        <f>+B3*B6</f>
        <v>0</v>
      </c>
      <c r="I6" s="31">
        <f>+B3*B7</f>
        <v>0.3</v>
      </c>
      <c r="J6" s="31">
        <f>+B3*B8</f>
        <v>0</v>
      </c>
      <c r="K6" s="32">
        <f>+B4*B10</f>
        <v>0.53199999999999992</v>
      </c>
      <c r="L6" s="32">
        <f>+B4*B11</f>
        <v>0.16799999999999998</v>
      </c>
      <c r="M6" s="31">
        <f>+C3*C6</f>
        <v>0.56999999999999995</v>
      </c>
      <c r="N6" s="31">
        <f>+C3*C7</f>
        <v>0</v>
      </c>
      <c r="O6" s="31">
        <f>+C3*C8</f>
        <v>0.03</v>
      </c>
      <c r="P6" s="31">
        <f>+C4*C10</f>
        <v>0.1</v>
      </c>
      <c r="Q6" s="31">
        <f>+C4*C11</f>
        <v>0.30000000000000004</v>
      </c>
      <c r="R6" s="31">
        <f>+D3*D6</f>
        <v>0</v>
      </c>
      <c r="S6" s="31">
        <f>+D3*D7</f>
        <v>0.8</v>
      </c>
      <c r="T6" s="31">
        <f>+D3*D8</f>
        <v>0</v>
      </c>
      <c r="U6" s="31">
        <f>+D4*D10</f>
        <v>0</v>
      </c>
      <c r="V6" s="33">
        <f>+D4*D11</f>
        <v>0.2</v>
      </c>
      <c r="W6" s="19"/>
      <c r="X6" s="19"/>
      <c r="Y6" s="19"/>
      <c r="Z6" s="19"/>
      <c r="AA6" s="19"/>
      <c r="AB6" s="19"/>
      <c r="AC6" s="19"/>
      <c r="AD6" s="19"/>
    </row>
    <row r="7" spans="1:30" x14ac:dyDescent="0.2">
      <c r="A7" s="16" t="s">
        <v>31</v>
      </c>
      <c r="B7" s="17">
        <v>1</v>
      </c>
      <c r="C7" s="17">
        <v>0</v>
      </c>
      <c r="D7" s="17">
        <v>1</v>
      </c>
      <c r="E7" s="42"/>
      <c r="F7" s="20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x14ac:dyDescent="0.2">
      <c r="A8" s="16" t="s">
        <v>32</v>
      </c>
      <c r="B8" s="17">
        <v>0</v>
      </c>
      <c r="C8" s="17">
        <v>0.05</v>
      </c>
      <c r="D8" s="17">
        <v>0</v>
      </c>
      <c r="E8" s="42"/>
      <c r="F8" s="20"/>
      <c r="G8" s="26" t="s">
        <v>46</v>
      </c>
      <c r="H8" s="34">
        <f>+$H$6*H3</f>
        <v>0</v>
      </c>
      <c r="I8" s="34">
        <f>+$I$6*H3</f>
        <v>30</v>
      </c>
      <c r="J8" s="34">
        <f>+$J$6*H3</f>
        <v>0</v>
      </c>
      <c r="K8" s="26"/>
      <c r="L8" s="26"/>
      <c r="M8" s="35">
        <f>+$M$6*M3</f>
        <v>56.999999999999993</v>
      </c>
      <c r="N8" s="35">
        <f>+$N$6*M3</f>
        <v>0</v>
      </c>
      <c r="O8" s="35">
        <f>+$O$6*M3</f>
        <v>3</v>
      </c>
      <c r="P8" s="35"/>
      <c r="Q8" s="35"/>
      <c r="R8" s="35">
        <f>+$R$6*R3</f>
        <v>0</v>
      </c>
      <c r="S8" s="35">
        <f>+$S$6*R3</f>
        <v>80</v>
      </c>
      <c r="T8" s="35">
        <f>+$T$6*R3</f>
        <v>0</v>
      </c>
      <c r="U8" s="35"/>
      <c r="V8" s="35"/>
      <c r="W8" s="36"/>
      <c r="X8" s="35"/>
      <c r="Y8" s="35"/>
      <c r="Z8" s="36"/>
      <c r="AA8" s="36"/>
      <c r="AB8" s="36"/>
      <c r="AC8" s="19"/>
      <c r="AD8" s="19"/>
    </row>
    <row r="9" spans="1:30" x14ac:dyDescent="0.2">
      <c r="A9" s="76"/>
      <c r="B9" s="76"/>
      <c r="C9" s="76"/>
      <c r="D9" s="76"/>
      <c r="E9" s="43"/>
      <c r="F9" s="27"/>
      <c r="G9" s="26" t="s">
        <v>47</v>
      </c>
      <c r="H9" s="34"/>
      <c r="I9" s="34"/>
      <c r="J9" s="34"/>
      <c r="K9" s="34">
        <f>+H3*$K$6</f>
        <v>53.199999999999989</v>
      </c>
      <c r="L9" s="34">
        <f>+H3*$L$6</f>
        <v>16.799999999999997</v>
      </c>
      <c r="M9" s="34"/>
      <c r="N9" s="35"/>
      <c r="O9" s="35"/>
      <c r="P9" s="35">
        <f>+M3*$P$6</f>
        <v>10</v>
      </c>
      <c r="Q9" s="35">
        <f>+M3*$Q$6</f>
        <v>30.000000000000004</v>
      </c>
      <c r="R9" s="35"/>
      <c r="S9" s="35"/>
      <c r="T9" s="35"/>
      <c r="U9" s="35">
        <f>+R3*$U$6</f>
        <v>0</v>
      </c>
      <c r="V9" s="35">
        <f>+R3*$V$6</f>
        <v>20</v>
      </c>
      <c r="W9" s="36"/>
      <c r="X9" s="35">
        <f>U9+P9+K9</f>
        <v>63.199999999999989</v>
      </c>
      <c r="Y9" s="35">
        <f>V9+Q9+L9</f>
        <v>66.8</v>
      </c>
      <c r="Z9" s="36"/>
      <c r="AA9" s="35">
        <f>+X9</f>
        <v>63.199999999999989</v>
      </c>
      <c r="AB9" s="35">
        <f>+Y9</f>
        <v>66.8</v>
      </c>
      <c r="AC9" s="19"/>
      <c r="AD9" s="19"/>
    </row>
    <row r="10" spans="1:30" x14ac:dyDescent="0.2">
      <c r="A10" s="16" t="s">
        <v>35</v>
      </c>
      <c r="B10" s="17">
        <v>0.76</v>
      </c>
      <c r="C10" s="17">
        <v>0.25</v>
      </c>
      <c r="D10" s="17">
        <v>0</v>
      </c>
      <c r="E10" s="42"/>
      <c r="F10" s="20"/>
      <c r="G10" s="19"/>
      <c r="H10" s="37" t="s">
        <v>9</v>
      </c>
      <c r="I10" s="37"/>
      <c r="J10" s="37"/>
      <c r="K10" s="37"/>
      <c r="L10" s="37"/>
      <c r="M10" s="37" t="s">
        <v>10</v>
      </c>
      <c r="N10" s="37"/>
      <c r="O10" s="37"/>
      <c r="P10" s="37"/>
      <c r="Q10" s="37"/>
      <c r="R10" s="37" t="s">
        <v>11</v>
      </c>
      <c r="S10" s="19"/>
      <c r="T10" s="19"/>
      <c r="U10" s="19"/>
      <c r="V10" s="19"/>
      <c r="W10" s="36"/>
      <c r="X10" s="36"/>
      <c r="Y10" s="36"/>
      <c r="Z10" s="36"/>
      <c r="AA10" s="36"/>
      <c r="AB10" s="36"/>
      <c r="AC10" s="19"/>
      <c r="AD10" s="19"/>
    </row>
    <row r="11" spans="1:30" x14ac:dyDescent="0.2">
      <c r="A11" s="16" t="s">
        <v>36</v>
      </c>
      <c r="B11" s="17">
        <v>0.24</v>
      </c>
      <c r="C11" s="17">
        <v>0.75</v>
      </c>
      <c r="D11" s="17">
        <v>1</v>
      </c>
      <c r="E11" s="42"/>
      <c r="F11" s="19"/>
      <c r="G11" s="20" t="s">
        <v>48</v>
      </c>
      <c r="H11" s="38">
        <f>+H8+M8+R8</f>
        <v>56.999999999999993</v>
      </c>
      <c r="I11" s="38"/>
      <c r="J11" s="38"/>
      <c r="K11" s="38"/>
      <c r="L11" s="38"/>
      <c r="M11" s="36">
        <f>+I8+N8+S8</f>
        <v>110</v>
      </c>
      <c r="N11" s="19"/>
      <c r="O11" s="36"/>
      <c r="P11" s="36"/>
      <c r="Q11" s="36"/>
      <c r="R11" s="36">
        <f>+J8+O8+T8</f>
        <v>3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19"/>
      <c r="AD11" s="35">
        <f>SUM(H11:AC11)</f>
        <v>170</v>
      </c>
    </row>
    <row r="12" spans="1:30" x14ac:dyDescent="0.2">
      <c r="F12" s="39" t="s">
        <v>49</v>
      </c>
      <c r="G12" s="26" t="s">
        <v>46</v>
      </c>
      <c r="H12" s="34">
        <f>+$H$6*H11</f>
        <v>0</v>
      </c>
      <c r="I12" s="34">
        <f>+$I$6*H11</f>
        <v>17.099999999999998</v>
      </c>
      <c r="J12" s="34">
        <f>+$J$6*H11</f>
        <v>0</v>
      </c>
      <c r="K12" s="26"/>
      <c r="L12" s="26"/>
      <c r="M12" s="35">
        <f>+$M$6*M11</f>
        <v>62.699999999999996</v>
      </c>
      <c r="N12" s="35">
        <f>+$N$6*M11</f>
        <v>0</v>
      </c>
      <c r="O12" s="35">
        <f>+$O$6*M11</f>
        <v>3.3</v>
      </c>
      <c r="P12" s="35"/>
      <c r="Q12" s="35"/>
      <c r="R12" s="35">
        <f>+$R$6*R11</f>
        <v>0</v>
      </c>
      <c r="S12" s="35">
        <f>+$S$6*R11</f>
        <v>2.4000000000000004</v>
      </c>
      <c r="T12" s="35">
        <f>+$T$6*R11</f>
        <v>0</v>
      </c>
      <c r="U12" s="35"/>
      <c r="V12" s="35"/>
      <c r="W12" s="19"/>
      <c r="X12" s="35"/>
      <c r="Y12" s="35"/>
      <c r="Z12" s="36"/>
      <c r="AA12" s="36"/>
      <c r="AB12" s="36"/>
      <c r="AC12" s="19"/>
      <c r="AD12" s="19"/>
    </row>
    <row r="13" spans="1:30" x14ac:dyDescent="0.2">
      <c r="F13" s="19"/>
      <c r="G13" s="26" t="s">
        <v>47</v>
      </c>
      <c r="H13" s="34"/>
      <c r="I13" s="34"/>
      <c r="J13" s="34"/>
      <c r="K13" s="34">
        <f>+H11*$K$6</f>
        <v>30.323999999999991</v>
      </c>
      <c r="L13" s="34">
        <f>+H11*$L$6</f>
        <v>9.575999999999997</v>
      </c>
      <c r="M13" s="34"/>
      <c r="N13" s="35"/>
      <c r="O13" s="35"/>
      <c r="P13" s="35">
        <f>+M11*$P$6</f>
        <v>11</v>
      </c>
      <c r="Q13" s="35">
        <f>+M11*$Q$6</f>
        <v>33.000000000000007</v>
      </c>
      <c r="R13" s="35"/>
      <c r="S13" s="35"/>
      <c r="T13" s="35"/>
      <c r="U13" s="35">
        <f>+R11*$U$6</f>
        <v>0</v>
      </c>
      <c r="V13" s="35">
        <f>+R11*$V$6</f>
        <v>0.60000000000000009</v>
      </c>
      <c r="W13" s="36"/>
      <c r="X13" s="35">
        <f>U13+P13+K13</f>
        <v>41.323999999999991</v>
      </c>
      <c r="Y13" s="35">
        <f>V13+Q13+L13</f>
        <v>43.176000000000002</v>
      </c>
      <c r="Z13" s="36"/>
      <c r="AA13" s="35">
        <f>+X13+X9</f>
        <v>104.52399999999997</v>
      </c>
      <c r="AB13" s="35">
        <f>+Y13+Y9</f>
        <v>109.976</v>
      </c>
      <c r="AC13" s="19"/>
      <c r="AD13" s="19"/>
    </row>
    <row r="14" spans="1:30" x14ac:dyDescent="0.2">
      <c r="F14" s="19"/>
      <c r="G14" s="19"/>
      <c r="H14" s="37" t="s">
        <v>9</v>
      </c>
      <c r="I14" s="37"/>
      <c r="J14" s="37"/>
      <c r="K14" s="37"/>
      <c r="L14" s="37"/>
      <c r="M14" s="37" t="s">
        <v>10</v>
      </c>
      <c r="N14" s="37"/>
      <c r="O14" s="37"/>
      <c r="P14" s="37"/>
      <c r="Q14" s="37"/>
      <c r="R14" s="37" t="s">
        <v>11</v>
      </c>
      <c r="S14" s="19"/>
      <c r="T14" s="19"/>
      <c r="U14" s="19"/>
      <c r="V14" s="19"/>
      <c r="W14" s="36"/>
      <c r="X14" s="36"/>
      <c r="Y14" s="36"/>
      <c r="Z14" s="36"/>
      <c r="AA14" s="36"/>
      <c r="AB14" s="36"/>
      <c r="AC14" s="19"/>
      <c r="AD14" s="19"/>
    </row>
    <row r="15" spans="1:30" x14ac:dyDescent="0.2">
      <c r="F15" s="19"/>
      <c r="G15" s="20" t="s">
        <v>48</v>
      </c>
      <c r="H15" s="38">
        <f>+H12+M12+R12</f>
        <v>62.699999999999996</v>
      </c>
      <c r="I15" s="38"/>
      <c r="J15" s="38"/>
      <c r="K15" s="38"/>
      <c r="L15" s="38"/>
      <c r="M15" s="36">
        <f>+I12+N12+S12</f>
        <v>19.5</v>
      </c>
      <c r="N15" s="19"/>
      <c r="O15" s="36"/>
      <c r="P15" s="36"/>
      <c r="Q15" s="36"/>
      <c r="R15" s="36">
        <f>+J12+O12+T12</f>
        <v>3.3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19"/>
      <c r="AD15" s="35">
        <f>SUM(H15:AC15)</f>
        <v>85.499999999999986</v>
      </c>
    </row>
    <row r="16" spans="1:30" x14ac:dyDescent="0.2">
      <c r="F16" s="40" t="s">
        <v>50</v>
      </c>
      <c r="G16" s="26" t="s">
        <v>46</v>
      </c>
      <c r="H16" s="34">
        <f>+$H$6*H15</f>
        <v>0</v>
      </c>
      <c r="I16" s="34">
        <f>+$I$6*H15</f>
        <v>18.809999999999999</v>
      </c>
      <c r="J16" s="34">
        <f>+$J$6*H15</f>
        <v>0</v>
      </c>
      <c r="K16" s="26"/>
      <c r="L16" s="26"/>
      <c r="M16" s="35">
        <f>+$M$6*M15</f>
        <v>11.114999999999998</v>
      </c>
      <c r="N16" s="35">
        <f>+$N$6*M15</f>
        <v>0</v>
      </c>
      <c r="O16" s="35">
        <f>+$O$6*M15</f>
        <v>0.58499999999999996</v>
      </c>
      <c r="P16" s="35"/>
      <c r="Q16" s="35"/>
      <c r="R16" s="35">
        <f>+$R$6*R15</f>
        <v>0</v>
      </c>
      <c r="S16" s="35">
        <f>+$S$6*R15</f>
        <v>2.64</v>
      </c>
      <c r="T16" s="35">
        <f>+$T$6*R15</f>
        <v>0</v>
      </c>
      <c r="U16" s="35"/>
      <c r="V16" s="35"/>
      <c r="W16" s="19"/>
      <c r="X16" s="35"/>
      <c r="Y16" s="35"/>
      <c r="Z16" s="36"/>
      <c r="AA16" s="36"/>
      <c r="AB16" s="36"/>
      <c r="AC16" s="19"/>
      <c r="AD16" s="19"/>
    </row>
    <row r="17" spans="6:30" s="14" customFormat="1" x14ac:dyDescent="0.2">
      <c r="F17" s="21"/>
      <c r="G17" s="26" t="s">
        <v>47</v>
      </c>
      <c r="H17" s="34"/>
      <c r="I17" s="34"/>
      <c r="J17" s="34"/>
      <c r="K17" s="34">
        <f>+H15*$K$6</f>
        <v>33.356399999999994</v>
      </c>
      <c r="L17" s="34">
        <f>+H15*$L$6</f>
        <v>10.533599999999998</v>
      </c>
      <c r="M17" s="34"/>
      <c r="N17" s="35"/>
      <c r="O17" s="35"/>
      <c r="P17" s="35">
        <f>+M15*$P$6</f>
        <v>1.9500000000000002</v>
      </c>
      <c r="Q17" s="35">
        <f>+M15*$Q$6</f>
        <v>5.8500000000000005</v>
      </c>
      <c r="R17" s="35"/>
      <c r="S17" s="35"/>
      <c r="T17" s="35"/>
      <c r="U17" s="35">
        <f>+R15*$U$6</f>
        <v>0</v>
      </c>
      <c r="V17" s="35">
        <f>+R15*$V$6</f>
        <v>0.66</v>
      </c>
      <c r="W17" s="36"/>
      <c r="X17" s="35">
        <f>U17+P17+K17</f>
        <v>35.306399999999996</v>
      </c>
      <c r="Y17" s="35">
        <f>V17+Q17+L17</f>
        <v>17.043599999999998</v>
      </c>
      <c r="Z17" s="36"/>
      <c r="AA17" s="35">
        <f>+AA13+X17</f>
        <v>139.83039999999997</v>
      </c>
      <c r="AB17" s="35">
        <f>+AB13+Y17</f>
        <v>127.0196</v>
      </c>
      <c r="AC17" s="19"/>
      <c r="AD17" s="19"/>
    </row>
    <row r="18" spans="6:30" s="14" customFormat="1" x14ac:dyDescent="0.2">
      <c r="F18" s="21"/>
      <c r="G18" s="19"/>
      <c r="H18" s="37" t="s">
        <v>9</v>
      </c>
      <c r="I18" s="37"/>
      <c r="J18" s="37"/>
      <c r="K18" s="37"/>
      <c r="L18" s="37"/>
      <c r="M18" s="37" t="s">
        <v>10</v>
      </c>
      <c r="N18" s="37"/>
      <c r="O18" s="37"/>
      <c r="P18" s="37"/>
      <c r="Q18" s="37"/>
      <c r="R18" s="37" t="s">
        <v>11</v>
      </c>
      <c r="S18" s="19"/>
      <c r="T18" s="19"/>
      <c r="U18" s="19"/>
      <c r="V18" s="19"/>
      <c r="W18" s="36"/>
      <c r="X18" s="36"/>
      <c r="Y18" s="36"/>
      <c r="Z18" s="36"/>
      <c r="AA18" s="36"/>
      <c r="AB18" s="36"/>
      <c r="AC18" s="19"/>
      <c r="AD18" s="19"/>
    </row>
    <row r="19" spans="6:30" s="14" customFormat="1" x14ac:dyDescent="0.2">
      <c r="F19" s="21"/>
      <c r="G19" s="20" t="s">
        <v>48</v>
      </c>
      <c r="H19" s="38">
        <f>+H16+M16+R16</f>
        <v>11.114999999999998</v>
      </c>
      <c r="I19" s="38"/>
      <c r="J19" s="38"/>
      <c r="K19" s="38"/>
      <c r="L19" s="38"/>
      <c r="M19" s="36">
        <f>+I16+N16+S16</f>
        <v>21.45</v>
      </c>
      <c r="N19" s="19"/>
      <c r="O19" s="36"/>
      <c r="P19" s="36"/>
      <c r="Q19" s="36"/>
      <c r="R19" s="36">
        <f>+J16+O16+T16</f>
        <v>0.58499999999999996</v>
      </c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19"/>
      <c r="AD19" s="35">
        <f>SUM(H19:AC19)</f>
        <v>33.15</v>
      </c>
    </row>
    <row r="20" spans="6:30" s="14" customFormat="1" x14ac:dyDescent="0.2">
      <c r="F20" s="40" t="s">
        <v>51</v>
      </c>
      <c r="G20" s="26" t="s">
        <v>46</v>
      </c>
      <c r="H20" s="34">
        <f>+$H$6*H19</f>
        <v>0</v>
      </c>
      <c r="I20" s="34">
        <f>+$I$6*H19</f>
        <v>3.3344999999999994</v>
      </c>
      <c r="J20" s="34">
        <f>+$J$6*H19</f>
        <v>0</v>
      </c>
      <c r="K20" s="26"/>
      <c r="L20" s="26"/>
      <c r="M20" s="35">
        <f>+$M$6*M19</f>
        <v>12.226499999999998</v>
      </c>
      <c r="N20" s="35">
        <f>+$N$6*M19</f>
        <v>0</v>
      </c>
      <c r="O20" s="35">
        <f>+$O$6*M19</f>
        <v>0.64349999999999996</v>
      </c>
      <c r="P20" s="35"/>
      <c r="Q20" s="35"/>
      <c r="R20" s="35">
        <f>+$R$6*R19</f>
        <v>0</v>
      </c>
      <c r="S20" s="35">
        <f>+$S$6*R19</f>
        <v>0.46799999999999997</v>
      </c>
      <c r="T20" s="35">
        <f>+$T$6*R19</f>
        <v>0</v>
      </c>
      <c r="U20" s="35"/>
      <c r="V20" s="35"/>
      <c r="W20" s="19"/>
      <c r="X20" s="35"/>
      <c r="Y20" s="35"/>
      <c r="Z20" s="36"/>
      <c r="AA20" s="36"/>
      <c r="AB20" s="36"/>
      <c r="AC20" s="19"/>
      <c r="AD20" s="19"/>
    </row>
    <row r="21" spans="6:30" s="14" customFormat="1" x14ac:dyDescent="0.2">
      <c r="F21" s="21"/>
      <c r="G21" s="26" t="s">
        <v>47</v>
      </c>
      <c r="H21" s="34"/>
      <c r="I21" s="34"/>
      <c r="J21" s="34"/>
      <c r="K21" s="34">
        <f>+H19*$K$6</f>
        <v>5.9131799999999979</v>
      </c>
      <c r="L21" s="34">
        <f>+H19*$L$6</f>
        <v>1.8673199999999996</v>
      </c>
      <c r="M21" s="34"/>
      <c r="N21" s="35"/>
      <c r="O21" s="35"/>
      <c r="P21" s="35">
        <f>+M19*$P$6</f>
        <v>2.145</v>
      </c>
      <c r="Q21" s="35">
        <f>+M19*$Q$6</f>
        <v>6.4350000000000005</v>
      </c>
      <c r="R21" s="35"/>
      <c r="S21" s="35"/>
      <c r="T21" s="35"/>
      <c r="U21" s="35">
        <f>+R19*$U$6</f>
        <v>0</v>
      </c>
      <c r="V21" s="35">
        <f>+R19*$V$6</f>
        <v>0.11699999999999999</v>
      </c>
      <c r="W21" s="36"/>
      <c r="X21" s="35">
        <f>U21+P21+K21</f>
        <v>8.0581799999999983</v>
      </c>
      <c r="Y21" s="35">
        <f>V21+Q21+L21</f>
        <v>8.4193200000000008</v>
      </c>
      <c r="Z21" s="36"/>
      <c r="AA21" s="35">
        <f>+AA17+X21</f>
        <v>147.88857999999996</v>
      </c>
      <c r="AB21" s="35">
        <f>+AB17+Y21</f>
        <v>135.43892</v>
      </c>
      <c r="AC21" s="19"/>
      <c r="AD21" s="19"/>
    </row>
    <row r="22" spans="6:30" s="14" customFormat="1" x14ac:dyDescent="0.2">
      <c r="F22" s="21"/>
      <c r="G22" s="19"/>
      <c r="H22" s="37" t="s">
        <v>9</v>
      </c>
      <c r="I22" s="37"/>
      <c r="J22" s="37"/>
      <c r="K22" s="37"/>
      <c r="L22" s="37"/>
      <c r="M22" s="37" t="s">
        <v>10</v>
      </c>
      <c r="N22" s="37"/>
      <c r="O22" s="37"/>
      <c r="P22" s="37"/>
      <c r="Q22" s="37"/>
      <c r="R22" s="37" t="s">
        <v>11</v>
      </c>
      <c r="S22" s="19"/>
      <c r="T22" s="19"/>
      <c r="U22" s="19"/>
      <c r="V22" s="19"/>
      <c r="W22" s="36"/>
      <c r="X22" s="36"/>
      <c r="Y22" s="36"/>
      <c r="Z22" s="36"/>
      <c r="AA22" s="36"/>
      <c r="AB22" s="36"/>
      <c r="AC22" s="19"/>
      <c r="AD22" s="19"/>
    </row>
    <row r="23" spans="6:30" s="14" customFormat="1" x14ac:dyDescent="0.2">
      <c r="F23" s="19"/>
      <c r="G23" s="20" t="s">
        <v>48</v>
      </c>
      <c r="H23" s="38">
        <f>+H20+M20+R20</f>
        <v>12.226499999999998</v>
      </c>
      <c r="I23" s="38"/>
      <c r="J23" s="38"/>
      <c r="K23" s="38"/>
      <c r="L23" s="38"/>
      <c r="M23" s="36">
        <f>+I20+N20+S20</f>
        <v>3.8024999999999993</v>
      </c>
      <c r="N23" s="19"/>
      <c r="O23" s="36"/>
      <c r="P23" s="36"/>
      <c r="Q23" s="36"/>
      <c r="R23" s="36">
        <f>+J20+O20+T20</f>
        <v>0.64349999999999996</v>
      </c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19"/>
      <c r="AD23" s="35">
        <f>SUM(H23:AC23)</f>
        <v>16.672499999999996</v>
      </c>
    </row>
    <row r="24" spans="6:30" s="14" customFormat="1" x14ac:dyDescent="0.2">
      <c r="F24" s="40" t="s">
        <v>52</v>
      </c>
      <c r="G24" s="26" t="s">
        <v>46</v>
      </c>
      <c r="H24" s="34">
        <f>+$H$6*H23</f>
        <v>0</v>
      </c>
      <c r="I24" s="34">
        <f>+$I$6*H23</f>
        <v>3.6679499999999994</v>
      </c>
      <c r="J24" s="34">
        <f>+$J$6*H23</f>
        <v>0</v>
      </c>
      <c r="K24" s="26"/>
      <c r="L24" s="26"/>
      <c r="M24" s="35">
        <f>+$M$6*M23</f>
        <v>2.1674249999999993</v>
      </c>
      <c r="N24" s="35">
        <f>+$N$6*M23</f>
        <v>0</v>
      </c>
      <c r="O24" s="35">
        <f>+$O$6*M23</f>
        <v>0.11407499999999998</v>
      </c>
      <c r="P24" s="35"/>
      <c r="Q24" s="35"/>
      <c r="R24" s="35">
        <f>+$R$6*R23</f>
        <v>0</v>
      </c>
      <c r="S24" s="35">
        <f>+$S$6*R23</f>
        <v>0.51480000000000004</v>
      </c>
      <c r="T24" s="35">
        <f>+$T$6*R23</f>
        <v>0</v>
      </c>
      <c r="U24" s="35"/>
      <c r="V24" s="35"/>
      <c r="W24" s="19"/>
      <c r="X24" s="35"/>
      <c r="Y24" s="35"/>
      <c r="Z24" s="36"/>
      <c r="AA24" s="36"/>
      <c r="AB24" s="36"/>
      <c r="AC24" s="19"/>
      <c r="AD24" s="19"/>
    </row>
    <row r="25" spans="6:30" s="14" customFormat="1" x14ac:dyDescent="0.2">
      <c r="F25" s="19"/>
      <c r="G25" s="26" t="s">
        <v>47</v>
      </c>
      <c r="H25" s="34"/>
      <c r="I25" s="34"/>
      <c r="J25" s="34"/>
      <c r="K25" s="34">
        <f>+H23*$K$6</f>
        <v>6.5044979999999981</v>
      </c>
      <c r="L25" s="34">
        <f>+H23*$L$6</f>
        <v>2.0540519999999995</v>
      </c>
      <c r="M25" s="34"/>
      <c r="N25" s="35"/>
      <c r="O25" s="35"/>
      <c r="P25" s="35">
        <f>+M23*$P$6</f>
        <v>0.38024999999999998</v>
      </c>
      <c r="Q25" s="35">
        <f>+M23*$Q$6</f>
        <v>1.1407499999999999</v>
      </c>
      <c r="R25" s="35"/>
      <c r="S25" s="35"/>
      <c r="T25" s="35"/>
      <c r="U25" s="35">
        <f>+R23*$U$6</f>
        <v>0</v>
      </c>
      <c r="V25" s="35">
        <f>+R23*$V$6</f>
        <v>0.12870000000000001</v>
      </c>
      <c r="W25" s="36"/>
      <c r="X25" s="35">
        <f>U25+P25+K25</f>
        <v>6.8847479999999983</v>
      </c>
      <c r="Y25" s="35">
        <f>V25+Q25+L25</f>
        <v>3.3235019999999995</v>
      </c>
      <c r="Z25" s="36"/>
      <c r="AA25" s="35">
        <f>+AA21+X25</f>
        <v>154.77332799999996</v>
      </c>
      <c r="AB25" s="35">
        <f>+AB21+Y25</f>
        <v>138.76242199999999</v>
      </c>
      <c r="AC25" s="19"/>
      <c r="AD25" s="19"/>
    </row>
    <row r="26" spans="6:30" s="14" customFormat="1" x14ac:dyDescent="0.2">
      <c r="F26" s="19"/>
      <c r="G26" s="19"/>
      <c r="H26" s="37" t="s">
        <v>9</v>
      </c>
      <c r="I26" s="37"/>
      <c r="J26" s="37"/>
      <c r="K26" s="37"/>
      <c r="L26" s="37"/>
      <c r="M26" s="37" t="s">
        <v>10</v>
      </c>
      <c r="N26" s="37"/>
      <c r="O26" s="37"/>
      <c r="P26" s="37"/>
      <c r="Q26" s="37"/>
      <c r="R26" s="37" t="s">
        <v>11</v>
      </c>
      <c r="S26" s="19"/>
      <c r="T26" s="19"/>
      <c r="U26" s="19"/>
      <c r="V26" s="19"/>
      <c r="W26" s="36"/>
      <c r="X26" s="36"/>
      <c r="Y26" s="36"/>
      <c r="Z26" s="36"/>
      <c r="AA26" s="36"/>
      <c r="AB26" s="36"/>
      <c r="AC26" s="19"/>
      <c r="AD26" s="19"/>
    </row>
    <row r="27" spans="6:30" s="14" customFormat="1" x14ac:dyDescent="0.2">
      <c r="F27" s="19"/>
      <c r="G27" s="20" t="s">
        <v>48</v>
      </c>
      <c r="H27" s="38">
        <f>+H24+M24+R24</f>
        <v>2.1674249999999993</v>
      </c>
      <c r="I27" s="38"/>
      <c r="J27" s="38"/>
      <c r="K27" s="38"/>
      <c r="L27" s="38"/>
      <c r="M27" s="36">
        <f>+I24+N24+S24</f>
        <v>4.1827499999999995</v>
      </c>
      <c r="N27" s="19"/>
      <c r="O27" s="36"/>
      <c r="P27" s="36"/>
      <c r="Q27" s="36"/>
      <c r="R27" s="36">
        <f>+J24+O24+T24</f>
        <v>0.11407499999999998</v>
      </c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19"/>
      <c r="AD27" s="35">
        <f>SUM(H27:AC27)</f>
        <v>6.4642499999999981</v>
      </c>
    </row>
    <row r="28" spans="6:30" s="14" customFormat="1" x14ac:dyDescent="0.2">
      <c r="F28" s="40" t="s">
        <v>53</v>
      </c>
      <c r="G28" s="26" t="s">
        <v>46</v>
      </c>
      <c r="H28" s="34">
        <f>+$H$6*H27</f>
        <v>0</v>
      </c>
      <c r="I28" s="34">
        <f>+$I$6*H27</f>
        <v>0.65022749999999974</v>
      </c>
      <c r="J28" s="34">
        <f>+$J$6*H27</f>
        <v>0</v>
      </c>
      <c r="K28" s="26"/>
      <c r="L28" s="26"/>
      <c r="M28" s="35">
        <f>+$M$6*M27</f>
        <v>2.3841674999999993</v>
      </c>
      <c r="N28" s="35">
        <f>+$N$6*M27</f>
        <v>0</v>
      </c>
      <c r="O28" s="35">
        <f>+$O$6*M27</f>
        <v>0.12548249999999997</v>
      </c>
      <c r="P28" s="35"/>
      <c r="Q28" s="35"/>
      <c r="R28" s="35">
        <f>+$R$6*R27</f>
        <v>0</v>
      </c>
      <c r="S28" s="35">
        <f>+$S$6*R27</f>
        <v>9.1259999999999994E-2</v>
      </c>
      <c r="T28" s="35">
        <f>+$T$6*R27</f>
        <v>0</v>
      </c>
      <c r="U28" s="35"/>
      <c r="V28" s="35"/>
      <c r="W28" s="19"/>
      <c r="X28" s="35"/>
      <c r="Y28" s="35"/>
      <c r="Z28" s="36"/>
      <c r="AA28" s="36"/>
      <c r="AB28" s="36"/>
      <c r="AC28" s="19"/>
      <c r="AD28" s="19"/>
    </row>
    <row r="29" spans="6:30" s="14" customFormat="1" x14ac:dyDescent="0.2">
      <c r="F29" s="19"/>
      <c r="G29" s="26" t="s">
        <v>47</v>
      </c>
      <c r="H29" s="34"/>
      <c r="I29" s="34"/>
      <c r="J29" s="34"/>
      <c r="K29" s="34">
        <f>+H27*$K$6</f>
        <v>1.1530700999999994</v>
      </c>
      <c r="L29" s="34">
        <f>+H27*$L$6</f>
        <v>0.36412739999999982</v>
      </c>
      <c r="M29" s="34"/>
      <c r="N29" s="35"/>
      <c r="O29" s="35"/>
      <c r="P29" s="35">
        <f>+M27*$P$6</f>
        <v>0.41827499999999995</v>
      </c>
      <c r="Q29" s="35">
        <f>+M27*$Q$6</f>
        <v>1.2548250000000001</v>
      </c>
      <c r="R29" s="35"/>
      <c r="S29" s="35"/>
      <c r="T29" s="35"/>
      <c r="U29" s="35">
        <f>+R27*$U$6</f>
        <v>0</v>
      </c>
      <c r="V29" s="35">
        <f>+R27*$V$6</f>
        <v>2.2814999999999998E-2</v>
      </c>
      <c r="W29" s="36"/>
      <c r="X29" s="35">
        <f>U29+P29+K29</f>
        <v>1.5713450999999994</v>
      </c>
      <c r="Y29" s="35">
        <f>V29+Q29+L29</f>
        <v>1.6417674</v>
      </c>
      <c r="Z29" s="36"/>
      <c r="AA29" s="35">
        <f>+AA25+X29</f>
        <v>156.34467309999997</v>
      </c>
      <c r="AB29" s="35">
        <f>+AB25+Y29</f>
        <v>140.40418939999998</v>
      </c>
      <c r="AC29" s="19"/>
      <c r="AD29" s="19"/>
    </row>
    <row r="30" spans="6:30" s="14" customFormat="1" x14ac:dyDescent="0.2">
      <c r="F30" s="19"/>
      <c r="G30" s="19"/>
      <c r="H30" s="37" t="s">
        <v>9</v>
      </c>
      <c r="I30" s="37"/>
      <c r="J30" s="37"/>
      <c r="K30" s="37"/>
      <c r="L30" s="37"/>
      <c r="M30" s="37" t="s">
        <v>10</v>
      </c>
      <c r="N30" s="37"/>
      <c r="O30" s="37"/>
      <c r="P30" s="37"/>
      <c r="Q30" s="37"/>
      <c r="R30" s="37" t="s">
        <v>11</v>
      </c>
      <c r="S30" s="19"/>
      <c r="T30" s="19"/>
      <c r="U30" s="19"/>
      <c r="V30" s="19"/>
      <c r="W30" s="36"/>
      <c r="X30" s="36"/>
      <c r="Y30" s="36"/>
      <c r="Z30" s="36"/>
      <c r="AA30" s="36"/>
      <c r="AB30" s="36"/>
      <c r="AC30" s="19"/>
      <c r="AD30" s="19"/>
    </row>
    <row r="31" spans="6:30" s="14" customFormat="1" x14ac:dyDescent="0.2">
      <c r="F31" s="19"/>
      <c r="G31" s="20" t="s">
        <v>48</v>
      </c>
      <c r="H31" s="38">
        <f>+H28+M28+R28</f>
        <v>2.3841674999999993</v>
      </c>
      <c r="I31" s="38"/>
      <c r="J31" s="38"/>
      <c r="K31" s="38"/>
      <c r="L31" s="38"/>
      <c r="M31" s="36">
        <f>+I28+N28+S28</f>
        <v>0.74148749999999974</v>
      </c>
      <c r="N31" s="19"/>
      <c r="O31" s="36"/>
      <c r="P31" s="36"/>
      <c r="Q31" s="36"/>
      <c r="R31" s="36">
        <f>+J28+O28+T28</f>
        <v>0.12548249999999997</v>
      </c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19"/>
      <c r="AD31" s="35">
        <f>SUM(H31:AC31)</f>
        <v>3.2511374999999991</v>
      </c>
    </row>
    <row r="32" spans="6:30" s="14" customFormat="1" x14ac:dyDescent="0.2">
      <c r="F32" s="39" t="s">
        <v>54</v>
      </c>
      <c r="G32" s="26" t="s">
        <v>46</v>
      </c>
      <c r="H32" s="34">
        <f>+$H$6*H31</f>
        <v>0</v>
      </c>
      <c r="I32" s="34">
        <f>+$I$6*H31</f>
        <v>0.71525024999999975</v>
      </c>
      <c r="J32" s="34">
        <f>+$J$6*H31</f>
        <v>0</v>
      </c>
      <c r="K32" s="26"/>
      <c r="L32" s="26"/>
      <c r="M32" s="35">
        <f>+$M$6*M31</f>
        <v>0.42264787499999984</v>
      </c>
      <c r="N32" s="35">
        <f>+$N$6*M31</f>
        <v>0</v>
      </c>
      <c r="O32" s="35">
        <f>+$O$6*M31</f>
        <v>2.224462499999999E-2</v>
      </c>
      <c r="P32" s="35"/>
      <c r="Q32" s="35"/>
      <c r="R32" s="35">
        <f>+$R$6*R31</f>
        <v>0</v>
      </c>
      <c r="S32" s="35">
        <f>+$S$6*R31</f>
        <v>0.10038599999999998</v>
      </c>
      <c r="T32" s="35">
        <f>+$T$6*R31</f>
        <v>0</v>
      </c>
      <c r="U32" s="35"/>
      <c r="V32" s="35"/>
      <c r="W32" s="19"/>
      <c r="X32" s="35"/>
      <c r="Y32" s="35"/>
      <c r="Z32" s="36"/>
      <c r="AA32" s="36"/>
      <c r="AB32" s="36"/>
      <c r="AC32" s="19"/>
      <c r="AD32" s="19"/>
    </row>
    <row r="33" spans="6:30" s="14" customFormat="1" x14ac:dyDescent="0.2">
      <c r="F33" s="19"/>
      <c r="G33" s="26" t="s">
        <v>47</v>
      </c>
      <c r="H33" s="34"/>
      <c r="I33" s="34"/>
      <c r="J33" s="34"/>
      <c r="K33" s="34">
        <f>+H31*$K$6</f>
        <v>1.2683771099999994</v>
      </c>
      <c r="L33" s="34">
        <f>+H31*$L$6</f>
        <v>0.40054013999999982</v>
      </c>
      <c r="M33" s="34"/>
      <c r="N33" s="35"/>
      <c r="O33" s="35"/>
      <c r="P33" s="35">
        <f>+M31*$P$6</f>
        <v>7.4148749999999972E-2</v>
      </c>
      <c r="Q33" s="35">
        <f>+M31*$Q$6</f>
        <v>0.22244624999999996</v>
      </c>
      <c r="R33" s="35"/>
      <c r="S33" s="35"/>
      <c r="T33" s="35"/>
      <c r="U33" s="35">
        <f>+R31*$U$6</f>
        <v>0</v>
      </c>
      <c r="V33" s="35">
        <f>+R31*$V$6</f>
        <v>2.5096499999999994E-2</v>
      </c>
      <c r="W33" s="36"/>
      <c r="X33" s="35">
        <f>U33+P33+K33</f>
        <v>1.3425258599999994</v>
      </c>
      <c r="Y33" s="35">
        <f>V33+Q33+L33</f>
        <v>0.64808288999999975</v>
      </c>
      <c r="Z33" s="36"/>
      <c r="AA33" s="35">
        <f>+AA29+X33</f>
        <v>157.68719895999996</v>
      </c>
      <c r="AB33" s="35">
        <f>+AB29+Y33</f>
        <v>141.05227228999999</v>
      </c>
      <c r="AC33" s="19"/>
      <c r="AD33" s="19"/>
    </row>
    <row r="34" spans="6:30" s="14" customFormat="1" x14ac:dyDescent="0.2">
      <c r="F34" s="19"/>
      <c r="G34" s="19"/>
      <c r="H34" s="37" t="s">
        <v>9</v>
      </c>
      <c r="I34" s="37"/>
      <c r="J34" s="37"/>
      <c r="K34" s="37"/>
      <c r="L34" s="37"/>
      <c r="M34" s="37" t="s">
        <v>10</v>
      </c>
      <c r="N34" s="37"/>
      <c r="O34" s="37"/>
      <c r="P34" s="37"/>
      <c r="Q34" s="37"/>
      <c r="R34" s="37" t="s">
        <v>11</v>
      </c>
      <c r="S34" s="19"/>
      <c r="T34" s="19"/>
      <c r="U34" s="19"/>
      <c r="V34" s="19"/>
      <c r="W34" s="36"/>
      <c r="X34" s="36"/>
      <c r="Y34" s="36"/>
      <c r="Z34" s="36"/>
      <c r="AA34" s="36"/>
      <c r="AB34" s="36"/>
      <c r="AC34" s="19"/>
      <c r="AD34" s="19"/>
    </row>
    <row r="35" spans="6:30" s="14" customFormat="1" x14ac:dyDescent="0.2">
      <c r="F35" s="19"/>
      <c r="G35" s="20" t="s">
        <v>48</v>
      </c>
      <c r="H35" s="38">
        <f>+H32+M32+R32</f>
        <v>0.42264787499999984</v>
      </c>
      <c r="I35" s="38"/>
      <c r="J35" s="38"/>
      <c r="K35" s="38"/>
      <c r="L35" s="38"/>
      <c r="M35" s="36">
        <f>+I32+N32+S32</f>
        <v>0.81563624999999973</v>
      </c>
      <c r="N35" s="19"/>
      <c r="O35" s="36"/>
      <c r="P35" s="36"/>
      <c r="Q35" s="36"/>
      <c r="R35" s="36">
        <f>+J32+O32+T32</f>
        <v>2.224462499999999E-2</v>
      </c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19"/>
      <c r="AD35" s="35">
        <f>SUM(H35:AC35)</f>
        <v>1.2605287499999995</v>
      </c>
    </row>
    <row r="36" spans="6:30" s="14" customFormat="1" x14ac:dyDescent="0.2">
      <c r="F36" s="40" t="s">
        <v>55</v>
      </c>
      <c r="G36" s="26" t="s">
        <v>46</v>
      </c>
      <c r="H36" s="34">
        <f>+$H$6*H35</f>
        <v>0</v>
      </c>
      <c r="I36" s="34">
        <f>+$I$6*H35</f>
        <v>0.12679436249999995</v>
      </c>
      <c r="J36" s="34">
        <f>+$J$6*H35</f>
        <v>0</v>
      </c>
      <c r="K36" s="26"/>
      <c r="L36" s="26"/>
      <c r="M36" s="35">
        <f>+$M$6*M35</f>
        <v>0.4649126624999998</v>
      </c>
      <c r="N36" s="35">
        <f>+$N$6*M35</f>
        <v>0</v>
      </c>
      <c r="O36" s="35">
        <f>+$O$6*M35</f>
        <v>2.446908749999999E-2</v>
      </c>
      <c r="P36" s="35"/>
      <c r="Q36" s="35"/>
      <c r="R36" s="35">
        <f>+$R$6*R35</f>
        <v>0</v>
      </c>
      <c r="S36" s="35">
        <f>+$S$6*R35</f>
        <v>1.7795699999999994E-2</v>
      </c>
      <c r="T36" s="35">
        <f>+$T$6*R35</f>
        <v>0</v>
      </c>
      <c r="U36" s="35"/>
      <c r="V36" s="35"/>
      <c r="W36" s="19"/>
      <c r="X36" s="35"/>
      <c r="Y36" s="35"/>
      <c r="Z36" s="36"/>
      <c r="AA36" s="36"/>
      <c r="AB36" s="36"/>
      <c r="AC36" s="19"/>
      <c r="AD36" s="19"/>
    </row>
    <row r="37" spans="6:30" s="14" customFormat="1" x14ac:dyDescent="0.2">
      <c r="F37" s="21"/>
      <c r="G37" s="26" t="s">
        <v>47</v>
      </c>
      <c r="H37" s="34"/>
      <c r="I37" s="34"/>
      <c r="J37" s="34"/>
      <c r="K37" s="34">
        <f>+H35*$K$6</f>
        <v>0.22484866949999988</v>
      </c>
      <c r="L37" s="34">
        <f>+H35*$L$6</f>
        <v>7.100484299999997E-2</v>
      </c>
      <c r="M37" s="34"/>
      <c r="N37" s="35"/>
      <c r="O37" s="35"/>
      <c r="P37" s="35">
        <f>+M35*$P$6</f>
        <v>8.1563624999999973E-2</v>
      </c>
      <c r="Q37" s="35">
        <f>+M35*$Q$6</f>
        <v>0.24469087499999995</v>
      </c>
      <c r="R37" s="35"/>
      <c r="S37" s="35"/>
      <c r="T37" s="35"/>
      <c r="U37" s="35">
        <f>+R35*$U$6</f>
        <v>0</v>
      </c>
      <c r="V37" s="35">
        <f>+R35*$V$6</f>
        <v>4.4489249999999985E-3</v>
      </c>
      <c r="W37" s="36"/>
      <c r="X37" s="35">
        <f>U37+P37+K37</f>
        <v>0.30641229449999985</v>
      </c>
      <c r="Y37" s="35">
        <f>V37+Q37+L37</f>
        <v>0.3201446429999999</v>
      </c>
      <c r="Z37" s="36"/>
      <c r="AA37" s="35">
        <f>+AA33+X37</f>
        <v>157.99361125449997</v>
      </c>
      <c r="AB37" s="35">
        <f>+AB33+Y37</f>
        <v>141.37241693299998</v>
      </c>
      <c r="AC37" s="19"/>
      <c r="AD37" s="19"/>
    </row>
    <row r="38" spans="6:30" s="14" customFormat="1" x14ac:dyDescent="0.2">
      <c r="F38" s="21"/>
      <c r="G38" s="19"/>
      <c r="H38" s="37" t="s">
        <v>9</v>
      </c>
      <c r="I38" s="37"/>
      <c r="J38" s="37"/>
      <c r="K38" s="37"/>
      <c r="L38" s="37"/>
      <c r="M38" s="37" t="s">
        <v>10</v>
      </c>
      <c r="N38" s="37"/>
      <c r="O38" s="37"/>
      <c r="P38" s="37"/>
      <c r="Q38" s="37"/>
      <c r="R38" s="37" t="s">
        <v>11</v>
      </c>
      <c r="S38" s="19"/>
      <c r="T38" s="19"/>
      <c r="U38" s="19"/>
      <c r="V38" s="19"/>
      <c r="W38" s="36"/>
      <c r="X38" s="36"/>
      <c r="Y38" s="36"/>
      <c r="Z38" s="36"/>
      <c r="AA38" s="36"/>
      <c r="AB38" s="36"/>
      <c r="AC38" s="19"/>
      <c r="AD38" s="19"/>
    </row>
    <row r="39" spans="6:30" s="14" customFormat="1" x14ac:dyDescent="0.2">
      <c r="F39" s="21"/>
      <c r="G39" s="20" t="s">
        <v>48</v>
      </c>
      <c r="H39" s="38">
        <f>+H36+M36+R36</f>
        <v>0.4649126624999998</v>
      </c>
      <c r="I39" s="38"/>
      <c r="J39" s="38"/>
      <c r="K39" s="38"/>
      <c r="L39" s="38"/>
      <c r="M39" s="36">
        <f>+I36+N36+S36</f>
        <v>0.14459006249999995</v>
      </c>
      <c r="N39" s="19"/>
      <c r="O39" s="36"/>
      <c r="P39" s="36"/>
      <c r="Q39" s="36"/>
      <c r="R39" s="36">
        <f>+J36+O36+T36</f>
        <v>2.446908749999999E-2</v>
      </c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19"/>
      <c r="AD39" s="35">
        <f>SUM(H39:AC39)</f>
        <v>0.63397181249999979</v>
      </c>
    </row>
    <row r="40" spans="6:30" s="14" customFormat="1" x14ac:dyDescent="0.2">
      <c r="F40" s="40" t="s">
        <v>56</v>
      </c>
      <c r="G40" s="26" t="s">
        <v>46</v>
      </c>
      <c r="H40" s="34">
        <f>+$H$6*H39</f>
        <v>0</v>
      </c>
      <c r="I40" s="34">
        <f>+$I$6*H39</f>
        <v>0.13947379874999993</v>
      </c>
      <c r="J40" s="34">
        <f>+$J$6*H39</f>
        <v>0</v>
      </c>
      <c r="K40" s="26"/>
      <c r="L40" s="26"/>
      <c r="M40" s="35">
        <f>+$M$6*M39</f>
        <v>8.2416335624999962E-2</v>
      </c>
      <c r="N40" s="35">
        <f>+$N$6*M39</f>
        <v>0</v>
      </c>
      <c r="O40" s="35">
        <f>+$O$6*M39</f>
        <v>4.337701874999998E-3</v>
      </c>
      <c r="P40" s="35"/>
      <c r="Q40" s="35"/>
      <c r="R40" s="35">
        <f>+$R$6*R39</f>
        <v>0</v>
      </c>
      <c r="S40" s="35">
        <f>+$S$6*R39</f>
        <v>1.9575269999999992E-2</v>
      </c>
      <c r="T40" s="35">
        <f>+$T$6*R39</f>
        <v>0</v>
      </c>
      <c r="U40" s="35"/>
      <c r="V40" s="35"/>
      <c r="W40" s="19"/>
      <c r="X40" s="35"/>
      <c r="Y40" s="35"/>
      <c r="Z40" s="36"/>
      <c r="AA40" s="36"/>
      <c r="AB40" s="36"/>
      <c r="AC40" s="19"/>
      <c r="AD40" s="19"/>
    </row>
    <row r="41" spans="6:30" s="14" customFormat="1" x14ac:dyDescent="0.2">
      <c r="F41" s="21"/>
      <c r="G41" s="26" t="s">
        <v>47</v>
      </c>
      <c r="H41" s="34"/>
      <c r="I41" s="34"/>
      <c r="J41" s="34"/>
      <c r="K41" s="34">
        <f>+H39*$K$6</f>
        <v>0.24733353644999986</v>
      </c>
      <c r="L41" s="34">
        <f>+H39*$L$6</f>
        <v>7.8105327299999958E-2</v>
      </c>
      <c r="M41" s="34"/>
      <c r="N41" s="35"/>
      <c r="O41" s="35"/>
      <c r="P41" s="35">
        <f>+M39*$P$6</f>
        <v>1.4459006249999996E-2</v>
      </c>
      <c r="Q41" s="35">
        <f>+M39*$Q$6</f>
        <v>4.3377018749999989E-2</v>
      </c>
      <c r="R41" s="35"/>
      <c r="S41" s="35"/>
      <c r="T41" s="35"/>
      <c r="U41" s="35">
        <f>+R39*$U$6</f>
        <v>0</v>
      </c>
      <c r="V41" s="35">
        <f>+R39*$V$6</f>
        <v>4.893817499999998E-3</v>
      </c>
      <c r="W41" s="36"/>
      <c r="X41" s="35">
        <f>U41+P41+K41</f>
        <v>0.26179254269999985</v>
      </c>
      <c r="Y41" s="35">
        <f>V41+Q41+L41</f>
        <v>0.12637616354999995</v>
      </c>
      <c r="Z41" s="36"/>
      <c r="AA41" s="35">
        <f>+AA37+X41</f>
        <v>158.25540379719996</v>
      </c>
      <c r="AB41" s="35">
        <f>+AB37+Y41</f>
        <v>141.49879309654997</v>
      </c>
      <c r="AC41" s="19"/>
      <c r="AD41" s="19"/>
    </row>
    <row r="42" spans="6:30" s="14" customFormat="1" x14ac:dyDescent="0.2">
      <c r="F42" s="21"/>
      <c r="G42" s="19"/>
      <c r="H42" s="37" t="s">
        <v>9</v>
      </c>
      <c r="I42" s="37"/>
      <c r="J42" s="37"/>
      <c r="K42" s="37"/>
      <c r="L42" s="37"/>
      <c r="M42" s="37" t="s">
        <v>10</v>
      </c>
      <c r="N42" s="37"/>
      <c r="O42" s="37"/>
      <c r="P42" s="37"/>
      <c r="Q42" s="37"/>
      <c r="R42" s="37" t="s">
        <v>11</v>
      </c>
      <c r="S42" s="19"/>
      <c r="T42" s="19"/>
      <c r="U42" s="19"/>
      <c r="V42" s="19"/>
      <c r="W42" s="36"/>
      <c r="X42" s="36"/>
      <c r="Y42" s="36"/>
      <c r="Z42" s="36"/>
      <c r="AA42" s="36"/>
      <c r="AB42" s="36"/>
      <c r="AC42" s="19"/>
      <c r="AD42" s="19"/>
    </row>
    <row r="43" spans="6:30" s="14" customFormat="1" x14ac:dyDescent="0.2">
      <c r="F43" s="19"/>
      <c r="G43" s="20" t="s">
        <v>48</v>
      </c>
      <c r="H43" s="38">
        <f>+H40+M40+R40</f>
        <v>8.2416335624999962E-2</v>
      </c>
      <c r="I43" s="38"/>
      <c r="J43" s="38"/>
      <c r="K43" s="38"/>
      <c r="L43" s="38"/>
      <c r="M43" s="36">
        <f>+I40+N40+S40</f>
        <v>0.15904906874999991</v>
      </c>
      <c r="N43" s="19"/>
      <c r="O43" s="36"/>
      <c r="P43" s="36"/>
      <c r="Q43" s="36"/>
      <c r="R43" s="36">
        <f>+J40+O40+T40</f>
        <v>4.337701874999998E-3</v>
      </c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19"/>
      <c r="AD43" s="35">
        <f>SUM(H43:AC43)</f>
        <v>0.24580310624999985</v>
      </c>
    </row>
    <row r="44" spans="6:30" s="14" customFormat="1" x14ac:dyDescent="0.2">
      <c r="F44" s="40" t="s">
        <v>57</v>
      </c>
      <c r="G44" s="26" t="s">
        <v>46</v>
      </c>
      <c r="H44" s="34">
        <f>+$H$6*H43</f>
        <v>0</v>
      </c>
      <c r="I44" s="34">
        <f>+$I$6*H43</f>
        <v>2.4724900687499989E-2</v>
      </c>
      <c r="J44" s="34">
        <f>+$J$6*H43</f>
        <v>0</v>
      </c>
      <c r="K44" s="26"/>
      <c r="L44" s="26"/>
      <c r="M44" s="35">
        <f>+$M$6*M43</f>
        <v>9.0657969187499937E-2</v>
      </c>
      <c r="N44" s="35">
        <f>+$N$6*M43</f>
        <v>0</v>
      </c>
      <c r="O44" s="35">
        <f>+$O$6*M43</f>
        <v>4.7714720624999971E-3</v>
      </c>
      <c r="P44" s="35"/>
      <c r="Q44" s="35"/>
      <c r="R44" s="35">
        <f>+$R$6*R43</f>
        <v>0</v>
      </c>
      <c r="S44" s="35">
        <f>+$S$6*R43</f>
        <v>3.4701614999999987E-3</v>
      </c>
      <c r="T44" s="35">
        <f>+$T$6*R43</f>
        <v>0</v>
      </c>
      <c r="U44" s="35"/>
      <c r="V44" s="35"/>
      <c r="W44" s="19"/>
      <c r="X44" s="35"/>
      <c r="Y44" s="35"/>
      <c r="Z44" s="36"/>
      <c r="AA44" s="36"/>
      <c r="AB44" s="36"/>
      <c r="AC44" s="19"/>
      <c r="AD44" s="19"/>
    </row>
    <row r="45" spans="6:30" s="14" customFormat="1" x14ac:dyDescent="0.2">
      <c r="F45" s="19"/>
      <c r="G45" s="26" t="s">
        <v>47</v>
      </c>
      <c r="H45" s="34"/>
      <c r="I45" s="34"/>
      <c r="J45" s="34"/>
      <c r="K45" s="34">
        <f>+H43*$K$6</f>
        <v>4.384549055249997E-2</v>
      </c>
      <c r="L45" s="34">
        <f>+H43*$L$6</f>
        <v>1.3845944384999993E-2</v>
      </c>
      <c r="M45" s="34"/>
      <c r="N45" s="35"/>
      <c r="O45" s="35"/>
      <c r="P45" s="35">
        <f>+M43*$P$6</f>
        <v>1.5904906874999993E-2</v>
      </c>
      <c r="Q45" s="35">
        <f>+M43*$Q$6</f>
        <v>4.7714720624999978E-2</v>
      </c>
      <c r="R45" s="35"/>
      <c r="S45" s="35"/>
      <c r="T45" s="35"/>
      <c r="U45" s="35">
        <f>+R43*$U$6</f>
        <v>0</v>
      </c>
      <c r="V45" s="35">
        <f>+R43*$V$6</f>
        <v>8.6754037499999967E-4</v>
      </c>
      <c r="W45" s="36"/>
      <c r="X45" s="35">
        <f>U45+P45+K45</f>
        <v>5.9750397427499963E-2</v>
      </c>
      <c r="Y45" s="35">
        <f>V45+Q45+L45</f>
        <v>6.2428205384999963E-2</v>
      </c>
      <c r="Z45" s="36"/>
      <c r="AA45" s="35">
        <f>+AA41+X45</f>
        <v>158.31515419462747</v>
      </c>
      <c r="AB45" s="35">
        <f>+AB41+Y45</f>
        <v>141.56122130193498</v>
      </c>
      <c r="AC45" s="19"/>
      <c r="AD45" s="19"/>
    </row>
    <row r="46" spans="6:30" s="14" customFormat="1" x14ac:dyDescent="0.2">
      <c r="F46" s="19"/>
      <c r="G46" s="19"/>
      <c r="H46" s="37" t="s">
        <v>9</v>
      </c>
      <c r="I46" s="37"/>
      <c r="J46" s="37"/>
      <c r="K46" s="37"/>
      <c r="L46" s="37"/>
      <c r="M46" s="37" t="s">
        <v>10</v>
      </c>
      <c r="N46" s="37"/>
      <c r="O46" s="37"/>
      <c r="P46" s="37"/>
      <c r="Q46" s="37"/>
      <c r="R46" s="37" t="s">
        <v>11</v>
      </c>
      <c r="S46" s="19"/>
      <c r="T46" s="19"/>
      <c r="U46" s="19"/>
      <c r="V46" s="19"/>
      <c r="W46" s="36"/>
      <c r="X46" s="36"/>
      <c r="Y46" s="36"/>
      <c r="Z46" s="36"/>
      <c r="AA46" s="36"/>
      <c r="AB46" s="36"/>
      <c r="AC46" s="19"/>
      <c r="AD46" s="19"/>
    </row>
    <row r="47" spans="6:30" s="14" customFormat="1" x14ac:dyDescent="0.2">
      <c r="F47" s="19"/>
      <c r="G47" s="20" t="s">
        <v>48</v>
      </c>
      <c r="H47" s="38">
        <f>+H44+M44+R44</f>
        <v>9.0657969187499937E-2</v>
      </c>
      <c r="I47" s="38"/>
      <c r="J47" s="38"/>
      <c r="K47" s="38"/>
      <c r="L47" s="38"/>
      <c r="M47" s="36">
        <f>+I44+N44+S44</f>
        <v>2.8195062187499988E-2</v>
      </c>
      <c r="N47" s="19"/>
      <c r="O47" s="36"/>
      <c r="P47" s="36"/>
      <c r="Q47" s="36"/>
      <c r="R47" s="36">
        <f>+J44+O44+T44</f>
        <v>4.7714720624999971E-3</v>
      </c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19"/>
      <c r="AD47" s="35">
        <f>SUM(H47:AC47)</f>
        <v>0.12362450343749992</v>
      </c>
    </row>
    <row r="48" spans="6:30" s="14" customFormat="1" x14ac:dyDescent="0.2">
      <c r="F48" s="40" t="s">
        <v>58</v>
      </c>
      <c r="G48" s="26" t="s">
        <v>46</v>
      </c>
      <c r="H48" s="34">
        <f>+$H$6*H47</f>
        <v>0</v>
      </c>
      <c r="I48" s="34">
        <f>+$I$6*H47</f>
        <v>2.7197390756249981E-2</v>
      </c>
      <c r="J48" s="34">
        <f>+$J$6*H47</f>
        <v>0</v>
      </c>
      <c r="K48" s="26"/>
      <c r="L48" s="26"/>
      <c r="M48" s="35">
        <f>+$M$6*M47</f>
        <v>1.607118544687499E-2</v>
      </c>
      <c r="N48" s="35">
        <f>+$N$6*M47</f>
        <v>0</v>
      </c>
      <c r="O48" s="35">
        <f>+$O$6*M47</f>
        <v>8.4585186562499963E-4</v>
      </c>
      <c r="P48" s="35"/>
      <c r="Q48" s="35"/>
      <c r="R48" s="35">
        <f>+$R$6*R47</f>
        <v>0</v>
      </c>
      <c r="S48" s="35">
        <f>+$S$6*R47</f>
        <v>3.817177649999998E-3</v>
      </c>
      <c r="T48" s="35">
        <f>+$T$6*R47</f>
        <v>0</v>
      </c>
      <c r="U48" s="35"/>
      <c r="V48" s="35"/>
      <c r="W48" s="19"/>
      <c r="X48" s="35"/>
      <c r="Y48" s="35"/>
      <c r="Z48" s="36"/>
      <c r="AA48" s="36"/>
      <c r="AB48" s="36"/>
      <c r="AC48" s="19"/>
      <c r="AD48" s="19"/>
    </row>
    <row r="49" spans="6:30" s="14" customFormat="1" x14ac:dyDescent="0.2">
      <c r="F49" s="19"/>
      <c r="G49" s="26" t="s">
        <v>47</v>
      </c>
      <c r="H49" s="34"/>
      <c r="I49" s="34"/>
      <c r="J49" s="34"/>
      <c r="K49" s="34">
        <f>+H47*$K$6</f>
        <v>4.8230039607749957E-2</v>
      </c>
      <c r="L49" s="34">
        <f>+H47*$L$6</f>
        <v>1.5230538823499987E-2</v>
      </c>
      <c r="M49" s="34"/>
      <c r="N49" s="35"/>
      <c r="O49" s="35"/>
      <c r="P49" s="35">
        <f>+M47*$P$6</f>
        <v>2.8195062187499989E-3</v>
      </c>
      <c r="Q49" s="35">
        <f>+M47*$Q$6</f>
        <v>8.458518656249997E-3</v>
      </c>
      <c r="R49" s="35"/>
      <c r="S49" s="35"/>
      <c r="T49" s="35"/>
      <c r="U49" s="35">
        <f>+R47*$U$6</f>
        <v>0</v>
      </c>
      <c r="V49" s="35">
        <f>+R47*$V$6</f>
        <v>9.542944124999995E-4</v>
      </c>
      <c r="W49" s="36"/>
      <c r="X49" s="35">
        <f>U49+P49+K49</f>
        <v>5.1049545826499954E-2</v>
      </c>
      <c r="Y49" s="35">
        <f>V49+Q49+L49</f>
        <v>2.4643351892249983E-2</v>
      </c>
      <c r="Z49" s="36"/>
      <c r="AA49" s="35">
        <f>+AA45+X49</f>
        <v>158.36620374045395</v>
      </c>
      <c r="AB49" s="35">
        <f>+AB45+Y49</f>
        <v>141.58586465382723</v>
      </c>
      <c r="AC49" s="19"/>
      <c r="AD49" s="19"/>
    </row>
    <row r="50" spans="6:30" s="14" customFormat="1" x14ac:dyDescent="0.2">
      <c r="F50" s="19"/>
      <c r="G50" s="19"/>
      <c r="H50" s="37" t="s">
        <v>9</v>
      </c>
      <c r="I50" s="37"/>
      <c r="J50" s="37"/>
      <c r="K50" s="37"/>
      <c r="L50" s="37"/>
      <c r="M50" s="37" t="s">
        <v>10</v>
      </c>
      <c r="N50" s="37"/>
      <c r="O50" s="37"/>
      <c r="P50" s="37"/>
      <c r="Q50" s="37"/>
      <c r="R50" s="37" t="s">
        <v>11</v>
      </c>
      <c r="S50" s="19"/>
      <c r="T50" s="19"/>
      <c r="U50" s="19"/>
      <c r="V50" s="19"/>
      <c r="W50" s="36"/>
      <c r="X50" s="36"/>
      <c r="Y50" s="36"/>
      <c r="Z50" s="36"/>
      <c r="AA50" s="36"/>
      <c r="AB50" s="36"/>
      <c r="AC50" s="19"/>
      <c r="AD50" s="19"/>
    </row>
    <row r="51" spans="6:30" s="14" customFormat="1" x14ac:dyDescent="0.2">
      <c r="F51" s="19"/>
      <c r="G51" s="20" t="s">
        <v>48</v>
      </c>
      <c r="H51" s="38">
        <f>+H48+M48+R48</f>
        <v>1.607118544687499E-2</v>
      </c>
      <c r="I51" s="38"/>
      <c r="J51" s="38"/>
      <c r="K51" s="38"/>
      <c r="L51" s="38"/>
      <c r="M51" s="36">
        <f>+I48+N48+S48</f>
        <v>3.1014568406249977E-2</v>
      </c>
      <c r="N51" s="19"/>
      <c r="O51" s="36"/>
      <c r="P51" s="36"/>
      <c r="Q51" s="36"/>
      <c r="R51" s="36">
        <f>+J48+O48+T48</f>
        <v>8.4585186562499963E-4</v>
      </c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19"/>
      <c r="AD51" s="35">
        <f>SUM(H51:AC51)</f>
        <v>4.7931605718749964E-2</v>
      </c>
    </row>
  </sheetData>
  <mergeCells count="13">
    <mergeCell ref="X4:Y4"/>
    <mergeCell ref="AA4:AB4"/>
    <mergeCell ref="A5:D5"/>
    <mergeCell ref="A9:D9"/>
    <mergeCell ref="H2:L2"/>
    <mergeCell ref="M2:Q2"/>
    <mergeCell ref="R2:V2"/>
    <mergeCell ref="H4:J4"/>
    <mergeCell ref="K4:L4"/>
    <mergeCell ref="M4:O4"/>
    <mergeCell ref="P4:Q4"/>
    <mergeCell ref="R4:T4"/>
    <mergeCell ref="U4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7" sqref="E27"/>
    </sheetView>
  </sheetViews>
  <sheetFormatPr baseColWidth="10" defaultRowHeight="16" x14ac:dyDescent="0.2"/>
  <sheetData>
    <row r="1" spans="1:6" ht="32" x14ac:dyDescent="0.2">
      <c r="A1" s="45" t="s">
        <v>59</v>
      </c>
      <c r="B1" s="79" t="s">
        <v>60</v>
      </c>
      <c r="C1" s="79"/>
      <c r="D1" s="79" t="s">
        <v>61</v>
      </c>
      <c r="E1" s="79"/>
      <c r="F1" s="46" t="s">
        <v>62</v>
      </c>
    </row>
    <row r="2" spans="1:6" x14ac:dyDescent="0.2">
      <c r="A2" s="45"/>
      <c r="B2" s="45" t="s">
        <v>35</v>
      </c>
      <c r="C2" s="45" t="s">
        <v>36</v>
      </c>
      <c r="D2" s="45" t="s">
        <v>35</v>
      </c>
      <c r="E2" s="45" t="s">
        <v>36</v>
      </c>
      <c r="F2" s="47">
        <v>300</v>
      </c>
    </row>
    <row r="3" spans="1:6" x14ac:dyDescent="0.2">
      <c r="A3" s="45">
        <v>1</v>
      </c>
      <c r="B3" s="48">
        <v>63.2</v>
      </c>
      <c r="C3" s="48">
        <v>66.8</v>
      </c>
      <c r="D3" s="48">
        <v>63.2</v>
      </c>
      <c r="E3" s="48">
        <v>66.8</v>
      </c>
      <c r="F3" s="49">
        <f>+$I$3-(D3+E3)</f>
        <v>-130</v>
      </c>
    </row>
    <row r="4" spans="1:6" x14ac:dyDescent="0.2">
      <c r="A4" s="45">
        <v>2</v>
      </c>
      <c r="B4" s="48">
        <v>41.323999999999998</v>
      </c>
      <c r="C4" s="48">
        <v>43.176000000000002</v>
      </c>
      <c r="D4" s="48">
        <v>104.524</v>
      </c>
      <c r="E4" s="48">
        <v>109.976</v>
      </c>
      <c r="F4" s="49">
        <f t="shared" ref="F4:F13" si="0">+$I$3-(D4+E4)</f>
        <v>-214.5</v>
      </c>
    </row>
    <row r="5" spans="1:6" x14ac:dyDescent="0.2">
      <c r="A5" s="45">
        <v>3</v>
      </c>
      <c r="B5" s="48">
        <v>35.305999999999997</v>
      </c>
      <c r="C5" s="48">
        <v>17.044</v>
      </c>
      <c r="D5" s="48">
        <v>139.83000000000001</v>
      </c>
      <c r="E5" s="48">
        <v>127.02</v>
      </c>
      <c r="F5" s="49">
        <f t="shared" si="0"/>
        <v>-266.85000000000002</v>
      </c>
    </row>
    <row r="6" spans="1:6" x14ac:dyDescent="0.2">
      <c r="A6" s="45">
        <v>4</v>
      </c>
      <c r="B6" s="48">
        <v>8.0579999999999998</v>
      </c>
      <c r="C6" s="48">
        <v>8.4190000000000005</v>
      </c>
      <c r="D6" s="48">
        <v>147.88900000000001</v>
      </c>
      <c r="E6" s="48">
        <v>135.43899999999999</v>
      </c>
      <c r="F6" s="49">
        <f t="shared" si="0"/>
        <v>-283.32799999999997</v>
      </c>
    </row>
    <row r="7" spans="1:6" x14ac:dyDescent="0.2">
      <c r="A7" s="45">
        <v>5</v>
      </c>
      <c r="B7" s="48">
        <v>6.8849999999999998</v>
      </c>
      <c r="C7" s="48">
        <v>3.3239999999999998</v>
      </c>
      <c r="D7" s="48">
        <v>154.773</v>
      </c>
      <c r="E7" s="48">
        <v>138.762</v>
      </c>
      <c r="F7" s="49">
        <f t="shared" si="0"/>
        <v>-293.53499999999997</v>
      </c>
    </row>
    <row r="8" spans="1:6" x14ac:dyDescent="0.2">
      <c r="A8" s="45">
        <v>6</v>
      </c>
      <c r="B8" s="48">
        <v>1.571</v>
      </c>
      <c r="C8" s="48">
        <v>1.6419999999999999</v>
      </c>
      <c r="D8" s="48">
        <v>156.345</v>
      </c>
      <c r="E8" s="48">
        <v>140.404</v>
      </c>
      <c r="F8" s="49">
        <f t="shared" si="0"/>
        <v>-296.74900000000002</v>
      </c>
    </row>
    <row r="9" spans="1:6" x14ac:dyDescent="0.2">
      <c r="A9" s="45">
        <v>7</v>
      </c>
      <c r="B9" s="48">
        <v>1.343</v>
      </c>
      <c r="C9" s="48">
        <v>0.64800000000000002</v>
      </c>
      <c r="D9" s="48">
        <v>157.68700000000001</v>
      </c>
      <c r="E9" s="48">
        <v>141.05199999999999</v>
      </c>
      <c r="F9" s="49">
        <f t="shared" si="0"/>
        <v>-298.73900000000003</v>
      </c>
    </row>
    <row r="10" spans="1:6" x14ac:dyDescent="0.2">
      <c r="A10" s="45">
        <v>8</v>
      </c>
      <c r="B10" s="48">
        <v>0.30599999999999999</v>
      </c>
      <c r="C10" s="48">
        <v>0.32</v>
      </c>
      <c r="D10" s="48">
        <v>157.994</v>
      </c>
      <c r="E10" s="48">
        <v>141.37200000000001</v>
      </c>
      <c r="F10" s="49">
        <f t="shared" si="0"/>
        <v>-299.36599999999999</v>
      </c>
    </row>
    <row r="11" spans="1:6" x14ac:dyDescent="0.2">
      <c r="A11" s="45">
        <v>9</v>
      </c>
      <c r="B11" s="48">
        <v>0.26200000000000001</v>
      </c>
      <c r="C11" s="48">
        <v>0.126</v>
      </c>
      <c r="D11" s="48">
        <v>158.255</v>
      </c>
      <c r="E11" s="48">
        <v>141.499</v>
      </c>
      <c r="F11" s="49">
        <f t="shared" si="0"/>
        <v>-299.75400000000002</v>
      </c>
    </row>
    <row r="12" spans="1:6" x14ac:dyDescent="0.2">
      <c r="A12" s="45">
        <v>10</v>
      </c>
      <c r="B12" s="48">
        <v>0.06</v>
      </c>
      <c r="C12" s="48">
        <v>6.2E-2</v>
      </c>
      <c r="D12" s="48">
        <v>158.315</v>
      </c>
      <c r="E12" s="48">
        <v>141.56100000000001</v>
      </c>
      <c r="F12" s="49">
        <f t="shared" si="0"/>
        <v>-299.87599999999998</v>
      </c>
    </row>
    <row r="13" spans="1:6" x14ac:dyDescent="0.2">
      <c r="A13" s="45">
        <v>11</v>
      </c>
      <c r="B13" s="48">
        <v>5.0999999999999997E-2</v>
      </c>
      <c r="C13" s="48">
        <v>2.5000000000000001E-2</v>
      </c>
      <c r="D13" s="48">
        <v>158.36600000000001</v>
      </c>
      <c r="E13" s="48">
        <v>141.58600000000001</v>
      </c>
      <c r="F13" s="49">
        <f t="shared" si="0"/>
        <v>-299.952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0" sqref="E30"/>
    </sheetView>
  </sheetViews>
  <sheetFormatPr baseColWidth="10" defaultRowHeight="16" x14ac:dyDescent="0.2"/>
  <sheetData>
    <row r="1" spans="1:6" x14ac:dyDescent="0.2">
      <c r="A1" s="9"/>
      <c r="B1" s="50" t="s">
        <v>63</v>
      </c>
      <c r="C1" s="50" t="s">
        <v>64</v>
      </c>
      <c r="D1" s="50" t="s">
        <v>65</v>
      </c>
      <c r="E1" s="50" t="s">
        <v>66</v>
      </c>
      <c r="F1" s="51" t="s">
        <v>67</v>
      </c>
    </row>
    <row r="2" spans="1:6" x14ac:dyDescent="0.2">
      <c r="A2" s="9" t="s">
        <v>68</v>
      </c>
      <c r="B2" s="52">
        <v>1</v>
      </c>
      <c r="C2" s="52">
        <v>3</v>
      </c>
      <c r="D2" s="52">
        <v>4</v>
      </c>
      <c r="E2" s="52">
        <f t="shared" ref="E2:E8" si="0">SUM(B2:D2)</f>
        <v>8</v>
      </c>
      <c r="F2" s="53">
        <v>1</v>
      </c>
    </row>
    <row r="3" spans="1:6" x14ac:dyDescent="0.2">
      <c r="A3" s="9" t="s">
        <v>69</v>
      </c>
      <c r="B3" s="52">
        <v>3</v>
      </c>
      <c r="C3" s="52">
        <v>4</v>
      </c>
      <c r="D3" s="52">
        <v>2</v>
      </c>
      <c r="E3" s="52">
        <f t="shared" si="0"/>
        <v>9</v>
      </c>
      <c r="F3" s="53">
        <v>2</v>
      </c>
    </row>
    <row r="4" spans="1:6" x14ac:dyDescent="0.2">
      <c r="A4" s="9" t="s">
        <v>70</v>
      </c>
      <c r="B4" s="52">
        <v>4</v>
      </c>
      <c r="C4" s="52">
        <v>5</v>
      </c>
      <c r="D4" s="52">
        <v>1</v>
      </c>
      <c r="E4" s="52">
        <f t="shared" si="0"/>
        <v>10</v>
      </c>
      <c r="F4" s="53">
        <v>3</v>
      </c>
    </row>
    <row r="5" spans="1:6" x14ac:dyDescent="0.2">
      <c r="A5" s="9" t="s">
        <v>71</v>
      </c>
      <c r="B5" s="52">
        <v>2</v>
      </c>
      <c r="C5" s="52">
        <v>2</v>
      </c>
      <c r="D5" s="52">
        <v>7</v>
      </c>
      <c r="E5" s="52">
        <f t="shared" si="0"/>
        <v>11</v>
      </c>
      <c r="F5" s="53">
        <v>4</v>
      </c>
    </row>
    <row r="6" spans="1:6" x14ac:dyDescent="0.2">
      <c r="A6" s="9" t="s">
        <v>72</v>
      </c>
      <c r="B6" s="52">
        <v>7</v>
      </c>
      <c r="C6" s="52">
        <v>1</v>
      </c>
      <c r="D6" s="52">
        <v>5</v>
      </c>
      <c r="E6" s="52">
        <f t="shared" si="0"/>
        <v>13</v>
      </c>
      <c r="F6" s="53">
        <v>5</v>
      </c>
    </row>
    <row r="7" spans="1:6" x14ac:dyDescent="0.2">
      <c r="A7" s="9" t="s">
        <v>73</v>
      </c>
      <c r="B7" s="52">
        <v>5</v>
      </c>
      <c r="C7" s="52">
        <v>7</v>
      </c>
      <c r="D7" s="52">
        <v>3</v>
      </c>
      <c r="E7" s="52">
        <f t="shared" si="0"/>
        <v>15</v>
      </c>
      <c r="F7" s="53">
        <v>6</v>
      </c>
    </row>
    <row r="8" spans="1:6" x14ac:dyDescent="0.2">
      <c r="A8" s="9" t="s">
        <v>74</v>
      </c>
      <c r="B8" s="52">
        <v>6</v>
      </c>
      <c r="C8" s="52">
        <v>6</v>
      </c>
      <c r="D8" s="52">
        <v>6</v>
      </c>
      <c r="E8" s="52">
        <f t="shared" si="0"/>
        <v>18</v>
      </c>
      <c r="F8" s="5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54"/>
  <sheetViews>
    <sheetView zoomScale="90" zoomScaleNormal="90" zoomScalePageLayoutView="90" workbookViewId="0">
      <selection activeCell="E50" sqref="E50"/>
    </sheetView>
  </sheetViews>
  <sheetFormatPr baseColWidth="10" defaultRowHeight="16" x14ac:dyDescent="0.2"/>
  <sheetData>
    <row r="4" spans="2:14" x14ac:dyDescent="0.2">
      <c r="L4" s="59"/>
    </row>
    <row r="6" spans="2:14" x14ac:dyDescent="0.2">
      <c r="B6" s="80" t="s">
        <v>94</v>
      </c>
      <c r="C6" s="80"/>
      <c r="D6" s="80"/>
      <c r="E6" s="80"/>
      <c r="F6" s="4"/>
      <c r="G6" s="81" t="s">
        <v>93</v>
      </c>
      <c r="H6" s="82"/>
      <c r="I6" s="82"/>
      <c r="J6" s="82"/>
      <c r="K6" s="82"/>
      <c r="L6" s="82"/>
      <c r="M6" s="82"/>
      <c r="N6" s="83"/>
    </row>
    <row r="7" spans="2:14" ht="64" x14ac:dyDescent="0.2">
      <c r="B7" s="56" t="s">
        <v>90</v>
      </c>
      <c r="C7" s="56" t="s">
        <v>89</v>
      </c>
      <c r="D7" s="56" t="s">
        <v>92</v>
      </c>
      <c r="E7" s="56" t="s">
        <v>91</v>
      </c>
      <c r="F7" s="4"/>
      <c r="G7" s="56" t="s">
        <v>90</v>
      </c>
      <c r="H7" s="56" t="s">
        <v>89</v>
      </c>
      <c r="I7" s="58" t="s">
        <v>88</v>
      </c>
      <c r="J7" s="58" t="s">
        <v>87</v>
      </c>
      <c r="K7" s="58" t="s">
        <v>86</v>
      </c>
      <c r="L7" s="58" t="s">
        <v>85</v>
      </c>
      <c r="M7" s="58" t="s">
        <v>84</v>
      </c>
      <c r="N7" s="58" t="s">
        <v>83</v>
      </c>
    </row>
    <row r="8" spans="2:14" x14ac:dyDescent="0.2">
      <c r="B8" s="56" t="s">
        <v>82</v>
      </c>
      <c r="C8" s="8">
        <v>1325</v>
      </c>
      <c r="D8" s="8"/>
      <c r="E8" s="8"/>
      <c r="F8" s="4"/>
      <c r="G8" s="56" t="s">
        <v>82</v>
      </c>
      <c r="H8" s="8">
        <v>1325</v>
      </c>
      <c r="I8" s="8"/>
      <c r="J8" s="55"/>
      <c r="K8" s="55"/>
      <c r="L8" s="55"/>
      <c r="M8" s="55"/>
      <c r="N8" s="55"/>
    </row>
    <row r="9" spans="2:14" x14ac:dyDescent="0.2">
      <c r="B9" s="56" t="s">
        <v>81</v>
      </c>
      <c r="C9" s="8">
        <v>1353</v>
      </c>
      <c r="D9" s="8"/>
      <c r="E9" s="8"/>
      <c r="F9" s="4"/>
      <c r="G9" s="56" t="s">
        <v>81</v>
      </c>
      <c r="H9" s="8">
        <v>1353</v>
      </c>
      <c r="I9" s="8"/>
      <c r="J9" s="55"/>
      <c r="K9" s="55"/>
      <c r="L9" s="55"/>
      <c r="M9" s="57">
        <v>0.1</v>
      </c>
      <c r="N9" s="55"/>
    </row>
    <row r="10" spans="2:14" x14ac:dyDescent="0.2">
      <c r="B10" s="56" t="s">
        <v>80</v>
      </c>
      <c r="C10" s="8">
        <v>1305</v>
      </c>
      <c r="D10" s="8"/>
      <c r="E10" s="8"/>
      <c r="F10" s="4"/>
      <c r="G10" s="56" t="s">
        <v>80</v>
      </c>
      <c r="H10" s="8">
        <v>1305</v>
      </c>
      <c r="I10" s="8"/>
      <c r="J10" s="55"/>
      <c r="K10" s="55"/>
      <c r="L10" s="55"/>
      <c r="M10" s="57">
        <v>0.1</v>
      </c>
      <c r="N10" s="55"/>
    </row>
    <row r="11" spans="2:14" x14ac:dyDescent="0.2">
      <c r="B11" s="56" t="s">
        <v>79</v>
      </c>
      <c r="C11" s="8">
        <v>1275</v>
      </c>
      <c r="D11" s="55">
        <f>AVERAGE(C8:C10)</f>
        <v>1327.6666666666667</v>
      </c>
      <c r="E11" s="8"/>
      <c r="F11" s="4"/>
      <c r="G11" s="56" t="s">
        <v>79</v>
      </c>
      <c r="H11" s="8">
        <v>1275</v>
      </c>
      <c r="I11" s="55">
        <f>AVERAGE(H8:H10)</f>
        <v>1327.6666666666667</v>
      </c>
      <c r="J11" s="57">
        <v>0.2</v>
      </c>
      <c r="K11" s="55"/>
      <c r="L11" s="55"/>
      <c r="M11" s="57">
        <v>0.2</v>
      </c>
      <c r="N11" s="55"/>
    </row>
    <row r="12" spans="2:14" x14ac:dyDescent="0.2">
      <c r="B12" s="56" t="s">
        <v>78</v>
      </c>
      <c r="C12" s="8">
        <v>1210</v>
      </c>
      <c r="D12" s="55">
        <f>AVERAGE(C9:C11)</f>
        <v>1311</v>
      </c>
      <c r="E12" s="8"/>
      <c r="F12" s="4"/>
      <c r="G12" s="56" t="s">
        <v>78</v>
      </c>
      <c r="H12" s="8">
        <v>1210</v>
      </c>
      <c r="I12" s="55">
        <f>AVERAGE(H9:H11)</f>
        <v>1311</v>
      </c>
      <c r="J12" s="57">
        <v>0.3</v>
      </c>
      <c r="K12" s="55"/>
      <c r="L12" s="55"/>
      <c r="M12" s="57">
        <v>0.3</v>
      </c>
      <c r="N12" s="55"/>
    </row>
    <row r="13" spans="2:14" x14ac:dyDescent="0.2">
      <c r="B13" s="56" t="s">
        <v>77</v>
      </c>
      <c r="C13" s="8">
        <v>1195</v>
      </c>
      <c r="D13" s="55">
        <f>AVERAGE(C10:C12)</f>
        <v>1263.3333333333333</v>
      </c>
      <c r="E13" s="55">
        <f>AVERAGE(C8:C12)</f>
        <v>1293.5999999999999</v>
      </c>
      <c r="F13" s="4"/>
      <c r="G13" s="56" t="s">
        <v>77</v>
      </c>
      <c r="H13" s="8">
        <v>1195</v>
      </c>
      <c r="I13" s="55">
        <f>AVERAGE(H10:H12)</f>
        <v>1263.3333333333333</v>
      </c>
      <c r="J13" s="57">
        <v>0.5</v>
      </c>
      <c r="K13" s="55"/>
      <c r="L13" s="55">
        <f>AVERAGE(H8:H11)</f>
        <v>1314.5</v>
      </c>
      <c r="M13" s="57">
        <v>0.3</v>
      </c>
      <c r="N13" s="55"/>
    </row>
    <row r="14" spans="2:14" x14ac:dyDescent="0.2">
      <c r="B14" s="56" t="s">
        <v>75</v>
      </c>
      <c r="C14" s="8" t="s">
        <v>76</v>
      </c>
      <c r="D14" s="55">
        <f>AVERAGE(C11:C13)</f>
        <v>1226.6666666666667</v>
      </c>
      <c r="E14" s="55">
        <f>AVERAGE(C9:C13)</f>
        <v>1267.5999999999999</v>
      </c>
      <c r="F14" s="4"/>
      <c r="G14" s="56" t="s">
        <v>75</v>
      </c>
      <c r="H14" s="8"/>
      <c r="I14" s="55">
        <f>AVERAGE(H11:H13)</f>
        <v>1226.6666666666667</v>
      </c>
      <c r="J14" s="55"/>
      <c r="K14" s="55">
        <f>SUMPRODUCT(H11:H13,J11:J13)</f>
        <v>1215.5</v>
      </c>
      <c r="L14" s="55">
        <f>AVERAGE(H9:H12)</f>
        <v>1285.75</v>
      </c>
      <c r="M14" s="55"/>
      <c r="N14" s="55">
        <f>SUMPRODUCT(H9:H13,M9:M13)</f>
        <v>1242.3</v>
      </c>
    </row>
    <row r="20" spans="2:10" x14ac:dyDescent="0.2">
      <c r="B20" s="84" t="s">
        <v>101</v>
      </c>
      <c r="C20" s="85"/>
      <c r="D20" s="85"/>
      <c r="E20" s="85"/>
    </row>
    <row r="21" spans="2:10" x14ac:dyDescent="0.2">
      <c r="B21" s="56" t="s">
        <v>100</v>
      </c>
      <c r="C21" s="56" t="s">
        <v>99</v>
      </c>
      <c r="D21" s="56" t="s">
        <v>98</v>
      </c>
      <c r="E21" s="56" t="s">
        <v>97</v>
      </c>
    </row>
    <row r="22" spans="2:10" x14ac:dyDescent="0.2">
      <c r="B22" s="8" t="s">
        <v>82</v>
      </c>
      <c r="C22" s="8">
        <v>1325</v>
      </c>
      <c r="D22" s="8">
        <f>D30</f>
        <v>1370</v>
      </c>
      <c r="E22" s="8">
        <f>E30</f>
        <v>1370</v>
      </c>
      <c r="J22" s="54"/>
    </row>
    <row r="23" spans="2:10" x14ac:dyDescent="0.2">
      <c r="B23" s="8" t="s">
        <v>81</v>
      </c>
      <c r="C23" s="8">
        <v>1353</v>
      </c>
      <c r="D23" s="8">
        <f>$D$29*C22+(1-$D$29)*D22</f>
        <v>1361</v>
      </c>
      <c r="E23" s="8">
        <f>$E$29*C22+(1-$E$29)*E22</f>
        <v>1334</v>
      </c>
    </row>
    <row r="24" spans="2:10" x14ac:dyDescent="0.2">
      <c r="B24" s="8" t="s">
        <v>80</v>
      </c>
      <c r="C24" s="8">
        <v>1305</v>
      </c>
      <c r="D24" s="8">
        <f>$D$29*C23+(1-$D$29)*D23</f>
        <v>1359.4</v>
      </c>
      <c r="E24" s="8">
        <f>$E$29*C23+(1-$E$29)*E23</f>
        <v>1349.2</v>
      </c>
    </row>
    <row r="25" spans="2:10" x14ac:dyDescent="0.2">
      <c r="B25" s="8" t="s">
        <v>79</v>
      </c>
      <c r="C25" s="8">
        <v>1275</v>
      </c>
      <c r="D25" s="8">
        <f>$D$29*C24+(1-$D$29)*D24</f>
        <v>1348.5200000000002</v>
      </c>
      <c r="E25" s="8">
        <f>$E$29*C24+(1-$E$29)*E24</f>
        <v>1313.84</v>
      </c>
    </row>
    <row r="26" spans="2:10" x14ac:dyDescent="0.2">
      <c r="B26" s="8" t="s">
        <v>78</v>
      </c>
      <c r="C26" s="8">
        <v>1210</v>
      </c>
      <c r="D26" s="8">
        <f>$D$29*C25+(1-$D$29)*D25</f>
        <v>1333.8160000000003</v>
      </c>
      <c r="E26" s="8">
        <f>$E$29*C25+(1-$E$29)*E25</f>
        <v>1282.768</v>
      </c>
    </row>
    <row r="27" spans="2:10" x14ac:dyDescent="0.2">
      <c r="B27" s="8" t="s">
        <v>77</v>
      </c>
      <c r="C27" s="8"/>
      <c r="D27" s="8">
        <f>$D$29*C26+(1-$D$29)*D26</f>
        <v>1309.0528000000002</v>
      </c>
      <c r="E27" s="8">
        <f>$E$29*C26+(1-$E$29)*E26</f>
        <v>1224.5536</v>
      </c>
    </row>
    <row r="28" spans="2:10" x14ac:dyDescent="0.2">
      <c r="B28" s="4"/>
      <c r="C28" s="4"/>
      <c r="D28" s="4"/>
      <c r="E28" s="4"/>
    </row>
    <row r="29" spans="2:10" x14ac:dyDescent="0.2">
      <c r="B29" s="4"/>
      <c r="C29" s="8" t="s">
        <v>96</v>
      </c>
      <c r="D29" s="8">
        <v>0.2</v>
      </c>
      <c r="E29" s="8">
        <v>0.8</v>
      </c>
    </row>
    <row r="30" spans="2:10" x14ac:dyDescent="0.2">
      <c r="B30" s="4"/>
      <c r="C30" s="8" t="s">
        <v>95</v>
      </c>
      <c r="D30" s="8">
        <v>1370</v>
      </c>
      <c r="E30" s="8">
        <v>1370</v>
      </c>
    </row>
    <row r="42" spans="2:4" x14ac:dyDescent="0.2">
      <c r="C42" s="1" t="s">
        <v>102</v>
      </c>
      <c r="D42" s="1" t="s">
        <v>103</v>
      </c>
    </row>
    <row r="43" spans="2:4" x14ac:dyDescent="0.2">
      <c r="B43" s="60" t="s">
        <v>90</v>
      </c>
      <c r="C43" s="60" t="s">
        <v>90</v>
      </c>
      <c r="D43" s="60" t="s">
        <v>89</v>
      </c>
    </row>
    <row r="44" spans="2:4" x14ac:dyDescent="0.2">
      <c r="B44" s="52" t="s">
        <v>82</v>
      </c>
      <c r="C44" s="62">
        <v>1</v>
      </c>
      <c r="D44" s="62">
        <v>1325</v>
      </c>
    </row>
    <row r="45" spans="2:4" x14ac:dyDescent="0.2">
      <c r="B45" s="52" t="s">
        <v>81</v>
      </c>
      <c r="C45" s="62">
        <v>2</v>
      </c>
      <c r="D45" s="62">
        <v>1353</v>
      </c>
    </row>
    <row r="46" spans="2:4" x14ac:dyDescent="0.2">
      <c r="B46" s="52" t="s">
        <v>80</v>
      </c>
      <c r="C46" s="62">
        <v>3</v>
      </c>
      <c r="D46" s="62">
        <v>1305</v>
      </c>
    </row>
    <row r="47" spans="2:4" x14ac:dyDescent="0.2">
      <c r="B47" s="52" t="s">
        <v>79</v>
      </c>
      <c r="C47" s="62">
        <v>4</v>
      </c>
      <c r="D47" s="62">
        <v>1275</v>
      </c>
    </row>
    <row r="48" spans="2:4" x14ac:dyDescent="0.2">
      <c r="B48" s="52" t="s">
        <v>78</v>
      </c>
      <c r="C48" s="62">
        <v>5</v>
      </c>
      <c r="D48" s="62">
        <v>1210</v>
      </c>
    </row>
    <row r="49" spans="2:7" x14ac:dyDescent="0.2">
      <c r="B49" s="52" t="s">
        <v>77</v>
      </c>
      <c r="C49" s="62">
        <v>6</v>
      </c>
      <c r="D49" s="62">
        <v>1195</v>
      </c>
      <c r="E49" s="63" t="s">
        <v>104</v>
      </c>
    </row>
    <row r="50" spans="2:7" x14ac:dyDescent="0.2">
      <c r="B50" s="52" t="s">
        <v>75</v>
      </c>
      <c r="C50" s="52">
        <v>7</v>
      </c>
      <c r="D50" s="52"/>
      <c r="E50" s="9">
        <f>TREND(D44:D49,C44:C49,C50)</f>
        <v>1166.2666666666667</v>
      </c>
    </row>
    <row r="54" spans="2:7" x14ac:dyDescent="0.2">
      <c r="G54" s="61"/>
    </row>
  </sheetData>
  <mergeCells count="3">
    <mergeCell ref="B6:E6"/>
    <mergeCell ref="G6:N6"/>
    <mergeCell ref="B20:E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P105"/>
  <sheetViews>
    <sheetView topLeftCell="A48" workbookViewId="0">
      <selection activeCell="L74" sqref="L74"/>
    </sheetView>
  </sheetViews>
  <sheetFormatPr baseColWidth="10" defaultRowHeight="16" x14ac:dyDescent="0.2"/>
  <cols>
    <col min="6" max="6" width="14.6640625" bestFit="1" customWidth="1"/>
  </cols>
  <sheetData>
    <row r="14" spans="6:11" x14ac:dyDescent="0.2">
      <c r="F14" s="9" t="s">
        <v>105</v>
      </c>
      <c r="G14" s="9" t="s">
        <v>111</v>
      </c>
      <c r="H14" s="9" t="s">
        <v>112</v>
      </c>
      <c r="I14" s="9" t="s">
        <v>113</v>
      </c>
      <c r="J14" s="9" t="s">
        <v>114</v>
      </c>
      <c r="K14" s="9" t="s">
        <v>115</v>
      </c>
    </row>
    <row r="15" spans="6:11" x14ac:dyDescent="0.2">
      <c r="F15" s="9" t="s">
        <v>106</v>
      </c>
      <c r="G15" s="9" t="s">
        <v>116</v>
      </c>
      <c r="H15" s="9" t="s">
        <v>116</v>
      </c>
      <c r="I15" s="9" t="s">
        <v>117</v>
      </c>
      <c r="J15" s="9" t="s">
        <v>116</v>
      </c>
      <c r="K15" s="9" t="s">
        <v>116</v>
      </c>
    </row>
    <row r="16" spans="6:11" x14ac:dyDescent="0.2">
      <c r="F16" s="9" t="s">
        <v>107</v>
      </c>
      <c r="G16" s="9" t="s">
        <v>117</v>
      </c>
      <c r="H16" s="9" t="s">
        <v>116</v>
      </c>
      <c r="I16" s="9" t="s">
        <v>117</v>
      </c>
      <c r="J16" s="9" t="s">
        <v>116</v>
      </c>
      <c r="K16" s="9" t="s">
        <v>116</v>
      </c>
    </row>
    <row r="17" spans="6:11" x14ac:dyDescent="0.2">
      <c r="F17" s="9" t="s">
        <v>108</v>
      </c>
      <c r="G17" s="9" t="s">
        <v>116</v>
      </c>
      <c r="H17" s="9" t="s">
        <v>116</v>
      </c>
      <c r="I17" s="9" t="s">
        <v>116</v>
      </c>
      <c r="J17" s="9" t="s">
        <v>116</v>
      </c>
      <c r="K17" s="9" t="s">
        <v>116</v>
      </c>
    </row>
    <row r="18" spans="6:11" x14ac:dyDescent="0.2">
      <c r="F18" s="9" t="s">
        <v>109</v>
      </c>
      <c r="G18" s="9" t="s">
        <v>116</v>
      </c>
      <c r="H18" s="9" t="s">
        <v>117</v>
      </c>
      <c r="I18" s="9" t="s">
        <v>117</v>
      </c>
      <c r="J18" s="9" t="s">
        <v>116</v>
      </c>
      <c r="K18" s="9" t="s">
        <v>116</v>
      </c>
    </row>
    <row r="20" spans="6:11" x14ac:dyDescent="0.2">
      <c r="F20" s="86" t="s">
        <v>119</v>
      </c>
      <c r="G20" s="86"/>
      <c r="H20" s="86"/>
      <c r="I20" s="86"/>
      <c r="J20" s="86"/>
      <c r="K20" s="86"/>
    </row>
    <row r="21" spans="6:11" x14ac:dyDescent="0.2">
      <c r="F21" s="8" t="s">
        <v>118</v>
      </c>
      <c r="G21" s="88" t="s">
        <v>120</v>
      </c>
      <c r="H21" s="88"/>
      <c r="I21" s="88"/>
      <c r="J21" s="88"/>
      <c r="K21" t="s">
        <v>121</v>
      </c>
    </row>
    <row r="22" spans="6:11" x14ac:dyDescent="0.2">
      <c r="F22" s="8" t="s">
        <v>115</v>
      </c>
      <c r="G22" s="8" t="s">
        <v>106</v>
      </c>
      <c r="H22" s="8" t="s">
        <v>107</v>
      </c>
      <c r="I22" s="90" t="s">
        <v>108</v>
      </c>
      <c r="J22" s="8" t="s">
        <v>109</v>
      </c>
      <c r="K22" s="91" t="s">
        <v>122</v>
      </c>
    </row>
    <row r="23" spans="6:11" x14ac:dyDescent="0.2">
      <c r="F23" s="8" t="s">
        <v>112</v>
      </c>
      <c r="G23" s="8" t="s">
        <v>106</v>
      </c>
      <c r="H23" s="8" t="s">
        <v>107</v>
      </c>
      <c r="I23" s="90" t="s">
        <v>108</v>
      </c>
      <c r="J23" s="89" t="s">
        <v>109</v>
      </c>
    </row>
    <row r="24" spans="6:11" x14ac:dyDescent="0.2">
      <c r="F24" s="8" t="s">
        <v>111</v>
      </c>
      <c r="G24" s="8" t="s">
        <v>106</v>
      </c>
      <c r="H24" s="89" t="s">
        <v>107</v>
      </c>
      <c r="I24" s="90" t="s">
        <v>108</v>
      </c>
      <c r="J24" s="8"/>
    </row>
    <row r="25" spans="6:11" x14ac:dyDescent="0.2">
      <c r="F25" s="8" t="s">
        <v>113</v>
      </c>
      <c r="G25" s="89" t="s">
        <v>106</v>
      </c>
      <c r="H25" s="8"/>
      <c r="I25" s="90" t="s">
        <v>108</v>
      </c>
      <c r="J25" s="8"/>
    </row>
    <row r="32" spans="6:11" x14ac:dyDescent="0.2">
      <c r="F32" s="5"/>
      <c r="G32" s="5"/>
      <c r="H32" s="5"/>
      <c r="I32" s="5"/>
      <c r="J32" s="5"/>
    </row>
    <row r="44" spans="2:6" x14ac:dyDescent="0.2">
      <c r="C44" s="100"/>
      <c r="D44" s="100"/>
      <c r="E44" s="100"/>
      <c r="F44" s="100"/>
    </row>
    <row r="45" spans="2:6" x14ac:dyDescent="0.2">
      <c r="C45" s="100"/>
      <c r="D45" s="100"/>
      <c r="E45" s="100"/>
      <c r="F45" s="100"/>
    </row>
    <row r="46" spans="2:6" ht="23" x14ac:dyDescent="0.25">
      <c r="C46" s="185" t="s">
        <v>129</v>
      </c>
      <c r="D46" s="185"/>
      <c r="E46" s="185"/>
      <c r="F46" s="185"/>
    </row>
    <row r="47" spans="2:6" ht="23" x14ac:dyDescent="0.25">
      <c r="C47" s="185"/>
      <c r="D47" s="185"/>
      <c r="E47" s="185"/>
      <c r="F47" s="185"/>
    </row>
    <row r="48" spans="2:6" x14ac:dyDescent="0.2">
      <c r="B48" s="5"/>
      <c r="C48" s="99" t="s">
        <v>128</v>
      </c>
      <c r="D48" s="99"/>
      <c r="E48" s="99"/>
      <c r="F48" s="99"/>
    </row>
    <row r="49" spans="2:8" x14ac:dyDescent="0.2">
      <c r="B49" s="99" t="s">
        <v>127</v>
      </c>
      <c r="C49" s="94" t="s">
        <v>126</v>
      </c>
      <c r="D49" s="94" t="s">
        <v>125</v>
      </c>
      <c r="E49" s="94" t="s">
        <v>124</v>
      </c>
      <c r="F49" s="94" t="s">
        <v>123</v>
      </c>
      <c r="G49" s="98" t="s">
        <v>14</v>
      </c>
      <c r="H49" s="94" t="s">
        <v>14</v>
      </c>
    </row>
    <row r="50" spans="2:8" x14ac:dyDescent="0.2">
      <c r="B50" s="94" t="s">
        <v>106</v>
      </c>
      <c r="C50" s="93">
        <v>200</v>
      </c>
      <c r="D50" s="93">
        <v>210</v>
      </c>
      <c r="E50" s="93">
        <v>300</v>
      </c>
      <c r="F50" s="93">
        <v>330</v>
      </c>
      <c r="G50" s="92">
        <f>MAX(C50:F50)</f>
        <v>330</v>
      </c>
    </row>
    <row r="51" spans="2:8" x14ac:dyDescent="0.2">
      <c r="B51" s="94" t="s">
        <v>107</v>
      </c>
      <c r="C51" s="93">
        <v>70</v>
      </c>
      <c r="D51" s="93">
        <v>30</v>
      </c>
      <c r="E51" s="93">
        <v>190</v>
      </c>
      <c r="F51" s="93">
        <v>200</v>
      </c>
      <c r="G51" s="92">
        <f>MAX(C51:F51)</f>
        <v>200</v>
      </c>
    </row>
    <row r="52" spans="2:8" x14ac:dyDescent="0.2">
      <c r="B52" s="94" t="s">
        <v>108</v>
      </c>
      <c r="C52" s="97">
        <v>450</v>
      </c>
      <c r="D52" s="97">
        <v>130</v>
      </c>
      <c r="E52" s="97">
        <v>40</v>
      </c>
      <c r="F52" s="97">
        <v>130</v>
      </c>
      <c r="G52" s="96">
        <f>MAX(C52:F52)</f>
        <v>450</v>
      </c>
      <c r="H52" s="95">
        <f>MAX(G50:G54)</f>
        <v>450</v>
      </c>
    </row>
    <row r="53" spans="2:8" x14ac:dyDescent="0.2">
      <c r="B53" s="94" t="s">
        <v>109</v>
      </c>
      <c r="C53" s="93">
        <v>100</v>
      </c>
      <c r="D53" s="93">
        <v>290</v>
      </c>
      <c r="E53" s="93">
        <v>70</v>
      </c>
      <c r="F53" s="93">
        <v>420</v>
      </c>
      <c r="G53" s="92">
        <f>MAX(C53:F53)</f>
        <v>420</v>
      </c>
    </row>
    <row r="54" spans="2:8" x14ac:dyDescent="0.2">
      <c r="B54" s="94" t="s">
        <v>110</v>
      </c>
      <c r="C54" s="93">
        <v>80</v>
      </c>
      <c r="D54" s="93">
        <v>110</v>
      </c>
      <c r="E54" s="93">
        <v>290</v>
      </c>
      <c r="F54" s="93">
        <v>280</v>
      </c>
      <c r="G54" s="92">
        <f>MAX(C54:F54)</f>
        <v>290</v>
      </c>
    </row>
    <row r="70" spans="2:16" x14ac:dyDescent="0.2">
      <c r="C70" s="100"/>
      <c r="D70" s="100"/>
      <c r="E70" s="100"/>
      <c r="F70" s="100"/>
    </row>
    <row r="71" spans="2:16" x14ac:dyDescent="0.2">
      <c r="C71" s="100"/>
      <c r="D71" s="100"/>
      <c r="E71" s="100"/>
      <c r="F71" s="100"/>
    </row>
    <row r="72" spans="2:16" ht="23" x14ac:dyDescent="0.25">
      <c r="C72" s="185" t="s">
        <v>130</v>
      </c>
      <c r="D72" s="185"/>
      <c r="E72" s="185"/>
      <c r="F72" s="185"/>
    </row>
    <row r="73" spans="2:16" ht="23" x14ac:dyDescent="0.25">
      <c r="C73" s="185"/>
      <c r="D73" s="185"/>
      <c r="E73" s="185"/>
      <c r="F73" s="185"/>
    </row>
    <row r="74" spans="2:16" x14ac:dyDescent="0.2">
      <c r="B74" s="5"/>
      <c r="C74" s="99" t="s">
        <v>128</v>
      </c>
      <c r="D74" s="99"/>
      <c r="E74" s="99"/>
      <c r="F74" s="99"/>
      <c r="J74" s="106"/>
    </row>
    <row r="75" spans="2:16" x14ac:dyDescent="0.2">
      <c r="B75" s="99" t="s">
        <v>127</v>
      </c>
      <c r="C75" s="94" t="s">
        <v>126</v>
      </c>
      <c r="D75" s="94" t="s">
        <v>125</v>
      </c>
      <c r="E75" s="94" t="s">
        <v>124</v>
      </c>
      <c r="F75" s="94" t="s">
        <v>123</v>
      </c>
      <c r="G75" s="104" t="s">
        <v>13</v>
      </c>
      <c r="H75" s="104" t="s">
        <v>14</v>
      </c>
      <c r="I75" s="104">
        <v>0</v>
      </c>
      <c r="J75" s="104">
        <v>0.2</v>
      </c>
      <c r="K75" s="105">
        <v>0.4</v>
      </c>
      <c r="L75" s="104">
        <v>0.6</v>
      </c>
      <c r="M75" s="105">
        <v>0.8</v>
      </c>
      <c r="N75" s="104">
        <v>1</v>
      </c>
      <c r="P75" s="102"/>
    </row>
    <row r="76" spans="2:16" x14ac:dyDescent="0.2">
      <c r="B76" s="94" t="s">
        <v>106</v>
      </c>
      <c r="C76" s="93">
        <v>200</v>
      </c>
      <c r="D76" s="93">
        <v>210</v>
      </c>
      <c r="E76" s="93">
        <v>300</v>
      </c>
      <c r="F76" s="93">
        <v>330</v>
      </c>
      <c r="G76" s="92">
        <f>MIN(C76:F76)</f>
        <v>200</v>
      </c>
      <c r="H76" s="92">
        <f>MAX(C76:F76)</f>
        <v>330</v>
      </c>
      <c r="I76" s="96">
        <f>($I$75*H76)+(1-$I$75)*G76</f>
        <v>200</v>
      </c>
      <c r="J76" s="103">
        <f>($J$75*H$76)+((1-$J$75)*G$76)</f>
        <v>226</v>
      </c>
      <c r="K76" s="103">
        <f>($K$75*H76)+((1-$K$75)*G76)</f>
        <v>252</v>
      </c>
      <c r="L76" s="101">
        <f>($L$75*H76)+((1-$L$75)*G76)</f>
        <v>278</v>
      </c>
      <c r="M76" s="101">
        <f>(($M$75*H76)+((1-$M$75)*G76))</f>
        <v>304</v>
      </c>
      <c r="N76" s="101">
        <f>(($N$75*H76)+((1-$N$75)*G76))</f>
        <v>330</v>
      </c>
      <c r="P76" s="102"/>
    </row>
    <row r="77" spans="2:16" x14ac:dyDescent="0.2">
      <c r="B77" s="94" t="s">
        <v>107</v>
      </c>
      <c r="C77" s="93">
        <v>70</v>
      </c>
      <c r="D77" s="93">
        <v>30</v>
      </c>
      <c r="E77" s="93">
        <v>190</v>
      </c>
      <c r="F77" s="93">
        <v>200</v>
      </c>
      <c r="G77" s="92">
        <f>MIN(C77:F77)</f>
        <v>30</v>
      </c>
      <c r="H77" s="92">
        <f>MAX(C77:F77)</f>
        <v>200</v>
      </c>
      <c r="I77" s="92">
        <f>($I$75*H77)+(1-$I$75)*G77</f>
        <v>30</v>
      </c>
      <c r="J77" s="101">
        <f>($J$75*H77)+((1-$J$75)*G77)</f>
        <v>64</v>
      </c>
      <c r="K77" s="101">
        <f>($K$75*H77)+((1-$K$75)*G77)</f>
        <v>98</v>
      </c>
      <c r="L77" s="101">
        <f>($L$75*H77)+((1-$L$75)*G77)</f>
        <v>132</v>
      </c>
      <c r="M77" s="101">
        <f>(($M$75*H77)+((1-$M$75)*G77))</f>
        <v>166</v>
      </c>
      <c r="N77" s="101">
        <f>(($N$75*H77)+((1-$N$75)*G77))</f>
        <v>200</v>
      </c>
      <c r="P77" s="102"/>
    </row>
    <row r="78" spans="2:16" ht="16" customHeight="1" x14ac:dyDescent="0.2">
      <c r="B78" s="94" t="s">
        <v>108</v>
      </c>
      <c r="C78" s="93">
        <v>450</v>
      </c>
      <c r="D78" s="93">
        <v>130</v>
      </c>
      <c r="E78" s="93">
        <v>40</v>
      </c>
      <c r="F78" s="93">
        <v>130</v>
      </c>
      <c r="G78" s="92">
        <f>MIN(C78:F78)</f>
        <v>40</v>
      </c>
      <c r="H78" s="92">
        <f>MAX(C78:F78)</f>
        <v>450</v>
      </c>
      <c r="I78" s="92">
        <f>($I$75*H78)+(1-$I$75)*G78</f>
        <v>40</v>
      </c>
      <c r="J78" s="101">
        <f>($J$75*H78)+((1-$J$75)*G78)</f>
        <v>122</v>
      </c>
      <c r="K78" s="101">
        <f>($K$75*H78)+((1-$K$75)*G78)</f>
        <v>204</v>
      </c>
      <c r="L78" s="103">
        <f>($L$75*H78)+((1-$L$75)*G78)</f>
        <v>286</v>
      </c>
      <c r="M78" s="103">
        <f>(($M$75*H78)+((1-$M$75)*G78))</f>
        <v>368</v>
      </c>
      <c r="N78" s="103">
        <f>(($N$75*H78)+((1-$N$75)*G78))</f>
        <v>450</v>
      </c>
      <c r="P78" s="102"/>
    </row>
    <row r="79" spans="2:16" ht="16" customHeight="1" x14ac:dyDescent="0.2">
      <c r="B79" s="94" t="s">
        <v>109</v>
      </c>
      <c r="C79" s="93">
        <v>100</v>
      </c>
      <c r="D79" s="93">
        <v>290</v>
      </c>
      <c r="E79" s="93">
        <v>70</v>
      </c>
      <c r="F79" s="93">
        <v>420</v>
      </c>
      <c r="G79" s="92">
        <f>MIN(C79:F79)</f>
        <v>70</v>
      </c>
      <c r="H79" s="92">
        <f>MAX(C79:F79)</f>
        <v>420</v>
      </c>
      <c r="I79" s="92">
        <f>($I$75*H79)+(1-$I$75)*G79</f>
        <v>70</v>
      </c>
      <c r="J79" s="101">
        <f>($J$75*H79)+((1-$J$75)*G79)</f>
        <v>140</v>
      </c>
      <c r="K79" s="101">
        <f>($K$75*H79)+((1-$K$75)*G79)</f>
        <v>210</v>
      </c>
      <c r="L79" s="101">
        <f>($L$75*H79)+((1-$L$75)*G79)</f>
        <v>280</v>
      </c>
      <c r="M79" s="101">
        <f>(($M$75*H79)+((1-$M$75)*G79))</f>
        <v>350</v>
      </c>
      <c r="N79" s="101">
        <f>(($N$75*H79)+((1-$N$75)*G79))</f>
        <v>420</v>
      </c>
      <c r="P79" s="102"/>
    </row>
    <row r="80" spans="2:16" x14ac:dyDescent="0.2">
      <c r="B80" s="94" t="s">
        <v>110</v>
      </c>
      <c r="C80" s="93">
        <v>80</v>
      </c>
      <c r="D80" s="93">
        <v>110</v>
      </c>
      <c r="E80" s="93">
        <v>290</v>
      </c>
      <c r="F80" s="93">
        <v>280</v>
      </c>
      <c r="G80" s="92">
        <f>MIN(C80:F80)</f>
        <v>80</v>
      </c>
      <c r="H80" s="92">
        <f>MAX(C80:F80)</f>
        <v>290</v>
      </c>
      <c r="I80" s="92">
        <f>($I$75*H80)+(1-$I$75)*G80</f>
        <v>80</v>
      </c>
      <c r="J80" s="101">
        <f>($J$75*H80)+((1-$J$75)*G80)</f>
        <v>122</v>
      </c>
      <c r="K80" s="101">
        <f>($K$75*H80)+((1-$K$75)*G80)</f>
        <v>164</v>
      </c>
      <c r="L80" s="101">
        <f>($L$75*H80)+((1-$L$75)*G80)</f>
        <v>206</v>
      </c>
      <c r="M80" s="101">
        <f>(($M$75*H80)+((1-$M$75)*G80))</f>
        <v>248</v>
      </c>
      <c r="N80" s="101">
        <f>(($N$75*H80)+((1-$N$75)*G80))</f>
        <v>290</v>
      </c>
    </row>
    <row r="81" spans="9:14" x14ac:dyDescent="0.2">
      <c r="I81" s="92">
        <f>MAX(I76:I80)</f>
        <v>200</v>
      </c>
      <c r="J81" s="101">
        <f>MAX(J76:J80)</f>
        <v>226</v>
      </c>
      <c r="K81" s="101">
        <f>MAX(K76:K80)</f>
        <v>252</v>
      </c>
      <c r="L81" s="101">
        <f>MAX(L76:L80)</f>
        <v>286</v>
      </c>
      <c r="M81" s="101">
        <f>MAX(M76:M80)</f>
        <v>368</v>
      </c>
      <c r="N81" s="101">
        <f>MAX(N76:N80)</f>
        <v>450</v>
      </c>
    </row>
    <row r="104" ht="16" customHeight="1" x14ac:dyDescent="0.2"/>
    <row r="105" ht="16" customHeight="1" x14ac:dyDescent="0.2"/>
  </sheetData>
  <mergeCells count="2">
    <mergeCell ref="F20:K20"/>
    <mergeCell ref="G21:J21"/>
  </mergeCells>
  <conditionalFormatting sqref="G50:G51 G53:G54">
    <cfRule type="cellIs" dxfId="45" priority="1" operator="equal">
      <formula>$H$28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0"/>
  <sheetViews>
    <sheetView topLeftCell="C1" zoomScale="90" zoomScaleNormal="90" zoomScalePageLayoutView="90" workbookViewId="0">
      <selection activeCell="I148" sqref="I148"/>
    </sheetView>
  </sheetViews>
  <sheetFormatPr baseColWidth="10" defaultColWidth="11" defaultRowHeight="16" x14ac:dyDescent="0.2"/>
  <cols>
    <col min="2" max="3" width="20.33203125" bestFit="1" customWidth="1"/>
    <col min="4" max="4" width="23" bestFit="1" customWidth="1"/>
    <col min="5" max="5" width="28.1640625" bestFit="1" customWidth="1"/>
    <col min="6" max="6" width="26.33203125" bestFit="1" customWidth="1"/>
    <col min="7" max="7" width="14.6640625" bestFit="1" customWidth="1"/>
    <col min="9" max="9" width="13.6640625" bestFit="1" customWidth="1"/>
    <col min="10" max="10" width="28" customWidth="1"/>
    <col min="16" max="16" width="23" bestFit="1" customWidth="1"/>
    <col min="17" max="17" width="28.1640625" bestFit="1" customWidth="1"/>
    <col min="18" max="18" width="26.33203125" bestFit="1" customWidth="1"/>
    <col min="19" max="19" width="14.6640625" bestFit="1" customWidth="1"/>
  </cols>
  <sheetData>
    <row r="2" spans="2:10" x14ac:dyDescent="0.2">
      <c r="B2" s="135" t="s">
        <v>173</v>
      </c>
      <c r="C2" s="133"/>
      <c r="D2" s="133"/>
      <c r="E2" s="133"/>
      <c r="F2" s="133"/>
      <c r="G2" s="133"/>
    </row>
    <row r="3" spans="2:10" x14ac:dyDescent="0.2">
      <c r="B3" s="133"/>
      <c r="C3" s="133"/>
      <c r="D3" s="133"/>
      <c r="E3" s="133"/>
      <c r="F3" s="133"/>
      <c r="G3" s="133"/>
    </row>
    <row r="4" spans="2:10" x14ac:dyDescent="0.2">
      <c r="B4" s="133"/>
      <c r="C4" s="133"/>
      <c r="D4" s="133"/>
      <c r="E4" s="133"/>
      <c r="F4" s="133"/>
      <c r="G4" s="133"/>
    </row>
    <row r="5" spans="2:10" x14ac:dyDescent="0.2">
      <c r="B5" s="133"/>
      <c r="C5" s="133"/>
      <c r="D5" s="133"/>
      <c r="E5" s="133"/>
      <c r="F5" s="133"/>
      <c r="G5" s="133"/>
    </row>
    <row r="6" spans="2:10" ht="21" x14ac:dyDescent="0.2">
      <c r="B6" s="183"/>
      <c r="C6" s="183"/>
      <c r="D6" s="183"/>
      <c r="E6" s="183"/>
      <c r="F6" s="183"/>
      <c r="G6" s="183"/>
    </row>
    <row r="7" spans="2:10" ht="21" x14ac:dyDescent="0.2">
      <c r="B7" s="183"/>
      <c r="C7" s="183"/>
      <c r="D7" s="183"/>
      <c r="E7" s="183"/>
      <c r="F7" s="183"/>
      <c r="G7" s="183"/>
    </row>
    <row r="8" spans="2:10" ht="21" x14ac:dyDescent="0.2">
      <c r="B8" s="183"/>
      <c r="C8" s="183"/>
      <c r="D8" s="183"/>
      <c r="E8" s="183"/>
      <c r="F8" s="183"/>
      <c r="G8" s="183"/>
    </row>
    <row r="9" spans="2:10" ht="21" x14ac:dyDescent="0.2">
      <c r="B9" s="183"/>
      <c r="C9" s="183"/>
      <c r="D9" s="183"/>
      <c r="E9" s="183"/>
      <c r="F9" s="183"/>
      <c r="G9" s="183"/>
    </row>
    <row r="10" spans="2:10" ht="21" x14ac:dyDescent="0.2">
      <c r="B10" s="183"/>
      <c r="C10" s="183"/>
      <c r="D10" s="183"/>
      <c r="E10" s="183"/>
      <c r="F10" s="183"/>
      <c r="G10" s="183"/>
    </row>
    <row r="11" spans="2:10" ht="21" x14ac:dyDescent="0.2">
      <c r="B11" s="183"/>
      <c r="C11" s="183"/>
      <c r="D11" s="183"/>
      <c r="E11" s="183"/>
      <c r="F11" s="183"/>
      <c r="G11" s="183"/>
    </row>
    <row r="12" spans="2:10" ht="24" x14ac:dyDescent="0.3">
      <c r="B12" s="183"/>
      <c r="C12" s="183"/>
      <c r="D12" s="183"/>
      <c r="E12" s="183"/>
      <c r="F12" s="183"/>
      <c r="G12" s="183"/>
      <c r="I12" s="184" t="s">
        <v>172</v>
      </c>
      <c r="J12" s="184"/>
    </row>
    <row r="13" spans="2:10" ht="24" x14ac:dyDescent="0.3">
      <c r="B13" s="183"/>
      <c r="C13" s="183"/>
      <c r="D13" s="183"/>
      <c r="E13" s="183"/>
      <c r="F13" s="183"/>
      <c r="G13" s="183"/>
      <c r="I13" s="182" t="s">
        <v>171</v>
      </c>
      <c r="J13" s="182">
        <v>3</v>
      </c>
    </row>
    <row r="14" spans="2:10" ht="24" x14ac:dyDescent="0.3">
      <c r="B14" s="183"/>
      <c r="C14" s="183"/>
      <c r="D14" s="183"/>
      <c r="E14" s="183"/>
      <c r="F14" s="183"/>
      <c r="G14" s="183"/>
      <c r="I14" s="182" t="s">
        <v>170</v>
      </c>
      <c r="J14" s="182">
        <f>1/5</f>
        <v>0.2</v>
      </c>
    </row>
    <row r="15" spans="2:10" ht="24" x14ac:dyDescent="0.3">
      <c r="B15" s="183"/>
      <c r="C15" s="183"/>
      <c r="D15" s="183"/>
      <c r="E15" s="183"/>
      <c r="F15" s="183"/>
      <c r="G15" s="183"/>
      <c r="I15" s="182" t="s">
        <v>169</v>
      </c>
      <c r="J15" s="182">
        <f>1-J14</f>
        <v>0.8</v>
      </c>
    </row>
    <row r="16" spans="2:10" ht="24" x14ac:dyDescent="0.3">
      <c r="B16" s="183"/>
      <c r="C16" s="183"/>
      <c r="D16" s="183"/>
      <c r="E16" s="183"/>
      <c r="F16" s="183"/>
      <c r="G16" s="183"/>
      <c r="I16" s="182" t="s">
        <v>168</v>
      </c>
      <c r="J16" s="182">
        <f>(J14)^(1/J13)</f>
        <v>0.58480354764257325</v>
      </c>
    </row>
    <row r="17" spans="2:19" ht="21" x14ac:dyDescent="0.2">
      <c r="B17" s="181"/>
      <c r="C17" s="181"/>
      <c r="D17" s="181"/>
      <c r="E17" s="181"/>
      <c r="F17" s="181"/>
      <c r="G17" s="181"/>
    </row>
    <row r="18" spans="2:19" ht="22" thickBot="1" x14ac:dyDescent="0.25">
      <c r="B18" s="181"/>
      <c r="C18" s="181"/>
      <c r="D18" s="181"/>
      <c r="E18" s="181"/>
      <c r="F18" s="181"/>
      <c r="G18" s="181"/>
    </row>
    <row r="19" spans="2:19" x14ac:dyDescent="0.2">
      <c r="D19" s="156" t="s">
        <v>165</v>
      </c>
      <c r="E19" s="155"/>
      <c r="F19" s="154" t="s">
        <v>161</v>
      </c>
      <c r="G19" s="154"/>
      <c r="H19" s="154"/>
      <c r="I19" s="154"/>
      <c r="J19" s="153" t="s">
        <v>160</v>
      </c>
      <c r="P19" s="180" t="s">
        <v>167</v>
      </c>
      <c r="Q19" s="180"/>
      <c r="R19" s="180"/>
    </row>
    <row r="20" spans="2:19" ht="17" thickBot="1" x14ac:dyDescent="0.25">
      <c r="D20" s="152"/>
      <c r="E20" s="151"/>
      <c r="F20" s="179">
        <v>150000</v>
      </c>
      <c r="G20" s="179">
        <v>200000</v>
      </c>
      <c r="H20" s="179">
        <v>251201</v>
      </c>
      <c r="I20" s="179">
        <v>500900</v>
      </c>
      <c r="J20" s="178">
        <f>_xlfn.PERCENTILE.INC(E21:E40,1-J16)</f>
        <v>277150.99176790036</v>
      </c>
      <c r="P20" s="177">
        <f>J20</f>
        <v>277150.99176790036</v>
      </c>
      <c r="Q20" s="176">
        <f>J46</f>
        <v>0.56221128163537748</v>
      </c>
      <c r="R20" s="175">
        <f>J72</f>
        <v>6</v>
      </c>
      <c r="S20" s="6"/>
    </row>
    <row r="21" spans="2:19" ht="16" customHeight="1" x14ac:dyDescent="0.2">
      <c r="D21" s="148">
        <v>1</v>
      </c>
      <c r="E21" s="174">
        <v>280400</v>
      </c>
      <c r="F21" s="146">
        <f>IF(E21&gt;$F$20,1,0)</f>
        <v>1</v>
      </c>
      <c r="G21" s="146">
        <f>IF(E21&gt;$G$20,1,0)</f>
        <v>1</v>
      </c>
      <c r="H21" s="146">
        <f>IF(E21&gt;$H$20,1,0)</f>
        <v>1</v>
      </c>
      <c r="I21" s="146">
        <f>IF(E21&gt;$I$20,1,0)</f>
        <v>0</v>
      </c>
      <c r="J21" s="1">
        <f>IF(E21&gt;=$J$20,1,0)</f>
        <v>1</v>
      </c>
      <c r="O21" s="7" t="s">
        <v>166</v>
      </c>
      <c r="P21" s="7" t="s">
        <v>165</v>
      </c>
      <c r="Q21" s="7" t="s">
        <v>134</v>
      </c>
      <c r="R21" s="7" t="s">
        <v>133</v>
      </c>
      <c r="S21" s="7" t="s">
        <v>164</v>
      </c>
    </row>
    <row r="22" spans="2:19" x14ac:dyDescent="0.2">
      <c r="D22" s="145">
        <v>2</v>
      </c>
      <c r="E22" s="173">
        <v>500800</v>
      </c>
      <c r="F22" s="52">
        <f>IF(E22&gt;$F$20,1,0)</f>
        <v>1</v>
      </c>
      <c r="G22" s="52">
        <f>IF(E22&gt;$G$20,1,0)</f>
        <v>1</v>
      </c>
      <c r="H22" s="52">
        <f>IF(E22&gt;$H$20,1,0)</f>
        <v>1</v>
      </c>
      <c r="I22" s="52">
        <f>IF(E22&gt;$I$20,1,0)</f>
        <v>0</v>
      </c>
      <c r="J22" s="1">
        <f>IF(E22&gt;=$J$20,1,0)</f>
        <v>1</v>
      </c>
      <c r="O22" s="90">
        <v>1</v>
      </c>
      <c r="P22" s="8">
        <v>1</v>
      </c>
      <c r="Q22" s="8">
        <v>1</v>
      </c>
      <c r="R22" s="8">
        <v>1</v>
      </c>
      <c r="S22" s="8" t="str">
        <f>IF(SUM(P22:R22)=3,"YES","NO")</f>
        <v>YES</v>
      </c>
    </row>
    <row r="23" spans="2:19" x14ac:dyDescent="0.2">
      <c r="D23" s="145">
        <v>3</v>
      </c>
      <c r="E23" s="173">
        <v>221800</v>
      </c>
      <c r="F23" s="52">
        <f>IF(E23&gt;$F$20,1,0)</f>
        <v>1</v>
      </c>
      <c r="G23" s="52">
        <f>IF(E23&gt;$G$20,1,0)</f>
        <v>1</v>
      </c>
      <c r="H23" s="52">
        <f>IF(E23&gt;$H$20,1,0)</f>
        <v>0</v>
      </c>
      <c r="I23" s="52">
        <f>IF(E23&gt;$I$20,1,0)</f>
        <v>0</v>
      </c>
      <c r="J23" s="1">
        <f>IF(E23&gt;=$J$20,1,0)</f>
        <v>0</v>
      </c>
      <c r="O23" s="168">
        <v>2</v>
      </c>
      <c r="P23" s="8">
        <v>1</v>
      </c>
      <c r="Q23" s="8">
        <v>0</v>
      </c>
      <c r="R23" s="8">
        <v>0</v>
      </c>
      <c r="S23" s="8" t="str">
        <f>IF(SUM(P23:R23)=3,"YES","NO")</f>
        <v>NO</v>
      </c>
    </row>
    <row r="24" spans="2:19" x14ac:dyDescent="0.2">
      <c r="D24" s="145">
        <v>4</v>
      </c>
      <c r="E24" s="173">
        <v>477800</v>
      </c>
      <c r="F24" s="52">
        <f>IF(E24&gt;$F$20,1,0)</f>
        <v>1</v>
      </c>
      <c r="G24" s="52">
        <f>IF(E24&gt;$G$20,1,0)</f>
        <v>1</v>
      </c>
      <c r="H24" s="52">
        <f>IF(E24&gt;$H$20,1,0)</f>
        <v>1</v>
      </c>
      <c r="I24" s="52">
        <f>IF(E24&gt;$I$20,1,0)</f>
        <v>0</v>
      </c>
      <c r="J24" s="1">
        <f>IF(E24&gt;=$J$20,1,0)</f>
        <v>1</v>
      </c>
      <c r="O24" s="168">
        <v>3</v>
      </c>
      <c r="P24" s="8">
        <v>0</v>
      </c>
      <c r="Q24" s="8">
        <v>1</v>
      </c>
      <c r="R24" s="8">
        <v>1</v>
      </c>
      <c r="S24" s="8" t="str">
        <f>IF(SUM(P24:R24)=3,"YES","NO")</f>
        <v>NO</v>
      </c>
    </row>
    <row r="25" spans="2:19" x14ac:dyDescent="0.2">
      <c r="D25" s="145">
        <v>5</v>
      </c>
      <c r="E25" s="173">
        <v>144900</v>
      </c>
      <c r="F25" s="52">
        <f>IF(E25&gt;$F$20,1,0)</f>
        <v>0</v>
      </c>
      <c r="G25" s="52">
        <f>IF(E25&gt;$G$20,1,0)</f>
        <v>0</v>
      </c>
      <c r="H25" s="52">
        <f>IF(E25&gt;$H$20,1,0)</f>
        <v>0</v>
      </c>
      <c r="I25" s="52">
        <f>IF(E25&gt;$I$20,1,0)</f>
        <v>0</v>
      </c>
      <c r="J25" s="1">
        <f>IF(E25&gt;=$J$20,1,0)</f>
        <v>0</v>
      </c>
      <c r="O25" s="90">
        <v>4</v>
      </c>
      <c r="P25" s="8">
        <v>1</v>
      </c>
      <c r="Q25" s="8">
        <v>1</v>
      </c>
      <c r="R25" s="8">
        <v>1</v>
      </c>
      <c r="S25" s="8" t="str">
        <f>IF(SUM(P25:R25)=3,"YES","NO")</f>
        <v>YES</v>
      </c>
    </row>
    <row r="26" spans="2:19" x14ac:dyDescent="0.2">
      <c r="D26" s="145">
        <v>6</v>
      </c>
      <c r="E26" s="173">
        <v>382400</v>
      </c>
      <c r="F26" s="52">
        <f>IF(E26&gt;$F$20,1,0)</f>
        <v>1</v>
      </c>
      <c r="G26" s="52">
        <f>IF(E26&gt;$G$20,1,0)</f>
        <v>1</v>
      </c>
      <c r="H26" s="52">
        <f>IF(E26&gt;$H$20,1,0)</f>
        <v>1</v>
      </c>
      <c r="I26" s="52">
        <f>IF(E26&gt;$I$20,1,0)</f>
        <v>0</v>
      </c>
      <c r="J26" s="1">
        <f>IF(E26&gt;=$J$20,1,0)</f>
        <v>1</v>
      </c>
      <c r="O26" s="168">
        <v>5</v>
      </c>
      <c r="P26" s="8">
        <v>0</v>
      </c>
      <c r="Q26" s="8">
        <v>1</v>
      </c>
      <c r="R26" s="8">
        <v>0</v>
      </c>
      <c r="S26" s="8" t="str">
        <f>IF(SUM(P26:R26)=3,"YES","NO")</f>
        <v>NO</v>
      </c>
    </row>
    <row r="27" spans="2:19" x14ac:dyDescent="0.2">
      <c r="D27" s="145">
        <v>7</v>
      </c>
      <c r="E27" s="173">
        <v>507200</v>
      </c>
      <c r="F27" s="52">
        <f>IF(E27&gt;$F$20,1,0)</f>
        <v>1</v>
      </c>
      <c r="G27" s="52">
        <f>IF(E27&gt;$G$20,1,0)</f>
        <v>1</v>
      </c>
      <c r="H27" s="52">
        <f>IF(E27&gt;$H$20,1,0)</f>
        <v>1</v>
      </c>
      <c r="I27" s="52">
        <f>IF(E27&gt;$I$20,1,0)</f>
        <v>1</v>
      </c>
      <c r="J27" s="1">
        <f>IF(E27&gt;=$J$20,1,0)</f>
        <v>1</v>
      </c>
      <c r="O27" s="168">
        <v>6</v>
      </c>
      <c r="P27" s="8">
        <v>1</v>
      </c>
      <c r="Q27" s="8">
        <v>0</v>
      </c>
      <c r="R27" s="8">
        <v>1</v>
      </c>
      <c r="S27" s="8" t="str">
        <f>IF(SUM(P27:R27)=3,"YES","NO")</f>
        <v>NO</v>
      </c>
    </row>
    <row r="28" spans="2:19" x14ac:dyDescent="0.2">
      <c r="D28" s="145">
        <v>8</v>
      </c>
      <c r="E28" s="173">
        <v>124200</v>
      </c>
      <c r="F28" s="52">
        <f>IF(E28&gt;$F$20,1,0)</f>
        <v>0</v>
      </c>
      <c r="G28" s="52">
        <f>IF(E28&gt;$G$20,1,0)</f>
        <v>0</v>
      </c>
      <c r="H28" s="52">
        <f>IF(E28&gt;$H$20,1,0)</f>
        <v>0</v>
      </c>
      <c r="I28" s="52">
        <f>IF(E28&gt;$I$20,1,0)</f>
        <v>0</v>
      </c>
      <c r="J28" s="1">
        <f>IF(E28&gt;=$J$20,1,0)</f>
        <v>0</v>
      </c>
      <c r="O28" s="90">
        <v>7</v>
      </c>
      <c r="P28" s="8">
        <v>1</v>
      </c>
      <c r="Q28" s="8">
        <v>1</v>
      </c>
      <c r="R28" s="8">
        <v>1</v>
      </c>
      <c r="S28" s="8" t="str">
        <f>IF(SUM(P28:R28)=3,"YES","NO")</f>
        <v>YES</v>
      </c>
    </row>
    <row r="29" spans="2:19" x14ac:dyDescent="0.2">
      <c r="D29" s="145">
        <v>9</v>
      </c>
      <c r="E29" s="173">
        <v>87000</v>
      </c>
      <c r="F29" s="52">
        <f>IF(E29&gt;$F$20,1,0)</f>
        <v>0</v>
      </c>
      <c r="G29" s="52">
        <f>IF(E29&gt;$G$20,1,0)</f>
        <v>0</v>
      </c>
      <c r="H29" s="52">
        <f>IF(E29&gt;$H$20,1,0)</f>
        <v>0</v>
      </c>
      <c r="I29" s="52">
        <f>IF(E29&gt;$I$20,1,0)</f>
        <v>0</v>
      </c>
      <c r="J29" s="1">
        <f>IF(E29&gt;=$J$20,1,0)</f>
        <v>0</v>
      </c>
      <c r="O29" s="168">
        <v>8</v>
      </c>
      <c r="P29" s="8">
        <v>0</v>
      </c>
      <c r="Q29" s="8">
        <v>1</v>
      </c>
      <c r="R29" s="8">
        <v>0</v>
      </c>
      <c r="S29" s="8" t="str">
        <f>IF(SUM(P29:R29)=3,"YES","NO")</f>
        <v>NO</v>
      </c>
    </row>
    <row r="30" spans="2:19" x14ac:dyDescent="0.2">
      <c r="D30" s="145">
        <v>10</v>
      </c>
      <c r="E30" s="173">
        <v>614300</v>
      </c>
      <c r="F30" s="52">
        <f>IF(E30&gt;$F$20,1,0)</f>
        <v>1</v>
      </c>
      <c r="G30" s="52">
        <f>IF(E30&gt;$G$20,1,0)</f>
        <v>1</v>
      </c>
      <c r="H30" s="52">
        <f>IF(E30&gt;$H$20,1,0)</f>
        <v>1</v>
      </c>
      <c r="I30" s="52">
        <f>IF(E30&gt;$I$20,1,0)</f>
        <v>1</v>
      </c>
      <c r="J30" s="1">
        <f>IF(E30&gt;=$J$20,1,0)</f>
        <v>1</v>
      </c>
      <c r="O30" s="168">
        <v>9</v>
      </c>
      <c r="P30" s="8">
        <v>0</v>
      </c>
      <c r="Q30" s="8">
        <v>1</v>
      </c>
      <c r="R30" s="8">
        <v>0</v>
      </c>
      <c r="S30" s="8" t="str">
        <f>IF(SUM(P30:R30)=3,"YES","NO")</f>
        <v>NO</v>
      </c>
    </row>
    <row r="31" spans="2:19" x14ac:dyDescent="0.2">
      <c r="D31" s="145">
        <v>11</v>
      </c>
      <c r="E31" s="173">
        <v>661800</v>
      </c>
      <c r="F31" s="52">
        <f>IF(E31&gt;$F$20,1,0)</f>
        <v>1</v>
      </c>
      <c r="G31" s="52">
        <f>IF(E31&gt;$G$20,1,0)</f>
        <v>1</v>
      </c>
      <c r="H31" s="52">
        <f>IF(E31&gt;$H$20,1,0)</f>
        <v>1</v>
      </c>
      <c r="I31" s="52">
        <f>IF(E31&gt;$I$20,1,0)</f>
        <v>1</v>
      </c>
      <c r="J31" s="1">
        <f>IF(E31&gt;=$J$20,1,0)</f>
        <v>1</v>
      </c>
      <c r="O31" s="168">
        <v>10</v>
      </c>
      <c r="P31" s="8">
        <v>1</v>
      </c>
      <c r="Q31" s="8">
        <v>0</v>
      </c>
      <c r="R31" s="8">
        <v>1</v>
      </c>
      <c r="S31" s="8" t="str">
        <f>IF(SUM(P31:R31)=3,"YES","NO")</f>
        <v>NO</v>
      </c>
    </row>
    <row r="32" spans="2:19" x14ac:dyDescent="0.2">
      <c r="D32" s="145">
        <v>12</v>
      </c>
      <c r="E32" s="173">
        <v>523700</v>
      </c>
      <c r="F32" s="52">
        <f>IF(E32&gt;$F$20,1,0)</f>
        <v>1</v>
      </c>
      <c r="G32" s="52">
        <f>IF(E32&gt;$G$20,1,0)</f>
        <v>1</v>
      </c>
      <c r="H32" s="52">
        <f>IF(E32&gt;$H$20,1,0)</f>
        <v>1</v>
      </c>
      <c r="I32" s="52">
        <f>IF(E32&gt;$I$20,1,0)</f>
        <v>1</v>
      </c>
      <c r="J32" s="1">
        <f>IF(E32&gt;=$J$20,1,0)</f>
        <v>1</v>
      </c>
      <c r="O32" s="90">
        <v>11</v>
      </c>
      <c r="P32" s="8">
        <v>1</v>
      </c>
      <c r="Q32" s="8">
        <v>1</v>
      </c>
      <c r="R32" s="8">
        <v>1</v>
      </c>
      <c r="S32" s="8" t="str">
        <f>IF(SUM(P32:R32)=3,"YES","NO")</f>
        <v>YES</v>
      </c>
    </row>
    <row r="33" spans="4:19" x14ac:dyDescent="0.2">
      <c r="D33" s="145">
        <v>13</v>
      </c>
      <c r="E33" s="173">
        <v>251200</v>
      </c>
      <c r="F33" s="52">
        <f>IF(E33&gt;$F$20,1,0)</f>
        <v>1</v>
      </c>
      <c r="G33" s="52">
        <f>IF(E33&gt;$G$20,1,0)</f>
        <v>1</v>
      </c>
      <c r="H33" s="52">
        <f>IF(E33&gt;$H$20,1,0)</f>
        <v>0</v>
      </c>
      <c r="I33" s="52">
        <f>IF(E33&gt;$I$20,1,0)</f>
        <v>0</v>
      </c>
      <c r="J33" s="1">
        <f>IF(E33&gt;=$J$20,1,0)</f>
        <v>0</v>
      </c>
      <c r="O33" s="90">
        <v>12</v>
      </c>
      <c r="P33" s="8">
        <v>1</v>
      </c>
      <c r="Q33" s="8">
        <v>1</v>
      </c>
      <c r="R33" s="8">
        <v>1</v>
      </c>
      <c r="S33" s="8" t="str">
        <f>IF(SUM(P33:R33)=3,"YES","NO")</f>
        <v>YES</v>
      </c>
    </row>
    <row r="34" spans="4:19" x14ac:dyDescent="0.2">
      <c r="D34" s="145">
        <v>14</v>
      </c>
      <c r="E34" s="173">
        <v>78500</v>
      </c>
      <c r="F34" s="52">
        <f>IF(E34&gt;$F$20,1,0)</f>
        <v>0</v>
      </c>
      <c r="G34" s="52">
        <f>IF(E34&gt;$G$20,1,0)</f>
        <v>0</v>
      </c>
      <c r="H34" s="52">
        <f>IF(E34&gt;$H$20,1,0)</f>
        <v>0</v>
      </c>
      <c r="I34" s="52">
        <f>IF(E34&gt;$I$20,1,0)</f>
        <v>0</v>
      </c>
      <c r="J34" s="1">
        <f>IF(E34&gt;=$J$20,1,0)</f>
        <v>0</v>
      </c>
      <c r="O34" s="168">
        <v>13</v>
      </c>
      <c r="P34" s="8">
        <v>0</v>
      </c>
      <c r="Q34" s="8">
        <v>1</v>
      </c>
      <c r="R34" s="8">
        <v>1</v>
      </c>
      <c r="S34" s="8" t="str">
        <f>IF(SUM(P34:R34)=3,"YES","NO")</f>
        <v>NO</v>
      </c>
    </row>
    <row r="35" spans="4:19" x14ac:dyDescent="0.2">
      <c r="D35" s="145">
        <v>15</v>
      </c>
      <c r="E35" s="173">
        <v>162300</v>
      </c>
      <c r="F35" s="52">
        <f>IF(E35&gt;$F$20,1,0)</f>
        <v>1</v>
      </c>
      <c r="G35" s="52">
        <f>IF(E35&gt;$G$20,1,0)</f>
        <v>0</v>
      </c>
      <c r="H35" s="52">
        <f>IF(E35&gt;$H$20,1,0)</f>
        <v>0</v>
      </c>
      <c r="I35" s="52">
        <f>IF(E35&gt;$I$20,1,0)</f>
        <v>0</v>
      </c>
      <c r="J35" s="1">
        <f>IF(E35&gt;=$J$20,1,0)</f>
        <v>0</v>
      </c>
      <c r="O35" s="168">
        <v>14</v>
      </c>
      <c r="P35" s="8">
        <v>0</v>
      </c>
      <c r="Q35" s="8">
        <v>0</v>
      </c>
      <c r="R35" s="8">
        <v>1</v>
      </c>
      <c r="S35" s="8" t="str">
        <f>IF(SUM(P35:R35)=3,"YES","NO")</f>
        <v>NO</v>
      </c>
    </row>
    <row r="36" spans="4:19" x14ac:dyDescent="0.2">
      <c r="D36" s="145">
        <v>16</v>
      </c>
      <c r="E36" s="173">
        <v>633400</v>
      </c>
      <c r="F36" s="52">
        <f>IF(E36&gt;$F$20,1,0)</f>
        <v>1</v>
      </c>
      <c r="G36" s="52">
        <f>IF(E36&gt;$G$20,1,0)</f>
        <v>1</v>
      </c>
      <c r="H36" s="52">
        <f>IF(E36&gt;$H$20,1,0)</f>
        <v>1</v>
      </c>
      <c r="I36" s="52">
        <f>IF(E36&gt;$I$20,1,0)</f>
        <v>1</v>
      </c>
      <c r="J36" s="1">
        <f>IF(E36&gt;=$J$20,1,0)</f>
        <v>1</v>
      </c>
      <c r="O36" s="168">
        <v>15</v>
      </c>
      <c r="P36" s="8">
        <v>0</v>
      </c>
      <c r="Q36" s="8">
        <v>0</v>
      </c>
      <c r="R36" s="8">
        <v>0</v>
      </c>
      <c r="S36" s="8" t="str">
        <f>IF(SUM(P36:R36)=3,"YES","NO")</f>
        <v>NO</v>
      </c>
    </row>
    <row r="37" spans="4:19" x14ac:dyDescent="0.2">
      <c r="D37" s="145">
        <v>17</v>
      </c>
      <c r="E37" s="173">
        <v>532700</v>
      </c>
      <c r="F37" s="52">
        <f>IF(E37&gt;$F$20,1,0)</f>
        <v>1</v>
      </c>
      <c r="G37" s="52">
        <f>IF(E37&gt;$G$20,1,0)</f>
        <v>1</v>
      </c>
      <c r="H37" s="52">
        <f>IF(E37&gt;$H$20,1,0)</f>
        <v>1</v>
      </c>
      <c r="I37" s="52">
        <f>IF(E37&gt;$I$20,1,0)</f>
        <v>1</v>
      </c>
      <c r="J37" s="1">
        <f>IF(E37&gt;=$J$20,1,0)</f>
        <v>1</v>
      </c>
      <c r="O37" s="90">
        <v>16</v>
      </c>
      <c r="P37" s="8">
        <v>1</v>
      </c>
      <c r="Q37" s="8">
        <v>1</v>
      </c>
      <c r="R37" s="8">
        <v>1</v>
      </c>
      <c r="S37" s="8" t="str">
        <f>IF(SUM(P37:R37)=3,"YES","NO")</f>
        <v>YES</v>
      </c>
    </row>
    <row r="38" spans="4:19" x14ac:dyDescent="0.2">
      <c r="D38" s="145">
        <v>18</v>
      </c>
      <c r="E38" s="173">
        <v>698100</v>
      </c>
      <c r="F38" s="52">
        <f>IF(E38&gt;$F$20,1,0)</f>
        <v>1</v>
      </c>
      <c r="G38" s="52">
        <f>IF(E38&gt;$G$20,1,0)</f>
        <v>1</v>
      </c>
      <c r="H38" s="52">
        <f>IF(E38&gt;$H$20,1,0)</f>
        <v>1</v>
      </c>
      <c r="I38" s="52">
        <f>IF(E38&gt;$I$20,1,0)</f>
        <v>1</v>
      </c>
      <c r="J38" s="1">
        <f>IF(E38&gt;=$J$20,1,0)</f>
        <v>1</v>
      </c>
      <c r="O38" s="90">
        <v>17</v>
      </c>
      <c r="P38" s="8">
        <v>1</v>
      </c>
      <c r="Q38" s="8">
        <v>1</v>
      </c>
      <c r="R38" s="8">
        <v>1</v>
      </c>
      <c r="S38" s="8" t="str">
        <f>IF(SUM(P38:R38)=3,"YES","NO")</f>
        <v>YES</v>
      </c>
    </row>
    <row r="39" spans="4:19" x14ac:dyDescent="0.2">
      <c r="D39" s="145">
        <v>19</v>
      </c>
      <c r="E39" s="173">
        <v>141800</v>
      </c>
      <c r="F39" s="52">
        <f>IF(E39&gt;$F$20,1,0)</f>
        <v>0</v>
      </c>
      <c r="G39" s="52">
        <f>IF(E39&gt;$G$20,1,0)</f>
        <v>0</v>
      </c>
      <c r="H39" s="52">
        <f>IF(E39&gt;$H$20,1,0)</f>
        <v>0</v>
      </c>
      <c r="I39" s="52">
        <f>IF(E39&gt;$I$20,1,0)</f>
        <v>0</v>
      </c>
      <c r="J39" s="1">
        <f>IF(E39&gt;=$J$20,1,0)</f>
        <v>0</v>
      </c>
      <c r="O39" s="168">
        <v>18</v>
      </c>
      <c r="P39" s="8">
        <v>1</v>
      </c>
      <c r="Q39" s="8">
        <v>0</v>
      </c>
      <c r="R39" s="8">
        <v>0</v>
      </c>
      <c r="S39" s="8" t="str">
        <f>IF(SUM(P39:R39)=3,"YES","NO")</f>
        <v>NO</v>
      </c>
    </row>
    <row r="40" spans="4:19" ht="17" thickBot="1" x14ac:dyDescent="0.25">
      <c r="D40" s="145">
        <v>20</v>
      </c>
      <c r="E40" s="173">
        <v>626600</v>
      </c>
      <c r="F40" s="142">
        <f>IF(E40&gt;$F$20,1,0)</f>
        <v>1</v>
      </c>
      <c r="G40" s="142">
        <f>IF(E40&gt;$G$20,1,0)</f>
        <v>1</v>
      </c>
      <c r="H40" s="142">
        <f>IF(E40&gt;$H$20,1,0)</f>
        <v>1</v>
      </c>
      <c r="I40" s="142">
        <f>IF(E40&gt;$I$20,1,0)</f>
        <v>1</v>
      </c>
      <c r="J40" s="1">
        <f>IF(E40&gt;=$J$20,1,0)</f>
        <v>1</v>
      </c>
      <c r="O40" s="168">
        <v>19</v>
      </c>
      <c r="P40" s="8">
        <v>0</v>
      </c>
      <c r="Q40" s="8">
        <v>0</v>
      </c>
      <c r="R40" s="8">
        <v>0</v>
      </c>
      <c r="S40" s="8" t="str">
        <f>IF(SUM(P40:R40)=3,"YES","NO")</f>
        <v>NO</v>
      </c>
    </row>
    <row r="41" spans="4:19" x14ac:dyDescent="0.2">
      <c r="D41" s="1"/>
      <c r="E41" s="172"/>
      <c r="F41" s="171" t="s">
        <v>159</v>
      </c>
      <c r="G41" s="170"/>
      <c r="H41" s="170"/>
      <c r="I41" s="170"/>
      <c r="J41" s="169"/>
      <c r="O41" s="168">
        <v>20</v>
      </c>
      <c r="P41" s="8">
        <v>1</v>
      </c>
      <c r="Q41" s="8">
        <v>0</v>
      </c>
      <c r="R41" s="8">
        <v>1</v>
      </c>
      <c r="S41" s="8" t="str">
        <f>IF(SUM(P41:R41)=3,"YES","NO")</f>
        <v>NO</v>
      </c>
    </row>
    <row r="42" spans="4:19" ht="17" thickBot="1" x14ac:dyDescent="0.25">
      <c r="D42" s="1"/>
      <c r="E42" s="1"/>
      <c r="F42" s="158">
        <f xml:space="preserve"> COUNTIF(F21:F40, 1)/COUNT(F21:F40)</f>
        <v>0.75</v>
      </c>
      <c r="G42" s="137">
        <f>COUNTIF(G21:G40, 1)/COUNT(G21:G40)</f>
        <v>0.7</v>
      </c>
      <c r="H42" s="137">
        <f>COUNTIF(H21:H40, 1)/COUNT(H21:H40)</f>
        <v>0.6</v>
      </c>
      <c r="I42" s="137">
        <f>COUNTIF(I21:I40, 1)/COUNT(I21:I40)</f>
        <v>0.4</v>
      </c>
      <c r="J42" s="136">
        <f>COUNTIF(J21:J40,1)/COUNT(J21:J40)</f>
        <v>0.6</v>
      </c>
      <c r="O42" s="167"/>
      <c r="P42" s="166" t="s">
        <v>163</v>
      </c>
      <c r="Q42" s="166"/>
      <c r="R42" s="166"/>
      <c r="S42" s="8">
        <f>COUNTIF(S22:S41,"YES")/COUNT(O22:O41)</f>
        <v>0.35</v>
      </c>
    </row>
    <row r="43" spans="4:19" x14ac:dyDescent="0.2">
      <c r="D43" s="1"/>
      <c r="E43" s="1"/>
      <c r="F43" s="157"/>
      <c r="G43" s="157"/>
      <c r="I43" s="157"/>
    </row>
    <row r="44" spans="4:19" ht="17" thickBot="1" x14ac:dyDescent="0.25"/>
    <row r="45" spans="4:19" x14ac:dyDescent="0.2">
      <c r="D45" s="156" t="s">
        <v>134</v>
      </c>
      <c r="E45" s="155"/>
      <c r="F45" s="154" t="s">
        <v>161</v>
      </c>
      <c r="G45" s="154"/>
      <c r="H45" s="154"/>
      <c r="I45" s="154"/>
      <c r="J45" s="153" t="s">
        <v>160</v>
      </c>
    </row>
    <row r="46" spans="4:19" ht="17" thickBot="1" x14ac:dyDescent="0.25">
      <c r="D46" s="152"/>
      <c r="E46" s="151"/>
      <c r="F46" s="164">
        <v>0.6</v>
      </c>
      <c r="G46" s="165">
        <v>0.5</v>
      </c>
      <c r="H46" s="164">
        <v>0.55000000000000004</v>
      </c>
      <c r="I46" s="164">
        <v>0.52500000000000002</v>
      </c>
      <c r="J46" s="163">
        <f>_xlfn.PERCENTILE.INC(E47:E66,1-J16)</f>
        <v>0.56221128163537748</v>
      </c>
      <c r="P46" s="162" t="s">
        <v>162</v>
      </c>
      <c r="Q46" s="160"/>
      <c r="R46" s="160"/>
    </row>
    <row r="47" spans="4:19" x14ac:dyDescent="0.2">
      <c r="D47" s="148">
        <v>1</v>
      </c>
      <c r="E47" s="161">
        <v>0.68</v>
      </c>
      <c r="F47" s="146">
        <f>IF(E47&gt;$F$46,1,0)</f>
        <v>1</v>
      </c>
      <c r="G47" s="146">
        <f>IF(E47&gt;$G$46,1,0)</f>
        <v>1</v>
      </c>
      <c r="H47" s="146">
        <f>IF(E47&gt;$H$46,1,0)</f>
        <v>1</v>
      </c>
      <c r="I47" s="146">
        <f>IF(E47&gt;$I$46,1,0)</f>
        <v>1</v>
      </c>
      <c r="J47" s="1">
        <f>IF(E47&gt;=$J$46,1,0)</f>
        <v>1</v>
      </c>
      <c r="P47" s="160"/>
      <c r="Q47" s="160"/>
      <c r="R47" s="160"/>
    </row>
    <row r="48" spans="4:19" x14ac:dyDescent="0.2">
      <c r="D48" s="145">
        <v>2</v>
      </c>
      <c r="E48" s="159">
        <v>0.4</v>
      </c>
      <c r="F48" s="52">
        <f>IF(E48&gt;$F$46,1,0)</f>
        <v>0</v>
      </c>
      <c r="G48" s="52">
        <f>IF(E48&gt;$G$46,1,0)</f>
        <v>0</v>
      </c>
      <c r="H48" s="52">
        <f>IF(E48&gt;$H$46,1,0)</f>
        <v>0</v>
      </c>
      <c r="I48" s="52">
        <f>IF(E48&gt;$I$46,1,0)</f>
        <v>0</v>
      </c>
      <c r="J48" s="1">
        <f>IF(E48&gt;=$J$46,1,0)</f>
        <v>0</v>
      </c>
      <c r="P48" s="160"/>
      <c r="Q48" s="160"/>
      <c r="R48" s="160"/>
    </row>
    <row r="49" spans="4:10" x14ac:dyDescent="0.2">
      <c r="D49" s="145">
        <v>3</v>
      </c>
      <c r="E49" s="159">
        <v>0.78</v>
      </c>
      <c r="F49" s="52">
        <f>IF(E49&gt;$F$46,1,0)</f>
        <v>1</v>
      </c>
      <c r="G49" s="52">
        <f>IF(E49&gt;$G$46,1,0)</f>
        <v>1</v>
      </c>
      <c r="H49" s="52">
        <f>IF(E49&gt;$H$46,1,0)</f>
        <v>1</v>
      </c>
      <c r="I49" s="52">
        <f>IF(E49&gt;$I$46,1,0)</f>
        <v>1</v>
      </c>
      <c r="J49" s="1">
        <f>IF(E49&gt;=$J$46,1,0)</f>
        <v>1</v>
      </c>
    </row>
    <row r="50" spans="4:10" x14ac:dyDescent="0.2">
      <c r="D50" s="145">
        <v>4</v>
      </c>
      <c r="E50" s="159">
        <v>0.9</v>
      </c>
      <c r="F50" s="52">
        <f>IF(E50&gt;$F$46,1,0)</f>
        <v>1</v>
      </c>
      <c r="G50" s="52">
        <f>IF(E50&gt;$G$46,1,0)</f>
        <v>1</v>
      </c>
      <c r="H50" s="52">
        <f>IF(E50&gt;$H$46,1,0)</f>
        <v>1</v>
      </c>
      <c r="I50" s="52">
        <f>IF(E50&gt;$I$46,1,0)</f>
        <v>1</v>
      </c>
      <c r="J50" s="1">
        <f>IF(E50&gt;=$J$46,1,0)</f>
        <v>1</v>
      </c>
    </row>
    <row r="51" spans="4:10" x14ac:dyDescent="0.2">
      <c r="D51" s="145">
        <v>5</v>
      </c>
      <c r="E51" s="159">
        <v>0.69</v>
      </c>
      <c r="F51" s="52">
        <f>IF(E51&gt;$F$46,1,0)</f>
        <v>1</v>
      </c>
      <c r="G51" s="52">
        <f>IF(E51&gt;$G$46,1,0)</f>
        <v>1</v>
      </c>
      <c r="H51" s="52">
        <f>IF(E51&gt;$H$46,1,0)</f>
        <v>1</v>
      </c>
      <c r="I51" s="52">
        <f>IF(E51&gt;$I$46,1,0)</f>
        <v>1</v>
      </c>
      <c r="J51" s="1">
        <f>IF(E51&gt;=$J$46,1,0)</f>
        <v>1</v>
      </c>
    </row>
    <row r="52" spans="4:10" x14ac:dyDescent="0.2">
      <c r="D52" s="145">
        <v>6</v>
      </c>
      <c r="E52" s="159">
        <v>0.49</v>
      </c>
      <c r="F52" s="52">
        <f>IF(E52&gt;$F$46,1,0)</f>
        <v>0</v>
      </c>
      <c r="G52" s="52">
        <f>IF(E52&gt;$G$46,1,0)</f>
        <v>0</v>
      </c>
      <c r="H52" s="52">
        <f>IF(E52&gt;$H$46,1,0)</f>
        <v>0</v>
      </c>
      <c r="I52" s="52">
        <f>IF(E52&gt;$I$46,1,0)</f>
        <v>0</v>
      </c>
      <c r="J52" s="1">
        <f>IF(E52&gt;=$J$46,1,0)</f>
        <v>0</v>
      </c>
    </row>
    <row r="53" spans="4:10" x14ac:dyDescent="0.2">
      <c r="D53" s="145">
        <v>7</v>
      </c>
      <c r="E53" s="159">
        <v>0.84</v>
      </c>
      <c r="F53" s="52">
        <f>IF(E53&gt;$F$46,1,0)</f>
        <v>1</v>
      </c>
      <c r="G53" s="52">
        <f>IF(E53&gt;$G$46,1,0)</f>
        <v>1</v>
      </c>
      <c r="H53" s="52">
        <f>IF(E53&gt;$H$46,1,0)</f>
        <v>1</v>
      </c>
      <c r="I53" s="52">
        <f>IF(E53&gt;$I$46,1,0)</f>
        <v>1</v>
      </c>
      <c r="J53" s="1">
        <f>IF(E53&gt;=$J$46,1,0)</f>
        <v>1</v>
      </c>
    </row>
    <row r="54" spans="4:10" x14ac:dyDescent="0.2">
      <c r="D54" s="145">
        <v>8</v>
      </c>
      <c r="E54" s="159">
        <v>0.78</v>
      </c>
      <c r="F54" s="52">
        <f>IF(E54&gt;$F$46,1,0)</f>
        <v>1</v>
      </c>
      <c r="G54" s="52">
        <f>IF(E54&gt;$G$46,1,0)</f>
        <v>1</v>
      </c>
      <c r="H54" s="52">
        <f>IF(E54&gt;$H$46,1,0)</f>
        <v>1</v>
      </c>
      <c r="I54" s="52">
        <f>IF(E54&gt;$I$46,1,0)</f>
        <v>1</v>
      </c>
      <c r="J54" s="1">
        <f>IF(E54&gt;=$J$46,1,0)</f>
        <v>1</v>
      </c>
    </row>
    <row r="55" spans="4:10" x14ac:dyDescent="0.2">
      <c r="D55" s="145">
        <v>9</v>
      </c>
      <c r="E55" s="159">
        <v>0.62</v>
      </c>
      <c r="F55" s="52">
        <f>IF(E55&gt;$F$46,1,0)</f>
        <v>1</v>
      </c>
      <c r="G55" s="52">
        <f>IF(E55&gt;$G$46,1,0)</f>
        <v>1</v>
      </c>
      <c r="H55" s="52">
        <f>IF(E55&gt;$H$46,1,0)</f>
        <v>1</v>
      </c>
      <c r="I55" s="52">
        <f>IF(E55&gt;$I$46,1,0)</f>
        <v>1</v>
      </c>
      <c r="J55" s="1">
        <f>IF(E55&gt;=$J$46,1,0)</f>
        <v>1</v>
      </c>
    </row>
    <row r="56" spans="4:10" x14ac:dyDescent="0.2">
      <c r="D56" s="145">
        <v>10</v>
      </c>
      <c r="E56" s="159">
        <v>0.5</v>
      </c>
      <c r="F56" s="52">
        <f>IF(E56&gt;$F$46,1,0)</f>
        <v>0</v>
      </c>
      <c r="G56" s="52">
        <f>IF(E56&gt;$G$46,1,0)</f>
        <v>0</v>
      </c>
      <c r="H56" s="52">
        <f>IF(E56&gt;$H$46,1,0)</f>
        <v>0</v>
      </c>
      <c r="I56" s="52">
        <f>IF(E56&gt;$I$46,1,0)</f>
        <v>0</v>
      </c>
      <c r="J56" s="1">
        <f>IF(E56&gt;=$J$46,1,0)</f>
        <v>0</v>
      </c>
    </row>
    <row r="57" spans="4:10" x14ac:dyDescent="0.2">
      <c r="D57" s="145">
        <v>11</v>
      </c>
      <c r="E57" s="159">
        <v>0.79</v>
      </c>
      <c r="F57" s="52">
        <f>IF(E57&gt;$F$46,1,0)</f>
        <v>1</v>
      </c>
      <c r="G57" s="52">
        <f>IF(E57&gt;$G$46,1,0)</f>
        <v>1</v>
      </c>
      <c r="H57" s="52">
        <f>IF(E57&gt;$H$46,1,0)</f>
        <v>1</v>
      </c>
      <c r="I57" s="52">
        <f>IF(E57&gt;$I$46,1,0)</f>
        <v>1</v>
      </c>
      <c r="J57" s="1">
        <f>IF(E57&gt;=$J$46,1,0)</f>
        <v>1</v>
      </c>
    </row>
    <row r="58" spans="4:10" x14ac:dyDescent="0.2">
      <c r="D58" s="145">
        <v>12</v>
      </c>
      <c r="E58" s="159">
        <v>0.68</v>
      </c>
      <c r="F58" s="52">
        <f>IF(E58&gt;$F$46,1,0)</f>
        <v>1</v>
      </c>
      <c r="G58" s="52">
        <f>IF(E58&gt;$G$46,1,0)</f>
        <v>1</v>
      </c>
      <c r="H58" s="52">
        <f>IF(E58&gt;$H$46,1,0)</f>
        <v>1</v>
      </c>
      <c r="I58" s="52">
        <f>IF(E58&gt;$I$46,1,0)</f>
        <v>1</v>
      </c>
      <c r="J58" s="1">
        <f>IF(E58&gt;=$J$46,1,0)</f>
        <v>1</v>
      </c>
    </row>
    <row r="59" spans="4:10" x14ac:dyDescent="0.2">
      <c r="D59" s="145">
        <v>13</v>
      </c>
      <c r="E59" s="159">
        <v>0.75</v>
      </c>
      <c r="F59" s="52">
        <f>IF(E59&gt;$F$46,1,0)</f>
        <v>1</v>
      </c>
      <c r="G59" s="52">
        <f>IF(E59&gt;$G$46,1,0)</f>
        <v>1</v>
      </c>
      <c r="H59" s="52">
        <f>IF(E59&gt;$H$46,1,0)</f>
        <v>1</v>
      </c>
      <c r="I59" s="52">
        <f>IF(E59&gt;$I$46,1,0)</f>
        <v>1</v>
      </c>
      <c r="J59" s="1">
        <f>IF(E59&gt;=$J$46,1,0)</f>
        <v>1</v>
      </c>
    </row>
    <row r="60" spans="4:10" x14ac:dyDescent="0.2">
      <c r="D60" s="145">
        <v>14</v>
      </c>
      <c r="E60" s="159">
        <v>0.28000000000000003</v>
      </c>
      <c r="F60" s="52">
        <f>IF(E60&gt;$F$46,1,0)</f>
        <v>0</v>
      </c>
      <c r="G60" s="52">
        <f>IF(E60&gt;$G$46,1,0)</f>
        <v>0</v>
      </c>
      <c r="H60" s="52">
        <f>IF(E60&gt;$H$46,1,0)</f>
        <v>0</v>
      </c>
      <c r="I60" s="52">
        <f>IF(E60&gt;$I$46,1,0)</f>
        <v>0</v>
      </c>
      <c r="J60" s="1">
        <f>IF(E60&gt;=$J$46,1,0)</f>
        <v>0</v>
      </c>
    </row>
    <row r="61" spans="4:10" x14ac:dyDescent="0.2">
      <c r="D61" s="145">
        <v>15</v>
      </c>
      <c r="E61" s="159">
        <v>0.48</v>
      </c>
      <c r="F61" s="52">
        <f>IF(E61&gt;$F$46,1,0)</f>
        <v>0</v>
      </c>
      <c r="G61" s="52">
        <f>IF(E61&gt;$G$46,1,0)</f>
        <v>0</v>
      </c>
      <c r="H61" s="52">
        <f>IF(E61&gt;$H$46,1,0)</f>
        <v>0</v>
      </c>
      <c r="I61" s="52">
        <f>IF(E61&gt;$I$46,1,0)</f>
        <v>0</v>
      </c>
      <c r="J61" s="1">
        <f>IF(E61&gt;=$J$46,1,0)</f>
        <v>0</v>
      </c>
    </row>
    <row r="62" spans="4:10" x14ac:dyDescent="0.2">
      <c r="D62" s="145">
        <v>16</v>
      </c>
      <c r="E62" s="159">
        <v>0.56999999999999995</v>
      </c>
      <c r="F62" s="52">
        <f>IF(E62&gt;$F$46,1,0)</f>
        <v>0</v>
      </c>
      <c r="G62" s="52">
        <f>IF(E62&gt;$G$46,1,0)</f>
        <v>1</v>
      </c>
      <c r="H62" s="52">
        <f>IF(E62&gt;$H$46,1,0)</f>
        <v>1</v>
      </c>
      <c r="I62" s="52">
        <f>IF(E62&gt;$I$46,1,0)</f>
        <v>1</v>
      </c>
      <c r="J62" s="1">
        <f>IF(E62&gt;=$J$46,1,0)</f>
        <v>1</v>
      </c>
    </row>
    <row r="63" spans="4:10" x14ac:dyDescent="0.2">
      <c r="D63" s="145">
        <v>17</v>
      </c>
      <c r="E63" s="159">
        <v>0.71</v>
      </c>
      <c r="F63" s="52">
        <f>IF(E63&gt;$F$46,1,0)</f>
        <v>1</v>
      </c>
      <c r="G63" s="52">
        <f>IF(E63&gt;$G$46,1,0)</f>
        <v>1</v>
      </c>
      <c r="H63" s="52">
        <f>IF(E63&gt;$H$46,1,0)</f>
        <v>1</v>
      </c>
      <c r="I63" s="52">
        <f>IF(E63&gt;$I$46,1,0)</f>
        <v>1</v>
      </c>
      <c r="J63" s="1">
        <f>IF(E63&gt;=$J$46,1,0)</f>
        <v>1</v>
      </c>
    </row>
    <row r="64" spans="4:10" x14ac:dyDescent="0.2">
      <c r="D64" s="145">
        <v>18</v>
      </c>
      <c r="E64" s="159">
        <v>0.47</v>
      </c>
      <c r="F64" s="52">
        <f>IF(E64&gt;$F$46,1,0)</f>
        <v>0</v>
      </c>
      <c r="G64" s="52">
        <f>IF(E64&gt;$G$46,1,0)</f>
        <v>0</v>
      </c>
      <c r="H64" s="52">
        <f>IF(E64&gt;$H$46,1,0)</f>
        <v>0</v>
      </c>
      <c r="I64" s="52">
        <f>IF(E64&gt;$I$46,1,0)</f>
        <v>0</v>
      </c>
      <c r="J64" s="1">
        <f>IF(E64&gt;=$J$46,1,0)</f>
        <v>0</v>
      </c>
    </row>
    <row r="65" spans="4:10" x14ac:dyDescent="0.2">
      <c r="D65" s="145">
        <v>19</v>
      </c>
      <c r="E65" s="159">
        <v>0.48</v>
      </c>
      <c r="F65" s="52">
        <f>IF(E65&gt;$F$46,1,0)</f>
        <v>0</v>
      </c>
      <c r="G65" s="52">
        <f>IF(E65&gt;$G$46,1,0)</f>
        <v>0</v>
      </c>
      <c r="H65" s="52">
        <f>IF(E65&gt;$H$46,1,0)</f>
        <v>0</v>
      </c>
      <c r="I65" s="52">
        <f>IF(E65&gt;$I$46,1,0)</f>
        <v>0</v>
      </c>
      <c r="J65" s="1">
        <f>IF(E65&gt;=$J$46,1,0)</f>
        <v>0</v>
      </c>
    </row>
    <row r="66" spans="4:10" ht="17" thickBot="1" x14ac:dyDescent="0.25">
      <c r="D66" s="145">
        <v>20</v>
      </c>
      <c r="E66" s="159">
        <v>0.35</v>
      </c>
      <c r="F66" s="142">
        <f>IF(E66&gt;$F$46,1,0)</f>
        <v>0</v>
      </c>
      <c r="G66" s="142">
        <f>IF(E66&gt;$G$46,1,0)</f>
        <v>0</v>
      </c>
      <c r="H66" s="142">
        <f>IF(E66&gt;$H$46,1,0)</f>
        <v>0</v>
      </c>
      <c r="I66" s="142">
        <f>IF(E66&gt;$I$46,1,0)</f>
        <v>0</v>
      </c>
      <c r="J66" s="1">
        <f>IF(E66&gt;=$J$46,1,0)</f>
        <v>0</v>
      </c>
    </row>
    <row r="67" spans="4:10" x14ac:dyDescent="0.2">
      <c r="D67" s="1"/>
      <c r="E67" s="1"/>
      <c r="F67" s="141" t="s">
        <v>159</v>
      </c>
      <c r="G67" s="140"/>
      <c r="H67" s="140"/>
      <c r="I67" s="140"/>
      <c r="J67" s="139"/>
    </row>
    <row r="68" spans="4:10" ht="17" thickBot="1" x14ac:dyDescent="0.25">
      <c r="D68" s="1"/>
      <c r="E68" s="1"/>
      <c r="F68" s="158">
        <f>COUNTIF(F47:F66,1)/COUNT(F47:F66)</f>
        <v>0.55000000000000004</v>
      </c>
      <c r="G68" s="150">
        <f>COUNTIF(G47:G66,1)/COUNT(G47:G66)</f>
        <v>0.6</v>
      </c>
      <c r="H68" s="137">
        <f>COUNTIF(H47:H66,1)/COUNT(H47:H66)</f>
        <v>0.6</v>
      </c>
      <c r="I68" s="137">
        <f>COUNTIF(I47:I66,1)/COUNT(I47:I66)</f>
        <v>0.6</v>
      </c>
      <c r="J68" s="136">
        <f>COUNTIF(J47:J66,1)/COUNT(J47:J66)</f>
        <v>0.6</v>
      </c>
    </row>
    <row r="69" spans="4:10" x14ac:dyDescent="0.2">
      <c r="D69" s="1"/>
      <c r="E69" s="1"/>
      <c r="F69" s="157"/>
      <c r="H69" s="157"/>
      <c r="I69" s="157"/>
    </row>
    <row r="70" spans="4:10" ht="17" thickBot="1" x14ac:dyDescent="0.25"/>
    <row r="71" spans="4:10" x14ac:dyDescent="0.2">
      <c r="D71" s="156" t="s">
        <v>133</v>
      </c>
      <c r="E71" s="155"/>
      <c r="F71" s="154" t="s">
        <v>161</v>
      </c>
      <c r="G71" s="154"/>
      <c r="H71" s="154"/>
      <c r="I71" s="154"/>
      <c r="J71" s="153" t="s">
        <v>160</v>
      </c>
    </row>
    <row r="72" spans="4:10" ht="17" thickBot="1" x14ac:dyDescent="0.25">
      <c r="D72" s="152"/>
      <c r="E72" s="151"/>
      <c r="F72" s="150">
        <v>5</v>
      </c>
      <c r="G72" s="137">
        <v>6</v>
      </c>
      <c r="H72" s="137">
        <v>4</v>
      </c>
      <c r="I72" s="137"/>
      <c r="J72" s="149">
        <f>_xlfn.PERCENTILE.INC(E73:E92,1-J16)</f>
        <v>6</v>
      </c>
    </row>
    <row r="73" spans="4:10" x14ac:dyDescent="0.2">
      <c r="D73" s="148">
        <v>1</v>
      </c>
      <c r="E73" s="147">
        <v>6</v>
      </c>
      <c r="F73" s="146">
        <f>IF(E73&gt;=$F$72,1,0)</f>
        <v>1</v>
      </c>
      <c r="G73" s="146">
        <f>IF(E73&gt;=$G$72,1,0)</f>
        <v>1</v>
      </c>
      <c r="H73" s="146">
        <f>IF(E73&gt;=$H$72,1,0)</f>
        <v>1</v>
      </c>
      <c r="I73" s="146"/>
      <c r="J73" s="1">
        <f>IF(E73&gt;=$J$72,1,0)</f>
        <v>1</v>
      </c>
    </row>
    <row r="74" spans="4:10" x14ac:dyDescent="0.2">
      <c r="D74" s="145">
        <v>2</v>
      </c>
      <c r="E74" s="144">
        <v>5</v>
      </c>
      <c r="F74" s="146">
        <f>IF(E74&gt;=$F$72,1,0)</f>
        <v>1</v>
      </c>
      <c r="G74" s="146">
        <f>IF(E74&gt;=$G$72,1,0)</f>
        <v>0</v>
      </c>
      <c r="H74" s="146">
        <f>IF(E74&gt;=$H$72,1,0)</f>
        <v>1</v>
      </c>
      <c r="I74" s="52"/>
      <c r="J74" s="1">
        <f>IF(E74&gt;=$J$72,1,0)</f>
        <v>0</v>
      </c>
    </row>
    <row r="75" spans="4:10" x14ac:dyDescent="0.2">
      <c r="D75" s="145">
        <v>3</v>
      </c>
      <c r="E75" s="144">
        <v>10</v>
      </c>
      <c r="F75" s="146">
        <f>IF(E75&gt;=$F$72,1,0)</f>
        <v>1</v>
      </c>
      <c r="G75" s="146">
        <f>IF(E75&gt;=$G$72,1,0)</f>
        <v>1</v>
      </c>
      <c r="H75" s="146">
        <f>IF(E75&gt;=$H$72,1,0)</f>
        <v>1</v>
      </c>
      <c r="I75" s="52"/>
      <c r="J75" s="1">
        <f>IF(E75&gt;=$J$72,1,0)</f>
        <v>1</v>
      </c>
    </row>
    <row r="76" spans="4:10" x14ac:dyDescent="0.2">
      <c r="D76" s="145">
        <v>4</v>
      </c>
      <c r="E76" s="144">
        <v>6</v>
      </c>
      <c r="F76" s="146">
        <f>IF(E76&gt;=$F$72,1,0)</f>
        <v>1</v>
      </c>
      <c r="G76" s="146">
        <f>IF(E76&gt;=$G$72,1,0)</f>
        <v>1</v>
      </c>
      <c r="H76" s="146">
        <f>IF(E76&gt;=$H$72,1,0)</f>
        <v>1</v>
      </c>
      <c r="I76" s="52"/>
      <c r="J76" s="1">
        <f>IF(E76&gt;=$J$72,1,0)</f>
        <v>1</v>
      </c>
    </row>
    <row r="77" spans="4:10" x14ac:dyDescent="0.2">
      <c r="D77" s="145">
        <v>5</v>
      </c>
      <c r="E77" s="144">
        <v>5</v>
      </c>
      <c r="F77" s="146">
        <f>IF(E77&gt;=$F$72,1,0)</f>
        <v>1</v>
      </c>
      <c r="G77" s="146">
        <f>IF(E77&gt;=$G$72,1,0)</f>
        <v>0</v>
      </c>
      <c r="H77" s="146">
        <f>IF(E77&gt;=$H$72,1,0)</f>
        <v>1</v>
      </c>
      <c r="I77" s="52"/>
      <c r="J77" s="1">
        <f>IF(E77&gt;=$J$72,1,0)</f>
        <v>0</v>
      </c>
    </row>
    <row r="78" spans="4:10" x14ac:dyDescent="0.2">
      <c r="D78" s="145">
        <v>6</v>
      </c>
      <c r="E78" s="144">
        <v>10</v>
      </c>
      <c r="F78" s="146">
        <f>IF(E78&gt;=$F$72,1,0)</f>
        <v>1</v>
      </c>
      <c r="G78" s="146">
        <f>IF(E78&gt;=$G$72,1,0)</f>
        <v>1</v>
      </c>
      <c r="H78" s="146">
        <f>IF(E78&gt;=$H$72,1,0)</f>
        <v>1</v>
      </c>
      <c r="I78" s="52"/>
      <c r="J78" s="1">
        <f>IF(E78&gt;=$J$72,1,0)</f>
        <v>1</v>
      </c>
    </row>
    <row r="79" spans="4:10" x14ac:dyDescent="0.2">
      <c r="D79" s="145">
        <v>7</v>
      </c>
      <c r="E79" s="144">
        <v>6</v>
      </c>
      <c r="F79" s="146">
        <f>IF(E79&gt;=$F$72,1,0)</f>
        <v>1</v>
      </c>
      <c r="G79" s="146">
        <f>IF(E79&gt;=$G$72,1,0)</f>
        <v>1</v>
      </c>
      <c r="H79" s="146">
        <f>IF(E79&gt;=$H$72,1,0)</f>
        <v>1</v>
      </c>
      <c r="I79" s="52"/>
      <c r="J79" s="1">
        <f>IF(E79&gt;=$J$72,1,0)</f>
        <v>1</v>
      </c>
    </row>
    <row r="80" spans="4:10" x14ac:dyDescent="0.2">
      <c r="D80" s="145">
        <v>8</v>
      </c>
      <c r="E80" s="144">
        <v>5</v>
      </c>
      <c r="F80" s="146">
        <f>IF(E80&gt;=$F$72,1,0)</f>
        <v>1</v>
      </c>
      <c r="G80" s="146">
        <f>IF(E80&gt;=$G$72,1,0)</f>
        <v>0</v>
      </c>
      <c r="H80" s="146">
        <f>IF(E80&gt;=$H$72,1,0)</f>
        <v>1</v>
      </c>
      <c r="I80" s="52"/>
      <c r="J80" s="1">
        <f>IF(E80&gt;=$J$72,1,0)</f>
        <v>0</v>
      </c>
    </row>
    <row r="81" spans="4:10" x14ac:dyDescent="0.2">
      <c r="D81" s="145">
        <v>9</v>
      </c>
      <c r="E81" s="144">
        <v>4</v>
      </c>
      <c r="F81" s="146">
        <f>IF(E81&gt;=$F$72,1,0)</f>
        <v>0</v>
      </c>
      <c r="G81" s="146">
        <f>IF(E81&gt;=$G$72,1,0)</f>
        <v>0</v>
      </c>
      <c r="H81" s="146">
        <f>IF(E81&gt;=$H$72,1,0)</f>
        <v>1</v>
      </c>
      <c r="I81" s="52"/>
      <c r="J81" s="1">
        <f>IF(E81&gt;=$J$72,1,0)</f>
        <v>0</v>
      </c>
    </row>
    <row r="82" spans="4:10" x14ac:dyDescent="0.2">
      <c r="D82" s="145">
        <v>10</v>
      </c>
      <c r="E82" s="144">
        <v>9</v>
      </c>
      <c r="F82" s="146">
        <f>IF(E82&gt;=$F$72,1,0)</f>
        <v>1</v>
      </c>
      <c r="G82" s="146">
        <f>IF(E82&gt;=$G$72,1,0)</f>
        <v>1</v>
      </c>
      <c r="H82" s="146">
        <f>IF(E82&gt;=$H$72,1,0)</f>
        <v>1</v>
      </c>
      <c r="I82" s="52"/>
      <c r="J82" s="1">
        <f>IF(E82&gt;=$J$72,1,0)</f>
        <v>1</v>
      </c>
    </row>
    <row r="83" spans="4:10" x14ac:dyDescent="0.2">
      <c r="D83" s="145">
        <v>11</v>
      </c>
      <c r="E83" s="144">
        <v>8</v>
      </c>
      <c r="F83" s="146">
        <f>IF(E83&gt;=$F$72,1,0)</f>
        <v>1</v>
      </c>
      <c r="G83" s="146">
        <f>IF(E83&gt;=$G$72,1,0)</f>
        <v>1</v>
      </c>
      <c r="H83" s="146">
        <f>IF(E83&gt;=$H$72,1,0)</f>
        <v>1</v>
      </c>
      <c r="I83" s="52"/>
      <c r="J83" s="1">
        <f>IF(E83&gt;=$J$72,1,0)</f>
        <v>1</v>
      </c>
    </row>
    <row r="84" spans="4:10" x14ac:dyDescent="0.2">
      <c r="D84" s="145">
        <v>12</v>
      </c>
      <c r="E84" s="144">
        <v>6</v>
      </c>
      <c r="F84" s="146">
        <f>IF(E84&gt;=$F$72,1,0)</f>
        <v>1</v>
      </c>
      <c r="G84" s="146">
        <f>IF(E84&gt;=$G$72,1,0)</f>
        <v>1</v>
      </c>
      <c r="H84" s="146">
        <f>IF(E84&gt;=$H$72,1,0)</f>
        <v>1</v>
      </c>
      <c r="I84" s="52"/>
      <c r="J84" s="1">
        <f>IF(E84&gt;=$J$72,1,0)</f>
        <v>1</v>
      </c>
    </row>
    <row r="85" spans="4:10" x14ac:dyDescent="0.2">
      <c r="D85" s="145">
        <v>13</v>
      </c>
      <c r="E85" s="144">
        <v>6</v>
      </c>
      <c r="F85" s="146">
        <f>IF(E85&gt;=$F$72,1,0)</f>
        <v>1</v>
      </c>
      <c r="G85" s="146">
        <f>IF(E85&gt;=$G$72,1,0)</f>
        <v>1</v>
      </c>
      <c r="H85" s="146">
        <f>IF(E85&gt;=$H$72,1,0)</f>
        <v>1</v>
      </c>
      <c r="I85" s="52"/>
      <c r="J85" s="1">
        <f>IF(E85&gt;=$J$72,1,0)</f>
        <v>1</v>
      </c>
    </row>
    <row r="86" spans="4:10" x14ac:dyDescent="0.2">
      <c r="D86" s="145">
        <v>14</v>
      </c>
      <c r="E86" s="144">
        <v>6</v>
      </c>
      <c r="F86" s="146">
        <f>IF(E86&gt;=$F$72,1,0)</f>
        <v>1</v>
      </c>
      <c r="G86" s="146">
        <f>IF(E86&gt;=$G$72,1,0)</f>
        <v>1</v>
      </c>
      <c r="H86" s="146">
        <f>IF(E86&gt;=$H$72,1,0)</f>
        <v>1</v>
      </c>
      <c r="I86" s="52"/>
      <c r="J86" s="1">
        <f>IF(E86&gt;=$J$72,1,0)</f>
        <v>1</v>
      </c>
    </row>
    <row r="87" spans="4:10" x14ac:dyDescent="0.2">
      <c r="D87" s="145">
        <v>15</v>
      </c>
      <c r="E87" s="144">
        <v>3</v>
      </c>
      <c r="F87" s="146">
        <f>IF(E87&gt;=$F$72,1,0)</f>
        <v>0</v>
      </c>
      <c r="G87" s="146">
        <f>IF(E87&gt;=$G$72,1,0)</f>
        <v>0</v>
      </c>
      <c r="H87" s="146">
        <f>IF(E87&gt;=$H$72,1,0)</f>
        <v>0</v>
      </c>
      <c r="I87" s="52"/>
      <c r="J87" s="1">
        <f>IF(E87&gt;=$J$72,1,0)</f>
        <v>0</v>
      </c>
    </row>
    <row r="88" spans="4:10" x14ac:dyDescent="0.2">
      <c r="D88" s="145">
        <v>16</v>
      </c>
      <c r="E88" s="144">
        <v>9</v>
      </c>
      <c r="F88" s="146">
        <f>IF(E88&gt;=$F$72,1,0)</f>
        <v>1</v>
      </c>
      <c r="G88" s="146">
        <f>IF(E88&gt;=$G$72,1,0)</f>
        <v>1</v>
      </c>
      <c r="H88" s="146">
        <f>IF(E88&gt;=$H$72,1,0)</f>
        <v>1</v>
      </c>
      <c r="I88" s="52"/>
      <c r="J88" s="1">
        <f>IF(E88&gt;=$J$72,1,0)</f>
        <v>1</v>
      </c>
    </row>
    <row r="89" spans="4:10" x14ac:dyDescent="0.2">
      <c r="D89" s="145">
        <v>17</v>
      </c>
      <c r="E89" s="144">
        <v>8</v>
      </c>
      <c r="F89" s="146">
        <f>IF(E89&gt;=$F$72,1,0)</f>
        <v>1</v>
      </c>
      <c r="G89" s="146">
        <f>IF(E89&gt;=$G$72,1,0)</f>
        <v>1</v>
      </c>
      <c r="H89" s="146">
        <f>IF(E89&gt;=$H$72,1,0)</f>
        <v>1</v>
      </c>
      <c r="I89" s="52"/>
      <c r="J89" s="1">
        <f>IF(E89&gt;=$J$72,1,0)</f>
        <v>1</v>
      </c>
    </row>
    <row r="90" spans="4:10" x14ac:dyDescent="0.2">
      <c r="D90" s="145">
        <v>18</v>
      </c>
      <c r="E90" s="144">
        <v>3</v>
      </c>
      <c r="F90" s="146">
        <f>IF(E90&gt;=$F$72,1,0)</f>
        <v>0</v>
      </c>
      <c r="G90" s="146">
        <f>IF(E90&gt;=$G$72,1,0)</f>
        <v>0</v>
      </c>
      <c r="H90" s="146">
        <f>IF(E90&gt;=$H$72,1,0)</f>
        <v>0</v>
      </c>
      <c r="I90" s="52"/>
      <c r="J90" s="1">
        <f>IF(E90&gt;=$J$72,1,0)</f>
        <v>0</v>
      </c>
    </row>
    <row r="91" spans="4:10" x14ac:dyDescent="0.2">
      <c r="D91" s="145">
        <v>19</v>
      </c>
      <c r="E91" s="144">
        <v>5</v>
      </c>
      <c r="F91" s="146">
        <f>IF(E91&gt;=$F$72,1,0)</f>
        <v>1</v>
      </c>
      <c r="G91" s="146">
        <f>IF(E91&gt;=$G$72,1,0)</f>
        <v>0</v>
      </c>
      <c r="H91" s="146">
        <f>IF(E91&gt;=$H$72,1,0)</f>
        <v>1</v>
      </c>
      <c r="I91" s="52"/>
      <c r="J91" s="1">
        <f>IF(E91&gt;=$J$72,1,0)</f>
        <v>0</v>
      </c>
    </row>
    <row r="92" spans="4:10" ht="17" thickBot="1" x14ac:dyDescent="0.25">
      <c r="D92" s="145">
        <v>20</v>
      </c>
      <c r="E92" s="144">
        <v>7</v>
      </c>
      <c r="F92" s="143">
        <f>IF(E92&gt;=$F$72,1,0)</f>
        <v>1</v>
      </c>
      <c r="G92" s="143">
        <f>IF(E92&gt;=$G$72,1,0)</f>
        <v>1</v>
      </c>
      <c r="H92" s="143">
        <f>IF(E92&gt;=$H$72,1,0)</f>
        <v>1</v>
      </c>
      <c r="I92" s="142"/>
      <c r="J92" s="1">
        <f>IF(E92&gt;=$J$72,1,0)</f>
        <v>1</v>
      </c>
    </row>
    <row r="93" spans="4:10" x14ac:dyDescent="0.2">
      <c r="D93" s="1"/>
      <c r="E93" s="1"/>
      <c r="F93" s="141" t="s">
        <v>159</v>
      </c>
      <c r="G93" s="140"/>
      <c r="H93" s="140"/>
      <c r="I93" s="140"/>
      <c r="J93" s="139"/>
    </row>
    <row r="94" spans="4:10" ht="17" thickBot="1" x14ac:dyDescent="0.25">
      <c r="D94" s="1"/>
      <c r="E94" s="1"/>
      <c r="F94" s="138">
        <f>COUNTIF(F73:F92,1)/COUNT(F73:F92)</f>
        <v>0.85</v>
      </c>
      <c r="G94" s="137">
        <f>COUNTIF(G73:G92,1)/COUNT(G73:G92)</f>
        <v>0.65</v>
      </c>
      <c r="H94" s="137">
        <f>COUNTIF(H73:H92,1)/COUNT(H73:H92)</f>
        <v>0.9</v>
      </c>
      <c r="I94" s="137"/>
      <c r="J94" s="136">
        <f>COUNTIF(J73:J92,1)/COUNT(J73:J92)</f>
        <v>0.65</v>
      </c>
    </row>
    <row r="105" spans="3:13" ht="24" x14ac:dyDescent="0.3">
      <c r="G105" s="186"/>
    </row>
    <row r="106" spans="3:13" ht="24" x14ac:dyDescent="0.3">
      <c r="G106" s="186"/>
    </row>
    <row r="107" spans="3:13" ht="24" customHeight="1" x14ac:dyDescent="0.35">
      <c r="D107" s="198"/>
      <c r="E107" s="198"/>
      <c r="F107" s="198"/>
      <c r="G107" s="198"/>
    </row>
    <row r="108" spans="3:13" ht="24" customHeight="1" x14ac:dyDescent="0.35">
      <c r="C108" s="197" t="s">
        <v>195</v>
      </c>
      <c r="D108" s="197"/>
      <c r="E108" s="197"/>
      <c r="F108" s="197"/>
      <c r="G108" s="197"/>
    </row>
    <row r="109" spans="3:13" ht="24" x14ac:dyDescent="0.3">
      <c r="C109" s="192" t="s">
        <v>192</v>
      </c>
      <c r="D109" s="196" t="s">
        <v>191</v>
      </c>
      <c r="E109" s="196" t="s">
        <v>190</v>
      </c>
      <c r="F109" s="196" t="s">
        <v>189</v>
      </c>
      <c r="G109" s="191" t="s">
        <v>188</v>
      </c>
      <c r="I109" s="87" t="s">
        <v>194</v>
      </c>
      <c r="J109" s="87"/>
      <c r="K109" s="194" t="s">
        <v>193</v>
      </c>
      <c r="L109" s="193"/>
      <c r="M109" s="193"/>
    </row>
    <row r="110" spans="3:13" ht="24" x14ac:dyDescent="0.3">
      <c r="C110" s="192" t="s">
        <v>106</v>
      </c>
      <c r="D110" s="191">
        <v>582</v>
      </c>
      <c r="E110" s="191">
        <v>1420</v>
      </c>
      <c r="F110" s="191">
        <v>2.8</v>
      </c>
      <c r="G110" s="182" t="str">
        <f>IF(AND(D110&gt;=$D$126,E110&gt;=$E$126,F110&gt;=$F$126),"Accept","Reject")</f>
        <v>Reject</v>
      </c>
      <c r="I110" s="8" t="s">
        <v>170</v>
      </c>
      <c r="J110" s="8">
        <f>1/4</f>
        <v>0.25</v>
      </c>
      <c r="K110" s="194"/>
      <c r="L110" s="193"/>
      <c r="M110" s="193"/>
    </row>
    <row r="111" spans="3:13" ht="24" x14ac:dyDescent="0.3">
      <c r="C111" s="192" t="s">
        <v>107</v>
      </c>
      <c r="D111" s="191">
        <v>563</v>
      </c>
      <c r="E111" s="191">
        <v>1250</v>
      </c>
      <c r="F111" s="191">
        <v>3.5</v>
      </c>
      <c r="G111" s="182" t="str">
        <f>IF(AND(D111&gt;=$D$126,E111&gt;=$E$126,F111&gt;=$F$126),"Accept","Reject")</f>
        <v>Reject</v>
      </c>
      <c r="I111" s="8" t="s">
        <v>169</v>
      </c>
      <c r="J111" s="8">
        <f>1-J110</f>
        <v>0.75</v>
      </c>
      <c r="K111" s="194"/>
      <c r="L111" s="193"/>
      <c r="M111" s="193"/>
    </row>
    <row r="112" spans="3:13" ht="24" x14ac:dyDescent="0.3">
      <c r="C112" s="192" t="s">
        <v>108</v>
      </c>
      <c r="D112" s="191">
        <v>620</v>
      </c>
      <c r="E112" s="195">
        <v>1080</v>
      </c>
      <c r="F112" s="191">
        <v>3.1</v>
      </c>
      <c r="G112" s="182" t="str">
        <f>IF(AND(D112&gt;=$D$126,E112&gt;=$E$126,F112&gt;=$F$126),"Accept","Reject")</f>
        <v>Reject</v>
      </c>
      <c r="I112" s="8" t="s">
        <v>171</v>
      </c>
      <c r="J112" s="8">
        <v>3</v>
      </c>
      <c r="K112" s="194"/>
      <c r="L112" s="193"/>
      <c r="M112" s="193"/>
    </row>
    <row r="113" spans="3:13" ht="24" x14ac:dyDescent="0.3">
      <c r="C113" s="192" t="s">
        <v>109</v>
      </c>
      <c r="D113" s="191">
        <v>550</v>
      </c>
      <c r="E113" s="191">
        <v>1280</v>
      </c>
      <c r="F113" s="191">
        <v>3</v>
      </c>
      <c r="G113" s="182" t="str">
        <f>IF(AND(D113&gt;=$D$126,E113&gt;=$E$126,F113&gt;=$F$126),"Accept","Reject")</f>
        <v>Reject</v>
      </c>
      <c r="I113" s="88" t="s">
        <v>168</v>
      </c>
      <c r="J113" s="88">
        <f>(1-J111)^(1/J112)</f>
        <v>0.6299605249474366</v>
      </c>
      <c r="K113" s="194"/>
      <c r="L113" s="193"/>
      <c r="M113" s="193"/>
    </row>
    <row r="114" spans="3:13" ht="24" x14ac:dyDescent="0.3">
      <c r="C114" s="192" t="s">
        <v>110</v>
      </c>
      <c r="D114" s="191">
        <v>600</v>
      </c>
      <c r="E114" s="191">
        <v>1300</v>
      </c>
      <c r="F114" s="191">
        <v>3.3</v>
      </c>
      <c r="G114" s="182" t="str">
        <f>IF(AND(D114&gt;=$D$126,E114&gt;=$E$126,F114&gt;=$F$126),"Accept","Reject")</f>
        <v>Accept</v>
      </c>
      <c r="I114" s="88"/>
      <c r="J114" s="88"/>
      <c r="K114" s="194"/>
      <c r="L114" s="193"/>
      <c r="M114" s="193"/>
    </row>
    <row r="115" spans="3:13" ht="24" x14ac:dyDescent="0.3">
      <c r="C115" s="192" t="s">
        <v>185</v>
      </c>
      <c r="D115" s="191">
        <v>580</v>
      </c>
      <c r="E115" s="191">
        <v>1120</v>
      </c>
      <c r="F115" s="191">
        <v>3.4</v>
      </c>
      <c r="G115" s="182" t="str">
        <f>IF(AND(D115&gt;=$D$126,E115&gt;=$E$126,F115&gt;=$F$126),"Accept","Reject")</f>
        <v>Reject</v>
      </c>
      <c r="I115" s="8" t="s">
        <v>187</v>
      </c>
      <c r="J115" s="8">
        <f>COUNTA(C110:C125)</f>
        <v>16</v>
      </c>
      <c r="K115" s="194"/>
      <c r="L115" s="193"/>
      <c r="M115" s="193"/>
    </row>
    <row r="116" spans="3:13" ht="24" x14ac:dyDescent="0.3">
      <c r="C116" s="192" t="s">
        <v>184</v>
      </c>
      <c r="D116" s="191">
        <v>635</v>
      </c>
      <c r="E116" s="191">
        <v>1177</v>
      </c>
      <c r="F116" s="190">
        <v>3.8</v>
      </c>
      <c r="G116" s="182" t="str">
        <f>IF(AND(D116&gt;=$D$126,E116&gt;=$E$126,F116&gt;=$F$126),"Accept","Reject")</f>
        <v>Reject</v>
      </c>
      <c r="I116" s="11" t="s">
        <v>186</v>
      </c>
      <c r="J116" s="8">
        <f>J113*J115</f>
        <v>10.079368399158986</v>
      </c>
      <c r="K116" s="194"/>
      <c r="L116" s="193"/>
      <c r="M116" s="193"/>
    </row>
    <row r="117" spans="3:13" ht="24" x14ac:dyDescent="0.3">
      <c r="C117" s="192" t="s">
        <v>183</v>
      </c>
      <c r="D117" s="191">
        <v>638</v>
      </c>
      <c r="E117" s="191">
        <v>1262</v>
      </c>
      <c r="F117" s="190">
        <v>4</v>
      </c>
      <c r="G117" s="182" t="str">
        <f>IF(AND(D117&gt;=$D$126,E117&gt;=$E$126,F117&gt;=$F$126),"Accept","Reject")</f>
        <v>Accept</v>
      </c>
    </row>
    <row r="118" spans="3:13" ht="24" x14ac:dyDescent="0.3">
      <c r="C118" s="192" t="s">
        <v>182</v>
      </c>
      <c r="D118" s="191">
        <v>571</v>
      </c>
      <c r="E118" s="191">
        <v>1447</v>
      </c>
      <c r="F118" s="190">
        <v>3.5</v>
      </c>
      <c r="G118" s="182" t="str">
        <f>IF(AND(D118&gt;=$D$126,E118&gt;=$E$126,F118&gt;=$F$126),"Accept","Reject")</f>
        <v>Reject</v>
      </c>
    </row>
    <row r="119" spans="3:13" ht="24" x14ac:dyDescent="0.3">
      <c r="C119" s="192" t="s">
        <v>181</v>
      </c>
      <c r="D119" s="191">
        <v>613</v>
      </c>
      <c r="E119" s="191">
        <v>1236</v>
      </c>
      <c r="F119" s="190">
        <v>3.4</v>
      </c>
      <c r="G119" s="182" t="str">
        <f>IF(AND(D119&gt;=$D$126,E119&gt;=$E$126,F119&gt;=$F$126),"Accept","Reject")</f>
        <v>Accept</v>
      </c>
    </row>
    <row r="120" spans="3:13" ht="24" x14ac:dyDescent="0.3">
      <c r="C120" s="192" t="s">
        <v>180</v>
      </c>
      <c r="D120" s="191">
        <v>590</v>
      </c>
      <c r="E120" s="191">
        <v>1289</v>
      </c>
      <c r="F120" s="190">
        <v>3.6</v>
      </c>
      <c r="G120" s="182" t="str">
        <f>IF(AND(D120&gt;=$D$126,E120&gt;=$E$126,F120&gt;=$F$126),"Accept","Reject")</f>
        <v>Accept</v>
      </c>
    </row>
    <row r="121" spans="3:13" ht="24" x14ac:dyDescent="0.3">
      <c r="C121" s="192" t="s">
        <v>179</v>
      </c>
      <c r="D121" s="191">
        <v>612</v>
      </c>
      <c r="E121" s="191">
        <v>1040</v>
      </c>
      <c r="F121" s="190">
        <v>3.5</v>
      </c>
      <c r="G121" s="182" t="str">
        <f>IF(AND(D121&gt;=$D$126,E121&gt;=$E$126,F121&gt;=$F$126),"Accept","Reject")</f>
        <v>Reject</v>
      </c>
    </row>
    <row r="122" spans="3:13" ht="24" x14ac:dyDescent="0.3">
      <c r="C122" s="192" t="s">
        <v>178</v>
      </c>
      <c r="D122" s="191">
        <v>558</v>
      </c>
      <c r="E122" s="191">
        <v>1244</v>
      </c>
      <c r="F122" s="190">
        <v>2.8</v>
      </c>
      <c r="G122" s="182" t="str">
        <f>IF(AND(D122&gt;=$D$126,E122&gt;=$E$126,F122&gt;=$F$126),"Accept","Reject")</f>
        <v>Reject</v>
      </c>
    </row>
    <row r="123" spans="3:13" ht="24" x14ac:dyDescent="0.3">
      <c r="C123" s="192" t="s">
        <v>177</v>
      </c>
      <c r="D123" s="191">
        <v>597</v>
      </c>
      <c r="E123" s="191">
        <v>1223</v>
      </c>
      <c r="F123" s="190">
        <v>2.8</v>
      </c>
      <c r="G123" s="182" t="str">
        <f>IF(AND(D123&gt;=$D$126,E123&gt;=$E$126,F123&gt;=$F$126),"Accept","Reject")</f>
        <v>Reject</v>
      </c>
    </row>
    <row r="124" spans="3:13" ht="24" x14ac:dyDescent="0.3">
      <c r="C124" s="192" t="s">
        <v>176</v>
      </c>
      <c r="D124" s="191">
        <v>599</v>
      </c>
      <c r="E124" s="191">
        <v>1056</v>
      </c>
      <c r="F124" s="190">
        <v>3.1</v>
      </c>
      <c r="G124" s="182" t="str">
        <f>IF(AND(D124&gt;=$D$126,E124&gt;=$E$126,F124&gt;=$F$126),"Accept","Reject")</f>
        <v>Reject</v>
      </c>
    </row>
    <row r="125" spans="3:13" ht="24" x14ac:dyDescent="0.3">
      <c r="C125" s="192" t="s">
        <v>175</v>
      </c>
      <c r="D125" s="191">
        <v>639</v>
      </c>
      <c r="E125" s="191">
        <v>1334</v>
      </c>
      <c r="F125" s="190">
        <v>3.2</v>
      </c>
      <c r="G125" s="182" t="str">
        <f>IF(AND(D125&gt;=$D$126,E125&gt;=$E$126,F125&gt;=$F$126),"Accept","Reject")</f>
        <v>Accept</v>
      </c>
    </row>
    <row r="126" spans="3:13" ht="24" x14ac:dyDescent="0.3">
      <c r="C126" s="189" t="s">
        <v>174</v>
      </c>
      <c r="D126" s="188">
        <f>_xlfn.PERCENTILE.INC(D110:D125,1-$J$113)</f>
        <v>586.40473700630764</v>
      </c>
      <c r="E126" s="188">
        <f>_xlfn.PERCENTILE.INC(E110:E125,1-$J$113)</f>
        <v>1230.1576976352499</v>
      </c>
      <c r="F126" s="188">
        <f>_xlfn.PERCENTILE.INC(F110:F125,1-$J$113)</f>
        <v>3.1550592125788453</v>
      </c>
      <c r="G126" s="187">
        <f>COUNTIF(G110:G125,"Accept")</f>
        <v>5</v>
      </c>
    </row>
    <row r="127" spans="3:13" ht="24" x14ac:dyDescent="0.3">
      <c r="G127" s="186"/>
    </row>
    <row r="131" spans="3:13" ht="29" x14ac:dyDescent="0.35">
      <c r="D131" s="198"/>
      <c r="E131" s="198"/>
      <c r="F131" s="198"/>
      <c r="G131" s="198"/>
    </row>
    <row r="132" spans="3:13" ht="29" x14ac:dyDescent="0.35">
      <c r="C132" s="197" t="s">
        <v>196</v>
      </c>
      <c r="D132" s="197"/>
      <c r="E132" s="197"/>
      <c r="F132" s="197"/>
      <c r="G132" s="197"/>
    </row>
    <row r="133" spans="3:13" ht="24" x14ac:dyDescent="0.3">
      <c r="C133" s="192" t="s">
        <v>192</v>
      </c>
      <c r="D133" s="196" t="s">
        <v>191</v>
      </c>
      <c r="E133" s="196" t="s">
        <v>190</v>
      </c>
      <c r="F133" s="196" t="s">
        <v>189</v>
      </c>
      <c r="G133" s="191" t="s">
        <v>188</v>
      </c>
      <c r="I133" s="87" t="s">
        <v>194</v>
      </c>
      <c r="J133" s="87"/>
      <c r="K133" s="194" t="s">
        <v>198</v>
      </c>
      <c r="L133" s="193"/>
      <c r="M133" s="193"/>
    </row>
    <row r="134" spans="3:13" ht="24" x14ac:dyDescent="0.3">
      <c r="C134" s="192" t="s">
        <v>106</v>
      </c>
      <c r="D134" s="199">
        <v>582</v>
      </c>
      <c r="E134" s="199">
        <v>1420</v>
      </c>
      <c r="F134" s="199">
        <v>2.8</v>
      </c>
      <c r="G134" s="182" t="str">
        <f>IF(OR(D134&gt;=$D$150,E134&gt;=$E$150,F134&gt;=$F$150),"Accept","Reject")</f>
        <v>Accept</v>
      </c>
      <c r="I134" s="8" t="s">
        <v>170</v>
      </c>
      <c r="J134" s="8">
        <f>1/4</f>
        <v>0.25</v>
      </c>
      <c r="K134" s="194"/>
      <c r="L134" s="193"/>
      <c r="M134" s="193"/>
    </row>
    <row r="135" spans="3:13" ht="24" x14ac:dyDescent="0.3">
      <c r="C135" s="192" t="s">
        <v>107</v>
      </c>
      <c r="D135" s="199">
        <v>563</v>
      </c>
      <c r="E135" s="199">
        <v>1250</v>
      </c>
      <c r="F135" s="199">
        <v>3.5</v>
      </c>
      <c r="G135" s="182" t="str">
        <f t="shared" ref="G135:G149" si="0">IF(OR(D135&gt;=$D$150,E135&gt;=$E$150,F135&gt;=$F$150),"Accept","Reject")</f>
        <v>Reject</v>
      </c>
      <c r="I135" s="8" t="s">
        <v>169</v>
      </c>
      <c r="J135" s="8">
        <f>1-J134</f>
        <v>0.75</v>
      </c>
      <c r="K135" s="194"/>
      <c r="L135" s="193"/>
      <c r="M135" s="193"/>
    </row>
    <row r="136" spans="3:13" ht="24" x14ac:dyDescent="0.3">
      <c r="C136" s="192" t="s">
        <v>108</v>
      </c>
      <c r="D136" s="199">
        <v>620</v>
      </c>
      <c r="E136" s="199">
        <v>1080</v>
      </c>
      <c r="F136" s="199">
        <v>3.1</v>
      </c>
      <c r="G136" s="182" t="str">
        <f t="shared" si="0"/>
        <v>Reject</v>
      </c>
      <c r="I136" s="8" t="s">
        <v>171</v>
      </c>
      <c r="J136" s="8">
        <v>3</v>
      </c>
      <c r="K136" s="194"/>
      <c r="L136" s="193"/>
      <c r="M136" s="193"/>
    </row>
    <row r="137" spans="3:13" ht="24" x14ac:dyDescent="0.3">
      <c r="C137" s="192" t="s">
        <v>109</v>
      </c>
      <c r="D137" s="199">
        <v>550</v>
      </c>
      <c r="E137" s="199">
        <v>1280</v>
      </c>
      <c r="F137" s="199">
        <v>3</v>
      </c>
      <c r="G137" s="182" t="str">
        <f t="shared" si="0"/>
        <v>Reject</v>
      </c>
      <c r="I137" s="88" t="s">
        <v>197</v>
      </c>
      <c r="J137" s="88">
        <f>1-(J135^(1/J136))</f>
        <v>9.1439703583930165E-2</v>
      </c>
      <c r="K137" s="194"/>
      <c r="L137" s="193"/>
      <c r="M137" s="193"/>
    </row>
    <row r="138" spans="3:13" ht="24" x14ac:dyDescent="0.3">
      <c r="C138" s="192" t="s">
        <v>110</v>
      </c>
      <c r="D138" s="199">
        <v>600</v>
      </c>
      <c r="E138" s="199">
        <v>1300</v>
      </c>
      <c r="F138" s="199">
        <v>3.3</v>
      </c>
      <c r="G138" s="182" t="str">
        <f t="shared" si="0"/>
        <v>Reject</v>
      </c>
      <c r="I138" s="88"/>
      <c r="J138" s="88"/>
      <c r="K138" s="194"/>
      <c r="L138" s="193"/>
      <c r="M138" s="193"/>
    </row>
    <row r="139" spans="3:13" ht="24" x14ac:dyDescent="0.3">
      <c r="C139" s="192" t="s">
        <v>185</v>
      </c>
      <c r="D139" s="199">
        <v>580</v>
      </c>
      <c r="E139" s="199">
        <v>1120</v>
      </c>
      <c r="F139" s="199">
        <v>3.4</v>
      </c>
      <c r="G139" s="182" t="str">
        <f t="shared" si="0"/>
        <v>Reject</v>
      </c>
      <c r="I139" s="8" t="s">
        <v>187</v>
      </c>
      <c r="J139" s="8">
        <f>COUNTA(C134:C149)</f>
        <v>16</v>
      </c>
      <c r="K139" s="194"/>
      <c r="L139" s="193"/>
      <c r="M139" s="193"/>
    </row>
    <row r="140" spans="3:13" ht="24" x14ac:dyDescent="0.3">
      <c r="C140" s="192" t="s">
        <v>184</v>
      </c>
      <c r="D140" s="199">
        <v>635</v>
      </c>
      <c r="E140" s="199">
        <v>1177</v>
      </c>
      <c r="F140" s="199">
        <v>3.8</v>
      </c>
      <c r="G140" s="182" t="str">
        <f t="shared" si="0"/>
        <v>Accept</v>
      </c>
      <c r="I140" s="11" t="s">
        <v>186</v>
      </c>
      <c r="J140" s="8">
        <f>J137*J139</f>
        <v>1.4630352573428826</v>
      </c>
      <c r="K140" s="194"/>
      <c r="L140" s="193"/>
      <c r="M140" s="193"/>
    </row>
    <row r="141" spans="3:13" ht="24" x14ac:dyDescent="0.3">
      <c r="C141" s="192" t="s">
        <v>183</v>
      </c>
      <c r="D141" s="199">
        <v>638</v>
      </c>
      <c r="E141" s="199">
        <v>1262</v>
      </c>
      <c r="F141" s="199">
        <v>4</v>
      </c>
      <c r="G141" s="182" t="str">
        <f t="shared" si="0"/>
        <v>Accept</v>
      </c>
    </row>
    <row r="142" spans="3:13" ht="24" x14ac:dyDescent="0.3">
      <c r="C142" s="192" t="s">
        <v>182</v>
      </c>
      <c r="D142" s="199">
        <v>571</v>
      </c>
      <c r="E142" s="199">
        <v>1447</v>
      </c>
      <c r="F142" s="199">
        <v>3.5</v>
      </c>
      <c r="G142" s="182" t="str">
        <f t="shared" si="0"/>
        <v>Accept</v>
      </c>
    </row>
    <row r="143" spans="3:13" ht="24" x14ac:dyDescent="0.3">
      <c r="C143" s="192" t="s">
        <v>181</v>
      </c>
      <c r="D143" s="199">
        <v>613</v>
      </c>
      <c r="E143" s="199">
        <v>1236</v>
      </c>
      <c r="F143" s="199">
        <v>3.4</v>
      </c>
      <c r="G143" s="182" t="str">
        <f t="shared" si="0"/>
        <v>Reject</v>
      </c>
    </row>
    <row r="144" spans="3:13" ht="24" x14ac:dyDescent="0.3">
      <c r="C144" s="192" t="s">
        <v>180</v>
      </c>
      <c r="D144" s="199">
        <v>590</v>
      </c>
      <c r="E144" s="199">
        <v>1289</v>
      </c>
      <c r="F144" s="199">
        <v>3.6</v>
      </c>
      <c r="G144" s="182" t="str">
        <f t="shared" si="0"/>
        <v>Reject</v>
      </c>
    </row>
    <row r="145" spans="3:7" ht="24" x14ac:dyDescent="0.3">
      <c r="C145" s="192" t="s">
        <v>179</v>
      </c>
      <c r="D145" s="199">
        <v>612</v>
      </c>
      <c r="E145" s="199">
        <v>1040</v>
      </c>
      <c r="F145" s="199">
        <v>3.5</v>
      </c>
      <c r="G145" s="182" t="str">
        <f t="shared" si="0"/>
        <v>Reject</v>
      </c>
    </row>
    <row r="146" spans="3:7" ht="24" x14ac:dyDescent="0.3">
      <c r="C146" s="192" t="s">
        <v>178</v>
      </c>
      <c r="D146" s="199">
        <v>558</v>
      </c>
      <c r="E146" s="199">
        <v>1244</v>
      </c>
      <c r="F146" s="199">
        <v>2.8</v>
      </c>
      <c r="G146" s="182" t="str">
        <f t="shared" si="0"/>
        <v>Reject</v>
      </c>
    </row>
    <row r="147" spans="3:7" ht="24" x14ac:dyDescent="0.3">
      <c r="C147" s="192" t="s">
        <v>177</v>
      </c>
      <c r="D147" s="199">
        <v>597</v>
      </c>
      <c r="E147" s="199">
        <v>1223</v>
      </c>
      <c r="F147" s="199">
        <v>2.8</v>
      </c>
      <c r="G147" s="182" t="str">
        <f t="shared" si="0"/>
        <v>Reject</v>
      </c>
    </row>
    <row r="148" spans="3:7" ht="24" x14ac:dyDescent="0.3">
      <c r="C148" s="192" t="s">
        <v>176</v>
      </c>
      <c r="D148" s="199">
        <v>599</v>
      </c>
      <c r="E148" s="199">
        <v>1056</v>
      </c>
      <c r="F148" s="199">
        <v>3.1</v>
      </c>
      <c r="G148" s="182" t="str">
        <f t="shared" si="0"/>
        <v>Reject</v>
      </c>
    </row>
    <row r="149" spans="3:7" ht="24" x14ac:dyDescent="0.3">
      <c r="C149" s="192" t="s">
        <v>175</v>
      </c>
      <c r="D149" s="199">
        <v>639</v>
      </c>
      <c r="E149" s="199">
        <v>1334</v>
      </c>
      <c r="F149" s="199">
        <v>3.2</v>
      </c>
      <c r="G149" s="182" t="str">
        <f t="shared" si="0"/>
        <v>Accept</v>
      </c>
    </row>
    <row r="150" spans="3:7" ht="24" x14ac:dyDescent="0.3">
      <c r="C150" s="189" t="s">
        <v>174</v>
      </c>
      <c r="D150" s="188">
        <f>_xlfn.PERCENTILE.INC(D134:D149,1-$J$137)</f>
        <v>636.88521333872313</v>
      </c>
      <c r="E150" s="188">
        <f>_xlfn.PERCENTILE.INC(E134:E149,1-$J$137)</f>
        <v>1388.04278237673</v>
      </c>
      <c r="F150" s="188">
        <f>_xlfn.PERCENTILE.INC(F134:F149,1-$J$137)</f>
        <v>3.7256808892482094</v>
      </c>
      <c r="G150" s="187">
        <f>COUNTIF(G134:G149,"Accept")</f>
        <v>5</v>
      </c>
    </row>
  </sheetData>
  <mergeCells count="24">
    <mergeCell ref="C132:G132"/>
    <mergeCell ref="I133:J133"/>
    <mergeCell ref="K133:M140"/>
    <mergeCell ref="I137:I138"/>
    <mergeCell ref="J137:J138"/>
    <mergeCell ref="F41:J41"/>
    <mergeCell ref="F67:J67"/>
    <mergeCell ref="P46:R48"/>
    <mergeCell ref="I12:J12"/>
    <mergeCell ref="K109:M116"/>
    <mergeCell ref="I109:J109"/>
    <mergeCell ref="J113:J114"/>
    <mergeCell ref="I113:I114"/>
    <mergeCell ref="C108:G108"/>
    <mergeCell ref="F93:J93"/>
    <mergeCell ref="P42:R42"/>
    <mergeCell ref="P19:R19"/>
    <mergeCell ref="B2:G5"/>
    <mergeCell ref="D71:E72"/>
    <mergeCell ref="F71:I71"/>
    <mergeCell ref="F19:I19"/>
    <mergeCell ref="D19:E20"/>
    <mergeCell ref="D45:E46"/>
    <mergeCell ref="F45:I45"/>
  </mergeCells>
  <conditionalFormatting sqref="J47:J66">
    <cfRule type="cellIs" dxfId="44" priority="44" operator="equal">
      <formula>1</formula>
    </cfRule>
    <cfRule type="cellIs" dxfId="43" priority="45" operator="greaterThan">
      <formula>0</formula>
    </cfRule>
  </conditionalFormatting>
  <conditionalFormatting sqref="J21:J40">
    <cfRule type="cellIs" dxfId="42" priority="43" operator="equal">
      <formula>1</formula>
    </cfRule>
  </conditionalFormatting>
  <conditionalFormatting sqref="J73:J92">
    <cfRule type="cellIs" dxfId="41" priority="42" operator="equal">
      <formula>1</formula>
    </cfRule>
  </conditionalFormatting>
  <conditionalFormatting sqref="P22:R41">
    <cfRule type="cellIs" dxfId="40" priority="41" operator="equal">
      <formula>1</formula>
    </cfRule>
  </conditionalFormatting>
  <conditionalFormatting sqref="S21:S42">
    <cfRule type="cellIs" dxfId="39" priority="40" operator="equal">
      <formula>"YES"</formula>
    </cfRule>
  </conditionalFormatting>
  <conditionalFormatting sqref="D110:D125">
    <cfRule type="cellIs" dxfId="38" priority="25" operator="greaterThanOrEqual">
      <formula>$C$23</formula>
    </cfRule>
    <cfRule type="cellIs" dxfId="37" priority="29" operator="greaterThan">
      <formula>$C$23</formula>
    </cfRule>
    <cfRule type="cellIs" dxfId="36" priority="33" operator="greaterThan">
      <formula>$C$23</formula>
    </cfRule>
    <cfRule type="cellIs" dxfId="35" priority="34" operator="greaterThan">
      <formula>$C$23</formula>
    </cfRule>
    <cfRule type="cellIs" dxfId="34" priority="38" operator="greaterThan">
      <formula>#REF!</formula>
    </cfRule>
    <cfRule type="cellIs" dxfId="33" priority="39" operator="greaterThan">
      <formula>#REF!</formula>
    </cfRule>
  </conditionalFormatting>
  <conditionalFormatting sqref="E110:E125">
    <cfRule type="cellIs" dxfId="32" priority="28" operator="greaterThan">
      <formula>$D$23</formula>
    </cfRule>
    <cfRule type="cellIs" dxfId="31" priority="32" operator="greaterThan">
      <formula>$D$23</formula>
    </cfRule>
    <cfRule type="cellIs" dxfId="30" priority="37" operator="greaterThan">
      <formula>#REF!</formula>
    </cfRule>
  </conditionalFormatting>
  <conditionalFormatting sqref="F110:F125">
    <cfRule type="cellIs" dxfId="29" priority="24" operator="greaterThanOrEqual">
      <formula>$E$23</formula>
    </cfRule>
    <cfRule type="cellIs" dxfId="28" priority="26" operator="greaterThan">
      <formula>$E$23</formula>
    </cfRule>
    <cfRule type="cellIs" dxfId="27" priority="27" operator="greaterThan">
      <formula>$E$23</formula>
    </cfRule>
    <cfRule type="cellIs" dxfId="26" priority="30" operator="greaterThan">
      <formula>$E$23</formula>
    </cfRule>
    <cfRule type="cellIs" dxfId="25" priority="31" operator="greaterThan">
      <formula>$E$23</formula>
    </cfRule>
    <cfRule type="cellIs" dxfId="24" priority="35" operator="greaterThan">
      <formula>#REF!</formula>
    </cfRule>
    <cfRule type="cellIs" dxfId="23" priority="36" operator="greaterThan">
      <formula>#REF!</formula>
    </cfRule>
  </conditionalFormatting>
  <conditionalFormatting sqref="G110:G125">
    <cfRule type="cellIs" dxfId="22" priority="23" operator="equal">
      <formula>$F$11</formula>
    </cfRule>
  </conditionalFormatting>
  <conditionalFormatting sqref="G134:G149">
    <cfRule type="cellIs" dxfId="4" priority="1" operator="equal">
      <formula>$G$134</formula>
    </cfRule>
    <cfRule type="cellIs" dxfId="3" priority="6" operator="equal">
      <formula>$F$11</formula>
    </cfRule>
  </conditionalFormatting>
  <conditionalFormatting sqref="D134:D149">
    <cfRule type="cellIs" dxfId="2" priority="4" operator="greaterThanOrEqual">
      <formula>$D$150</formula>
    </cfRule>
  </conditionalFormatting>
  <conditionalFormatting sqref="E134:E149">
    <cfRule type="cellIs" dxfId="1" priority="3" operator="greaterThanOrEqual">
      <formula>$E$150</formula>
    </cfRule>
  </conditionalFormatting>
  <conditionalFormatting sqref="F134:F149">
    <cfRule type="cellIs" dxfId="0" priority="2" operator="greaterThanOrEqual">
      <formula>$F$150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"/>
  <sheetViews>
    <sheetView workbookViewId="0">
      <selection activeCell="B6" sqref="B6"/>
    </sheetView>
  </sheetViews>
  <sheetFormatPr baseColWidth="10" defaultColWidth="15.33203125" defaultRowHeight="15" x14ac:dyDescent="0.2"/>
  <cols>
    <col min="1" max="1" width="15.33203125" style="200"/>
    <col min="2" max="2" width="16" style="200" customWidth="1"/>
    <col min="3" max="5" width="15.33203125" style="200"/>
    <col min="6" max="6" width="16.33203125" style="200" customWidth="1"/>
    <col min="7" max="10" width="15.33203125" style="200"/>
    <col min="11" max="11" width="5.6640625" style="200" customWidth="1"/>
    <col min="12" max="16384" width="15.33203125" style="200"/>
  </cols>
  <sheetData>
    <row r="1" spans="1:11" ht="21" x14ac:dyDescent="0.25">
      <c r="A1" s="244" t="s">
        <v>223</v>
      </c>
    </row>
    <row r="3" spans="1:11" ht="17" x14ac:dyDescent="0.2">
      <c r="A3" s="243" t="s">
        <v>222</v>
      </c>
    </row>
    <row r="5" spans="1:11" ht="16" x14ac:dyDescent="0.2">
      <c r="A5" s="242" t="s">
        <v>221</v>
      </c>
    </row>
    <row r="7" spans="1:11" x14ac:dyDescent="0.2">
      <c r="A7" s="240"/>
      <c r="B7" s="241" t="s">
        <v>206</v>
      </c>
      <c r="C7" s="241" t="s">
        <v>207</v>
      </c>
      <c r="D7" s="241" t="s">
        <v>205</v>
      </c>
      <c r="E7" s="241" t="s">
        <v>208</v>
      </c>
      <c r="G7" s="240"/>
      <c r="H7" s="240"/>
      <c r="I7" s="240"/>
      <c r="J7" s="240"/>
    </row>
    <row r="8" spans="1:11" x14ac:dyDescent="0.2">
      <c r="A8" s="240" t="s">
        <v>206</v>
      </c>
      <c r="B8" s="225">
        <v>1</v>
      </c>
      <c r="C8" s="225">
        <v>0.25</v>
      </c>
      <c r="D8" s="225">
        <v>0.2</v>
      </c>
      <c r="E8" s="225">
        <v>2</v>
      </c>
      <c r="G8" s="240"/>
      <c r="H8" s="239"/>
      <c r="I8" s="239"/>
      <c r="J8" s="239"/>
    </row>
    <row r="9" spans="1:11" x14ac:dyDescent="0.2">
      <c r="A9" s="240" t="s">
        <v>207</v>
      </c>
      <c r="B9" s="225">
        <v>4</v>
      </c>
      <c r="C9" s="225">
        <v>1</v>
      </c>
      <c r="D9" s="225">
        <v>0.5</v>
      </c>
      <c r="E9" s="225">
        <v>1</v>
      </c>
      <c r="G9" s="240"/>
      <c r="H9" s="239"/>
      <c r="I9" s="239"/>
      <c r="J9" s="239"/>
    </row>
    <row r="10" spans="1:11" x14ac:dyDescent="0.2">
      <c r="A10" s="240" t="s">
        <v>205</v>
      </c>
      <c r="B10" s="225">
        <v>5</v>
      </c>
      <c r="C10" s="225">
        <v>2</v>
      </c>
      <c r="D10" s="225">
        <v>1</v>
      </c>
      <c r="E10" s="225">
        <v>4</v>
      </c>
      <c r="G10" s="240"/>
      <c r="H10" s="239"/>
      <c r="I10" s="239"/>
      <c r="J10" s="239"/>
    </row>
    <row r="11" spans="1:11" x14ac:dyDescent="0.2">
      <c r="A11" s="240" t="s">
        <v>208</v>
      </c>
      <c r="B11" s="225">
        <v>0.5</v>
      </c>
      <c r="C11" s="225">
        <v>1</v>
      </c>
      <c r="D11" s="225">
        <v>0.25</v>
      </c>
      <c r="E11" s="225">
        <v>1</v>
      </c>
      <c r="G11" s="240"/>
      <c r="H11" s="239"/>
      <c r="I11" s="239"/>
      <c r="J11" s="239"/>
    </row>
    <row r="12" spans="1:11" x14ac:dyDescent="0.2">
      <c r="H12" s="238"/>
      <c r="I12" s="238"/>
      <c r="J12" s="238"/>
    </row>
    <row r="14" spans="1:11" ht="16" x14ac:dyDescent="0.2">
      <c r="A14" s="229" t="s">
        <v>220</v>
      </c>
    </row>
    <row r="15" spans="1:11" x14ac:dyDescent="0.2">
      <c r="B15" s="222"/>
    </row>
    <row r="16" spans="1:11" x14ac:dyDescent="0.2">
      <c r="B16" s="227" t="s">
        <v>206</v>
      </c>
      <c r="C16" s="227" t="s">
        <v>207</v>
      </c>
      <c r="D16" s="227" t="s">
        <v>205</v>
      </c>
      <c r="E16" s="227" t="s">
        <v>208</v>
      </c>
      <c r="F16" s="214" t="s">
        <v>219</v>
      </c>
      <c r="G16" s="214" t="s">
        <v>211</v>
      </c>
      <c r="H16" s="237"/>
      <c r="I16" s="203"/>
      <c r="J16" s="203" t="s">
        <v>218</v>
      </c>
      <c r="K16" s="203" t="s">
        <v>67</v>
      </c>
    </row>
    <row r="17" spans="1:11" x14ac:dyDescent="0.2">
      <c r="A17" s="200" t="s">
        <v>206</v>
      </c>
      <c r="B17" s="236">
        <f>B8</f>
        <v>1</v>
      </c>
      <c r="C17" s="236">
        <f>C8</f>
        <v>0.25</v>
      </c>
      <c r="D17" s="236">
        <f>D8</f>
        <v>0.2</v>
      </c>
      <c r="E17" s="236">
        <f>E8</f>
        <v>2</v>
      </c>
      <c r="F17" s="236">
        <f>SUM(B17:E17)</f>
        <v>3.45</v>
      </c>
      <c r="G17" s="211">
        <f t="array" ref="G17:G20">F17:F20/F21</f>
        <v>0.1396761133603239</v>
      </c>
      <c r="H17" s="237"/>
      <c r="I17" s="235" t="str">
        <f>A17</f>
        <v>Visibility</v>
      </c>
      <c r="J17" s="204">
        <f>+G17</f>
        <v>0.1396761133603239</v>
      </c>
      <c r="K17" s="203">
        <v>4</v>
      </c>
    </row>
    <row r="18" spans="1:11" x14ac:dyDescent="0.2">
      <c r="A18" s="200" t="s">
        <v>207</v>
      </c>
      <c r="B18" s="236">
        <f>B9</f>
        <v>4</v>
      </c>
      <c r="C18" s="236">
        <f>C9</f>
        <v>1</v>
      </c>
      <c r="D18" s="236">
        <f>D9</f>
        <v>0.5</v>
      </c>
      <c r="E18" s="236">
        <f>E9</f>
        <v>1</v>
      </c>
      <c r="F18" s="236">
        <f>SUM(B18:E18)</f>
        <v>6.5</v>
      </c>
      <c r="G18" s="211">
        <v>0.26315789473684209</v>
      </c>
      <c r="I18" s="235" t="str">
        <f>A18</f>
        <v>Competition</v>
      </c>
      <c r="J18" s="204">
        <f>+G18</f>
        <v>0.26315789473684209</v>
      </c>
      <c r="K18" s="203">
        <v>2</v>
      </c>
    </row>
    <row r="19" spans="1:11" x14ac:dyDescent="0.2">
      <c r="A19" s="200" t="s">
        <v>205</v>
      </c>
      <c r="B19" s="236">
        <f>B10</f>
        <v>5</v>
      </c>
      <c r="C19" s="236">
        <f>C10</f>
        <v>2</v>
      </c>
      <c r="D19" s="236">
        <f>D10</f>
        <v>1</v>
      </c>
      <c r="E19" s="236">
        <f>E10</f>
        <v>4</v>
      </c>
      <c r="F19" s="236">
        <f>SUM(B19:E19)</f>
        <v>12</v>
      </c>
      <c r="G19" s="211">
        <v>0.48582995951417007</v>
      </c>
      <c r="I19" s="235" t="str">
        <f>A19</f>
        <v>Frequency</v>
      </c>
      <c r="J19" s="204">
        <f>+G19</f>
        <v>0.48582995951417007</v>
      </c>
      <c r="K19" s="203">
        <v>1</v>
      </c>
    </row>
    <row r="20" spans="1:11" x14ac:dyDescent="0.2">
      <c r="A20" s="200" t="s">
        <v>208</v>
      </c>
      <c r="B20" s="236">
        <f>B11</f>
        <v>0.5</v>
      </c>
      <c r="C20" s="236">
        <f>C11</f>
        <v>1</v>
      </c>
      <c r="D20" s="236">
        <f>D11</f>
        <v>0.25</v>
      </c>
      <c r="E20" s="236">
        <f>E11</f>
        <v>1</v>
      </c>
      <c r="F20" s="236">
        <f>SUM(B20:E20)</f>
        <v>2.75</v>
      </c>
      <c r="G20" s="211">
        <v>0.11133603238866398</v>
      </c>
      <c r="I20" s="235" t="str">
        <f>A20</f>
        <v>Renting costs</v>
      </c>
      <c r="J20" s="204">
        <f>+G20</f>
        <v>0.11133603238866398</v>
      </c>
      <c r="K20" s="203">
        <v>3</v>
      </c>
    </row>
    <row r="21" spans="1:11" x14ac:dyDescent="0.2">
      <c r="F21" s="234">
        <f>SUM(F17:F20)</f>
        <v>24.7</v>
      </c>
      <c r="G21" s="233">
        <f>SUM(G17:G20)</f>
        <v>1</v>
      </c>
    </row>
    <row r="23" spans="1:11" x14ac:dyDescent="0.2">
      <c r="A23" s="232" t="s">
        <v>217</v>
      </c>
    </row>
    <row r="25" spans="1:11" ht="16" x14ac:dyDescent="0.2">
      <c r="A25" s="229" t="s">
        <v>216</v>
      </c>
    </row>
    <row r="27" spans="1:11" x14ac:dyDescent="0.2">
      <c r="A27" s="222"/>
      <c r="B27" s="108" t="s">
        <v>202</v>
      </c>
      <c r="C27" s="108" t="s">
        <v>201</v>
      </c>
      <c r="D27" s="108" t="s">
        <v>200</v>
      </c>
    </row>
    <row r="28" spans="1:11" x14ac:dyDescent="0.2">
      <c r="A28" s="213" t="s">
        <v>202</v>
      </c>
      <c r="B28" s="223">
        <v>1</v>
      </c>
      <c r="C28" s="228">
        <v>6</v>
      </c>
      <c r="D28" s="228">
        <v>3</v>
      </c>
      <c r="F28" s="227"/>
    </row>
    <row r="29" spans="1:11" x14ac:dyDescent="0.2">
      <c r="A29" s="213" t="s">
        <v>201</v>
      </c>
      <c r="B29" s="225">
        <v>0.16666666666666666</v>
      </c>
      <c r="C29" s="223">
        <v>1</v>
      </c>
      <c r="D29" s="226">
        <v>0.5</v>
      </c>
    </row>
    <row r="30" spans="1:11" x14ac:dyDescent="0.2">
      <c r="A30" s="213" t="s">
        <v>200</v>
      </c>
      <c r="B30" s="225">
        <v>0.33333333333333331</v>
      </c>
      <c r="C30" s="224">
        <v>2</v>
      </c>
      <c r="D30" s="223">
        <v>1</v>
      </c>
    </row>
    <row r="31" spans="1:11" x14ac:dyDescent="0.2">
      <c r="A31" s="219"/>
      <c r="B31" s="218"/>
      <c r="C31" s="217"/>
      <c r="D31" s="216"/>
    </row>
    <row r="32" spans="1:11" x14ac:dyDescent="0.2">
      <c r="A32" s="222"/>
      <c r="B32" s="108" t="s">
        <v>202</v>
      </c>
      <c r="C32" s="108" t="s">
        <v>201</v>
      </c>
      <c r="D32" s="108" t="s">
        <v>200</v>
      </c>
      <c r="E32" s="221" t="s">
        <v>212</v>
      </c>
      <c r="F32" s="221" t="s">
        <v>211</v>
      </c>
    </row>
    <row r="33" spans="1:6" x14ac:dyDescent="0.2">
      <c r="A33" s="213" t="s">
        <v>202</v>
      </c>
      <c r="B33" s="220">
        <f>B28</f>
        <v>1</v>
      </c>
      <c r="C33" s="220">
        <f>C28</f>
        <v>6</v>
      </c>
      <c r="D33" s="220">
        <f>D28</f>
        <v>3</v>
      </c>
      <c r="E33" s="208">
        <f>SUM(B33:D33)</f>
        <v>10</v>
      </c>
      <c r="F33" s="211">
        <f>E33/E36</f>
        <v>0.66666666666666663</v>
      </c>
    </row>
    <row r="34" spans="1:6" x14ac:dyDescent="0.2">
      <c r="A34" s="213" t="s">
        <v>201</v>
      </c>
      <c r="B34" s="220">
        <f>B29</f>
        <v>0.16666666666666666</v>
      </c>
      <c r="C34" s="220">
        <f>C29</f>
        <v>1</v>
      </c>
      <c r="D34" s="220">
        <f>D29</f>
        <v>0.5</v>
      </c>
      <c r="E34" s="208">
        <f>SUM(B34:D34)</f>
        <v>1.6666666666666667</v>
      </c>
      <c r="F34" s="211">
        <f>E34/E36</f>
        <v>0.11111111111111112</v>
      </c>
    </row>
    <row r="35" spans="1:6" x14ac:dyDescent="0.2">
      <c r="A35" s="213" t="s">
        <v>200</v>
      </c>
      <c r="B35" s="220">
        <f>B30</f>
        <v>0.33333333333333331</v>
      </c>
      <c r="C35" s="220">
        <f>C30</f>
        <v>2</v>
      </c>
      <c r="D35" s="220">
        <f>D30</f>
        <v>1</v>
      </c>
      <c r="E35" s="208">
        <f>SUM(B35:D35)</f>
        <v>3.3333333333333335</v>
      </c>
      <c r="F35" s="211">
        <f>E35/E36</f>
        <v>0.22222222222222224</v>
      </c>
    </row>
    <row r="36" spans="1:6" x14ac:dyDescent="0.2">
      <c r="A36" s="219"/>
      <c r="B36" s="218"/>
      <c r="C36" s="217"/>
      <c r="D36" s="216"/>
      <c r="E36" s="208">
        <f>SUM(E33:E35)</f>
        <v>15</v>
      </c>
      <c r="F36" s="215"/>
    </row>
    <row r="38" spans="1:6" x14ac:dyDescent="0.2">
      <c r="A38" s="230" t="s">
        <v>146</v>
      </c>
      <c r="B38" s="214" t="s">
        <v>207</v>
      </c>
    </row>
    <row r="39" spans="1:6" x14ac:dyDescent="0.2">
      <c r="A39" s="213" t="s">
        <v>202</v>
      </c>
      <c r="B39" s="204">
        <f>F33</f>
        <v>0.66666666666666663</v>
      </c>
    </row>
    <row r="40" spans="1:6" x14ac:dyDescent="0.2">
      <c r="A40" s="213" t="s">
        <v>201</v>
      </c>
      <c r="B40" s="204">
        <f>F34</f>
        <v>0.11111111111111112</v>
      </c>
    </row>
    <row r="41" spans="1:6" x14ac:dyDescent="0.2">
      <c r="A41" s="213" t="s">
        <v>200</v>
      </c>
      <c r="B41" s="204">
        <f>F35</f>
        <v>0.22222222222222224</v>
      </c>
    </row>
    <row r="42" spans="1:6" x14ac:dyDescent="0.2">
      <c r="A42" s="202"/>
      <c r="B42" s="231">
        <f>SUM(B39:B41)</f>
        <v>1</v>
      </c>
    </row>
    <row r="44" spans="1:6" ht="16" x14ac:dyDescent="0.2">
      <c r="A44" s="229" t="s">
        <v>215</v>
      </c>
    </row>
    <row r="46" spans="1:6" x14ac:dyDescent="0.2">
      <c r="A46" s="222"/>
      <c r="B46" s="108" t="s">
        <v>202</v>
      </c>
      <c r="C46" s="108" t="s">
        <v>201</v>
      </c>
      <c r="D46" s="108" t="s">
        <v>200</v>
      </c>
    </row>
    <row r="47" spans="1:6" x14ac:dyDescent="0.2">
      <c r="A47" s="213" t="s">
        <v>202</v>
      </c>
      <c r="B47" s="223">
        <v>1</v>
      </c>
      <c r="C47" s="228">
        <v>0.2</v>
      </c>
      <c r="D47" s="228">
        <v>0.2</v>
      </c>
      <c r="F47" s="227"/>
    </row>
    <row r="48" spans="1:6" x14ac:dyDescent="0.2">
      <c r="A48" s="213" t="s">
        <v>201</v>
      </c>
      <c r="B48" s="225">
        <v>5</v>
      </c>
      <c r="C48" s="223">
        <v>1</v>
      </c>
      <c r="D48" s="226">
        <v>0.5</v>
      </c>
    </row>
    <row r="49" spans="1:6" x14ac:dyDescent="0.2">
      <c r="A49" s="213" t="s">
        <v>200</v>
      </c>
      <c r="B49" s="225">
        <v>5</v>
      </c>
      <c r="C49" s="224">
        <v>2</v>
      </c>
      <c r="D49" s="223">
        <v>1</v>
      </c>
    </row>
    <row r="50" spans="1:6" x14ac:dyDescent="0.2">
      <c r="A50" s="219"/>
      <c r="B50" s="218"/>
      <c r="C50" s="217"/>
      <c r="D50" s="216"/>
    </row>
    <row r="51" spans="1:6" x14ac:dyDescent="0.2">
      <c r="A51" s="222"/>
      <c r="B51" s="108" t="s">
        <v>202</v>
      </c>
      <c r="C51" s="108" t="s">
        <v>201</v>
      </c>
      <c r="D51" s="108" t="s">
        <v>200</v>
      </c>
      <c r="E51" s="221" t="s">
        <v>212</v>
      </c>
      <c r="F51" s="221" t="s">
        <v>211</v>
      </c>
    </row>
    <row r="52" spans="1:6" x14ac:dyDescent="0.2">
      <c r="A52" s="213" t="s">
        <v>202</v>
      </c>
      <c r="B52" s="220">
        <f>B47</f>
        <v>1</v>
      </c>
      <c r="C52" s="220">
        <f>C47</f>
        <v>0.2</v>
      </c>
      <c r="D52" s="220">
        <f>D47</f>
        <v>0.2</v>
      </c>
      <c r="E52" s="208">
        <f>SUM(B52:D52)</f>
        <v>1.4</v>
      </c>
      <c r="F52" s="211">
        <f>E52/E55</f>
        <v>8.8050314465408799E-2</v>
      </c>
    </row>
    <row r="53" spans="1:6" x14ac:dyDescent="0.2">
      <c r="A53" s="213" t="s">
        <v>201</v>
      </c>
      <c r="B53" s="220">
        <f>B48</f>
        <v>5</v>
      </c>
      <c r="C53" s="220">
        <f>C48</f>
        <v>1</v>
      </c>
      <c r="D53" s="220">
        <f>D48</f>
        <v>0.5</v>
      </c>
      <c r="E53" s="208">
        <f>SUM(B53:D53)</f>
        <v>6.5</v>
      </c>
      <c r="F53" s="211">
        <f>E53/E55</f>
        <v>0.40880503144654085</v>
      </c>
    </row>
    <row r="54" spans="1:6" x14ac:dyDescent="0.2">
      <c r="A54" s="213" t="s">
        <v>200</v>
      </c>
      <c r="B54" s="220">
        <f>B49</f>
        <v>5</v>
      </c>
      <c r="C54" s="220">
        <f>C49</f>
        <v>2</v>
      </c>
      <c r="D54" s="220">
        <f>D49</f>
        <v>1</v>
      </c>
      <c r="E54" s="208">
        <f>SUM(B54:D54)</f>
        <v>8</v>
      </c>
      <c r="F54" s="211">
        <f>E54/E55</f>
        <v>0.50314465408805031</v>
      </c>
    </row>
    <row r="55" spans="1:6" x14ac:dyDescent="0.2">
      <c r="A55" s="219"/>
      <c r="B55" s="218"/>
      <c r="C55" s="217"/>
      <c r="D55" s="216"/>
      <c r="E55" s="208">
        <f>SUM(E52:E54)</f>
        <v>15.9</v>
      </c>
      <c r="F55" s="215"/>
    </row>
    <row r="56" spans="1:6" x14ac:dyDescent="0.2">
      <c r="A56" s="219"/>
      <c r="B56" s="218"/>
      <c r="C56" s="217"/>
      <c r="D56" s="216"/>
    </row>
    <row r="57" spans="1:6" x14ac:dyDescent="0.2">
      <c r="A57" s="230" t="s">
        <v>146</v>
      </c>
      <c r="B57" s="214" t="s">
        <v>206</v>
      </c>
    </row>
    <row r="58" spans="1:6" x14ac:dyDescent="0.2">
      <c r="A58" s="213" t="s">
        <v>202</v>
      </c>
      <c r="B58" s="204">
        <f>F52</f>
        <v>8.8050314465408799E-2</v>
      </c>
    </row>
    <row r="59" spans="1:6" x14ac:dyDescent="0.2">
      <c r="A59" s="213" t="s">
        <v>201</v>
      </c>
      <c r="B59" s="204">
        <f>F53</f>
        <v>0.40880503144654085</v>
      </c>
    </row>
    <row r="60" spans="1:6" x14ac:dyDescent="0.2">
      <c r="A60" s="213" t="s">
        <v>200</v>
      </c>
      <c r="B60" s="204">
        <f>F54</f>
        <v>0.50314465408805031</v>
      </c>
    </row>
    <row r="61" spans="1:6" x14ac:dyDescent="0.2">
      <c r="A61" s="202"/>
      <c r="B61" s="204">
        <f>SUM(B58:B60)</f>
        <v>1</v>
      </c>
    </row>
    <row r="62" spans="1:6" x14ac:dyDescent="0.2">
      <c r="A62" s="202"/>
      <c r="B62" s="201"/>
    </row>
    <row r="63" spans="1:6" ht="16" x14ac:dyDescent="0.2">
      <c r="A63" s="229" t="s">
        <v>214</v>
      </c>
    </row>
    <row r="65" spans="1:6" x14ac:dyDescent="0.2">
      <c r="A65" s="222"/>
      <c r="B65" s="108" t="s">
        <v>202</v>
      </c>
      <c r="C65" s="108" t="s">
        <v>201</v>
      </c>
      <c r="D65" s="108" t="s">
        <v>200</v>
      </c>
    </row>
    <row r="66" spans="1:6" x14ac:dyDescent="0.2">
      <c r="A66" s="213" t="s">
        <v>202</v>
      </c>
      <c r="B66" s="223">
        <v>1</v>
      </c>
      <c r="C66" s="228">
        <v>0.25</v>
      </c>
      <c r="D66" s="228">
        <v>0.2</v>
      </c>
      <c r="F66" s="227"/>
    </row>
    <row r="67" spans="1:6" x14ac:dyDescent="0.2">
      <c r="A67" s="213" t="s">
        <v>201</v>
      </c>
      <c r="B67" s="225">
        <v>4</v>
      </c>
      <c r="C67" s="223">
        <v>1</v>
      </c>
      <c r="D67" s="226">
        <v>0.33333333333333331</v>
      </c>
    </row>
    <row r="68" spans="1:6" x14ac:dyDescent="0.2">
      <c r="A68" s="213" t="s">
        <v>200</v>
      </c>
      <c r="B68" s="225">
        <v>5</v>
      </c>
      <c r="C68" s="224">
        <v>3</v>
      </c>
      <c r="D68" s="223">
        <v>1</v>
      </c>
    </row>
    <row r="69" spans="1:6" x14ac:dyDescent="0.2">
      <c r="A69" s="219"/>
      <c r="B69" s="218"/>
      <c r="C69" s="217"/>
      <c r="D69" s="216"/>
    </row>
    <row r="70" spans="1:6" x14ac:dyDescent="0.2">
      <c r="A70" s="222"/>
      <c r="B70" s="108" t="s">
        <v>202</v>
      </c>
      <c r="C70" s="108" t="s">
        <v>201</v>
      </c>
      <c r="D70" s="108" t="s">
        <v>200</v>
      </c>
      <c r="E70" s="221" t="s">
        <v>212</v>
      </c>
      <c r="F70" s="221" t="s">
        <v>211</v>
      </c>
    </row>
    <row r="71" spans="1:6" x14ac:dyDescent="0.2">
      <c r="A71" s="213" t="s">
        <v>202</v>
      </c>
      <c r="B71" s="220">
        <f>B66</f>
        <v>1</v>
      </c>
      <c r="C71" s="220">
        <f>C66</f>
        <v>0.25</v>
      </c>
      <c r="D71" s="220">
        <f>D66</f>
        <v>0.2</v>
      </c>
      <c r="E71" s="208">
        <f>SUM(B71:D71)</f>
        <v>1.45</v>
      </c>
      <c r="F71" s="211">
        <f>E71/E74</f>
        <v>9.1869060190073917E-2</v>
      </c>
    </row>
    <row r="72" spans="1:6" x14ac:dyDescent="0.2">
      <c r="A72" s="213" t="s">
        <v>201</v>
      </c>
      <c r="B72" s="220">
        <f>B67</f>
        <v>4</v>
      </c>
      <c r="C72" s="220">
        <f>C67</f>
        <v>1</v>
      </c>
      <c r="D72" s="220">
        <f>D67</f>
        <v>0.33333333333333331</v>
      </c>
      <c r="E72" s="208">
        <f>SUM(B72:D72)</f>
        <v>5.333333333333333</v>
      </c>
      <c r="F72" s="211">
        <f>E72/E74</f>
        <v>0.33790918690601901</v>
      </c>
    </row>
    <row r="73" spans="1:6" x14ac:dyDescent="0.2">
      <c r="A73" s="213" t="s">
        <v>200</v>
      </c>
      <c r="B73" s="220">
        <f>B68</f>
        <v>5</v>
      </c>
      <c r="C73" s="220">
        <f>C68</f>
        <v>3</v>
      </c>
      <c r="D73" s="220">
        <f>D68</f>
        <v>1</v>
      </c>
      <c r="E73" s="208">
        <f>SUM(B73:D73)</f>
        <v>9</v>
      </c>
      <c r="F73" s="211">
        <f>E73/E74</f>
        <v>0.57022175290390709</v>
      </c>
    </row>
    <row r="74" spans="1:6" x14ac:dyDescent="0.2">
      <c r="A74" s="219"/>
      <c r="B74" s="218"/>
      <c r="C74" s="217"/>
      <c r="D74" s="216"/>
      <c r="E74" s="208">
        <f>SUM(E71:E73)</f>
        <v>15.783333333333333</v>
      </c>
      <c r="F74" s="215"/>
    </row>
    <row r="75" spans="1:6" x14ac:dyDescent="0.2">
      <c r="A75" s="219"/>
      <c r="B75" s="218"/>
      <c r="C75" s="217"/>
      <c r="D75" s="216"/>
      <c r="F75" s="215"/>
    </row>
    <row r="76" spans="1:6" x14ac:dyDescent="0.2">
      <c r="A76" s="230" t="s">
        <v>146</v>
      </c>
      <c r="B76" s="214" t="s">
        <v>205</v>
      </c>
    </row>
    <row r="77" spans="1:6" x14ac:dyDescent="0.2">
      <c r="A77" s="213" t="s">
        <v>202</v>
      </c>
      <c r="B77" s="204">
        <f>F71</f>
        <v>9.1869060190073917E-2</v>
      </c>
    </row>
    <row r="78" spans="1:6" x14ac:dyDescent="0.2">
      <c r="A78" s="213" t="s">
        <v>201</v>
      </c>
      <c r="B78" s="204">
        <f>F72</f>
        <v>0.33790918690601901</v>
      </c>
    </row>
    <row r="79" spans="1:6" x14ac:dyDescent="0.2">
      <c r="A79" s="213" t="s">
        <v>200</v>
      </c>
      <c r="B79" s="204">
        <f>F73</f>
        <v>0.57022175290390709</v>
      </c>
    </row>
    <row r="80" spans="1:6" x14ac:dyDescent="0.2">
      <c r="A80" s="202"/>
      <c r="B80" s="204">
        <f>SUM(B77:B79)</f>
        <v>1</v>
      </c>
    </row>
    <row r="81" spans="1:6" x14ac:dyDescent="0.2">
      <c r="A81" s="202"/>
      <c r="B81" s="201"/>
    </row>
    <row r="82" spans="1:6" ht="16" x14ac:dyDescent="0.2">
      <c r="A82" s="229" t="s">
        <v>213</v>
      </c>
    </row>
    <row r="84" spans="1:6" x14ac:dyDescent="0.2">
      <c r="A84" s="222"/>
      <c r="B84" s="108" t="s">
        <v>202</v>
      </c>
      <c r="C84" s="108" t="s">
        <v>201</v>
      </c>
      <c r="D84" s="108" t="s">
        <v>200</v>
      </c>
    </row>
    <row r="85" spans="1:6" x14ac:dyDescent="0.2">
      <c r="A85" s="213" t="s">
        <v>202</v>
      </c>
      <c r="B85" s="223">
        <v>1</v>
      </c>
      <c r="C85" s="228">
        <v>0.14285714285714285</v>
      </c>
      <c r="D85" s="228">
        <v>0.2</v>
      </c>
      <c r="F85" s="227"/>
    </row>
    <row r="86" spans="1:6" x14ac:dyDescent="0.2">
      <c r="A86" s="213" t="s">
        <v>201</v>
      </c>
      <c r="B86" s="225">
        <v>7</v>
      </c>
      <c r="C86" s="223">
        <v>1</v>
      </c>
      <c r="D86" s="226">
        <v>0.2</v>
      </c>
    </row>
    <row r="87" spans="1:6" x14ac:dyDescent="0.2">
      <c r="A87" s="213" t="s">
        <v>200</v>
      </c>
      <c r="B87" s="225">
        <v>5</v>
      </c>
      <c r="C87" s="224">
        <v>5</v>
      </c>
      <c r="D87" s="223">
        <v>1</v>
      </c>
    </row>
    <row r="88" spans="1:6" x14ac:dyDescent="0.2">
      <c r="A88" s="219"/>
      <c r="B88" s="218"/>
      <c r="C88" s="217"/>
      <c r="D88" s="216"/>
    </row>
    <row r="89" spans="1:6" x14ac:dyDescent="0.2">
      <c r="A89" s="222"/>
      <c r="B89" s="108" t="s">
        <v>202</v>
      </c>
      <c r="C89" s="108" t="s">
        <v>201</v>
      </c>
      <c r="D89" s="108" t="s">
        <v>200</v>
      </c>
      <c r="E89" s="221" t="s">
        <v>212</v>
      </c>
      <c r="F89" s="221" t="s">
        <v>211</v>
      </c>
    </row>
    <row r="90" spans="1:6" x14ac:dyDescent="0.2">
      <c r="A90" s="213" t="s">
        <v>202</v>
      </c>
      <c r="B90" s="220">
        <f>B85</f>
        <v>1</v>
      </c>
      <c r="C90" s="220">
        <f>C85</f>
        <v>0.14285714285714285</v>
      </c>
      <c r="D90" s="220">
        <f>D85</f>
        <v>0.2</v>
      </c>
      <c r="E90" s="208">
        <f>SUM(B90:D90)</f>
        <v>1.3428571428571427</v>
      </c>
      <c r="F90" s="211">
        <f>E90/E93</f>
        <v>6.5368567454798326E-2</v>
      </c>
    </row>
    <row r="91" spans="1:6" x14ac:dyDescent="0.2">
      <c r="A91" s="213" t="s">
        <v>201</v>
      </c>
      <c r="B91" s="220">
        <f>B86</f>
        <v>7</v>
      </c>
      <c r="C91" s="220">
        <f>C86</f>
        <v>1</v>
      </c>
      <c r="D91" s="220">
        <f>D86</f>
        <v>0.2</v>
      </c>
      <c r="E91" s="208">
        <f>SUM(B91:D91)</f>
        <v>8.1999999999999993</v>
      </c>
      <c r="F91" s="211">
        <f>E91/E93</f>
        <v>0.39916550764951314</v>
      </c>
    </row>
    <row r="92" spans="1:6" x14ac:dyDescent="0.2">
      <c r="A92" s="213" t="s">
        <v>200</v>
      </c>
      <c r="B92" s="220">
        <f>B87</f>
        <v>5</v>
      </c>
      <c r="C92" s="220">
        <f>C87</f>
        <v>5</v>
      </c>
      <c r="D92" s="220">
        <f>D87</f>
        <v>1</v>
      </c>
      <c r="E92" s="208">
        <f>SUM(B92:D92)</f>
        <v>11</v>
      </c>
      <c r="F92" s="211">
        <f>E92/E93</f>
        <v>0.53546592489568845</v>
      </c>
    </row>
    <row r="93" spans="1:6" x14ac:dyDescent="0.2">
      <c r="A93" s="219"/>
      <c r="B93" s="218"/>
      <c r="C93" s="217"/>
      <c r="D93" s="216"/>
      <c r="E93" s="208">
        <f>SUM(E90:E92)</f>
        <v>20.542857142857144</v>
      </c>
      <c r="F93" s="215"/>
    </row>
    <row r="94" spans="1:6" x14ac:dyDescent="0.2">
      <c r="A94" s="219"/>
      <c r="B94" s="218"/>
      <c r="C94" s="217"/>
      <c r="D94" s="216"/>
      <c r="F94" s="215"/>
    </row>
    <row r="95" spans="1:6" x14ac:dyDescent="0.2">
      <c r="A95" s="214" t="s">
        <v>146</v>
      </c>
      <c r="B95" s="214" t="s">
        <v>204</v>
      </c>
    </row>
    <row r="96" spans="1:6" x14ac:dyDescent="0.2">
      <c r="A96" s="213" t="s">
        <v>202</v>
      </c>
      <c r="B96" s="204">
        <f>F90</f>
        <v>6.5368567454798326E-2</v>
      </c>
    </row>
    <row r="97" spans="1:7" x14ac:dyDescent="0.2">
      <c r="A97" s="213" t="s">
        <v>201</v>
      </c>
      <c r="B97" s="204">
        <f>F91</f>
        <v>0.39916550764951314</v>
      </c>
    </row>
    <row r="98" spans="1:7" x14ac:dyDescent="0.2">
      <c r="A98" s="213" t="s">
        <v>200</v>
      </c>
      <c r="B98" s="204">
        <f>F92</f>
        <v>0.53546592489568845</v>
      </c>
    </row>
    <row r="99" spans="1:7" x14ac:dyDescent="0.2">
      <c r="A99" s="202"/>
      <c r="B99" s="204">
        <f>SUM(B96:B98)</f>
        <v>0.99999999999999989</v>
      </c>
    </row>
    <row r="100" spans="1:7" x14ac:dyDescent="0.2">
      <c r="A100" s="202"/>
      <c r="B100" s="201"/>
    </row>
    <row r="101" spans="1:7" x14ac:dyDescent="0.2">
      <c r="A101" s="202"/>
      <c r="B101" s="201"/>
    </row>
    <row r="102" spans="1:7" x14ac:dyDescent="0.2">
      <c r="A102" s="210" t="s">
        <v>210</v>
      </c>
      <c r="B102" s="201"/>
    </row>
    <row r="103" spans="1:7" x14ac:dyDescent="0.2">
      <c r="A103" s="202"/>
      <c r="B103" s="212" t="s">
        <v>209</v>
      </c>
    </row>
    <row r="104" spans="1:7" x14ac:dyDescent="0.2">
      <c r="A104" s="203" t="s">
        <v>207</v>
      </c>
      <c r="B104" s="211">
        <f>G18</f>
        <v>0.26315789473684209</v>
      </c>
    </row>
    <row r="105" spans="1:7" x14ac:dyDescent="0.2">
      <c r="A105" s="203" t="s">
        <v>206</v>
      </c>
      <c r="B105" s="211">
        <f>G17</f>
        <v>0.1396761133603239</v>
      </c>
    </row>
    <row r="106" spans="1:7" x14ac:dyDescent="0.2">
      <c r="A106" s="203" t="s">
        <v>205</v>
      </c>
      <c r="B106" s="211">
        <f>G19</f>
        <v>0.48582995951417007</v>
      </c>
    </row>
    <row r="107" spans="1:7" x14ac:dyDescent="0.2">
      <c r="A107" s="203" t="s">
        <v>208</v>
      </c>
      <c r="B107" s="211">
        <f>G20</f>
        <v>0.11133603238866398</v>
      </c>
    </row>
    <row r="108" spans="1:7" x14ac:dyDescent="0.2">
      <c r="A108" s="202"/>
      <c r="B108" s="201"/>
    </row>
    <row r="109" spans="1:7" x14ac:dyDescent="0.2">
      <c r="A109" s="202"/>
      <c r="B109" s="201"/>
    </row>
    <row r="110" spans="1:7" x14ac:dyDescent="0.2">
      <c r="A110" s="210" t="s">
        <v>146</v>
      </c>
      <c r="B110" s="201"/>
    </row>
    <row r="111" spans="1:7" x14ac:dyDescent="0.2">
      <c r="A111" s="209"/>
      <c r="B111" s="208" t="s">
        <v>207</v>
      </c>
      <c r="C111" s="208" t="s">
        <v>206</v>
      </c>
      <c r="D111" s="208" t="s">
        <v>205</v>
      </c>
      <c r="E111" s="208" t="s">
        <v>204</v>
      </c>
      <c r="F111" s="207" t="s">
        <v>203</v>
      </c>
      <c r="G111" s="206" t="s">
        <v>8</v>
      </c>
    </row>
    <row r="112" spans="1:7" x14ac:dyDescent="0.2">
      <c r="A112" s="205" t="s">
        <v>202</v>
      </c>
      <c r="B112" s="204">
        <f>B39</f>
        <v>0.66666666666666663</v>
      </c>
      <c r="C112" s="204">
        <f>B58</f>
        <v>8.8050314465408799E-2</v>
      </c>
      <c r="D112" s="204">
        <f>B77</f>
        <v>9.1869060190073917E-2</v>
      </c>
      <c r="E112" s="204">
        <f>B96</f>
        <v>6.5368567454798326E-2</v>
      </c>
      <c r="F112" s="204">
        <f>+B112*B$104+C112*B$105+D112*B$106+E112*B$107</f>
        <v>0.23964774093200711</v>
      </c>
      <c r="G112" s="203"/>
    </row>
    <row r="113" spans="1:7" x14ac:dyDescent="0.2">
      <c r="A113" s="205" t="s">
        <v>201</v>
      </c>
      <c r="B113" s="204">
        <f>B40</f>
        <v>0.11111111111111112</v>
      </c>
      <c r="C113" s="204">
        <f>B59</f>
        <v>0.40880503144654085</v>
      </c>
      <c r="D113" s="204">
        <f>B78</f>
        <v>0.33790918690601901</v>
      </c>
      <c r="E113" s="204">
        <f>B97</f>
        <v>0.39916550764951314</v>
      </c>
      <c r="F113" s="204">
        <f>+B113*B$104+C113*B$105+D113*B$106+E113*B$107</f>
        <v>0.29494797447859022</v>
      </c>
      <c r="G113" s="203"/>
    </row>
    <row r="114" spans="1:7" x14ac:dyDescent="0.2">
      <c r="A114" s="205" t="s">
        <v>200</v>
      </c>
      <c r="B114" s="204">
        <f>B41</f>
        <v>0.22222222222222224</v>
      </c>
      <c r="C114" s="204">
        <f>B60</f>
        <v>0.50314465408805031</v>
      </c>
      <c r="D114" s="204">
        <f>B79</f>
        <v>0.57022175290390709</v>
      </c>
      <c r="E114" s="204">
        <f>B98</f>
        <v>0.53546592489568845</v>
      </c>
      <c r="F114" s="204">
        <f>+B114*B$104+C114*B$105+D114*B$106+E114*B$107</f>
        <v>0.46540428458940275</v>
      </c>
      <c r="G114" s="203" t="s">
        <v>199</v>
      </c>
    </row>
    <row r="115" spans="1:7" x14ac:dyDescent="0.2">
      <c r="A115" s="202"/>
      <c r="B115" s="201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zoomScale="50" zoomScaleNormal="50" zoomScalePageLayoutView="50" workbookViewId="0">
      <selection sqref="A1:XFD1048576"/>
    </sheetView>
  </sheetViews>
  <sheetFormatPr baseColWidth="10" defaultColWidth="11" defaultRowHeight="16" x14ac:dyDescent="0.2"/>
  <cols>
    <col min="2" max="2" width="31" bestFit="1" customWidth="1"/>
    <col min="3" max="3" width="12.1640625" bestFit="1" customWidth="1"/>
    <col min="4" max="5" width="17.6640625" bestFit="1" customWidth="1"/>
    <col min="6" max="6" width="12.83203125" bestFit="1" customWidth="1"/>
    <col min="7" max="7" width="12.1640625" bestFit="1" customWidth="1"/>
    <col min="8" max="8" width="13.5" bestFit="1" customWidth="1"/>
    <col min="9" max="9" width="12.1640625" bestFit="1" customWidth="1"/>
    <col min="10" max="10" width="14.6640625" customWidth="1"/>
    <col min="11" max="11" width="24.6640625" bestFit="1" customWidth="1"/>
    <col min="12" max="12" width="12.1640625" customWidth="1"/>
    <col min="13" max="14" width="8.5" bestFit="1" customWidth="1"/>
    <col min="15" max="15" width="8.33203125" bestFit="1" customWidth="1"/>
    <col min="16" max="16" width="10.83203125" bestFit="1" customWidth="1"/>
    <col min="17" max="17" width="8.33203125" bestFit="1" customWidth="1"/>
    <col min="18" max="18" width="10.6640625" bestFit="1" customWidth="1"/>
    <col min="19" max="19" width="10.33203125" bestFit="1" customWidth="1"/>
    <col min="20" max="20" width="8.5" bestFit="1" customWidth="1"/>
    <col min="23" max="23" width="10.83203125" bestFit="1" customWidth="1"/>
    <col min="24" max="24" width="8.5" bestFit="1" customWidth="1"/>
    <col min="25" max="25" width="10.6640625" bestFit="1" customWidth="1"/>
    <col min="26" max="26" width="8.5" bestFit="1" customWidth="1"/>
    <col min="27" max="27" width="21.83203125" bestFit="1" customWidth="1"/>
    <col min="28" max="28" width="8.33203125" bestFit="1" customWidth="1"/>
    <col min="29" max="29" width="11.83203125" customWidth="1"/>
    <col min="30" max="30" width="17.33203125" bestFit="1" customWidth="1"/>
  </cols>
  <sheetData>
    <row r="1" spans="2:19" ht="16" customHeight="1" x14ac:dyDescent="0.2">
      <c r="K1" s="2"/>
      <c r="L1" s="2"/>
      <c r="M1" s="2"/>
      <c r="N1" s="2"/>
      <c r="O1" s="2"/>
      <c r="P1" s="2"/>
      <c r="Q1" s="2"/>
      <c r="R1" s="2"/>
      <c r="S1" s="2"/>
    </row>
    <row r="2" spans="2:19" ht="23" customHeight="1" x14ac:dyDescent="0.2">
      <c r="B2" s="135" t="s">
        <v>158</v>
      </c>
      <c r="C2" s="133"/>
      <c r="D2" s="133"/>
      <c r="E2" s="133"/>
      <c r="F2" s="133"/>
      <c r="G2" s="133"/>
      <c r="K2" s="2"/>
      <c r="L2" s="2"/>
      <c r="M2" s="2"/>
      <c r="N2" s="2"/>
      <c r="O2" s="2"/>
      <c r="P2" s="2"/>
      <c r="Q2" s="2"/>
      <c r="R2" s="2"/>
      <c r="S2" s="2"/>
    </row>
    <row r="3" spans="2:19" ht="23" x14ac:dyDescent="0.25">
      <c r="B3" s="133"/>
      <c r="C3" s="133"/>
      <c r="D3" s="133"/>
      <c r="E3" s="133"/>
      <c r="F3" s="133"/>
      <c r="G3" s="133"/>
      <c r="K3" s="2"/>
      <c r="L3" s="134" t="s">
        <v>157</v>
      </c>
      <c r="M3" s="134"/>
      <c r="N3" s="2"/>
      <c r="O3" s="2"/>
      <c r="P3" s="2"/>
      <c r="Q3" s="2"/>
      <c r="R3" s="2"/>
      <c r="S3" s="2"/>
    </row>
    <row r="4" spans="2:19" x14ac:dyDescent="0.2">
      <c r="B4" s="133"/>
      <c r="C4" s="133"/>
      <c r="D4" s="133"/>
      <c r="E4" s="133"/>
      <c r="F4" s="133"/>
      <c r="G4" s="133"/>
      <c r="K4" s="2"/>
      <c r="L4" s="2"/>
      <c r="M4" s="2"/>
      <c r="N4" s="2"/>
      <c r="O4" s="2"/>
      <c r="P4" s="2"/>
      <c r="Q4" s="2"/>
      <c r="R4" s="2"/>
      <c r="S4" s="2"/>
    </row>
    <row r="5" spans="2:19" x14ac:dyDescent="0.2">
      <c r="B5" s="133"/>
      <c r="C5" s="133"/>
      <c r="D5" s="133"/>
      <c r="E5" s="133"/>
      <c r="F5" s="133"/>
      <c r="G5" s="133"/>
      <c r="K5" s="2"/>
      <c r="L5" s="2"/>
      <c r="M5" s="2"/>
      <c r="N5" s="2"/>
      <c r="O5" s="2"/>
      <c r="P5" s="2"/>
      <c r="Q5" s="2"/>
      <c r="R5" s="2"/>
      <c r="S5" s="2"/>
    </row>
    <row r="6" spans="2:19" ht="42" x14ac:dyDescent="0.2">
      <c r="B6" s="132" t="s">
        <v>156</v>
      </c>
      <c r="C6" s="132"/>
      <c r="D6" s="132"/>
      <c r="E6" s="132"/>
      <c r="F6" s="132"/>
      <c r="G6" s="132"/>
      <c r="H6" s="132"/>
      <c r="I6" s="132"/>
      <c r="K6" s="2"/>
      <c r="L6" s="2"/>
      <c r="M6" s="2"/>
      <c r="N6" s="2"/>
      <c r="O6" s="2"/>
      <c r="P6" s="2"/>
      <c r="Q6" s="2"/>
      <c r="R6" s="2"/>
      <c r="S6" s="2"/>
    </row>
    <row r="7" spans="2:19" ht="21" x14ac:dyDescent="0.2">
      <c r="B7" s="132"/>
      <c r="C7" s="132"/>
      <c r="D7" s="132"/>
      <c r="E7" s="132"/>
      <c r="F7" s="132"/>
      <c r="G7" s="132"/>
      <c r="H7" s="132"/>
      <c r="I7" s="132"/>
      <c r="K7" s="2"/>
      <c r="L7" s="2"/>
      <c r="M7" s="2"/>
      <c r="N7" s="2"/>
      <c r="O7" s="2"/>
      <c r="P7" s="2"/>
      <c r="Q7" s="2"/>
      <c r="R7" s="2"/>
      <c r="S7" s="2"/>
    </row>
    <row r="8" spans="2:19" ht="21" x14ac:dyDescent="0.2">
      <c r="B8" s="132"/>
      <c r="C8" s="132"/>
      <c r="D8" s="132"/>
      <c r="E8" s="132"/>
      <c r="F8" s="132"/>
      <c r="G8" s="132"/>
      <c r="H8" s="132"/>
      <c r="I8" s="132"/>
      <c r="K8" s="2"/>
      <c r="L8" s="2"/>
      <c r="M8" s="2"/>
      <c r="N8" s="2"/>
      <c r="O8" s="2"/>
      <c r="P8" s="2"/>
      <c r="Q8" s="2"/>
      <c r="R8" s="2"/>
      <c r="S8" s="2"/>
    </row>
    <row r="9" spans="2:19" ht="21" x14ac:dyDescent="0.2">
      <c r="B9" s="132"/>
      <c r="C9" s="132"/>
      <c r="D9" s="132"/>
      <c r="E9" s="132"/>
      <c r="F9" s="132"/>
      <c r="G9" s="132"/>
      <c r="H9" s="132"/>
      <c r="I9" s="132"/>
      <c r="K9" s="2"/>
      <c r="L9" s="2"/>
      <c r="M9" s="2"/>
      <c r="N9" s="2"/>
      <c r="O9" s="2"/>
      <c r="P9" s="2"/>
      <c r="Q9" s="2"/>
      <c r="R9" s="2"/>
      <c r="S9" s="2"/>
    </row>
    <row r="10" spans="2:19" ht="21" x14ac:dyDescent="0.2">
      <c r="B10" s="132"/>
      <c r="C10" s="132"/>
      <c r="D10" s="132"/>
      <c r="E10" s="132"/>
      <c r="F10" s="132"/>
      <c r="G10" s="132"/>
      <c r="H10" s="132"/>
      <c r="I10" s="132"/>
      <c r="K10" s="2"/>
      <c r="L10" s="2"/>
      <c r="M10" s="2"/>
      <c r="N10" s="2"/>
      <c r="O10" s="2"/>
      <c r="P10" s="2"/>
      <c r="Q10" s="2"/>
      <c r="R10" s="2"/>
      <c r="S10" s="2"/>
    </row>
    <row r="11" spans="2:19" ht="21" x14ac:dyDescent="0.2">
      <c r="B11" s="132"/>
      <c r="C11" s="132"/>
      <c r="D11" s="132"/>
      <c r="E11" s="132"/>
      <c r="F11" s="132"/>
      <c r="G11" s="132"/>
      <c r="H11" s="132"/>
      <c r="I11" s="132"/>
      <c r="K11" s="2"/>
      <c r="L11" s="2"/>
      <c r="M11" s="2"/>
      <c r="N11" s="2"/>
      <c r="O11" s="2"/>
      <c r="P11" s="2"/>
      <c r="Q11" s="2"/>
      <c r="R11" s="2"/>
      <c r="S11" s="2"/>
    </row>
    <row r="12" spans="2:19" ht="21" x14ac:dyDescent="0.2">
      <c r="B12" s="132"/>
      <c r="C12" s="132"/>
      <c r="D12" s="132"/>
      <c r="E12" s="132"/>
      <c r="F12" s="132"/>
      <c r="G12" s="132"/>
      <c r="H12" s="132"/>
      <c r="I12" s="132"/>
      <c r="K12" s="2"/>
      <c r="L12" s="2"/>
      <c r="M12" s="2"/>
      <c r="N12" s="2"/>
      <c r="O12" s="2"/>
      <c r="P12" s="2"/>
      <c r="Q12" s="2"/>
      <c r="R12" s="2"/>
      <c r="S12" s="2"/>
    </row>
    <row r="13" spans="2:19" ht="21" x14ac:dyDescent="0.2">
      <c r="B13" s="132"/>
      <c r="C13" s="132"/>
      <c r="D13" s="132"/>
      <c r="E13" s="132"/>
      <c r="F13" s="132"/>
      <c r="G13" s="132"/>
      <c r="H13" s="132"/>
      <c r="I13" s="132"/>
      <c r="K13" s="2"/>
      <c r="L13" s="2"/>
      <c r="M13" s="2"/>
      <c r="N13" s="2"/>
      <c r="O13" s="2"/>
      <c r="P13" s="2"/>
      <c r="Q13" s="2"/>
      <c r="R13" s="2"/>
      <c r="S13" s="2"/>
    </row>
    <row r="14" spans="2:19" ht="21" x14ac:dyDescent="0.2">
      <c r="B14" s="132"/>
      <c r="C14" s="132"/>
      <c r="D14" s="132"/>
      <c r="E14" s="132"/>
      <c r="F14" s="132"/>
      <c r="G14" s="132"/>
      <c r="H14" s="132"/>
      <c r="I14" s="132"/>
      <c r="K14" s="2"/>
      <c r="L14" s="2"/>
      <c r="M14" s="2"/>
      <c r="N14" s="2"/>
      <c r="O14" s="2"/>
      <c r="P14" s="2"/>
      <c r="Q14" s="2"/>
      <c r="R14" s="2"/>
      <c r="S14" s="2"/>
    </row>
    <row r="15" spans="2:19" ht="21" x14ac:dyDescent="0.2">
      <c r="B15" s="132"/>
      <c r="C15" s="132"/>
      <c r="D15" s="132"/>
      <c r="E15" s="132"/>
      <c r="F15" s="132"/>
      <c r="G15" s="132"/>
      <c r="H15" s="132"/>
      <c r="I15" s="132"/>
      <c r="K15" s="2"/>
      <c r="L15" s="2"/>
      <c r="M15" s="2"/>
      <c r="N15" s="2"/>
      <c r="O15" s="2"/>
      <c r="P15" s="2"/>
      <c r="Q15" s="2"/>
      <c r="R15" s="2"/>
      <c r="S15" s="2"/>
    </row>
    <row r="16" spans="2:19" ht="21" x14ac:dyDescent="0.2">
      <c r="B16" s="132"/>
      <c r="C16" s="132"/>
      <c r="D16" s="132"/>
      <c r="E16" s="132"/>
      <c r="F16" s="132"/>
      <c r="G16" s="132"/>
      <c r="H16" s="132"/>
      <c r="I16" s="13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K25" s="2"/>
      <c r="L25" s="2"/>
      <c r="M25" s="2"/>
      <c r="N25" s="2"/>
      <c r="O25" s="2"/>
      <c r="P25" s="2"/>
      <c r="Q25" s="2"/>
      <c r="R25" s="2"/>
      <c r="S25" s="2"/>
    </row>
    <row r="27" spans="1:19" x14ac:dyDescent="0.2">
      <c r="Q27" s="131"/>
    </row>
    <row r="28" spans="1:19" x14ac:dyDescent="0.2">
      <c r="Q28" s="131"/>
    </row>
    <row r="29" spans="1:19" ht="24" x14ac:dyDescent="0.3">
      <c r="A29" s="2"/>
      <c r="B29" s="130" t="s">
        <v>155</v>
      </c>
    </row>
    <row r="30" spans="1:19" x14ac:dyDescent="0.2">
      <c r="A30" s="2"/>
    </row>
    <row r="32" spans="1:19" x14ac:dyDescent="0.2">
      <c r="B32" s="128" t="s">
        <v>154</v>
      </c>
      <c r="C32" s="128"/>
      <c r="D32" s="127"/>
      <c r="E32" s="127"/>
      <c r="F32" s="127"/>
      <c r="G32" s="5"/>
      <c r="H32" s="5"/>
      <c r="I32" s="5"/>
    </row>
    <row r="33" spans="1:31" ht="17" thickBot="1" x14ac:dyDescent="0.25">
      <c r="B33" s="127"/>
      <c r="C33" s="127"/>
      <c r="D33" s="127"/>
      <c r="E33" s="127"/>
      <c r="F33" s="127"/>
      <c r="G33" s="5"/>
      <c r="H33" s="5"/>
      <c r="I33" s="5"/>
      <c r="Q33" s="5"/>
      <c r="R33" s="5"/>
      <c r="S33" s="5"/>
      <c r="T33" s="129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7" thickBot="1" x14ac:dyDescent="0.25">
      <c r="B34" s="116"/>
      <c r="C34" s="112" t="s">
        <v>135</v>
      </c>
      <c r="D34" s="115" t="s">
        <v>134</v>
      </c>
      <c r="E34" s="115" t="s">
        <v>133</v>
      </c>
      <c r="F34" s="113" t="s">
        <v>150</v>
      </c>
      <c r="G34" s="113" t="s">
        <v>149</v>
      </c>
      <c r="H34" s="113"/>
      <c r="I34" s="113"/>
      <c r="K34" s="128" t="s">
        <v>153</v>
      </c>
      <c r="L34" s="128"/>
      <c r="M34" s="5"/>
      <c r="N34" s="5"/>
      <c r="O34" s="5"/>
      <c r="P34" s="5"/>
      <c r="Q34" s="5"/>
      <c r="R34" s="64" t="s">
        <v>152</v>
      </c>
      <c r="S34" s="64"/>
      <c r="T34" s="64"/>
      <c r="U34" s="64"/>
      <c r="V34" s="64"/>
      <c r="W34" s="5"/>
      <c r="X34" s="5"/>
      <c r="Y34" s="128" t="s">
        <v>151</v>
      </c>
      <c r="Z34" s="128"/>
      <c r="AA34" s="128"/>
      <c r="AB34" s="128"/>
      <c r="AC34" s="5"/>
      <c r="AD34" s="5"/>
      <c r="AE34" s="5"/>
    </row>
    <row r="35" spans="1:31" ht="17" thickBot="1" x14ac:dyDescent="0.25">
      <c r="B35" s="112" t="s">
        <v>135</v>
      </c>
      <c r="C35" s="110">
        <v>1</v>
      </c>
      <c r="D35" s="110">
        <v>0.5</v>
      </c>
      <c r="E35" s="110">
        <v>5</v>
      </c>
      <c r="F35" s="5">
        <f>SUM(C35:E35)</f>
        <v>6.5</v>
      </c>
      <c r="G35" s="5">
        <f>F35/$F$38</f>
        <v>0.46318399806175309</v>
      </c>
      <c r="H35" s="5"/>
      <c r="I35" s="5"/>
      <c r="Q35" s="5"/>
      <c r="R35" s="127"/>
      <c r="S35" s="127"/>
      <c r="T35" s="127"/>
      <c r="U35" s="127"/>
      <c r="V35" s="5"/>
      <c r="W35" s="5"/>
      <c r="X35" s="5"/>
      <c r="Y35" s="127"/>
      <c r="Z35" s="127"/>
      <c r="AA35" s="127"/>
      <c r="AB35" s="127"/>
      <c r="AC35" s="5"/>
      <c r="AD35" s="5"/>
      <c r="AE35" s="5"/>
    </row>
    <row r="36" spans="1:31" ht="17" thickBot="1" x14ac:dyDescent="0.25">
      <c r="B36" s="111" t="s">
        <v>134</v>
      </c>
      <c r="C36" s="110">
        <v>2</v>
      </c>
      <c r="D36" s="110">
        <v>1</v>
      </c>
      <c r="E36" s="110">
        <v>3</v>
      </c>
      <c r="F36" s="5">
        <f>SUM(C36:E36)</f>
        <v>6</v>
      </c>
      <c r="G36" s="5">
        <f>F36/$F$38</f>
        <v>0.42755445974931056</v>
      </c>
      <c r="H36" s="5"/>
      <c r="I36" s="5"/>
      <c r="K36" s="127"/>
      <c r="L36" s="112" t="s">
        <v>144</v>
      </c>
      <c r="M36" s="115" t="s">
        <v>143</v>
      </c>
      <c r="N36" s="115" t="s">
        <v>142</v>
      </c>
      <c r="O36" s="114" t="s">
        <v>150</v>
      </c>
      <c r="P36" s="113" t="s">
        <v>149</v>
      </c>
      <c r="Q36" s="5"/>
      <c r="R36" s="127"/>
      <c r="S36" s="112" t="s">
        <v>144</v>
      </c>
      <c r="T36" s="115" t="s">
        <v>143</v>
      </c>
      <c r="U36" s="115" t="s">
        <v>142</v>
      </c>
      <c r="V36" s="114" t="s">
        <v>150</v>
      </c>
      <c r="W36" s="113" t="s">
        <v>149</v>
      </c>
      <c r="X36" s="5"/>
      <c r="Y36" s="127"/>
      <c r="Z36" s="112" t="s">
        <v>144</v>
      </c>
      <c r="AA36" s="115" t="s">
        <v>143</v>
      </c>
      <c r="AB36" s="115" t="s">
        <v>142</v>
      </c>
      <c r="AC36" s="114" t="s">
        <v>150</v>
      </c>
      <c r="AD36" s="113" t="s">
        <v>149</v>
      </c>
      <c r="AE36" s="5"/>
    </row>
    <row r="37" spans="1:31" ht="17" thickBot="1" x14ac:dyDescent="0.25">
      <c r="A37" s="2"/>
      <c r="B37" s="111" t="s">
        <v>133</v>
      </c>
      <c r="C37" s="110">
        <v>0.2</v>
      </c>
      <c r="D37" s="110">
        <v>0.33329999999999999</v>
      </c>
      <c r="E37" s="110">
        <v>1</v>
      </c>
      <c r="F37" s="5">
        <f>SUM(C37:E37)</f>
        <v>1.5333000000000001</v>
      </c>
      <c r="G37" s="5">
        <f>F37/$F$38</f>
        <v>0.10926154218893631</v>
      </c>
      <c r="H37" s="5"/>
      <c r="I37" s="5"/>
      <c r="K37" s="112" t="s">
        <v>144</v>
      </c>
      <c r="L37" s="110">
        <v>1</v>
      </c>
      <c r="M37" s="110">
        <v>0.25</v>
      </c>
      <c r="N37" s="110">
        <v>4</v>
      </c>
      <c r="O37" s="5">
        <f>SUM(L37:N37)</f>
        <v>5.25</v>
      </c>
      <c r="P37" s="126">
        <f>O37/$O$40</f>
        <v>0.375</v>
      </c>
      <c r="Q37" s="5"/>
      <c r="R37" s="112" t="s">
        <v>144</v>
      </c>
      <c r="S37" s="110">
        <v>1</v>
      </c>
      <c r="T37" s="110">
        <v>0.25</v>
      </c>
      <c r="U37" s="110">
        <v>0.16669999999999999</v>
      </c>
      <c r="V37" s="5">
        <f>SUM(S37:U37)</f>
        <v>1.4167000000000001</v>
      </c>
      <c r="W37" s="126">
        <f>V37/$V$40</f>
        <v>8.4580619354376496E-2</v>
      </c>
      <c r="X37" s="5"/>
      <c r="Y37" s="112" t="s">
        <v>144</v>
      </c>
      <c r="Z37" s="110">
        <v>1</v>
      </c>
      <c r="AA37" s="110">
        <v>4</v>
      </c>
      <c r="AB37" s="110">
        <v>3</v>
      </c>
      <c r="AC37" s="5">
        <f>SUM(Z37:AB37)</f>
        <v>8</v>
      </c>
      <c r="AD37" s="126">
        <f>AC37/$AC$40</f>
        <v>0.57500179688061526</v>
      </c>
      <c r="AE37" s="5"/>
    </row>
    <row r="38" spans="1:31" ht="17" thickBot="1" x14ac:dyDescent="0.25">
      <c r="A38" s="2"/>
      <c r="B38" s="5"/>
      <c r="C38" s="5"/>
      <c r="D38" s="5"/>
      <c r="E38" s="5"/>
      <c r="F38" s="5">
        <f>SUM(F35:F37)</f>
        <v>14.033300000000001</v>
      </c>
      <c r="G38" s="5">
        <f>F38/$F$38</f>
        <v>1</v>
      </c>
      <c r="H38" s="5"/>
      <c r="I38" s="5"/>
      <c r="K38" s="111" t="s">
        <v>143</v>
      </c>
      <c r="L38" s="110">
        <v>4</v>
      </c>
      <c r="M38" s="110">
        <v>1</v>
      </c>
      <c r="N38" s="110">
        <v>2</v>
      </c>
      <c r="O38" s="5">
        <f>SUM(L38:N38)</f>
        <v>7</v>
      </c>
      <c r="P38" s="126">
        <f>O38/$O$40</f>
        <v>0.5</v>
      </c>
      <c r="Q38" s="5"/>
      <c r="R38" s="111" t="s">
        <v>143</v>
      </c>
      <c r="S38" s="110">
        <v>4</v>
      </c>
      <c r="T38" s="110">
        <v>1</v>
      </c>
      <c r="U38" s="110">
        <v>0.33300000000000002</v>
      </c>
      <c r="V38" s="5">
        <f>SUM(S38:U38)</f>
        <v>5.3330000000000002</v>
      </c>
      <c r="W38" s="126">
        <f>V38/$V$40</f>
        <v>0.31839376227633925</v>
      </c>
      <c r="X38" s="5"/>
      <c r="Y38" s="111" t="s">
        <v>143</v>
      </c>
      <c r="Z38" s="110">
        <v>0.25</v>
      </c>
      <c r="AA38" s="110">
        <v>1</v>
      </c>
      <c r="AB38" s="110">
        <v>0.33300000000000002</v>
      </c>
      <c r="AC38" s="5">
        <f>SUM(Z38:AB38)</f>
        <v>1.583</v>
      </c>
      <c r="AD38" s="126">
        <f>AC38/$AC$40</f>
        <v>0.11377848055775173</v>
      </c>
      <c r="AE38" s="5"/>
    </row>
    <row r="39" spans="1:31" ht="17" thickBot="1" x14ac:dyDescent="0.25">
      <c r="A39" s="2"/>
      <c r="B39" s="5"/>
      <c r="C39" s="5"/>
      <c r="D39" s="5"/>
      <c r="E39" s="5"/>
      <c r="F39" s="5"/>
      <c r="G39" s="5"/>
      <c r="H39" s="5"/>
      <c r="I39" s="5"/>
      <c r="K39" s="111" t="s">
        <v>142</v>
      </c>
      <c r="L39" s="110">
        <v>0.25</v>
      </c>
      <c r="M39" s="110">
        <v>0.5</v>
      </c>
      <c r="N39" s="110">
        <v>1</v>
      </c>
      <c r="O39" s="5">
        <f>SUM(L39:N39)</f>
        <v>1.75</v>
      </c>
      <c r="P39" s="126">
        <f>O39/$O$40</f>
        <v>0.125</v>
      </c>
      <c r="Q39" s="5"/>
      <c r="R39" s="111" t="s">
        <v>142</v>
      </c>
      <c r="S39" s="110">
        <v>6</v>
      </c>
      <c r="T39" s="110">
        <v>3</v>
      </c>
      <c r="U39" s="110">
        <v>1</v>
      </c>
      <c r="V39" s="5">
        <f>SUM(S39:U39)</f>
        <v>10</v>
      </c>
      <c r="W39" s="126">
        <f>V39/$V$40</f>
        <v>0.59702561836928425</v>
      </c>
      <c r="X39" s="5"/>
      <c r="Y39" s="111" t="s">
        <v>142</v>
      </c>
      <c r="Z39" s="110">
        <v>0.33</v>
      </c>
      <c r="AA39" s="110">
        <v>3</v>
      </c>
      <c r="AB39" s="110">
        <v>1</v>
      </c>
      <c r="AC39" s="5">
        <f>SUM(Z39:AB39)</f>
        <v>4.33</v>
      </c>
      <c r="AD39" s="126">
        <f>AC39/$AC$40</f>
        <v>0.31121972256163299</v>
      </c>
      <c r="AE39" s="5"/>
    </row>
    <row r="40" spans="1:31" ht="17" thickBot="1" x14ac:dyDescent="0.25">
      <c r="B40" s="116"/>
      <c r="C40" s="112" t="s">
        <v>135</v>
      </c>
      <c r="D40" s="115" t="s">
        <v>134</v>
      </c>
      <c r="E40" s="115" t="s">
        <v>133</v>
      </c>
      <c r="F40" s="113" t="s">
        <v>150</v>
      </c>
      <c r="G40" s="113" t="s">
        <v>149</v>
      </c>
      <c r="H40" s="113" t="s">
        <v>67</v>
      </c>
      <c r="I40" s="113" t="s">
        <v>148</v>
      </c>
      <c r="J40" s="5"/>
      <c r="K40" s="5"/>
      <c r="L40" s="5"/>
      <c r="M40" s="5"/>
      <c r="N40" s="5"/>
      <c r="O40" s="5">
        <f>SUM(O37:O39)</f>
        <v>14</v>
      </c>
      <c r="P40" s="5">
        <f>SUM(P37:P39)</f>
        <v>1</v>
      </c>
      <c r="Q40" s="5"/>
      <c r="R40" s="5"/>
      <c r="S40" s="5"/>
      <c r="T40" s="5"/>
      <c r="U40" s="5"/>
      <c r="V40" s="5">
        <f>SUM(V37:V39)</f>
        <v>16.749700000000001</v>
      </c>
      <c r="W40" s="5">
        <f>SUM(W37:W39)</f>
        <v>1</v>
      </c>
      <c r="X40" s="5"/>
      <c r="Y40" s="5"/>
      <c r="Z40" s="5"/>
      <c r="AA40" s="5"/>
      <c r="AB40" s="5"/>
      <c r="AC40" s="5">
        <f>SUM(AC37:AC39)</f>
        <v>13.913</v>
      </c>
      <c r="AD40" s="5">
        <f>SUM(AD37:AD39)</f>
        <v>1</v>
      </c>
      <c r="AE40" s="5"/>
    </row>
    <row r="41" spans="1:31" ht="17" thickBot="1" x14ac:dyDescent="0.25">
      <c r="B41" s="112" t="s">
        <v>135</v>
      </c>
      <c r="C41" s="110">
        <f t="array" ref="C41:E43">MMULT(C35:E37,C35:E37)</f>
        <v>3</v>
      </c>
      <c r="D41" s="110">
        <v>2.6665000000000001</v>
      </c>
      <c r="E41" s="110">
        <v>11.5</v>
      </c>
      <c r="F41" s="5">
        <f>SUM(C41:E41)</f>
        <v>17.166499999999999</v>
      </c>
      <c r="G41" s="5">
        <f>F41/$F$44</f>
        <v>0.37646246121119747</v>
      </c>
      <c r="H41" s="5">
        <f>RANK(G41,$G$41:$G$43)</f>
        <v>2</v>
      </c>
      <c r="I41" s="5" t="str">
        <f>IF(ABS(G35-G41)&lt;=0.01, "YES","NO")</f>
        <v>NO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7" thickBot="1" x14ac:dyDescent="0.25">
      <c r="B42" s="111" t="s">
        <v>134</v>
      </c>
      <c r="C42" s="110">
        <v>4.5999999999999996</v>
      </c>
      <c r="D42" s="110">
        <v>2.9999000000000002</v>
      </c>
      <c r="E42" s="110">
        <v>16</v>
      </c>
      <c r="F42" s="5">
        <f>SUM(C42:E42)</f>
        <v>23.599899999999998</v>
      </c>
      <c r="G42" s="5">
        <f>F42/$F$44</f>
        <v>0.51754734152786763</v>
      </c>
      <c r="H42" s="5">
        <f>RANK(G42,$G$41:$G$43)</f>
        <v>1</v>
      </c>
      <c r="I42" s="5" t="str">
        <f>IF(ABS(G36-G42)&lt;=0.01, "YES","NO")</f>
        <v>NO</v>
      </c>
      <c r="M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7" thickBot="1" x14ac:dyDescent="0.25">
      <c r="B43" s="111" t="s">
        <v>133</v>
      </c>
      <c r="C43" s="110">
        <v>1.0666</v>
      </c>
      <c r="D43" s="110">
        <v>0.76659999999999995</v>
      </c>
      <c r="E43" s="110">
        <v>2.9999000000000002</v>
      </c>
      <c r="F43" s="5">
        <f>SUM(C43:E43)</f>
        <v>4.8331</v>
      </c>
      <c r="G43" s="5">
        <f>F43/$F$44</f>
        <v>0.10599019726093488</v>
      </c>
      <c r="H43" s="5">
        <f>RANK(G43,$G$41:$G$43)</f>
        <v>3</v>
      </c>
      <c r="I43" s="5" t="str">
        <f>IF(ABS(G37-G43)&lt;=0.01, "YES","NO")</f>
        <v>YES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">
      <c r="B44" s="5"/>
      <c r="C44" s="5"/>
      <c r="D44" s="5"/>
      <c r="E44" s="5"/>
      <c r="F44" s="5">
        <f>SUM(F41:F43)</f>
        <v>45.599499999999999</v>
      </c>
      <c r="G44" s="5">
        <f>F44/$F$44</f>
        <v>1</v>
      </c>
      <c r="H44" s="5"/>
      <c r="I44" s="5"/>
      <c r="T44" s="5"/>
    </row>
    <row r="45" spans="1:31" ht="17" thickBot="1" x14ac:dyDescent="0.25">
      <c r="B45" s="5"/>
      <c r="C45" s="5"/>
      <c r="D45" s="5"/>
      <c r="E45" s="5"/>
      <c r="F45" s="5"/>
      <c r="G45" s="5"/>
      <c r="H45" s="5"/>
      <c r="I45" s="5"/>
    </row>
    <row r="46" spans="1:31" ht="17" thickBot="1" x14ac:dyDescent="0.25">
      <c r="B46" s="116"/>
      <c r="C46" s="112" t="s">
        <v>135</v>
      </c>
      <c r="D46" s="115" t="s">
        <v>134</v>
      </c>
      <c r="E46" s="115" t="s">
        <v>133</v>
      </c>
      <c r="F46" s="113" t="s">
        <v>150</v>
      </c>
      <c r="G46" s="113" t="s">
        <v>149</v>
      </c>
      <c r="H46" s="113" t="s">
        <v>67</v>
      </c>
      <c r="I46" s="113" t="s">
        <v>148</v>
      </c>
    </row>
    <row r="47" spans="1:31" ht="17" thickBot="1" x14ac:dyDescent="0.25">
      <c r="B47" s="112" t="s">
        <v>135</v>
      </c>
      <c r="C47" s="110">
        <f t="array" ref="C47:E49">MMULT(C41:E43,C41:E43)</f>
        <v>33.531800000000004</v>
      </c>
      <c r="D47" s="110">
        <v>24.814633350000001</v>
      </c>
      <c r="E47" s="110">
        <v>111.66285000000001</v>
      </c>
      <c r="F47" s="5">
        <f>SUM(C47:E47)</f>
        <v>170.00928335</v>
      </c>
      <c r="G47" s="5">
        <f>F47/$F$50</f>
        <v>0.3794829641228582</v>
      </c>
      <c r="H47" s="5">
        <f>RANK(G47,$G$47:$G$49)</f>
        <v>2</v>
      </c>
      <c r="I47" s="5" t="str">
        <f>IF(ABS(G41-G47)&lt;=0.01, "YES","NO")</f>
        <v>YES</v>
      </c>
    </row>
    <row r="48" spans="1:31" ht="17" thickBot="1" x14ac:dyDescent="0.25">
      <c r="B48" s="111" t="s">
        <v>134</v>
      </c>
      <c r="C48" s="110">
        <v>44.665139999999994</v>
      </c>
      <c r="D48" s="110">
        <v>33.530900010000003</v>
      </c>
      <c r="E48" s="110">
        <v>148.89680000000001</v>
      </c>
      <c r="F48" s="5">
        <f>SUM(C48:E48)</f>
        <v>227.09284001</v>
      </c>
      <c r="G48" s="5">
        <f>F48/$F$50</f>
        <v>0.50690093129007241</v>
      </c>
      <c r="H48" s="5">
        <f>RANK(G48,$G$47:$G$49)</f>
        <v>1</v>
      </c>
      <c r="I48" s="5" t="str">
        <f>IF(ABS(G42-G48)&lt;=0.01, "YES","NO")</f>
        <v>NO</v>
      </c>
    </row>
    <row r="49" spans="2:14" ht="17" thickBot="1" x14ac:dyDescent="0.25">
      <c r="B49" s="111" t="s">
        <v>133</v>
      </c>
      <c r="C49" s="110">
        <v>9.9258533399999997</v>
      </c>
      <c r="D49" s="110">
        <v>7.4435355799999998</v>
      </c>
      <c r="E49" s="110">
        <v>33.530900010000003</v>
      </c>
      <c r="F49" s="5">
        <f>SUM(C49:E49)</f>
        <v>50.900288930000002</v>
      </c>
      <c r="G49" s="5">
        <f>F49/$F$50</f>
        <v>0.11361610458706935</v>
      </c>
      <c r="H49" s="5">
        <f>RANK(G49,$G$47:$G$49)</f>
        <v>3</v>
      </c>
      <c r="I49" s="5" t="str">
        <f>IF(ABS(G43-G49)&lt;=0.01, "YES","NO")</f>
        <v>YES</v>
      </c>
      <c r="M49" s="5"/>
    </row>
    <row r="50" spans="2:14" x14ac:dyDescent="0.2">
      <c r="B50" s="5"/>
      <c r="C50" s="5"/>
      <c r="D50" s="5"/>
      <c r="E50" s="5"/>
      <c r="F50" s="5">
        <f>SUM(F47:F49)</f>
        <v>448.00241229</v>
      </c>
      <c r="G50" s="5">
        <f>F50/$F$50</f>
        <v>1</v>
      </c>
      <c r="H50" s="5"/>
      <c r="I50" s="5"/>
      <c r="M50" s="5"/>
    </row>
    <row r="51" spans="2:14" ht="17" thickBot="1" x14ac:dyDescent="0.25">
      <c r="B51" s="5"/>
      <c r="C51" s="5"/>
      <c r="D51" s="5"/>
      <c r="E51" s="5"/>
      <c r="F51" s="5"/>
      <c r="G51" s="5"/>
      <c r="H51" s="5"/>
      <c r="I51" s="5"/>
      <c r="M51" s="5"/>
    </row>
    <row r="52" spans="2:14" ht="17" thickBot="1" x14ac:dyDescent="0.25">
      <c r="B52" s="116"/>
      <c r="C52" s="112" t="s">
        <v>135</v>
      </c>
      <c r="D52" s="115" t="s">
        <v>134</v>
      </c>
      <c r="E52" s="115" t="s">
        <v>133</v>
      </c>
      <c r="F52" s="113" t="s">
        <v>150</v>
      </c>
      <c r="G52" s="113" t="s">
        <v>149</v>
      </c>
      <c r="H52" s="113" t="s">
        <v>67</v>
      </c>
      <c r="I52" s="113" t="s">
        <v>148</v>
      </c>
      <c r="M52" s="5"/>
    </row>
    <row r="53" spans="2:14" ht="17" thickBot="1" x14ac:dyDescent="0.25">
      <c r="B53" s="112" t="s">
        <v>135</v>
      </c>
      <c r="C53" s="110">
        <f t="array" ref="C53:E55">MMULT(C47:E49,C47:E49)</f>
        <v>3341.079756492838</v>
      </c>
      <c r="D53" s="110">
        <v>2495.3027091483946</v>
      </c>
      <c r="E53" s="110">
        <v>11183.231710799912</v>
      </c>
      <c r="F53" s="5">
        <f>SUM(C53:E53)</f>
        <v>17019.614176441144</v>
      </c>
      <c r="G53" s="126">
        <f>F53/$F$56</f>
        <v>0.3791301878701917</v>
      </c>
      <c r="H53" s="5">
        <f>RANK(G53,$G$53:$G$55)</f>
        <v>2</v>
      </c>
      <c r="I53" s="5" t="str">
        <f>IF(ABS(G47-G53)&lt;=0.01, "YES","NO")</f>
        <v>YES</v>
      </c>
      <c r="M53" s="125"/>
    </row>
    <row r="54" spans="2:14" ht="17" thickBot="1" x14ac:dyDescent="0.25">
      <c r="B54" s="111" t="s">
        <v>134</v>
      </c>
      <c r="C54" s="110">
        <v>4473.2926843199639</v>
      </c>
      <c r="D54" s="110">
        <v>3340.988956655181</v>
      </c>
      <c r="E54" s="110">
        <v>14972.724253266937</v>
      </c>
      <c r="F54" s="5">
        <f>SUM(C54:E54)</f>
        <v>22787.00589424208</v>
      </c>
      <c r="G54" s="126">
        <f>F54/$F$56</f>
        <v>0.50760503358776243</v>
      </c>
      <c r="H54" s="5">
        <f>RANK(G54,$G$53:$G$55)</f>
        <v>1</v>
      </c>
      <c r="I54" s="5" t="str">
        <f>IF(ABS(G48-G54)&lt;=0.01, "YES","NO")</f>
        <v>YES</v>
      </c>
      <c r="M54" s="5"/>
    </row>
    <row r="55" spans="2:14" ht="17" thickBot="1" x14ac:dyDescent="0.25">
      <c r="B55" s="111" t="s">
        <v>133</v>
      </c>
      <c r="C55" s="110">
        <v>998.12108365935774</v>
      </c>
      <c r="D55" s="110">
        <v>745.48330582568758</v>
      </c>
      <c r="E55" s="110">
        <v>3340.9889566551815</v>
      </c>
      <c r="F55" s="5">
        <f>SUM(C55:E55)</f>
        <v>5084.5933461402274</v>
      </c>
      <c r="G55" s="126">
        <f>F55/$F$56</f>
        <v>0.11326477854204589</v>
      </c>
      <c r="H55" s="5">
        <f>RANK(G55,$G$53:$G$55)</f>
        <v>3</v>
      </c>
      <c r="I55" s="5" t="str">
        <f>IF(ABS(G49-G55)&lt;=0.01, "YES","NO")</f>
        <v>YES</v>
      </c>
      <c r="M55" s="125"/>
    </row>
    <row r="56" spans="2:14" x14ac:dyDescent="0.2">
      <c r="B56" s="5"/>
      <c r="C56" s="5"/>
      <c r="D56" s="5"/>
      <c r="E56" s="5"/>
      <c r="F56" s="5">
        <f>SUM(F53:F55)</f>
        <v>44891.213416823448</v>
      </c>
      <c r="G56" s="5">
        <f>SUM(G53:G55)</f>
        <v>1</v>
      </c>
      <c r="H56" s="5"/>
      <c r="I56" s="5"/>
      <c r="M56" s="5"/>
    </row>
    <row r="57" spans="2:14" x14ac:dyDescent="0.2">
      <c r="B57" s="5"/>
      <c r="C57" s="5"/>
      <c r="D57" s="5"/>
      <c r="E57" s="5"/>
      <c r="F57" s="5"/>
      <c r="G57" s="5"/>
      <c r="H57" s="5"/>
      <c r="I57" s="5"/>
      <c r="M57" s="5"/>
    </row>
    <row r="58" spans="2:14" ht="17" thickBot="1" x14ac:dyDescent="0.25">
      <c r="B58" s="67" t="s">
        <v>147</v>
      </c>
      <c r="C58" s="67"/>
      <c r="D58" s="67"/>
      <c r="E58" s="67"/>
      <c r="F58" s="67"/>
      <c r="G58" s="67"/>
      <c r="H58" s="67"/>
      <c r="I58" s="67"/>
      <c r="M58" s="5"/>
    </row>
    <row r="59" spans="2:14" ht="17" thickBot="1" x14ac:dyDescent="0.25">
      <c r="D59" s="112" t="s">
        <v>135</v>
      </c>
      <c r="E59" s="5">
        <f>G53</f>
        <v>0.3791301878701917</v>
      </c>
      <c r="G59" s="5"/>
      <c r="H59" s="5"/>
      <c r="I59" s="5"/>
      <c r="M59" s="5"/>
    </row>
    <row r="60" spans="2:14" ht="17" thickBot="1" x14ac:dyDescent="0.25">
      <c r="D60" s="111" t="s">
        <v>134</v>
      </c>
      <c r="E60" s="5">
        <f>G54</f>
        <v>0.50760503358776243</v>
      </c>
      <c r="G60" s="5"/>
      <c r="H60" s="5"/>
      <c r="I60" s="5"/>
      <c r="M60" s="5"/>
    </row>
    <row r="61" spans="2:14" ht="17" thickBot="1" x14ac:dyDescent="0.25">
      <c r="D61" s="111" t="s">
        <v>133</v>
      </c>
      <c r="E61" s="5">
        <f>G55</f>
        <v>0.11326477854204589</v>
      </c>
      <c r="G61" s="5"/>
      <c r="H61" s="5"/>
      <c r="I61" s="5"/>
      <c r="M61" s="5"/>
    </row>
    <row r="62" spans="2:14" x14ac:dyDescent="0.2">
      <c r="D62" s="5"/>
      <c r="E62" s="5"/>
      <c r="F62" s="5"/>
      <c r="G62" s="5"/>
      <c r="H62" s="5"/>
      <c r="I62" s="5"/>
      <c r="M62" s="5"/>
    </row>
    <row r="63" spans="2:14" x14ac:dyDescent="0.2">
      <c r="B63" s="67" t="s">
        <v>146</v>
      </c>
      <c r="C63" s="67"/>
      <c r="D63" s="67"/>
      <c r="E63" s="67"/>
      <c r="F63" s="67"/>
      <c r="G63" s="67"/>
      <c r="H63" s="67"/>
      <c r="I63" s="67"/>
      <c r="M63" s="5"/>
    </row>
    <row r="64" spans="2:14" ht="17" thickBot="1" x14ac:dyDescent="0.25">
      <c r="B64" s="124" t="s">
        <v>135</v>
      </c>
      <c r="C64" s="124"/>
      <c r="D64" s="5"/>
      <c r="E64" s="65" t="s">
        <v>134</v>
      </c>
      <c r="F64" s="65"/>
      <c r="G64" s="5"/>
      <c r="H64" s="65" t="s">
        <v>133</v>
      </c>
      <c r="I64" s="65"/>
      <c r="M64" s="5"/>
      <c r="N64" s="5"/>
    </row>
    <row r="65" spans="2:14" ht="17" thickBot="1" x14ac:dyDescent="0.25">
      <c r="B65" s="112" t="s">
        <v>144</v>
      </c>
      <c r="C65" s="5">
        <f>P37</f>
        <v>0.375</v>
      </c>
      <c r="D65" s="5"/>
      <c r="E65" s="112" t="s">
        <v>144</v>
      </c>
      <c r="F65" s="5">
        <f>W37</f>
        <v>8.4580619354376496E-2</v>
      </c>
      <c r="G65" s="5"/>
      <c r="H65" s="112" t="s">
        <v>144</v>
      </c>
      <c r="I65" s="5">
        <f>AD37</f>
        <v>0.57500179688061526</v>
      </c>
      <c r="M65" s="5"/>
      <c r="N65" s="5"/>
    </row>
    <row r="66" spans="2:14" ht="17" thickBot="1" x14ac:dyDescent="0.25">
      <c r="B66" s="111" t="s">
        <v>143</v>
      </c>
      <c r="C66" s="5">
        <f>P38</f>
        <v>0.5</v>
      </c>
      <c r="D66" s="5"/>
      <c r="E66" s="111" t="s">
        <v>143</v>
      </c>
      <c r="F66" s="5">
        <f>W38</f>
        <v>0.31839376227633925</v>
      </c>
      <c r="G66" s="5"/>
      <c r="H66" s="111" t="s">
        <v>143</v>
      </c>
      <c r="I66" s="5">
        <f>AD38</f>
        <v>0.11377848055775173</v>
      </c>
      <c r="M66" s="5"/>
      <c r="N66" s="5"/>
    </row>
    <row r="67" spans="2:14" ht="17" thickBot="1" x14ac:dyDescent="0.25">
      <c r="B67" s="111" t="s">
        <v>142</v>
      </c>
      <c r="C67" s="5">
        <f>P39</f>
        <v>0.125</v>
      </c>
      <c r="D67" s="5"/>
      <c r="E67" s="111" t="s">
        <v>142</v>
      </c>
      <c r="F67" s="5">
        <f>W39</f>
        <v>0.59702561836928425</v>
      </c>
      <c r="G67" s="5"/>
      <c r="H67" s="111" t="s">
        <v>142</v>
      </c>
      <c r="I67" s="5">
        <f>AD39</f>
        <v>0.31121972256163299</v>
      </c>
      <c r="M67" s="5"/>
      <c r="N67" s="5"/>
    </row>
    <row r="68" spans="2:14" x14ac:dyDescent="0.2">
      <c r="B68" s="123"/>
      <c r="C68" s="5"/>
      <c r="D68" s="5"/>
      <c r="E68" s="123"/>
      <c r="F68" s="5"/>
      <c r="G68" s="5"/>
      <c r="H68" s="5"/>
      <c r="I68" s="5"/>
      <c r="M68" s="5"/>
      <c r="N68" s="5"/>
    </row>
    <row r="69" spans="2:14" ht="17" thickBot="1" x14ac:dyDescent="0.25">
      <c r="B69" s="5"/>
      <c r="C69" s="5"/>
      <c r="D69" s="5"/>
      <c r="E69" s="5"/>
      <c r="F69" s="5"/>
      <c r="G69" s="5"/>
      <c r="H69" s="5"/>
      <c r="I69" s="5"/>
      <c r="M69" s="5"/>
      <c r="N69" s="5"/>
    </row>
    <row r="70" spans="2:14" ht="17" thickBot="1" x14ac:dyDescent="0.25">
      <c r="B70" s="112"/>
      <c r="C70" s="122" t="s">
        <v>135</v>
      </c>
      <c r="D70" s="121" t="s">
        <v>134</v>
      </c>
      <c r="E70" s="121" t="s">
        <v>133</v>
      </c>
      <c r="F70" s="112" t="s">
        <v>145</v>
      </c>
      <c r="G70" s="114" t="s">
        <v>8</v>
      </c>
      <c r="H70" s="5"/>
      <c r="I70" s="5"/>
      <c r="M70" s="5"/>
      <c r="N70" s="5"/>
    </row>
    <row r="71" spans="2:14" ht="17" thickBot="1" x14ac:dyDescent="0.25">
      <c r="B71" s="111" t="s">
        <v>144</v>
      </c>
      <c r="C71" s="110">
        <f>C65</f>
        <v>0.375</v>
      </c>
      <c r="D71" s="110">
        <f>F65</f>
        <v>8.4580619354376496E-2</v>
      </c>
      <c r="E71" s="110">
        <f>I65</f>
        <v>0.57500179688061526</v>
      </c>
      <c r="F71" s="111">
        <f>MMULT(C71:E71,$E$59:$E$61)</f>
        <v>0.25023481976453527</v>
      </c>
      <c r="G71" s="5">
        <f>RANK(F71,$F$71:$F$73)</f>
        <v>3</v>
      </c>
      <c r="H71" s="5"/>
      <c r="I71" s="5"/>
      <c r="M71" s="5"/>
      <c r="N71" s="5"/>
    </row>
    <row r="72" spans="2:14" ht="17" thickBot="1" x14ac:dyDescent="0.25">
      <c r="B72" s="111" t="s">
        <v>143</v>
      </c>
      <c r="C72" s="110">
        <f>C66</f>
        <v>0.5</v>
      </c>
      <c r="D72" s="110">
        <f>F66</f>
        <v>0.31839376227633925</v>
      </c>
      <c r="E72" s="110">
        <f>I66</f>
        <v>0.11377848055775173</v>
      </c>
      <c r="F72" s="111">
        <f>MMULT(C72:E72,$E$59:$E$61)</f>
        <v>0.3640704647327353</v>
      </c>
      <c r="G72" s="5">
        <f>RANK(F72,$F$71:$F$73)</f>
        <v>2</v>
      </c>
      <c r="H72" s="5"/>
      <c r="I72" s="5"/>
      <c r="M72" s="5"/>
      <c r="N72" s="5"/>
    </row>
    <row r="73" spans="2:14" ht="17" thickBot="1" x14ac:dyDescent="0.25">
      <c r="B73" s="120" t="s">
        <v>142</v>
      </c>
      <c r="C73" s="119">
        <f>C67</f>
        <v>0.125</v>
      </c>
      <c r="D73" s="119">
        <f>F67</f>
        <v>0.59702561836928425</v>
      </c>
      <c r="E73" s="119">
        <f>I67</f>
        <v>0.31121972256163299</v>
      </c>
      <c r="F73" s="118">
        <f>MMULT(C73:E73,$E$59:$E$61)</f>
        <v>0.38569471550272943</v>
      </c>
      <c r="G73" s="5">
        <f>RANK(F73,$F$71:$F$73)</f>
        <v>1</v>
      </c>
      <c r="H73" s="5"/>
      <c r="I73" s="5"/>
      <c r="M73" s="5"/>
      <c r="N73" s="5"/>
    </row>
    <row r="74" spans="2:14" x14ac:dyDescent="0.2">
      <c r="M74" s="5"/>
      <c r="N74" s="5"/>
    </row>
    <row r="75" spans="2:14" x14ac:dyDescent="0.2">
      <c r="I75" s="86"/>
      <c r="J75" s="86"/>
      <c r="M75" s="5"/>
      <c r="N75" s="5"/>
    </row>
    <row r="76" spans="2:14" ht="24" x14ac:dyDescent="0.2">
      <c r="B76" s="117" t="s">
        <v>141</v>
      </c>
      <c r="I76" s="86"/>
      <c r="J76" s="86"/>
      <c r="M76" s="5"/>
      <c r="N76" s="5"/>
    </row>
    <row r="77" spans="2:14" ht="17" thickBot="1" x14ac:dyDescent="0.25">
      <c r="I77" s="86"/>
      <c r="J77" s="86"/>
      <c r="M77" s="5"/>
      <c r="N77" s="5"/>
    </row>
    <row r="78" spans="2:14" ht="17" thickBot="1" x14ac:dyDescent="0.25">
      <c r="B78" s="116"/>
      <c r="C78" s="112" t="s">
        <v>135</v>
      </c>
      <c r="D78" s="115" t="s">
        <v>134</v>
      </c>
      <c r="E78" s="115" t="s">
        <v>133</v>
      </c>
      <c r="F78" s="113" t="s">
        <v>140</v>
      </c>
      <c r="G78" s="113" t="s">
        <v>139</v>
      </c>
      <c r="H78" s="113" t="s">
        <v>138</v>
      </c>
      <c r="I78" s="114" t="s">
        <v>137</v>
      </c>
      <c r="J78" s="113" t="s">
        <v>136</v>
      </c>
      <c r="M78" s="5"/>
      <c r="N78" s="5"/>
    </row>
    <row r="79" spans="2:14" ht="17" thickBot="1" x14ac:dyDescent="0.25">
      <c r="B79" s="112" t="s">
        <v>135</v>
      </c>
      <c r="C79" s="110">
        <v>1</v>
      </c>
      <c r="D79" s="110">
        <v>0.5</v>
      </c>
      <c r="E79" s="110">
        <v>5</v>
      </c>
      <c r="F79" s="5">
        <f>G53</f>
        <v>0.3791301878701917</v>
      </c>
      <c r="G79" s="5">
        <f>MMULT(C79:E79,$F$79:$F$81)</f>
        <v>1.1992565973743023</v>
      </c>
      <c r="H79" s="5">
        <f>G79/F79</f>
        <v>3.1631788650523109</v>
      </c>
      <c r="I79" s="5">
        <f>AVERAGE(H79:H81)</f>
        <v>3.1631847380059384</v>
      </c>
      <c r="J79" s="5">
        <f>(I79-3)/(3-1)</f>
        <v>8.1592369002969178E-2</v>
      </c>
      <c r="M79" s="5"/>
      <c r="N79" s="5"/>
    </row>
    <row r="80" spans="2:14" ht="17" thickBot="1" x14ac:dyDescent="0.25">
      <c r="B80" s="111" t="s">
        <v>134</v>
      </c>
      <c r="C80" s="110">
        <v>2</v>
      </c>
      <c r="D80" s="110">
        <v>1</v>
      </c>
      <c r="E80" s="110">
        <v>3</v>
      </c>
      <c r="F80" s="5">
        <f>G54</f>
        <v>0.50760503358776243</v>
      </c>
      <c r="G80" s="5">
        <f>MMULT(C80:E80,$F$79:$F$81)</f>
        <v>1.6056597449542835</v>
      </c>
      <c r="H80" s="5">
        <f>G80/F80</f>
        <v>3.1632069004624492</v>
      </c>
      <c r="I80" s="5"/>
      <c r="M80" s="5"/>
      <c r="N80" s="5"/>
    </row>
    <row r="81" spans="2:14" ht="17" thickBot="1" x14ac:dyDescent="0.25">
      <c r="B81" s="111" t="s">
        <v>133</v>
      </c>
      <c r="C81" s="110">
        <v>0.2</v>
      </c>
      <c r="D81" s="110">
        <v>0.33329999999999999</v>
      </c>
      <c r="E81" s="110">
        <v>1</v>
      </c>
      <c r="F81" s="5">
        <f>G55</f>
        <v>0.11326477854204589</v>
      </c>
      <c r="G81" s="5">
        <f>MMULT(C81:E81,$F$79:$F$81)</f>
        <v>0.35827557381088548</v>
      </c>
      <c r="H81" s="5">
        <f>G81/F81</f>
        <v>3.1631684485030558</v>
      </c>
      <c r="I81" s="5"/>
      <c r="M81" s="5"/>
      <c r="N81" s="5"/>
    </row>
    <row r="82" spans="2:14" x14ac:dyDescent="0.2">
      <c r="B82" s="5"/>
      <c r="C82" s="5"/>
      <c r="D82" s="5"/>
      <c r="E82" s="5"/>
      <c r="F82" s="5"/>
      <c r="G82" s="5"/>
      <c r="M82" s="5"/>
      <c r="N82" s="5"/>
    </row>
    <row r="83" spans="2:14" x14ac:dyDescent="0.2">
      <c r="M83" s="5"/>
      <c r="N83" s="5"/>
    </row>
    <row r="84" spans="2:14" x14ac:dyDescent="0.2">
      <c r="M84" s="5"/>
      <c r="N84" s="5"/>
    </row>
    <row r="85" spans="2:14" x14ac:dyDescent="0.2">
      <c r="B85" s="109" t="s">
        <v>132</v>
      </c>
      <c r="C85" s="109">
        <v>1</v>
      </c>
      <c r="D85" s="109">
        <v>2</v>
      </c>
      <c r="E85" s="109">
        <v>3</v>
      </c>
      <c r="F85" s="109">
        <v>4</v>
      </c>
      <c r="G85" s="109">
        <v>5</v>
      </c>
      <c r="H85" s="109">
        <v>6</v>
      </c>
      <c r="I85" s="109">
        <v>7</v>
      </c>
      <c r="J85" s="109">
        <v>8</v>
      </c>
      <c r="K85" s="109">
        <v>9</v>
      </c>
      <c r="L85" s="109">
        <v>10</v>
      </c>
      <c r="M85" s="5"/>
      <c r="N85" s="5"/>
    </row>
    <row r="86" spans="2:14" x14ac:dyDescent="0.2">
      <c r="B86" s="108" t="s">
        <v>131</v>
      </c>
      <c r="C86" s="107">
        <v>0</v>
      </c>
      <c r="D86" s="107">
        <v>0</v>
      </c>
      <c r="E86" s="107">
        <v>0.57999999999999996</v>
      </c>
      <c r="F86" s="107">
        <v>0.9</v>
      </c>
      <c r="G86" s="107">
        <v>1.1200000000000001</v>
      </c>
      <c r="H86" s="107">
        <v>1.24</v>
      </c>
      <c r="I86" s="107">
        <v>1.32</v>
      </c>
      <c r="J86" s="107">
        <v>1.41</v>
      </c>
      <c r="K86" s="107">
        <v>1.45</v>
      </c>
      <c r="L86" s="107">
        <v>1.49</v>
      </c>
      <c r="M86" s="5"/>
      <c r="N86" s="5"/>
    </row>
  </sheetData>
  <mergeCells count="12">
    <mergeCell ref="Y34:AB34"/>
    <mergeCell ref="B32:C32"/>
    <mergeCell ref="R34:V34"/>
    <mergeCell ref="K34:L34"/>
    <mergeCell ref="I75:J77"/>
    <mergeCell ref="L3:M3"/>
    <mergeCell ref="B64:C64"/>
    <mergeCell ref="E64:F64"/>
    <mergeCell ref="H64:I64"/>
    <mergeCell ref="B63:I63"/>
    <mergeCell ref="B58:I58"/>
    <mergeCell ref="B2:G5"/>
  </mergeCells>
  <conditionalFormatting sqref="H41:H43">
    <cfRule type="colorScale" priority="6">
      <colorScale>
        <cfvo type="min"/>
        <cfvo type="max"/>
        <color rgb="FFFFEF9C"/>
        <color rgb="FF63BE7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7:H49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3:H55">
    <cfRule type="colorScale" priority="2">
      <colorScale>
        <cfvo type="min"/>
        <cfvo type="max"/>
        <color rgb="FFFFEF9C"/>
        <color rgb="FF63BE7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1:G7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workbookViewId="0">
      <selection sqref="A1:XFD1048576"/>
    </sheetView>
  </sheetViews>
  <sheetFormatPr baseColWidth="10" defaultColWidth="15.33203125" defaultRowHeight="15" x14ac:dyDescent="0.2"/>
  <cols>
    <col min="1" max="1" width="15.33203125" style="200"/>
    <col min="2" max="2" width="16" style="200" customWidth="1"/>
    <col min="3" max="5" width="15.33203125" style="200"/>
    <col min="6" max="6" width="16.33203125" style="200" customWidth="1"/>
    <col min="7" max="10" width="15.33203125" style="200"/>
    <col min="11" max="11" width="5.6640625" style="200" customWidth="1"/>
    <col min="12" max="16384" width="15.33203125" style="200"/>
  </cols>
  <sheetData>
    <row r="1" spans="1:11" ht="21" x14ac:dyDescent="0.25">
      <c r="A1" s="244" t="s">
        <v>228</v>
      </c>
    </row>
    <row r="3" spans="1:11" ht="17" x14ac:dyDescent="0.2">
      <c r="A3" s="243" t="s">
        <v>222</v>
      </c>
    </row>
    <row r="4" spans="1:11" ht="17" x14ac:dyDescent="0.2">
      <c r="A4" s="243"/>
    </row>
    <row r="5" spans="1:11" x14ac:dyDescent="0.2">
      <c r="A5" s="200" t="s">
        <v>227</v>
      </c>
    </row>
    <row r="6" spans="1:11" x14ac:dyDescent="0.2">
      <c r="A6" s="200" t="s">
        <v>226</v>
      </c>
    </row>
    <row r="7" spans="1:11" x14ac:dyDescent="0.2">
      <c r="A7" s="200" t="s">
        <v>225</v>
      </c>
    </row>
    <row r="9" spans="1:11" x14ac:dyDescent="0.2">
      <c r="A9" s="240"/>
      <c r="B9" s="241" t="s">
        <v>206</v>
      </c>
      <c r="C9" s="241" t="s">
        <v>207</v>
      </c>
      <c r="D9" s="241" t="s">
        <v>205</v>
      </c>
      <c r="E9" s="241" t="s">
        <v>208</v>
      </c>
      <c r="H9" s="240"/>
      <c r="I9" s="240"/>
      <c r="J9" s="240"/>
    </row>
    <row r="10" spans="1:11" x14ac:dyDescent="0.2">
      <c r="A10" s="240" t="s">
        <v>206</v>
      </c>
      <c r="B10" s="225">
        <v>1</v>
      </c>
      <c r="C10" s="225">
        <v>0.25</v>
      </c>
      <c r="D10" s="225">
        <v>0.2</v>
      </c>
      <c r="E10" s="225">
        <v>2</v>
      </c>
      <c r="H10" s="239"/>
      <c r="I10" s="239"/>
      <c r="J10" s="239"/>
    </row>
    <row r="11" spans="1:11" x14ac:dyDescent="0.2">
      <c r="A11" s="240" t="s">
        <v>207</v>
      </c>
      <c r="B11" s="225">
        <v>4</v>
      </c>
      <c r="C11" s="225">
        <v>1</v>
      </c>
      <c r="D11" s="225">
        <v>0.5</v>
      </c>
      <c r="E11" s="225">
        <v>1</v>
      </c>
      <c r="H11" s="239"/>
      <c r="I11" s="239"/>
      <c r="J11" s="239"/>
    </row>
    <row r="12" spans="1:11" x14ac:dyDescent="0.2">
      <c r="A12" s="240" t="s">
        <v>205</v>
      </c>
      <c r="B12" s="225">
        <v>5</v>
      </c>
      <c r="C12" s="225">
        <v>2</v>
      </c>
      <c r="D12" s="225">
        <v>1</v>
      </c>
      <c r="E12" s="225">
        <v>4</v>
      </c>
      <c r="H12" s="239"/>
      <c r="I12" s="239"/>
      <c r="J12" s="239"/>
    </row>
    <row r="13" spans="1:11" x14ac:dyDescent="0.2">
      <c r="A13" s="240" t="s">
        <v>208</v>
      </c>
      <c r="B13" s="225">
        <v>0.5</v>
      </c>
      <c r="C13" s="225">
        <v>1</v>
      </c>
      <c r="D13" s="225">
        <v>0.25</v>
      </c>
      <c r="E13" s="225">
        <v>1</v>
      </c>
      <c r="H13" s="239"/>
      <c r="I13" s="239"/>
      <c r="J13" s="239"/>
    </row>
    <row r="14" spans="1:11" x14ac:dyDescent="0.2">
      <c r="H14" s="238"/>
      <c r="I14" s="238"/>
      <c r="J14" s="238"/>
    </row>
    <row r="15" spans="1:11" x14ac:dyDescent="0.2">
      <c r="B15" s="222"/>
    </row>
    <row r="16" spans="1:11" x14ac:dyDescent="0.2">
      <c r="B16" s="227" t="s">
        <v>206</v>
      </c>
      <c r="C16" s="227" t="s">
        <v>207</v>
      </c>
      <c r="D16" s="227" t="s">
        <v>205</v>
      </c>
      <c r="E16" s="227" t="s">
        <v>208</v>
      </c>
      <c r="F16" s="200" t="s">
        <v>224</v>
      </c>
      <c r="G16" s="240" t="s">
        <v>209</v>
      </c>
      <c r="H16" s="237"/>
      <c r="I16" s="203"/>
      <c r="J16" s="203" t="s">
        <v>218</v>
      </c>
      <c r="K16" s="203" t="s">
        <v>67</v>
      </c>
    </row>
    <row r="17" spans="1:11" x14ac:dyDescent="0.2">
      <c r="A17" s="200" t="s">
        <v>206</v>
      </c>
      <c r="B17" s="236">
        <f>B10</f>
        <v>1</v>
      </c>
      <c r="C17" s="236">
        <f>C10</f>
        <v>0.25</v>
      </c>
      <c r="D17" s="236">
        <f>D10</f>
        <v>0.2</v>
      </c>
      <c r="E17" s="236">
        <f>E10</f>
        <v>2</v>
      </c>
      <c r="F17" s="204">
        <f>(B10*C10*D10*E10)^0.25</f>
        <v>0.56234132519034907</v>
      </c>
      <c r="G17" s="204">
        <f>F17/$F$21</f>
        <v>0.11568383948430609</v>
      </c>
      <c r="H17" s="237"/>
      <c r="I17" s="235" t="str">
        <f>A17</f>
        <v>Visibility</v>
      </c>
      <c r="J17" s="204">
        <f>G17</f>
        <v>0.11568383948430609</v>
      </c>
      <c r="K17" s="203">
        <v>4</v>
      </c>
    </row>
    <row r="18" spans="1:11" x14ac:dyDescent="0.2">
      <c r="A18" s="200" t="s">
        <v>207</v>
      </c>
      <c r="B18" s="236">
        <f>B11</f>
        <v>4</v>
      </c>
      <c r="C18" s="236">
        <f>C11</f>
        <v>1</v>
      </c>
      <c r="D18" s="236">
        <f>D11</f>
        <v>0.5</v>
      </c>
      <c r="E18" s="236">
        <f>E11</f>
        <v>1</v>
      </c>
      <c r="F18" s="204">
        <f>(B11*C11*D11*E11)^0.25</f>
        <v>1.189207115002721</v>
      </c>
      <c r="G18" s="204">
        <f>F18/$F$21</f>
        <v>0.2446415350303523</v>
      </c>
      <c r="I18" s="235" t="str">
        <f>A18</f>
        <v>Competition</v>
      </c>
      <c r="J18" s="204">
        <f>G18</f>
        <v>0.2446415350303523</v>
      </c>
      <c r="K18" s="203">
        <v>2</v>
      </c>
    </row>
    <row r="19" spans="1:11" x14ac:dyDescent="0.2">
      <c r="A19" s="200" t="s">
        <v>205</v>
      </c>
      <c r="B19" s="236">
        <f>B12</f>
        <v>5</v>
      </c>
      <c r="C19" s="236">
        <f>C12</f>
        <v>2</v>
      </c>
      <c r="D19" s="236">
        <f>D12</f>
        <v>1</v>
      </c>
      <c r="E19" s="236">
        <f>E12</f>
        <v>4</v>
      </c>
      <c r="F19" s="204">
        <f>(B12*C12*D12*E12)^0.25</f>
        <v>2.514866859365871</v>
      </c>
      <c r="G19" s="204">
        <f>F19/$F$21</f>
        <v>0.51735385797016531</v>
      </c>
      <c r="I19" s="235" t="str">
        <f>A19</f>
        <v>Frequency</v>
      </c>
      <c r="J19" s="204">
        <f>G19</f>
        <v>0.51735385797016531</v>
      </c>
      <c r="K19" s="203">
        <v>1</v>
      </c>
    </row>
    <row r="20" spans="1:11" x14ac:dyDescent="0.2">
      <c r="A20" s="200" t="s">
        <v>208</v>
      </c>
      <c r="B20" s="236">
        <f>B13</f>
        <v>0.5</v>
      </c>
      <c r="C20" s="236">
        <f>C13</f>
        <v>1</v>
      </c>
      <c r="D20" s="236">
        <f>D13</f>
        <v>0.25</v>
      </c>
      <c r="E20" s="236">
        <f>E13</f>
        <v>1</v>
      </c>
      <c r="F20" s="204">
        <f>(B13*C13*D13*E13)^0.25</f>
        <v>0.59460355750136051</v>
      </c>
      <c r="G20" s="204">
        <f>F20/$F$21</f>
        <v>0.12232076751517615</v>
      </c>
      <c r="I20" s="235" t="str">
        <f>A20</f>
        <v>Renting costs</v>
      </c>
      <c r="J20" s="204">
        <f>G20</f>
        <v>0.12232076751517615</v>
      </c>
      <c r="K20" s="203">
        <v>3</v>
      </c>
    </row>
    <row r="21" spans="1:11" x14ac:dyDescent="0.2">
      <c r="F21" s="215">
        <f>SUM(F17:F20)</f>
        <v>4.8610188570603023</v>
      </c>
    </row>
    <row r="23" spans="1:11" x14ac:dyDescent="0.2">
      <c r="A23" s="232" t="s">
        <v>217</v>
      </c>
    </row>
    <row r="25" spans="1:11" ht="16" x14ac:dyDescent="0.2">
      <c r="A25" s="229" t="s">
        <v>216</v>
      </c>
    </row>
    <row r="27" spans="1:11" x14ac:dyDescent="0.2">
      <c r="A27" s="222"/>
      <c r="B27" s="108" t="s">
        <v>202</v>
      </c>
      <c r="C27" s="108" t="s">
        <v>201</v>
      </c>
      <c r="D27" s="108" t="s">
        <v>200</v>
      </c>
    </row>
    <row r="28" spans="1:11" x14ac:dyDescent="0.2">
      <c r="A28" s="213" t="s">
        <v>202</v>
      </c>
      <c r="B28" s="223">
        <v>1</v>
      </c>
      <c r="C28" s="228">
        <v>6</v>
      </c>
      <c r="D28" s="228">
        <v>3</v>
      </c>
      <c r="F28" s="227"/>
    </row>
    <row r="29" spans="1:11" x14ac:dyDescent="0.2">
      <c r="A29" s="213" t="s">
        <v>201</v>
      </c>
      <c r="B29" s="225">
        <v>0.16666666666666666</v>
      </c>
      <c r="C29" s="223">
        <v>1</v>
      </c>
      <c r="D29" s="226">
        <v>0.5</v>
      </c>
    </row>
    <row r="30" spans="1:11" x14ac:dyDescent="0.2">
      <c r="A30" s="213" t="s">
        <v>200</v>
      </c>
      <c r="B30" s="225">
        <v>0.33333333333333331</v>
      </c>
      <c r="C30" s="224">
        <v>2</v>
      </c>
      <c r="D30" s="223">
        <v>1</v>
      </c>
    </row>
    <row r="31" spans="1:11" x14ac:dyDescent="0.2">
      <c r="A31" s="219"/>
      <c r="B31" s="218"/>
      <c r="C31" s="217"/>
      <c r="D31" s="216"/>
    </row>
    <row r="32" spans="1:11" x14ac:dyDescent="0.2">
      <c r="A32" s="222"/>
      <c r="B32" s="108" t="s">
        <v>202</v>
      </c>
      <c r="C32" s="108" t="s">
        <v>201</v>
      </c>
      <c r="D32" s="108" t="s">
        <v>200</v>
      </c>
      <c r="E32" s="203" t="s">
        <v>224</v>
      </c>
      <c r="F32" s="245" t="s">
        <v>209</v>
      </c>
    </row>
    <row r="33" spans="1:6" x14ac:dyDescent="0.2">
      <c r="A33" s="213" t="s">
        <v>202</v>
      </c>
      <c r="B33" s="220">
        <f>B28</f>
        <v>1</v>
      </c>
      <c r="C33" s="220">
        <f>C28</f>
        <v>6</v>
      </c>
      <c r="D33" s="220">
        <f>D28</f>
        <v>3</v>
      </c>
      <c r="E33" s="208">
        <f>(B33*C33*D33)^0.333</f>
        <v>2.6182176378662723</v>
      </c>
      <c r="F33" s="211">
        <f>E33/E36</f>
        <v>0.6663711090452985</v>
      </c>
    </row>
    <row r="34" spans="1:6" x14ac:dyDescent="0.2">
      <c r="A34" s="213" t="s">
        <v>201</v>
      </c>
      <c r="B34" s="220">
        <f>B29</f>
        <v>0.16666666666666666</v>
      </c>
      <c r="C34" s="220">
        <f>C29</f>
        <v>1</v>
      </c>
      <c r="D34" s="220">
        <f>D29</f>
        <v>0.5</v>
      </c>
      <c r="E34" s="208">
        <f>(B34*C34*D34)^0.333</f>
        <v>0.43715217656470384</v>
      </c>
      <c r="F34" s="211">
        <f>E34/E36</f>
        <v>0.11126102601477721</v>
      </c>
    </row>
    <row r="35" spans="1:6" x14ac:dyDescent="0.2">
      <c r="A35" s="213" t="s">
        <v>200</v>
      </c>
      <c r="B35" s="220">
        <f>B30</f>
        <v>0.33333333333333331</v>
      </c>
      <c r="C35" s="220">
        <f>C30</f>
        <v>2</v>
      </c>
      <c r="D35" s="220">
        <f>D30</f>
        <v>1</v>
      </c>
      <c r="E35" s="208">
        <f>(B35*C35*D35)^0.333</f>
        <v>0.87369854151464654</v>
      </c>
      <c r="F35" s="211">
        <f>E35/E36</f>
        <v>0.22236786493992428</v>
      </c>
    </row>
    <row r="36" spans="1:6" x14ac:dyDescent="0.2">
      <c r="A36" s="219"/>
      <c r="B36" s="218"/>
      <c r="C36" s="217"/>
      <c r="D36" s="216"/>
      <c r="E36" s="208">
        <f>SUM(E33:E35)</f>
        <v>3.9290683559456228</v>
      </c>
      <c r="F36" s="215"/>
    </row>
    <row r="38" spans="1:6" x14ac:dyDescent="0.2">
      <c r="A38" s="230" t="s">
        <v>146</v>
      </c>
      <c r="B38" s="214" t="s">
        <v>207</v>
      </c>
    </row>
    <row r="39" spans="1:6" x14ac:dyDescent="0.2">
      <c r="A39" s="213" t="s">
        <v>202</v>
      </c>
      <c r="B39" s="204">
        <f>F33</f>
        <v>0.6663711090452985</v>
      </c>
    </row>
    <row r="40" spans="1:6" x14ac:dyDescent="0.2">
      <c r="A40" s="213" t="s">
        <v>201</v>
      </c>
      <c r="B40" s="204">
        <f>F34</f>
        <v>0.11126102601477721</v>
      </c>
    </row>
    <row r="41" spans="1:6" x14ac:dyDescent="0.2">
      <c r="A41" s="213" t="s">
        <v>200</v>
      </c>
      <c r="B41" s="204">
        <f>F35</f>
        <v>0.22236786493992428</v>
      </c>
    </row>
    <row r="42" spans="1:6" x14ac:dyDescent="0.2">
      <c r="A42" s="202"/>
      <c r="B42" s="231">
        <f>SUM(B39:B41)</f>
        <v>1</v>
      </c>
    </row>
    <row r="44" spans="1:6" ht="16" x14ac:dyDescent="0.2">
      <c r="A44" s="229" t="s">
        <v>215</v>
      </c>
    </row>
    <row r="46" spans="1:6" x14ac:dyDescent="0.2">
      <c r="A46" s="222"/>
      <c r="B46" s="108" t="s">
        <v>202</v>
      </c>
      <c r="C46" s="108" t="s">
        <v>201</v>
      </c>
      <c r="D46" s="108" t="s">
        <v>200</v>
      </c>
    </row>
    <row r="47" spans="1:6" x14ac:dyDescent="0.2">
      <c r="A47" s="213" t="s">
        <v>202</v>
      </c>
      <c r="B47" s="223">
        <v>1</v>
      </c>
      <c r="C47" s="228">
        <v>0.2</v>
      </c>
      <c r="D47" s="228">
        <v>0.2</v>
      </c>
      <c r="F47" s="227"/>
    </row>
    <row r="48" spans="1:6" x14ac:dyDescent="0.2">
      <c r="A48" s="213" t="s">
        <v>201</v>
      </c>
      <c r="B48" s="225">
        <v>5</v>
      </c>
      <c r="C48" s="223">
        <v>1</v>
      </c>
      <c r="D48" s="226">
        <v>0.5</v>
      </c>
    </row>
    <row r="49" spans="1:6" x14ac:dyDescent="0.2">
      <c r="A49" s="213" t="s">
        <v>200</v>
      </c>
      <c r="B49" s="225">
        <v>5</v>
      </c>
      <c r="C49" s="224">
        <v>2</v>
      </c>
      <c r="D49" s="223">
        <v>1</v>
      </c>
    </row>
    <row r="50" spans="1:6" x14ac:dyDescent="0.2">
      <c r="A50" s="219"/>
      <c r="B50" s="218"/>
      <c r="C50" s="217"/>
      <c r="D50" s="216"/>
    </row>
    <row r="51" spans="1:6" x14ac:dyDescent="0.2">
      <c r="A51" s="222"/>
      <c r="B51" s="108" t="s">
        <v>202</v>
      </c>
      <c r="C51" s="108" t="s">
        <v>201</v>
      </c>
      <c r="D51" s="108" t="s">
        <v>200</v>
      </c>
      <c r="E51" s="203" t="s">
        <v>224</v>
      </c>
      <c r="F51" s="245" t="s">
        <v>209</v>
      </c>
    </row>
    <row r="52" spans="1:6" x14ac:dyDescent="0.2">
      <c r="A52" s="213" t="s">
        <v>202</v>
      </c>
      <c r="B52" s="220">
        <f>B47</f>
        <v>1</v>
      </c>
      <c r="C52" s="220">
        <f>C47</f>
        <v>0.2</v>
      </c>
      <c r="D52" s="220">
        <f>D47</f>
        <v>0.2</v>
      </c>
      <c r="E52" s="208">
        <f>(B52*C52*D52)^0.333</f>
        <v>0.34236233294745733</v>
      </c>
      <c r="F52" s="211">
        <f>E52/E55</f>
        <v>8.888053151533501E-2</v>
      </c>
    </row>
    <row r="53" spans="1:6" x14ac:dyDescent="0.2">
      <c r="A53" s="213" t="s">
        <v>201</v>
      </c>
      <c r="B53" s="220">
        <f>B48</f>
        <v>5</v>
      </c>
      <c r="C53" s="220">
        <f>C48</f>
        <v>1</v>
      </c>
      <c r="D53" s="220">
        <f>D48</f>
        <v>0.5</v>
      </c>
      <c r="E53" s="208">
        <f>(B53*C53*D53)^0.333</f>
        <v>1.3567943389789876</v>
      </c>
      <c r="F53" s="211">
        <f>E53/E55</f>
        <v>0.35223676906056572</v>
      </c>
    </row>
    <row r="54" spans="1:6" x14ac:dyDescent="0.2">
      <c r="A54" s="213" t="s">
        <v>200</v>
      </c>
      <c r="B54" s="220">
        <f>B49</f>
        <v>5</v>
      </c>
      <c r="C54" s="220">
        <f>C49</f>
        <v>2</v>
      </c>
      <c r="D54" s="220">
        <f>D49</f>
        <v>1</v>
      </c>
      <c r="E54" s="208">
        <f>(B54*C54*D54)^0.333</f>
        <v>2.152781734724373</v>
      </c>
      <c r="F54" s="211">
        <f>E54/E55</f>
        <v>0.55888269942409929</v>
      </c>
    </row>
    <row r="55" spans="1:6" x14ac:dyDescent="0.2">
      <c r="A55" s="219"/>
      <c r="B55" s="218"/>
      <c r="C55" s="217"/>
      <c r="D55" s="216"/>
      <c r="E55" s="208">
        <f>SUM(E52:E54)</f>
        <v>3.851938406650818</v>
      </c>
      <c r="F55" s="215"/>
    </row>
    <row r="56" spans="1:6" x14ac:dyDescent="0.2">
      <c r="A56" s="219"/>
      <c r="B56" s="218"/>
      <c r="C56" s="217"/>
      <c r="D56" s="216"/>
    </row>
    <row r="57" spans="1:6" x14ac:dyDescent="0.2">
      <c r="A57" s="230" t="s">
        <v>146</v>
      </c>
      <c r="B57" s="214" t="s">
        <v>206</v>
      </c>
    </row>
    <row r="58" spans="1:6" x14ac:dyDescent="0.2">
      <c r="A58" s="213" t="s">
        <v>202</v>
      </c>
      <c r="B58" s="204">
        <f>F52</f>
        <v>8.888053151533501E-2</v>
      </c>
    </row>
    <row r="59" spans="1:6" x14ac:dyDescent="0.2">
      <c r="A59" s="213" t="s">
        <v>201</v>
      </c>
      <c r="B59" s="204">
        <f>F53</f>
        <v>0.35223676906056572</v>
      </c>
    </row>
    <row r="60" spans="1:6" x14ac:dyDescent="0.2">
      <c r="A60" s="213" t="s">
        <v>200</v>
      </c>
      <c r="B60" s="204">
        <f>F54</f>
        <v>0.55888269942409929</v>
      </c>
    </row>
    <row r="61" spans="1:6" x14ac:dyDescent="0.2">
      <c r="A61" s="202"/>
      <c r="B61" s="204">
        <f>SUM(B58:B60)</f>
        <v>1</v>
      </c>
    </row>
    <row r="62" spans="1:6" x14ac:dyDescent="0.2">
      <c r="A62" s="202"/>
      <c r="B62" s="201"/>
    </row>
    <row r="63" spans="1:6" ht="16" x14ac:dyDescent="0.2">
      <c r="A63" s="229" t="s">
        <v>214</v>
      </c>
    </row>
    <row r="65" spans="1:6" x14ac:dyDescent="0.2">
      <c r="A65" s="222"/>
      <c r="B65" s="108" t="s">
        <v>202</v>
      </c>
      <c r="C65" s="108" t="s">
        <v>201</v>
      </c>
      <c r="D65" s="108" t="s">
        <v>200</v>
      </c>
    </row>
    <row r="66" spans="1:6" x14ac:dyDescent="0.2">
      <c r="A66" s="213" t="s">
        <v>202</v>
      </c>
      <c r="B66" s="223">
        <v>1</v>
      </c>
      <c r="C66" s="228">
        <v>0.25</v>
      </c>
      <c r="D66" s="228">
        <v>0.2</v>
      </c>
      <c r="F66" s="227"/>
    </row>
    <row r="67" spans="1:6" x14ac:dyDescent="0.2">
      <c r="A67" s="213" t="s">
        <v>201</v>
      </c>
      <c r="B67" s="225">
        <v>4</v>
      </c>
      <c r="C67" s="223">
        <v>1</v>
      </c>
      <c r="D67" s="226">
        <v>0.33333333333333331</v>
      </c>
    </row>
    <row r="68" spans="1:6" x14ac:dyDescent="0.2">
      <c r="A68" s="213" t="s">
        <v>200</v>
      </c>
      <c r="B68" s="225">
        <v>5</v>
      </c>
      <c r="C68" s="224">
        <v>3</v>
      </c>
      <c r="D68" s="223">
        <v>1</v>
      </c>
    </row>
    <row r="69" spans="1:6" x14ac:dyDescent="0.2">
      <c r="A69" s="219"/>
      <c r="B69" s="218"/>
      <c r="C69" s="217"/>
      <c r="D69" s="216"/>
    </row>
    <row r="70" spans="1:6" x14ac:dyDescent="0.2">
      <c r="A70" s="222"/>
      <c r="B70" s="108" t="s">
        <v>202</v>
      </c>
      <c r="C70" s="108" t="s">
        <v>201</v>
      </c>
      <c r="D70" s="108" t="s">
        <v>200</v>
      </c>
      <c r="E70" s="203" t="s">
        <v>224</v>
      </c>
      <c r="F70" s="245" t="s">
        <v>209</v>
      </c>
    </row>
    <row r="71" spans="1:6" x14ac:dyDescent="0.2">
      <c r="A71" s="213" t="s">
        <v>202</v>
      </c>
      <c r="B71" s="220">
        <f>B66</f>
        <v>1</v>
      </c>
      <c r="C71" s="220">
        <f>C66</f>
        <v>0.25</v>
      </c>
      <c r="D71" s="220">
        <f>D66</f>
        <v>0.2</v>
      </c>
      <c r="E71" s="208">
        <f>(B71*C71*D71)^0.333</f>
        <v>0.36877121267163476</v>
      </c>
      <c r="F71" s="211">
        <f>E71/E74</f>
        <v>9.375630775356554E-2</v>
      </c>
    </row>
    <row r="72" spans="1:6" x14ac:dyDescent="0.2">
      <c r="A72" s="213" t="s">
        <v>201</v>
      </c>
      <c r="B72" s="220">
        <f>B67</f>
        <v>4</v>
      </c>
      <c r="C72" s="220">
        <f>C67</f>
        <v>1</v>
      </c>
      <c r="D72" s="220">
        <f>D67</f>
        <v>0.33333333333333331</v>
      </c>
      <c r="E72" s="208">
        <f>(B72*C72*D72)^0.333</f>
        <v>1.1005368763281662</v>
      </c>
      <c r="F72" s="211">
        <f>E72/E74</f>
        <v>0.27980024070655407</v>
      </c>
    </row>
    <row r="73" spans="1:6" x14ac:dyDescent="0.2">
      <c r="A73" s="213" t="s">
        <v>200</v>
      </c>
      <c r="B73" s="220">
        <f>B68</f>
        <v>5</v>
      </c>
      <c r="C73" s="220">
        <f>C68</f>
        <v>3</v>
      </c>
      <c r="D73" s="220">
        <f>D68</f>
        <v>1</v>
      </c>
      <c r="E73" s="208">
        <f>(B73*C73*D73)^0.333</f>
        <v>2.4639868701077416</v>
      </c>
      <c r="F73" s="211">
        <f>E73/E74</f>
        <v>0.62644345153988035</v>
      </c>
    </row>
    <row r="74" spans="1:6" x14ac:dyDescent="0.2">
      <c r="A74" s="219"/>
      <c r="B74" s="218"/>
      <c r="C74" s="217"/>
      <c r="D74" s="216"/>
      <c r="E74" s="208">
        <f>SUM(E71:E73)</f>
        <v>3.9332949591075428</v>
      </c>
      <c r="F74" s="215"/>
    </row>
    <row r="75" spans="1:6" x14ac:dyDescent="0.2">
      <c r="A75" s="219"/>
      <c r="B75" s="218"/>
      <c r="C75" s="217"/>
      <c r="D75" s="216"/>
      <c r="F75" s="215"/>
    </row>
    <row r="76" spans="1:6" x14ac:dyDescent="0.2">
      <c r="A76" s="230" t="s">
        <v>146</v>
      </c>
      <c r="B76" s="214" t="s">
        <v>205</v>
      </c>
    </row>
    <row r="77" spans="1:6" x14ac:dyDescent="0.2">
      <c r="A77" s="213" t="s">
        <v>202</v>
      </c>
      <c r="B77" s="204">
        <f>F71</f>
        <v>9.375630775356554E-2</v>
      </c>
    </row>
    <row r="78" spans="1:6" x14ac:dyDescent="0.2">
      <c r="A78" s="213" t="s">
        <v>201</v>
      </c>
      <c r="B78" s="204">
        <f>F72</f>
        <v>0.27980024070655407</v>
      </c>
    </row>
    <row r="79" spans="1:6" x14ac:dyDescent="0.2">
      <c r="A79" s="213" t="s">
        <v>200</v>
      </c>
      <c r="B79" s="204">
        <f>F73</f>
        <v>0.62644345153988035</v>
      </c>
    </row>
    <row r="80" spans="1:6" x14ac:dyDescent="0.2">
      <c r="A80" s="202"/>
      <c r="B80" s="204">
        <f>SUM(B77:B79)</f>
        <v>1</v>
      </c>
    </row>
    <row r="81" spans="1:6" x14ac:dyDescent="0.2">
      <c r="A81" s="202"/>
      <c r="B81" s="201"/>
    </row>
    <row r="82" spans="1:6" ht="16" x14ac:dyDescent="0.2">
      <c r="A82" s="229" t="s">
        <v>213</v>
      </c>
    </row>
    <row r="84" spans="1:6" x14ac:dyDescent="0.2">
      <c r="A84" s="222"/>
      <c r="B84" s="108" t="s">
        <v>202</v>
      </c>
      <c r="C84" s="108" t="s">
        <v>201</v>
      </c>
      <c r="D84" s="108" t="s">
        <v>200</v>
      </c>
    </row>
    <row r="85" spans="1:6" x14ac:dyDescent="0.2">
      <c r="A85" s="213" t="s">
        <v>202</v>
      </c>
      <c r="B85" s="223">
        <v>1</v>
      </c>
      <c r="C85" s="228">
        <v>0.14285714285714285</v>
      </c>
      <c r="D85" s="228">
        <v>0.2</v>
      </c>
      <c r="F85" s="227"/>
    </row>
    <row r="86" spans="1:6" x14ac:dyDescent="0.2">
      <c r="A86" s="213" t="s">
        <v>201</v>
      </c>
      <c r="B86" s="225">
        <v>7</v>
      </c>
      <c r="C86" s="223">
        <v>1</v>
      </c>
      <c r="D86" s="226">
        <v>0.2</v>
      </c>
    </row>
    <row r="87" spans="1:6" x14ac:dyDescent="0.2">
      <c r="A87" s="213" t="s">
        <v>200</v>
      </c>
      <c r="B87" s="225">
        <v>5</v>
      </c>
      <c r="C87" s="224">
        <v>5</v>
      </c>
      <c r="D87" s="223">
        <v>1</v>
      </c>
    </row>
    <row r="88" spans="1:6" x14ac:dyDescent="0.2">
      <c r="A88" s="219"/>
      <c r="B88" s="218"/>
      <c r="C88" s="217"/>
      <c r="D88" s="216"/>
    </row>
    <row r="89" spans="1:6" x14ac:dyDescent="0.2">
      <c r="A89" s="222"/>
      <c r="B89" s="108" t="s">
        <v>202</v>
      </c>
      <c r="C89" s="108" t="s">
        <v>201</v>
      </c>
      <c r="D89" s="108" t="s">
        <v>200</v>
      </c>
      <c r="E89" s="203" t="s">
        <v>224</v>
      </c>
      <c r="F89" s="245" t="s">
        <v>209</v>
      </c>
    </row>
    <row r="90" spans="1:6" x14ac:dyDescent="0.2">
      <c r="A90" s="213" t="s">
        <v>202</v>
      </c>
      <c r="B90" s="220">
        <f>B85</f>
        <v>1</v>
      </c>
      <c r="C90" s="220">
        <f>C85</f>
        <v>0.14285714285714285</v>
      </c>
      <c r="D90" s="220">
        <f>D85</f>
        <v>0.2</v>
      </c>
      <c r="E90" s="208">
        <f>(B90*C90*D90)^0.333</f>
        <v>0.30607322616161314</v>
      </c>
      <c r="F90" s="211">
        <f>E90/E93</f>
        <v>7.0434220143970674E-2</v>
      </c>
    </row>
    <row r="91" spans="1:6" x14ac:dyDescent="0.2">
      <c r="A91" s="213" t="s">
        <v>201</v>
      </c>
      <c r="B91" s="220">
        <f>B86</f>
        <v>7</v>
      </c>
      <c r="C91" s="220">
        <f>C86</f>
        <v>1</v>
      </c>
      <c r="D91" s="220">
        <f>D86</f>
        <v>0.2</v>
      </c>
      <c r="E91" s="208">
        <f>(B91*C91*D91)^0.333</f>
        <v>1.1185634798604789</v>
      </c>
      <c r="F91" s="211">
        <f>E91/E93</f>
        <v>0.25740620103732514</v>
      </c>
    </row>
    <row r="92" spans="1:6" x14ac:dyDescent="0.2">
      <c r="A92" s="213" t="s">
        <v>200</v>
      </c>
      <c r="B92" s="220">
        <f>B87</f>
        <v>5</v>
      </c>
      <c r="C92" s="220">
        <f>C87</f>
        <v>5</v>
      </c>
      <c r="D92" s="220">
        <f>D87</f>
        <v>1</v>
      </c>
      <c r="E92" s="208">
        <f>(B92*C92*D92)^0.333</f>
        <v>2.9208820707313938</v>
      </c>
      <c r="F92" s="211">
        <f>E92/E93</f>
        <v>0.67215957881870425</v>
      </c>
    </row>
    <row r="93" spans="1:6" x14ac:dyDescent="0.2">
      <c r="A93" s="219"/>
      <c r="B93" s="218"/>
      <c r="C93" s="217"/>
      <c r="D93" s="216"/>
      <c r="E93" s="208">
        <f>SUM(E90:E92)</f>
        <v>4.3455187767534857</v>
      </c>
      <c r="F93" s="215"/>
    </row>
    <row r="94" spans="1:6" x14ac:dyDescent="0.2">
      <c r="A94" s="219"/>
      <c r="B94" s="218"/>
      <c r="C94" s="217"/>
      <c r="D94" s="216"/>
      <c r="F94" s="215"/>
    </row>
    <row r="95" spans="1:6" x14ac:dyDescent="0.2">
      <c r="A95" s="214" t="s">
        <v>146</v>
      </c>
      <c r="B95" s="214" t="s">
        <v>204</v>
      </c>
    </row>
    <row r="96" spans="1:6" x14ac:dyDescent="0.2">
      <c r="A96" s="213" t="s">
        <v>202</v>
      </c>
      <c r="B96" s="204">
        <f>F90</f>
        <v>7.0434220143970674E-2</v>
      </c>
    </row>
    <row r="97" spans="1:7" x14ac:dyDescent="0.2">
      <c r="A97" s="213" t="s">
        <v>201</v>
      </c>
      <c r="B97" s="204">
        <f>F91</f>
        <v>0.25740620103732514</v>
      </c>
    </row>
    <row r="98" spans="1:7" x14ac:dyDescent="0.2">
      <c r="A98" s="213" t="s">
        <v>200</v>
      </c>
      <c r="B98" s="204">
        <f>F92</f>
        <v>0.67215957881870425</v>
      </c>
    </row>
    <row r="99" spans="1:7" x14ac:dyDescent="0.2">
      <c r="A99" s="202"/>
      <c r="B99" s="204">
        <f>SUM(B96:B98)</f>
        <v>1</v>
      </c>
    </row>
    <row r="100" spans="1:7" x14ac:dyDescent="0.2">
      <c r="A100" s="202"/>
      <c r="B100" s="201"/>
    </row>
    <row r="101" spans="1:7" x14ac:dyDescent="0.2">
      <c r="A101" s="202"/>
      <c r="B101" s="201"/>
    </row>
    <row r="102" spans="1:7" x14ac:dyDescent="0.2">
      <c r="A102" s="210" t="s">
        <v>210</v>
      </c>
      <c r="B102" s="201"/>
    </row>
    <row r="103" spans="1:7" x14ac:dyDescent="0.2">
      <c r="A103" s="202"/>
      <c r="B103" s="212" t="s">
        <v>209</v>
      </c>
    </row>
    <row r="104" spans="1:7" x14ac:dyDescent="0.2">
      <c r="A104" s="203" t="s">
        <v>207</v>
      </c>
      <c r="B104" s="211">
        <f>G18</f>
        <v>0.2446415350303523</v>
      </c>
    </row>
    <row r="105" spans="1:7" x14ac:dyDescent="0.2">
      <c r="A105" s="203" t="s">
        <v>206</v>
      </c>
      <c r="B105" s="211">
        <f>G17</f>
        <v>0.11568383948430609</v>
      </c>
    </row>
    <row r="106" spans="1:7" x14ac:dyDescent="0.2">
      <c r="A106" s="203" t="s">
        <v>205</v>
      </c>
      <c r="B106" s="211">
        <f>G19</f>
        <v>0.51735385797016531</v>
      </c>
    </row>
    <row r="107" spans="1:7" x14ac:dyDescent="0.2">
      <c r="A107" s="203" t="s">
        <v>208</v>
      </c>
      <c r="B107" s="211">
        <f>G20</f>
        <v>0.12232076751517615</v>
      </c>
    </row>
    <row r="108" spans="1:7" x14ac:dyDescent="0.2">
      <c r="A108" s="202"/>
      <c r="B108" s="201"/>
    </row>
    <row r="109" spans="1:7" x14ac:dyDescent="0.2">
      <c r="A109" s="202"/>
      <c r="B109" s="201"/>
    </row>
    <row r="110" spans="1:7" x14ac:dyDescent="0.2">
      <c r="A110" s="210" t="s">
        <v>146</v>
      </c>
      <c r="B110" s="201"/>
    </row>
    <row r="111" spans="1:7" x14ac:dyDescent="0.2">
      <c r="A111" s="209"/>
      <c r="B111" s="208" t="s">
        <v>207</v>
      </c>
      <c r="C111" s="208" t="s">
        <v>206</v>
      </c>
      <c r="D111" s="208" t="s">
        <v>205</v>
      </c>
      <c r="E111" s="208" t="s">
        <v>204</v>
      </c>
      <c r="F111" s="207" t="s">
        <v>203</v>
      </c>
      <c r="G111" s="206" t="s">
        <v>8</v>
      </c>
    </row>
    <row r="112" spans="1:7" x14ac:dyDescent="0.2">
      <c r="A112" s="205" t="s">
        <v>202</v>
      </c>
      <c r="B112" s="204">
        <f>B39</f>
        <v>0.6663711090452985</v>
      </c>
      <c r="C112" s="204">
        <f>B58</f>
        <v>8.888053151533501E-2</v>
      </c>
      <c r="D112" s="204">
        <f>B77</f>
        <v>9.375630775356554E-2</v>
      </c>
      <c r="E112" s="204">
        <f>B96</f>
        <v>7.0434220143970674E-2</v>
      </c>
      <c r="F112" s="204">
        <f>+B112*B$104+C112*B$105+D112*B$106+E112*B$107</f>
        <v>0.23042484755050854</v>
      </c>
      <c r="G112" s="203"/>
    </row>
    <row r="113" spans="1:7" x14ac:dyDescent="0.2">
      <c r="A113" s="205" t="s">
        <v>201</v>
      </c>
      <c r="B113" s="204">
        <f>B40</f>
        <v>0.11126102601477721</v>
      </c>
      <c r="C113" s="204">
        <f>B59</f>
        <v>0.35223676906056572</v>
      </c>
      <c r="D113" s="204">
        <f>B78</f>
        <v>0.27980024070655407</v>
      </c>
      <c r="E113" s="204">
        <f>B97</f>
        <v>0.25740620103732514</v>
      </c>
      <c r="F113" s="204">
        <f>+B113*B$104+C113*B$105+D113*B$106+E113*B$107</f>
        <v>0.24420902811034814</v>
      </c>
      <c r="G113" s="203"/>
    </row>
    <row r="114" spans="1:7" x14ac:dyDescent="0.2">
      <c r="A114" s="205" t="s">
        <v>200</v>
      </c>
      <c r="B114" s="204">
        <f>B41</f>
        <v>0.22236786493992428</v>
      </c>
      <c r="C114" s="204">
        <f>B60</f>
        <v>0.55888269942409929</v>
      </c>
      <c r="D114" s="204">
        <f>B79</f>
        <v>0.62644345153988035</v>
      </c>
      <c r="E114" s="204">
        <f>B98</f>
        <v>0.67215957881870425</v>
      </c>
      <c r="F114" s="204">
        <f>+B114*B$104+C114*B$105+D114*B$106+E114*B$107</f>
        <v>0.5253661243391432</v>
      </c>
      <c r="G114" s="203" t="s">
        <v>199</v>
      </c>
    </row>
    <row r="115" spans="1:7" x14ac:dyDescent="0.2">
      <c r="A115" s="202"/>
      <c r="B115" s="20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baseColWidth="10" defaultColWidth="9.1640625" defaultRowHeight="16" x14ac:dyDescent="0.2"/>
  <cols>
    <col min="1" max="2" width="25.5" style="6" customWidth="1"/>
    <col min="3" max="3" width="24.6640625" style="6" customWidth="1"/>
    <col min="4" max="4" width="21.5" style="6" customWidth="1"/>
    <col min="5" max="5" width="23.5" style="6" customWidth="1"/>
    <col min="6" max="6" width="10.6640625" style="6" bestFit="1" customWidth="1"/>
    <col min="7" max="7" width="35.1640625" style="6" customWidth="1"/>
    <col min="8" max="8" width="24.5" style="6" customWidth="1"/>
    <col min="9" max="9" width="27.1640625" style="6" customWidth="1"/>
    <col min="10" max="10" width="20.33203125" style="6" customWidth="1"/>
    <col min="11" max="11" width="22.83203125" style="6" customWidth="1"/>
    <col min="12" max="16384" width="9.1640625" style="6"/>
  </cols>
  <sheetData>
    <row r="1" spans="1:5" ht="21" x14ac:dyDescent="0.25">
      <c r="A1" s="283" t="s">
        <v>266</v>
      </c>
    </row>
    <row r="4" spans="1:5" x14ac:dyDescent="0.2">
      <c r="A4" s="6" t="s">
        <v>265</v>
      </c>
    </row>
    <row r="5" spans="1:5" x14ac:dyDescent="0.2">
      <c r="A5" s="6" t="s">
        <v>264</v>
      </c>
    </row>
    <row r="7" spans="1:5" x14ac:dyDescent="0.2">
      <c r="A7" s="6" t="s">
        <v>263</v>
      </c>
    </row>
    <row r="8" spans="1:5" x14ac:dyDescent="0.2">
      <c r="A8" s="282" t="s">
        <v>235</v>
      </c>
      <c r="B8" s="255" t="s">
        <v>250</v>
      </c>
      <c r="C8" s="255" t="s">
        <v>238</v>
      </c>
      <c r="D8" s="255" t="s">
        <v>249</v>
      </c>
      <c r="E8" s="254" t="s">
        <v>248</v>
      </c>
    </row>
    <row r="9" spans="1:5" x14ac:dyDescent="0.2">
      <c r="A9" s="281" t="s">
        <v>260</v>
      </c>
      <c r="B9" s="280" t="s">
        <v>262</v>
      </c>
      <c r="C9" s="280" t="s">
        <v>261</v>
      </c>
      <c r="D9" s="280" t="s">
        <v>261</v>
      </c>
      <c r="E9" s="279" t="s">
        <v>261</v>
      </c>
    </row>
    <row r="10" spans="1:5" x14ac:dyDescent="0.2">
      <c r="A10" s="252" t="s">
        <v>231</v>
      </c>
      <c r="B10" s="258">
        <v>429</v>
      </c>
      <c r="C10" s="258">
        <v>4</v>
      </c>
      <c r="D10" s="258">
        <v>4.6500000000000004</v>
      </c>
      <c r="E10" s="272">
        <v>32</v>
      </c>
    </row>
    <row r="11" spans="1:5" x14ac:dyDescent="0.2">
      <c r="A11" s="252" t="s">
        <v>229</v>
      </c>
      <c r="B11" s="274">
        <v>649</v>
      </c>
      <c r="C11" s="258">
        <v>4</v>
      </c>
      <c r="D11" s="274">
        <v>3.5</v>
      </c>
      <c r="E11" s="278">
        <v>64</v>
      </c>
    </row>
    <row r="12" spans="1:5" x14ac:dyDescent="0.2">
      <c r="A12" s="252" t="s">
        <v>230</v>
      </c>
      <c r="B12" s="258">
        <v>459</v>
      </c>
      <c r="C12" s="275">
        <v>5</v>
      </c>
      <c r="D12" s="258">
        <v>4.3</v>
      </c>
      <c r="E12" s="272">
        <v>32</v>
      </c>
    </row>
    <row r="13" spans="1:5" x14ac:dyDescent="0.2">
      <c r="A13" s="252" t="s">
        <v>233</v>
      </c>
      <c r="B13" s="275">
        <v>419</v>
      </c>
      <c r="C13" s="274">
        <v>3.5</v>
      </c>
      <c r="D13" s="258">
        <v>4.3</v>
      </c>
      <c r="E13" s="277">
        <v>16</v>
      </c>
    </row>
    <row r="14" spans="1:5" x14ac:dyDescent="0.2">
      <c r="A14" s="252" t="s">
        <v>232</v>
      </c>
      <c r="B14" s="276">
        <v>519</v>
      </c>
      <c r="C14" s="258">
        <v>4.8</v>
      </c>
      <c r="D14" s="275">
        <v>4.7</v>
      </c>
      <c r="E14" s="274">
        <v>16</v>
      </c>
    </row>
    <row r="15" spans="1:5" x14ac:dyDescent="0.2">
      <c r="B15" s="258"/>
      <c r="C15" s="258"/>
      <c r="D15" s="258"/>
      <c r="E15" s="258"/>
    </row>
    <row r="16" spans="1:5" x14ac:dyDescent="0.2">
      <c r="B16" s="258"/>
      <c r="C16" s="258"/>
      <c r="D16" s="258"/>
      <c r="E16" s="258"/>
    </row>
    <row r="17" spans="1:12" x14ac:dyDescent="0.2">
      <c r="A17" s="273" t="s">
        <v>260</v>
      </c>
      <c r="B17" s="255" t="s">
        <v>250</v>
      </c>
      <c r="C17" s="255" t="s">
        <v>238</v>
      </c>
      <c r="D17" s="255" t="s">
        <v>249</v>
      </c>
      <c r="E17" s="254" t="s">
        <v>248</v>
      </c>
    </row>
    <row r="18" spans="1:12" x14ac:dyDescent="0.2">
      <c r="A18" s="273" t="s">
        <v>259</v>
      </c>
      <c r="B18" s="258">
        <f>MIN(B10:B14)</f>
        <v>419</v>
      </c>
      <c r="C18" s="258">
        <f>MIN(C10:C14)</f>
        <v>3.5</v>
      </c>
      <c r="D18" s="258">
        <f>MIN(D10:D14)</f>
        <v>3.5</v>
      </c>
      <c r="E18" s="272">
        <f>MIN(E10:E14)</f>
        <v>16</v>
      </c>
    </row>
    <row r="19" spans="1:12" x14ac:dyDescent="0.2">
      <c r="A19" s="273" t="s">
        <v>258</v>
      </c>
      <c r="B19" s="258">
        <f>MAX(B10:B14)</f>
        <v>649</v>
      </c>
      <c r="C19" s="258">
        <f>MAX(C10:C14)</f>
        <v>5</v>
      </c>
      <c r="D19" s="258">
        <f>MAX(D10:D14)</f>
        <v>4.7</v>
      </c>
      <c r="E19" s="272">
        <f>MAX(E10:E14)</f>
        <v>64</v>
      </c>
    </row>
    <row r="20" spans="1:12" x14ac:dyDescent="0.2">
      <c r="B20" s="258"/>
      <c r="C20" s="258"/>
      <c r="D20" s="258"/>
      <c r="E20" s="258"/>
    </row>
    <row r="21" spans="1:12" x14ac:dyDescent="0.2">
      <c r="B21" s="258"/>
      <c r="C21" s="258"/>
      <c r="D21" s="258"/>
      <c r="E21" s="258"/>
    </row>
    <row r="22" spans="1:12" x14ac:dyDescent="0.2">
      <c r="A22" s="271" t="s">
        <v>257</v>
      </c>
      <c r="B22" s="255" t="s">
        <v>250</v>
      </c>
      <c r="C22" s="255" t="s">
        <v>238</v>
      </c>
      <c r="D22" s="255" t="s">
        <v>249</v>
      </c>
      <c r="E22" s="254" t="s">
        <v>248</v>
      </c>
    </row>
    <row r="23" spans="1:12" x14ac:dyDescent="0.2">
      <c r="A23" s="252" t="s">
        <v>231</v>
      </c>
      <c r="B23" s="260">
        <f>(B$18-B10)/(B$19-B$18)+1</f>
        <v>0.95652173913043481</v>
      </c>
      <c r="C23" s="260">
        <f>(C10-C$18)/(C$19-C$18)</f>
        <v>0.33333333333333331</v>
      </c>
      <c r="D23" s="260">
        <f>(D10-D$18)/(D$19-D$18)</f>
        <v>0.95833333333333348</v>
      </c>
      <c r="E23" s="259">
        <f>(E10-E$18)/(E$19-E$18)</f>
        <v>0.33333333333333331</v>
      </c>
      <c r="G23" s="253"/>
    </row>
    <row r="24" spans="1:12" x14ac:dyDescent="0.2">
      <c r="A24" s="252" t="s">
        <v>229</v>
      </c>
      <c r="B24" s="268">
        <f>(B$18-B11)/(B$19-B$18)+1</f>
        <v>0</v>
      </c>
      <c r="C24" s="260">
        <f>(C11-C$18)/(C$19-C$18)</f>
        <v>0.33333333333333331</v>
      </c>
      <c r="D24" s="268">
        <f>(D11-D$18)/(D$19-D$18)</f>
        <v>0</v>
      </c>
      <c r="E24" s="267">
        <f>(E11-E$18)/(E$19-E$18)</f>
        <v>1</v>
      </c>
      <c r="G24" s="270" t="s">
        <v>256</v>
      </c>
      <c r="H24" s="269"/>
      <c r="I24" s="269"/>
    </row>
    <row r="25" spans="1:12" x14ac:dyDescent="0.2">
      <c r="A25" s="252" t="s">
        <v>230</v>
      </c>
      <c r="B25" s="260">
        <f>(B$18-B12)/(B$19-B$18)+1</f>
        <v>0.82608695652173914</v>
      </c>
      <c r="C25" s="268">
        <f>(C12-C$18)/(C$19-C$18)</f>
        <v>1</v>
      </c>
      <c r="D25" s="260">
        <f>(D12-D$18)/(D$19-D$18)</f>
        <v>0.66666666666666641</v>
      </c>
      <c r="E25" s="259">
        <f>(E12-E$18)/(E$19-E$18)</f>
        <v>0.33333333333333331</v>
      </c>
      <c r="G25" s="253"/>
    </row>
    <row r="26" spans="1:12" x14ac:dyDescent="0.2">
      <c r="A26" s="252" t="s">
        <v>233</v>
      </c>
      <c r="B26" s="268">
        <f>(B$18-B13)/(B$19-B$18)+1</f>
        <v>1</v>
      </c>
      <c r="C26" s="268">
        <f>(C13-C$18)/(C$19-C$18)</f>
        <v>0</v>
      </c>
      <c r="D26" s="260">
        <f>(D13-D$18)/(D$19-D$18)</f>
        <v>0.66666666666666641</v>
      </c>
      <c r="E26" s="267">
        <f>(E13-E$18)/(E$19-E$18)</f>
        <v>0</v>
      </c>
      <c r="G26" s="253"/>
    </row>
    <row r="27" spans="1:12" x14ac:dyDescent="0.2">
      <c r="A27" s="252" t="s">
        <v>232</v>
      </c>
      <c r="B27" s="260">
        <f>(B$18-B14)/(B$19-B$18)+1</f>
        <v>0.56521739130434789</v>
      </c>
      <c r="C27" s="260">
        <f>(C14-C$18)/(C$19-C$18)</f>
        <v>0.86666666666666659</v>
      </c>
      <c r="D27" s="268">
        <f>(D14-D$18)/(D$19-D$18)</f>
        <v>1</v>
      </c>
      <c r="E27" s="267">
        <f>(E14-E$18)/(E$19-E$18)</f>
        <v>0</v>
      </c>
      <c r="G27" s="253"/>
    </row>
    <row r="28" spans="1:12" x14ac:dyDescent="0.2">
      <c r="B28" s="258"/>
      <c r="C28" s="258"/>
      <c r="D28" s="258"/>
      <c r="E28" s="258"/>
    </row>
    <row r="30" spans="1:12" ht="17" thickBot="1" x14ac:dyDescent="0.25">
      <c r="B30" s="255" t="s">
        <v>255</v>
      </c>
      <c r="C30" s="255" t="s">
        <v>255</v>
      </c>
      <c r="D30" s="266" t="s">
        <v>254</v>
      </c>
      <c r="E30" s="265" t="s">
        <v>254</v>
      </c>
      <c r="H30" s="255" t="s">
        <v>255</v>
      </c>
      <c r="I30" s="255" t="s">
        <v>255</v>
      </c>
      <c r="J30" s="266" t="s">
        <v>254</v>
      </c>
      <c r="K30" s="265" t="s">
        <v>254</v>
      </c>
    </row>
    <row r="31" spans="1:12" ht="18" thickTop="1" thickBot="1" x14ac:dyDescent="0.25">
      <c r="A31" s="256" t="s">
        <v>253</v>
      </c>
      <c r="B31" s="255" t="s">
        <v>250</v>
      </c>
      <c r="C31" s="255" t="s">
        <v>238</v>
      </c>
      <c r="D31" s="255" t="s">
        <v>249</v>
      </c>
      <c r="E31" s="254" t="s">
        <v>248</v>
      </c>
      <c r="G31" s="264" t="s">
        <v>252</v>
      </c>
      <c r="H31" s="255" t="s">
        <v>250</v>
      </c>
      <c r="I31" s="255" t="s">
        <v>238</v>
      </c>
      <c r="J31" s="255" t="s">
        <v>249</v>
      </c>
      <c r="K31" s="254" t="s">
        <v>248</v>
      </c>
      <c r="L31" s="263" t="s">
        <v>218</v>
      </c>
    </row>
    <row r="32" spans="1:12" ht="17" thickTop="1" x14ac:dyDescent="0.2">
      <c r="A32" s="252" t="s">
        <v>231</v>
      </c>
      <c r="B32" s="253">
        <f>(EXP(B23^3)-1)/1.718282</f>
        <v>0.81432791707698193</v>
      </c>
      <c r="C32" s="253">
        <f>(EXP(C23^2)-1)/1.718282</f>
        <v>6.8393353792837078E-2</v>
      </c>
      <c r="D32" s="260">
        <f>(D10-D$18)/(D$19-D$18)</f>
        <v>0.95833333333333348</v>
      </c>
      <c r="E32" s="259">
        <f>(E10-E$18)/(E$19-E$18)</f>
        <v>0.33333333333333331</v>
      </c>
      <c r="G32" s="262" t="s">
        <v>231</v>
      </c>
      <c r="H32" s="253">
        <f>B32*$B$39</f>
        <v>0.28501477097694367</v>
      </c>
      <c r="I32" s="261">
        <f>C32*$C$39</f>
        <v>2.3937673827492977E-2</v>
      </c>
      <c r="J32" s="260">
        <f>D32*$D$39</f>
        <v>0.14375000000000002</v>
      </c>
      <c r="K32" s="259">
        <f>E32*$E$39</f>
        <v>4.9999999999999996E-2</v>
      </c>
      <c r="L32" s="253">
        <f>SUM(H32:K32)</f>
        <v>0.50270244480443671</v>
      </c>
    </row>
    <row r="33" spans="1:12" x14ac:dyDescent="0.2">
      <c r="A33" s="252" t="s">
        <v>229</v>
      </c>
      <c r="B33" s="253">
        <f>(EXP(B24^3)-1)/1.718282</f>
        <v>0</v>
      </c>
      <c r="C33" s="253">
        <f>(EXP(C24^2)-1)/1.718282</f>
        <v>6.8393353792837078E-2</v>
      </c>
      <c r="D33" s="260">
        <f>(D11-D$18)/(D$19-D$18)</f>
        <v>0</v>
      </c>
      <c r="E33" s="259">
        <f>(E11-E$18)/(E$19-E$18)</f>
        <v>1</v>
      </c>
      <c r="G33" s="262" t="s">
        <v>229</v>
      </c>
      <c r="H33" s="253">
        <f>B33*$B$39</f>
        <v>0</v>
      </c>
      <c r="I33" s="261">
        <f>C33*$C$39</f>
        <v>2.3937673827492977E-2</v>
      </c>
      <c r="J33" s="260">
        <f>D33*$D$39</f>
        <v>0</v>
      </c>
      <c r="K33" s="259">
        <f>E33*$E$39</f>
        <v>0.15</v>
      </c>
      <c r="L33" s="253">
        <f>SUM(H33:K33)</f>
        <v>0.17393767382749298</v>
      </c>
    </row>
    <row r="34" spans="1:12" x14ac:dyDescent="0.2">
      <c r="A34" s="252" t="s">
        <v>230</v>
      </c>
      <c r="B34" s="253">
        <f>(EXP(B25^3)-1)/1.718282</f>
        <v>0.44068943548791478</v>
      </c>
      <c r="C34" s="253">
        <f>(EXP(C25^2)-1)/1.718282</f>
        <v>0.99999990016716989</v>
      </c>
      <c r="D34" s="260">
        <f>(D12-D$18)/(D$19-D$18)</f>
        <v>0.66666666666666641</v>
      </c>
      <c r="E34" s="259">
        <f>(E12-E$18)/(E$19-E$18)</f>
        <v>0.33333333333333331</v>
      </c>
      <c r="G34" s="262" t="s">
        <v>230</v>
      </c>
      <c r="H34" s="253">
        <f>B34*$B$39</f>
        <v>0.15424130242077017</v>
      </c>
      <c r="I34" s="261">
        <f>C34*$C$39</f>
        <v>0.34999996505850944</v>
      </c>
      <c r="J34" s="260">
        <f>D34*$D$39</f>
        <v>9.9999999999999964E-2</v>
      </c>
      <c r="K34" s="259">
        <f>E34*$E$39</f>
        <v>4.9999999999999996E-2</v>
      </c>
      <c r="L34" s="253">
        <f>SUM(H34:K34)</f>
        <v>0.65424126747927958</v>
      </c>
    </row>
    <row r="35" spans="1:12" x14ac:dyDescent="0.2">
      <c r="A35" s="252" t="s">
        <v>233</v>
      </c>
      <c r="B35" s="253">
        <f>(EXP(B26^3)-1)/1.718282</f>
        <v>0.99999990016716989</v>
      </c>
      <c r="C35" s="253">
        <f>(EXP(C26^2)-1)/1.718282</f>
        <v>0</v>
      </c>
      <c r="D35" s="260">
        <f>(D13-D$18)/(D$19-D$18)</f>
        <v>0.66666666666666641</v>
      </c>
      <c r="E35" s="259">
        <f>(E13-E$18)/(E$19-E$18)</f>
        <v>0</v>
      </c>
      <c r="G35" s="262" t="s">
        <v>233</v>
      </c>
      <c r="H35" s="253">
        <f>B35*$B$39</f>
        <v>0.34999996505850944</v>
      </c>
      <c r="I35" s="261">
        <f>C35*$C$39</f>
        <v>0</v>
      </c>
      <c r="J35" s="260">
        <f>D35*$D$39</f>
        <v>9.9999999999999964E-2</v>
      </c>
      <c r="K35" s="259">
        <f>E35*$E$39</f>
        <v>0</v>
      </c>
      <c r="L35" s="253">
        <f>SUM(H35:K35)</f>
        <v>0.44999996505850942</v>
      </c>
    </row>
    <row r="36" spans="1:12" x14ac:dyDescent="0.2">
      <c r="A36" s="252" t="s">
        <v>232</v>
      </c>
      <c r="B36" s="253">
        <f>(EXP(B27^3)-1)/1.718282</f>
        <v>0.11517343783590574</v>
      </c>
      <c r="C36" s="253">
        <f>(EXP(C27^2)-1)/1.718282</f>
        <v>0.65143762556298634</v>
      </c>
      <c r="D36" s="260">
        <f>(D14-D$18)/(D$19-D$18)</f>
        <v>1</v>
      </c>
      <c r="E36" s="259">
        <f>(E14-E$18)/(E$19-E$18)</f>
        <v>0</v>
      </c>
      <c r="G36" s="262" t="s">
        <v>232</v>
      </c>
      <c r="H36" s="253">
        <f>B36*$B$39</f>
        <v>4.0310703242567004E-2</v>
      </c>
      <c r="I36" s="261">
        <f>C36*$C$39</f>
        <v>0.2280031689470452</v>
      </c>
      <c r="J36" s="260">
        <f>D36*$D$39</f>
        <v>0.15</v>
      </c>
      <c r="K36" s="259">
        <f>E36*$E$39</f>
        <v>0</v>
      </c>
      <c r="L36" s="253">
        <f>SUM(H36:K36)</f>
        <v>0.41831387218961225</v>
      </c>
    </row>
    <row r="37" spans="1:12" x14ac:dyDescent="0.2">
      <c r="B37" s="258"/>
      <c r="C37" s="258"/>
      <c r="D37" s="258"/>
      <c r="E37" s="258"/>
    </row>
    <row r="38" spans="1:12" x14ac:dyDescent="0.2">
      <c r="A38" s="252" t="s">
        <v>251</v>
      </c>
      <c r="B38" s="255" t="s">
        <v>250</v>
      </c>
      <c r="C38" s="255" t="s">
        <v>238</v>
      </c>
      <c r="D38" s="255" t="s">
        <v>249</v>
      </c>
      <c r="E38" s="254" t="s">
        <v>248</v>
      </c>
    </row>
    <row r="39" spans="1:12" x14ac:dyDescent="0.2">
      <c r="A39" s="252" t="s">
        <v>247</v>
      </c>
      <c r="B39" s="157">
        <v>0.35</v>
      </c>
      <c r="C39" s="157">
        <v>0.35</v>
      </c>
      <c r="D39" s="157">
        <v>0.15</v>
      </c>
      <c r="E39" s="257">
        <v>0.15</v>
      </c>
    </row>
    <row r="43" spans="1:12" x14ac:dyDescent="0.2">
      <c r="A43" s="256" t="s">
        <v>246</v>
      </c>
      <c r="B43" s="255" t="s">
        <v>245</v>
      </c>
      <c r="C43" s="254" t="s">
        <v>67</v>
      </c>
    </row>
    <row r="44" spans="1:12" x14ac:dyDescent="0.2">
      <c r="A44" s="252" t="s">
        <v>231</v>
      </c>
      <c r="B44" s="253">
        <f>B32*B$39+C32*C$39+D32*D$39+E32*E$39</f>
        <v>0.50270244480443671</v>
      </c>
      <c r="C44" s="252">
        <v>2</v>
      </c>
    </row>
    <row r="45" spans="1:12" x14ac:dyDescent="0.2">
      <c r="A45" s="252" t="s">
        <v>229</v>
      </c>
      <c r="B45" s="253">
        <f>B33*B$39+C33*C$39+D33*D$39+E33*E$39</f>
        <v>0.17393767382749298</v>
      </c>
      <c r="C45" s="252">
        <v>5</v>
      </c>
    </row>
    <row r="46" spans="1:12" x14ac:dyDescent="0.2">
      <c r="A46" s="252" t="s">
        <v>230</v>
      </c>
      <c r="B46" s="253">
        <f>B34*B$39+C34*C$39+D34*D$39+E34*E$39</f>
        <v>0.65424126747927958</v>
      </c>
      <c r="C46" s="252">
        <v>1</v>
      </c>
    </row>
    <row r="47" spans="1:12" x14ac:dyDescent="0.2">
      <c r="A47" s="252" t="s">
        <v>233</v>
      </c>
      <c r="B47" s="253">
        <f>B35*B$39+C35*C$39+D35*D$39+E35*E$39</f>
        <v>0.44999996505850942</v>
      </c>
      <c r="C47" s="252">
        <v>3</v>
      </c>
    </row>
    <row r="48" spans="1:12" x14ac:dyDescent="0.2">
      <c r="A48" s="252" t="s">
        <v>232</v>
      </c>
      <c r="B48" s="253">
        <f>B36*B$39+C36*C$39+D36*D$39+E36*E$39</f>
        <v>0.41831387218961225</v>
      </c>
      <c r="C48" s="252">
        <v>4</v>
      </c>
    </row>
    <row r="69" spans="1:6" x14ac:dyDescent="0.2">
      <c r="A69" s="250" t="s">
        <v>244</v>
      </c>
      <c r="B69" s="249"/>
      <c r="C69" s="248"/>
    </row>
    <row r="70" spans="1:6" x14ac:dyDescent="0.2">
      <c r="A70" s="9"/>
      <c r="B70" s="9" t="s">
        <v>235</v>
      </c>
      <c r="C70" s="9" t="s">
        <v>234</v>
      </c>
    </row>
    <row r="71" spans="1:6" x14ac:dyDescent="0.2">
      <c r="A71" s="9" t="s">
        <v>243</v>
      </c>
      <c r="B71" s="9">
        <v>649</v>
      </c>
      <c r="C71" s="246">
        <v>0</v>
      </c>
    </row>
    <row r="72" spans="1:6" x14ac:dyDescent="0.2">
      <c r="A72" s="247" t="s">
        <v>242</v>
      </c>
      <c r="B72" s="9">
        <v>519</v>
      </c>
      <c r="C72" s="246">
        <v>0.11517343783590574</v>
      </c>
      <c r="D72" s="251"/>
      <c r="E72" s="251"/>
      <c r="F72" s="251"/>
    </row>
    <row r="73" spans="1:6" x14ac:dyDescent="0.2">
      <c r="A73" s="9" t="s">
        <v>241</v>
      </c>
      <c r="B73" s="9">
        <v>459</v>
      </c>
      <c r="C73" s="246">
        <v>0.44068943548791478</v>
      </c>
      <c r="D73" s="251"/>
      <c r="E73" s="251"/>
      <c r="F73" s="251"/>
    </row>
    <row r="74" spans="1:6" x14ac:dyDescent="0.2">
      <c r="A74" s="9" t="s">
        <v>240</v>
      </c>
      <c r="B74" s="9">
        <v>429</v>
      </c>
      <c r="C74" s="246">
        <v>0.81432791707698193</v>
      </c>
      <c r="D74" s="251"/>
      <c r="E74" s="251"/>
      <c r="F74" s="251"/>
    </row>
    <row r="75" spans="1:6" x14ac:dyDescent="0.2">
      <c r="A75" s="247" t="s">
        <v>239</v>
      </c>
      <c r="B75" s="9">
        <v>419</v>
      </c>
      <c r="C75" s="246">
        <v>0.99999990016716989</v>
      </c>
      <c r="D75" s="251"/>
      <c r="E75" s="251"/>
      <c r="F75" s="251"/>
    </row>
    <row r="76" spans="1:6" x14ac:dyDescent="0.2">
      <c r="C76" s="251"/>
      <c r="D76" s="251"/>
      <c r="E76" s="251"/>
      <c r="F76" s="251"/>
    </row>
    <row r="84" spans="1:3" x14ac:dyDescent="0.2">
      <c r="A84" s="250" t="s">
        <v>238</v>
      </c>
      <c r="B84" s="249"/>
      <c r="C84" s="248"/>
    </row>
    <row r="85" spans="1:3" x14ac:dyDescent="0.2">
      <c r="A85" s="9"/>
      <c r="B85" s="9" t="s">
        <v>235</v>
      </c>
      <c r="C85" s="9" t="s">
        <v>234</v>
      </c>
    </row>
    <row r="86" spans="1:3" x14ac:dyDescent="0.2">
      <c r="A86" s="247" t="s">
        <v>233</v>
      </c>
      <c r="B86" s="9">
        <v>3.5</v>
      </c>
      <c r="C86" s="246">
        <v>0</v>
      </c>
    </row>
    <row r="87" spans="1:3" x14ac:dyDescent="0.2">
      <c r="A87" s="247" t="s">
        <v>231</v>
      </c>
      <c r="B87" s="9">
        <v>4</v>
      </c>
      <c r="C87" s="246">
        <v>6.8393353792837078E-2</v>
      </c>
    </row>
    <row r="88" spans="1:3" x14ac:dyDescent="0.2">
      <c r="A88" s="247" t="s">
        <v>229</v>
      </c>
      <c r="B88" s="9">
        <v>4</v>
      </c>
      <c r="C88" s="246">
        <v>6.8393353792837078E-2</v>
      </c>
    </row>
    <row r="89" spans="1:3" x14ac:dyDescent="0.2">
      <c r="A89" s="247" t="s">
        <v>232</v>
      </c>
      <c r="B89" s="9">
        <v>4.8</v>
      </c>
      <c r="C89" s="246">
        <v>0.65143762556298634</v>
      </c>
    </row>
    <row r="90" spans="1:3" x14ac:dyDescent="0.2">
      <c r="A90" s="247" t="s">
        <v>230</v>
      </c>
      <c r="B90" s="9">
        <v>5</v>
      </c>
      <c r="C90" s="246">
        <v>0.99999990016716989</v>
      </c>
    </row>
    <row r="99" spans="1:3" x14ac:dyDescent="0.2">
      <c r="A99" s="250" t="s">
        <v>237</v>
      </c>
      <c r="B99" s="249"/>
      <c r="C99" s="248"/>
    </row>
    <row r="100" spans="1:3" x14ac:dyDescent="0.2">
      <c r="A100" s="9"/>
      <c r="B100" s="9" t="s">
        <v>235</v>
      </c>
      <c r="C100" s="9" t="s">
        <v>234</v>
      </c>
    </row>
    <row r="101" spans="1:3" x14ac:dyDescent="0.2">
      <c r="A101" s="247" t="s">
        <v>229</v>
      </c>
      <c r="B101" s="9">
        <v>3.5</v>
      </c>
      <c r="C101" s="246">
        <v>0</v>
      </c>
    </row>
    <row r="102" spans="1:3" x14ac:dyDescent="0.2">
      <c r="A102" s="247" t="s">
        <v>230</v>
      </c>
      <c r="B102" s="9">
        <v>4.3</v>
      </c>
      <c r="C102" s="246">
        <v>0.66666666666666641</v>
      </c>
    </row>
    <row r="103" spans="1:3" x14ac:dyDescent="0.2">
      <c r="A103" s="247" t="s">
        <v>233</v>
      </c>
      <c r="B103" s="9">
        <v>4.3</v>
      </c>
      <c r="C103" s="246">
        <v>0.66666666666666641</v>
      </c>
    </row>
    <row r="104" spans="1:3" x14ac:dyDescent="0.2">
      <c r="A104" s="247" t="s">
        <v>231</v>
      </c>
      <c r="B104" s="9">
        <v>4.6500000000000004</v>
      </c>
      <c r="C104" s="246">
        <v>0.95833333333333348</v>
      </c>
    </row>
    <row r="105" spans="1:3" x14ac:dyDescent="0.2">
      <c r="A105" s="247" t="s">
        <v>232</v>
      </c>
      <c r="B105" s="9">
        <v>4.7</v>
      </c>
      <c r="C105" s="246">
        <v>1</v>
      </c>
    </row>
    <row r="115" spans="1:3" x14ac:dyDescent="0.2">
      <c r="A115" s="250" t="s">
        <v>236</v>
      </c>
      <c r="B115" s="249"/>
      <c r="C115" s="248"/>
    </row>
    <row r="116" spans="1:3" x14ac:dyDescent="0.2">
      <c r="A116" s="9"/>
      <c r="B116" s="9" t="s">
        <v>235</v>
      </c>
      <c r="C116" s="9" t="s">
        <v>234</v>
      </c>
    </row>
    <row r="117" spans="1:3" x14ac:dyDescent="0.2">
      <c r="A117" s="247" t="s">
        <v>233</v>
      </c>
      <c r="B117" s="9">
        <v>16</v>
      </c>
      <c r="C117" s="246">
        <v>0</v>
      </c>
    </row>
    <row r="118" spans="1:3" x14ac:dyDescent="0.2">
      <c r="A118" s="247" t="s">
        <v>232</v>
      </c>
      <c r="B118" s="9">
        <v>16</v>
      </c>
      <c r="C118" s="246">
        <v>0</v>
      </c>
    </row>
    <row r="119" spans="1:3" x14ac:dyDescent="0.2">
      <c r="A119" s="247" t="s">
        <v>231</v>
      </c>
      <c r="B119" s="9">
        <v>32</v>
      </c>
      <c r="C119" s="246">
        <v>0.33333333333333331</v>
      </c>
    </row>
    <row r="120" spans="1:3" x14ac:dyDescent="0.2">
      <c r="A120" s="247" t="s">
        <v>230</v>
      </c>
      <c r="B120" s="9">
        <v>32</v>
      </c>
      <c r="C120" s="246">
        <v>0.33333333333333331</v>
      </c>
    </row>
    <row r="121" spans="1:3" x14ac:dyDescent="0.2">
      <c r="A121" s="247" t="s">
        <v>229</v>
      </c>
      <c r="B121" s="9">
        <v>64</v>
      </c>
      <c r="C121" s="246">
        <v>1</v>
      </c>
    </row>
  </sheetData>
  <mergeCells count="4">
    <mergeCell ref="A69:C69"/>
    <mergeCell ref="A84:C84"/>
    <mergeCell ref="A99:C99"/>
    <mergeCell ref="A115:C115"/>
  </mergeCells>
  <pageMargins left="0.7" right="0.7" top="0.75" bottom="0.75" header="0.3" footer="0.3"/>
  <drawing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2"/>
  <sheetViews>
    <sheetView workbookViewId="0">
      <selection sqref="A1:XFD1048576"/>
    </sheetView>
  </sheetViews>
  <sheetFormatPr baseColWidth="10" defaultColWidth="9.1640625" defaultRowHeight="15" x14ac:dyDescent="0.2"/>
  <cols>
    <col min="1" max="2" width="25.5" style="6" customWidth="1"/>
    <col min="3" max="3" width="24.6640625" style="6" customWidth="1"/>
    <col min="4" max="4" width="21.5" style="6" customWidth="1"/>
    <col min="5" max="5" width="23.5" style="6" customWidth="1"/>
    <col min="6" max="6" width="9.1640625" style="6"/>
    <col min="7" max="7" width="35.1640625" style="6" customWidth="1"/>
    <col min="8" max="8" width="24.5" style="6" customWidth="1"/>
    <col min="9" max="9" width="27.1640625" style="6" customWidth="1"/>
    <col min="10" max="10" width="20.33203125" style="6" customWidth="1"/>
    <col min="11" max="11" width="22.83203125" style="6" customWidth="1"/>
    <col min="12" max="16384" width="9.1640625" style="6"/>
  </cols>
  <sheetData>
    <row r="1" spans="1:5" ht="21" x14ac:dyDescent="0.25">
      <c r="A1" s="283" t="s">
        <v>266</v>
      </c>
    </row>
    <row r="2" spans="1:5" ht="16" x14ac:dyDescent="0.2"/>
    <row r="3" spans="1:5" ht="16" x14ac:dyDescent="0.2"/>
    <row r="4" spans="1:5" ht="16" x14ac:dyDescent="0.2">
      <c r="A4" s="6" t="s">
        <v>265</v>
      </c>
    </row>
    <row r="5" spans="1:5" ht="16" x14ac:dyDescent="0.2">
      <c r="A5" s="6" t="s">
        <v>264</v>
      </c>
    </row>
    <row r="6" spans="1:5" ht="16" x14ac:dyDescent="0.2"/>
    <row r="7" spans="1:5" ht="16" x14ac:dyDescent="0.2">
      <c r="A7" s="6" t="s">
        <v>263</v>
      </c>
    </row>
    <row r="8" spans="1:5" ht="16" x14ac:dyDescent="0.2">
      <c r="A8" s="282" t="s">
        <v>235</v>
      </c>
      <c r="B8" s="255" t="s">
        <v>250</v>
      </c>
      <c r="C8" s="255" t="s">
        <v>238</v>
      </c>
      <c r="D8" s="255" t="s">
        <v>249</v>
      </c>
      <c r="E8" s="254" t="s">
        <v>248</v>
      </c>
    </row>
    <row r="9" spans="1:5" ht="16" x14ac:dyDescent="0.2">
      <c r="A9" s="281" t="s">
        <v>260</v>
      </c>
      <c r="B9" s="280" t="s">
        <v>262</v>
      </c>
      <c r="C9" s="280" t="s">
        <v>261</v>
      </c>
      <c r="D9" s="280" t="s">
        <v>261</v>
      </c>
      <c r="E9" s="279" t="s">
        <v>261</v>
      </c>
    </row>
    <row r="10" spans="1:5" ht="16" x14ac:dyDescent="0.2">
      <c r="A10" s="252" t="s">
        <v>231</v>
      </c>
      <c r="B10" s="288">
        <v>419</v>
      </c>
      <c r="C10" s="258">
        <v>4</v>
      </c>
      <c r="D10" s="258">
        <v>4.6500000000000004</v>
      </c>
      <c r="E10" s="287">
        <v>64</v>
      </c>
    </row>
    <row r="11" spans="1:5" ht="16" x14ac:dyDescent="0.2">
      <c r="A11" s="252" t="s">
        <v>229</v>
      </c>
      <c r="B11" s="274">
        <v>649</v>
      </c>
      <c r="C11" s="258">
        <v>4</v>
      </c>
      <c r="D11" s="274">
        <v>3.5</v>
      </c>
      <c r="E11" s="278">
        <v>64</v>
      </c>
    </row>
    <row r="12" spans="1:5" ht="16" x14ac:dyDescent="0.2">
      <c r="A12" s="252" t="s">
        <v>230</v>
      </c>
      <c r="B12" s="258">
        <v>459</v>
      </c>
      <c r="C12" s="275">
        <v>5</v>
      </c>
      <c r="D12" s="258">
        <v>4.3</v>
      </c>
      <c r="E12" s="272">
        <v>32</v>
      </c>
    </row>
    <row r="13" spans="1:5" ht="16" x14ac:dyDescent="0.2">
      <c r="A13" s="252" t="s">
        <v>233</v>
      </c>
      <c r="B13" s="275">
        <v>419</v>
      </c>
      <c r="C13" s="274">
        <v>3.5</v>
      </c>
      <c r="D13" s="258">
        <v>4.3</v>
      </c>
      <c r="E13" s="277">
        <v>16</v>
      </c>
    </row>
    <row r="14" spans="1:5" ht="16" x14ac:dyDescent="0.2">
      <c r="A14" s="252" t="s">
        <v>232</v>
      </c>
      <c r="B14" s="276">
        <v>519</v>
      </c>
      <c r="C14" s="258">
        <v>4.8</v>
      </c>
      <c r="D14" s="275">
        <v>4.7</v>
      </c>
      <c r="E14" s="274">
        <v>16</v>
      </c>
    </row>
    <row r="15" spans="1:5" ht="16" x14ac:dyDescent="0.2">
      <c r="B15" s="258"/>
      <c r="C15" s="258"/>
      <c r="D15" s="258"/>
      <c r="E15" s="258"/>
    </row>
    <row r="16" spans="1:5" ht="16" x14ac:dyDescent="0.2">
      <c r="B16" s="258"/>
      <c r="C16" s="258"/>
      <c r="D16" s="258"/>
      <c r="E16" s="258"/>
    </row>
    <row r="17" spans="1:11" ht="16" x14ac:dyDescent="0.2">
      <c r="A17" s="273" t="s">
        <v>260</v>
      </c>
      <c r="B17" s="255" t="s">
        <v>250</v>
      </c>
      <c r="C17" s="255" t="s">
        <v>238</v>
      </c>
      <c r="D17" s="255" t="s">
        <v>249</v>
      </c>
      <c r="E17" s="254" t="s">
        <v>248</v>
      </c>
    </row>
    <row r="18" spans="1:11" ht="16" x14ac:dyDescent="0.2">
      <c r="A18" s="273" t="s">
        <v>259</v>
      </c>
      <c r="B18" s="258">
        <f>MIN(B10:B14)</f>
        <v>419</v>
      </c>
      <c r="C18" s="258">
        <f>MIN(C10:C14)</f>
        <v>3.5</v>
      </c>
      <c r="D18" s="258">
        <f>MIN(D10:D14)</f>
        <v>3.5</v>
      </c>
      <c r="E18" s="272">
        <f>MIN(E10:E14)</f>
        <v>16</v>
      </c>
    </row>
    <row r="19" spans="1:11" ht="16" x14ac:dyDescent="0.2">
      <c r="A19" s="273" t="s">
        <v>258</v>
      </c>
      <c r="B19" s="258">
        <f>MAX(B10:B14)</f>
        <v>649</v>
      </c>
      <c r="C19" s="258">
        <f>MAX(C10:C14)</f>
        <v>5</v>
      </c>
      <c r="D19" s="258">
        <f>MAX(D10:D14)</f>
        <v>4.7</v>
      </c>
      <c r="E19" s="272">
        <f>MAX(E10:E14)</f>
        <v>64</v>
      </c>
    </row>
    <row r="20" spans="1:11" ht="16" x14ac:dyDescent="0.2">
      <c r="B20" s="258"/>
      <c r="C20" s="258"/>
      <c r="D20" s="258"/>
      <c r="E20" s="258"/>
    </row>
    <row r="21" spans="1:11" ht="16" x14ac:dyDescent="0.2">
      <c r="B21" s="258"/>
      <c r="C21" s="258"/>
      <c r="D21" s="258"/>
      <c r="E21" s="258"/>
    </row>
    <row r="22" spans="1:11" ht="16" x14ac:dyDescent="0.2">
      <c r="A22" s="271" t="s">
        <v>257</v>
      </c>
      <c r="B22" s="255" t="s">
        <v>250</v>
      </c>
      <c r="C22" s="255" t="s">
        <v>238</v>
      </c>
      <c r="D22" s="255" t="s">
        <v>249</v>
      </c>
      <c r="E22" s="254" t="s">
        <v>248</v>
      </c>
    </row>
    <row r="23" spans="1:11" ht="16" x14ac:dyDescent="0.2">
      <c r="A23" s="252" t="s">
        <v>231</v>
      </c>
      <c r="B23" s="260">
        <f>(B$18-B10)/(B$19-B$18)+1</f>
        <v>1</v>
      </c>
      <c r="C23" s="260">
        <f>(C10-C$18)/(C$19-C$18)</f>
        <v>0.33333333333333331</v>
      </c>
      <c r="D23" s="260">
        <f>(D10-D$18)/(D$19-D$18)</f>
        <v>0.95833333333333348</v>
      </c>
      <c r="E23" s="259">
        <f>(E10-E$18)/(E$19-E$18)</f>
        <v>1</v>
      </c>
      <c r="G23" s="253"/>
    </row>
    <row r="24" spans="1:11" ht="16" x14ac:dyDescent="0.2">
      <c r="A24" s="252" t="s">
        <v>229</v>
      </c>
      <c r="B24" s="268">
        <f>(B$18-B11)/(B$19-B$18)+1</f>
        <v>0</v>
      </c>
      <c r="C24" s="260">
        <f>(C11-C$18)/(C$19-C$18)</f>
        <v>0.33333333333333331</v>
      </c>
      <c r="D24" s="268">
        <f>(D11-D$18)/(D$19-D$18)</f>
        <v>0</v>
      </c>
      <c r="E24" s="267">
        <f>(E11-E$18)/(E$19-E$18)</f>
        <v>1</v>
      </c>
      <c r="G24" s="253"/>
    </row>
    <row r="25" spans="1:11" ht="16" x14ac:dyDescent="0.2">
      <c r="A25" s="252" t="s">
        <v>230</v>
      </c>
      <c r="B25" s="260">
        <f>(B$18-B12)/(B$19-B$18)+1</f>
        <v>0.82608695652173914</v>
      </c>
      <c r="C25" s="268">
        <f>(C12-C$18)/(C$19-C$18)</f>
        <v>1</v>
      </c>
      <c r="D25" s="260">
        <f>(D12-D$18)/(D$19-D$18)</f>
        <v>0.66666666666666641</v>
      </c>
      <c r="E25" s="259">
        <f>(E12-E$18)/(E$19-E$18)</f>
        <v>0.33333333333333331</v>
      </c>
      <c r="G25" s="253"/>
    </row>
    <row r="26" spans="1:11" ht="16" x14ac:dyDescent="0.2">
      <c r="A26" s="252" t="s">
        <v>233</v>
      </c>
      <c r="B26" s="268">
        <f>(B$18-B13)/(B$19-B$18)+1</f>
        <v>1</v>
      </c>
      <c r="C26" s="268">
        <f>(C13-C$18)/(C$19-C$18)</f>
        <v>0</v>
      </c>
      <c r="D26" s="260">
        <f>(D13-D$18)/(D$19-D$18)</f>
        <v>0.66666666666666641</v>
      </c>
      <c r="E26" s="267">
        <f>(E13-E$18)/(E$19-E$18)</f>
        <v>0</v>
      </c>
      <c r="G26" s="253"/>
    </row>
    <row r="27" spans="1:11" ht="16" x14ac:dyDescent="0.2">
      <c r="A27" s="252" t="s">
        <v>232</v>
      </c>
      <c r="B27" s="260">
        <f>(B$18-B14)/(B$19-B$18)+1</f>
        <v>0.56521739130434789</v>
      </c>
      <c r="C27" s="260">
        <f>(C14-C$18)/(C$19-C$18)</f>
        <v>0.86666666666666659</v>
      </c>
      <c r="D27" s="268">
        <f>(D14-D$18)/(D$19-D$18)</f>
        <v>1</v>
      </c>
      <c r="E27" s="267">
        <f>(E14-E$18)/(E$19-E$18)</f>
        <v>0</v>
      </c>
      <c r="G27" s="253"/>
    </row>
    <row r="28" spans="1:11" ht="16" x14ac:dyDescent="0.2">
      <c r="B28" s="258"/>
      <c r="C28" s="258"/>
      <c r="D28" s="258"/>
      <c r="E28" s="258"/>
    </row>
    <row r="29" spans="1:11" ht="16" x14ac:dyDescent="0.2"/>
    <row r="30" spans="1:11" ht="16" x14ac:dyDescent="0.2">
      <c r="B30" s="255" t="s">
        <v>255</v>
      </c>
      <c r="C30" s="255" t="s">
        <v>255</v>
      </c>
      <c r="D30" s="266" t="s">
        <v>254</v>
      </c>
      <c r="E30" s="265" t="s">
        <v>254</v>
      </c>
      <c r="H30" s="255" t="s">
        <v>255</v>
      </c>
      <c r="I30" s="255" t="s">
        <v>255</v>
      </c>
      <c r="J30" s="266" t="s">
        <v>254</v>
      </c>
      <c r="K30" s="265" t="s">
        <v>254</v>
      </c>
    </row>
    <row r="31" spans="1:11" ht="16" x14ac:dyDescent="0.2">
      <c r="A31" s="256" t="s">
        <v>253</v>
      </c>
      <c r="B31" s="255" t="s">
        <v>250</v>
      </c>
      <c r="C31" s="255" t="s">
        <v>238</v>
      </c>
      <c r="D31" s="255" t="s">
        <v>249</v>
      </c>
      <c r="E31" s="254" t="s">
        <v>248</v>
      </c>
      <c r="G31" s="264" t="s">
        <v>252</v>
      </c>
      <c r="H31" s="255" t="s">
        <v>250</v>
      </c>
      <c r="I31" s="255" t="s">
        <v>238</v>
      </c>
      <c r="J31" s="255" t="s">
        <v>249</v>
      </c>
      <c r="K31" s="254" t="s">
        <v>248</v>
      </c>
    </row>
    <row r="32" spans="1:11" ht="16" x14ac:dyDescent="0.2">
      <c r="A32" s="252" t="s">
        <v>231</v>
      </c>
      <c r="B32" s="253">
        <f>(EXP(B23^3)-1)/1.718282</f>
        <v>0.99999990016716989</v>
      </c>
      <c r="C32" s="261">
        <v>6.912886E-2</v>
      </c>
      <c r="D32" s="260">
        <f>(D10-D$18)/(D$19-D$18)</f>
        <v>0.95833333333333348</v>
      </c>
      <c r="E32" s="259">
        <f>(E10-E$18)/(E$19-E$18)</f>
        <v>1</v>
      </c>
      <c r="G32" s="262" t="s">
        <v>231</v>
      </c>
      <c r="H32" s="253">
        <f>B32*$B$39</f>
        <v>0.34999996505850944</v>
      </c>
      <c r="I32" s="261">
        <f>C32*$C$39</f>
        <v>2.4195101E-2</v>
      </c>
      <c r="J32" s="260">
        <f>D32*$D$39</f>
        <v>0.14375000000000002</v>
      </c>
      <c r="K32" s="259">
        <f>E32*$E$39</f>
        <v>0.15</v>
      </c>
    </row>
    <row r="33" spans="1:11" ht="16" x14ac:dyDescent="0.2">
      <c r="A33" s="252" t="s">
        <v>229</v>
      </c>
      <c r="B33" s="253">
        <f>(EXP(B24^3)-1)/1.718282</f>
        <v>0</v>
      </c>
      <c r="C33" s="261">
        <v>6.912886E-2</v>
      </c>
      <c r="D33" s="260">
        <f>(D11-D$18)/(D$19-D$18)</f>
        <v>0</v>
      </c>
      <c r="E33" s="259">
        <f>(E11-E$18)/(E$19-E$18)</f>
        <v>1</v>
      </c>
      <c r="G33" s="262" t="s">
        <v>229</v>
      </c>
      <c r="H33" s="253">
        <f>B33*$B$39</f>
        <v>0</v>
      </c>
      <c r="I33" s="261">
        <f>C33*$C$39</f>
        <v>2.4195101E-2</v>
      </c>
      <c r="J33" s="260">
        <f>D33*$D$39</f>
        <v>0</v>
      </c>
      <c r="K33" s="259">
        <f>E33*$E$39</f>
        <v>0.15</v>
      </c>
    </row>
    <row r="34" spans="1:11" ht="16" x14ac:dyDescent="0.2">
      <c r="A34" s="252" t="s">
        <v>230</v>
      </c>
      <c r="B34" s="253">
        <f>(EXP(B25^3)-1)/1.718282</f>
        <v>0.44068943548791478</v>
      </c>
      <c r="C34" s="260">
        <v>1</v>
      </c>
      <c r="D34" s="260">
        <f>(D12-D$18)/(D$19-D$18)</f>
        <v>0.66666666666666641</v>
      </c>
      <c r="E34" s="259">
        <f>(E12-E$18)/(E$19-E$18)</f>
        <v>0.33333333333333331</v>
      </c>
      <c r="G34" s="262" t="s">
        <v>230</v>
      </c>
      <c r="H34" s="253">
        <f>B34*$B$39</f>
        <v>0.15424130242077017</v>
      </c>
      <c r="I34" s="261">
        <f>C34*$C$39</f>
        <v>0.35</v>
      </c>
      <c r="J34" s="260">
        <f>D34*$D$39</f>
        <v>9.9999999999999964E-2</v>
      </c>
      <c r="K34" s="259">
        <f>E34*$E$39</f>
        <v>4.9999999999999996E-2</v>
      </c>
    </row>
    <row r="35" spans="1:11" ht="16" x14ac:dyDescent="0.2">
      <c r="A35" s="252" t="s">
        <v>233</v>
      </c>
      <c r="B35" s="253">
        <f>(EXP(B26^3)-1)/1.718282</f>
        <v>0.99999990016716989</v>
      </c>
      <c r="C35" s="260">
        <v>0</v>
      </c>
      <c r="D35" s="260">
        <f>(D13-D$18)/(D$19-D$18)</f>
        <v>0.66666666666666641</v>
      </c>
      <c r="E35" s="259">
        <f>(E13-E$18)/(E$19-E$18)</f>
        <v>0</v>
      </c>
      <c r="G35" s="262" t="s">
        <v>233</v>
      </c>
      <c r="H35" s="253">
        <f>B35*$B$39</f>
        <v>0.34999996505850944</v>
      </c>
      <c r="I35" s="261">
        <f>C35*$C$39</f>
        <v>0</v>
      </c>
      <c r="J35" s="260">
        <f>D35*$D$39</f>
        <v>9.9999999999999964E-2</v>
      </c>
      <c r="K35" s="259">
        <f>E35*$E$39</f>
        <v>0</v>
      </c>
    </row>
    <row r="36" spans="1:11" ht="16" x14ac:dyDescent="0.2">
      <c r="A36" s="252" t="s">
        <v>232</v>
      </c>
      <c r="B36" s="253">
        <f>(EXP(B27^3)-1)/1.718282</f>
        <v>0.11517343783590574</v>
      </c>
      <c r="C36" s="261">
        <v>0.65844329999999995</v>
      </c>
      <c r="D36" s="260">
        <f>(D14-D$18)/(D$19-D$18)</f>
        <v>1</v>
      </c>
      <c r="E36" s="259">
        <f>(E14-E$18)/(E$19-E$18)</f>
        <v>0</v>
      </c>
      <c r="G36" s="262" t="s">
        <v>232</v>
      </c>
      <c r="H36" s="253">
        <f>B36*$B$39</f>
        <v>4.0310703242567004E-2</v>
      </c>
      <c r="I36" s="261">
        <f>C36*$C$39</f>
        <v>0.23045515499999997</v>
      </c>
      <c r="J36" s="260">
        <f>D36*$D$39</f>
        <v>0.15</v>
      </c>
      <c r="K36" s="259">
        <f>E36*$E$39</f>
        <v>0</v>
      </c>
    </row>
    <row r="37" spans="1:11" ht="16" x14ac:dyDescent="0.2">
      <c r="B37" s="258"/>
      <c r="C37" s="258"/>
      <c r="D37" s="258"/>
      <c r="E37" s="258"/>
    </row>
    <row r="38" spans="1:11" ht="16" x14ac:dyDescent="0.2">
      <c r="A38" s="252" t="s">
        <v>251</v>
      </c>
      <c r="B38" s="255" t="s">
        <v>250</v>
      </c>
      <c r="C38" s="255" t="s">
        <v>238</v>
      </c>
      <c r="D38" s="255" t="s">
        <v>249</v>
      </c>
      <c r="E38" s="254" t="s">
        <v>248</v>
      </c>
    </row>
    <row r="39" spans="1:11" ht="16" x14ac:dyDescent="0.2">
      <c r="A39" s="252" t="s">
        <v>247</v>
      </c>
      <c r="B39" s="157">
        <v>0.35</v>
      </c>
      <c r="C39" s="157">
        <v>0.35</v>
      </c>
      <c r="D39" s="157">
        <v>0.15</v>
      </c>
      <c r="E39" s="257">
        <v>0.15</v>
      </c>
    </row>
    <row r="40" spans="1:11" ht="16" x14ac:dyDescent="0.2"/>
    <row r="41" spans="1:11" ht="16" x14ac:dyDescent="0.2"/>
    <row r="42" spans="1:11" ht="16" x14ac:dyDescent="0.2"/>
    <row r="43" spans="1:11" ht="16" x14ac:dyDescent="0.2">
      <c r="A43" s="256" t="s">
        <v>246</v>
      </c>
      <c r="B43" s="255" t="s">
        <v>245</v>
      </c>
      <c r="C43" s="254" t="s">
        <v>67</v>
      </c>
    </row>
    <row r="44" spans="1:11" ht="16" x14ac:dyDescent="0.2">
      <c r="A44" s="252" t="s">
        <v>231</v>
      </c>
      <c r="B44" s="253">
        <f>B32*B$39+C32*C$39+D32*D$39+E32*E$39</f>
        <v>0.66794506605850945</v>
      </c>
      <c r="C44" s="286">
        <v>1</v>
      </c>
    </row>
    <row r="45" spans="1:11" ht="16" x14ac:dyDescent="0.2">
      <c r="A45" s="252" t="s">
        <v>229</v>
      </c>
      <c r="B45" s="253">
        <f>B33*B$39+C33*C$39+D33*D$39+E33*E$39</f>
        <v>0.17419510099999999</v>
      </c>
      <c r="C45" s="252">
        <v>5</v>
      </c>
    </row>
    <row r="46" spans="1:11" ht="16" x14ac:dyDescent="0.2">
      <c r="A46" s="252" t="s">
        <v>230</v>
      </c>
      <c r="B46" s="253">
        <f>B34*B$39+C34*C$39+D34*D$39+E34*E$39</f>
        <v>0.65424130242077017</v>
      </c>
      <c r="C46" s="286">
        <v>2</v>
      </c>
    </row>
    <row r="47" spans="1:11" ht="16" x14ac:dyDescent="0.2">
      <c r="A47" s="252" t="s">
        <v>233</v>
      </c>
      <c r="B47" s="253">
        <f>B35*B$39+C35*C$39+D35*D$39+E35*E$39</f>
        <v>0.44999996505850942</v>
      </c>
      <c r="C47" s="252">
        <v>3</v>
      </c>
    </row>
    <row r="48" spans="1:11" ht="16" x14ac:dyDescent="0.2">
      <c r="A48" s="252" t="s">
        <v>232</v>
      </c>
      <c r="B48" s="253">
        <f>B36*B$39+C36*C$39+D36*D$39+E36*E$39</f>
        <v>0.42076585824256696</v>
      </c>
      <c r="C48" s="252">
        <v>4</v>
      </c>
    </row>
    <row r="49" ht="16" x14ac:dyDescent="0.2"/>
    <row r="50" ht="16" x14ac:dyDescent="0.2"/>
    <row r="51" ht="16" x14ac:dyDescent="0.2"/>
    <row r="52" ht="16" x14ac:dyDescent="0.2"/>
    <row r="53" ht="16" x14ac:dyDescent="0.2"/>
    <row r="54" ht="16" x14ac:dyDescent="0.2"/>
    <row r="55" ht="16" x14ac:dyDescent="0.2"/>
    <row r="56" ht="16" x14ac:dyDescent="0.2"/>
    <row r="57" ht="16" x14ac:dyDescent="0.2"/>
    <row r="58" ht="16" x14ac:dyDescent="0.2"/>
    <row r="59" ht="16" x14ac:dyDescent="0.2"/>
    <row r="60" ht="16" x14ac:dyDescent="0.2"/>
    <row r="61" ht="16" x14ac:dyDescent="0.2"/>
    <row r="62" ht="16" x14ac:dyDescent="0.2"/>
    <row r="63" ht="16" x14ac:dyDescent="0.2"/>
    <row r="64" ht="16" x14ac:dyDescent="0.2"/>
    <row r="65" spans="1:3" ht="16" x14ac:dyDescent="0.2"/>
    <row r="66" spans="1:3" ht="16" x14ac:dyDescent="0.2"/>
    <row r="67" spans="1:3" ht="16" x14ac:dyDescent="0.2">
      <c r="A67" s="285" t="s">
        <v>246</v>
      </c>
      <c r="B67" s="285" t="s">
        <v>245</v>
      </c>
      <c r="C67" s="285" t="s">
        <v>67</v>
      </c>
    </row>
    <row r="68" spans="1:3" ht="16" x14ac:dyDescent="0.2">
      <c r="A68" s="9" t="s">
        <v>231</v>
      </c>
      <c r="B68" s="284">
        <v>0.66794506605850945</v>
      </c>
      <c r="C68" s="9">
        <v>1</v>
      </c>
    </row>
    <row r="69" spans="1:3" ht="16" x14ac:dyDescent="0.2">
      <c r="A69" s="9" t="s">
        <v>230</v>
      </c>
      <c r="B69" s="284">
        <v>0.65424130242077017</v>
      </c>
      <c r="C69" s="9">
        <v>2</v>
      </c>
    </row>
    <row r="70" spans="1:3" ht="16" x14ac:dyDescent="0.2">
      <c r="A70" s="9" t="s">
        <v>233</v>
      </c>
      <c r="B70" s="284">
        <v>0.44999996505850942</v>
      </c>
      <c r="C70" s="9">
        <v>3</v>
      </c>
    </row>
    <row r="71" spans="1:3" ht="16" x14ac:dyDescent="0.2">
      <c r="A71" s="9" t="s">
        <v>232</v>
      </c>
      <c r="B71" s="284">
        <v>0.42076585824256696</v>
      </c>
      <c r="C71" s="9">
        <v>4</v>
      </c>
    </row>
    <row r="72" spans="1:3" ht="16" x14ac:dyDescent="0.2">
      <c r="A72" s="9" t="s">
        <v>229</v>
      </c>
      <c r="B72" s="284">
        <v>0.17419510099999999</v>
      </c>
      <c r="C72" s="9">
        <v>5</v>
      </c>
    </row>
  </sheetData>
  <pageMargins left="0.7" right="0.7" top="0.75" bottom="0.75" header="0.3" footer="0.3"/>
  <drawing r:id="rId1"/>
  <legacy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2"/>
  <sheetViews>
    <sheetView tabSelected="1" topLeftCell="A58" workbookViewId="0">
      <selection activeCell="H64" sqref="H63:H64"/>
    </sheetView>
  </sheetViews>
  <sheetFormatPr baseColWidth="10" defaultRowHeight="16" x14ac:dyDescent="0.2"/>
  <cols>
    <col min="3" max="3" width="14.83203125" bestFit="1" customWidth="1"/>
  </cols>
  <sheetData>
    <row r="3" spans="2:6" x14ac:dyDescent="0.2">
      <c r="B3" s="292" t="s">
        <v>235</v>
      </c>
    </row>
    <row r="4" spans="2:6" x14ac:dyDescent="0.2">
      <c r="C4" s="295" t="s">
        <v>283</v>
      </c>
      <c r="D4" s="295" t="s">
        <v>282</v>
      </c>
      <c r="E4" s="295" t="s">
        <v>282</v>
      </c>
      <c r="F4" s="295" t="s">
        <v>282</v>
      </c>
    </row>
    <row r="5" spans="2:6" x14ac:dyDescent="0.2">
      <c r="B5" s="9"/>
      <c r="C5" s="9" t="s">
        <v>277</v>
      </c>
      <c r="D5" s="9" t="s">
        <v>276</v>
      </c>
      <c r="E5" s="295" t="s">
        <v>281</v>
      </c>
      <c r="F5" s="9" t="s">
        <v>274</v>
      </c>
    </row>
    <row r="6" spans="2:6" x14ac:dyDescent="0.2">
      <c r="B6" s="9" t="s">
        <v>273</v>
      </c>
      <c r="C6" s="9">
        <v>300</v>
      </c>
      <c r="D6" s="9">
        <v>3</v>
      </c>
      <c r="E6" s="9">
        <v>3</v>
      </c>
      <c r="F6" s="9">
        <v>3</v>
      </c>
    </row>
    <row r="7" spans="2:6" x14ac:dyDescent="0.2">
      <c r="B7" s="9" t="s">
        <v>272</v>
      </c>
      <c r="C7" s="9">
        <v>250</v>
      </c>
      <c r="D7" s="9">
        <v>3</v>
      </c>
      <c r="E7" s="9">
        <v>2</v>
      </c>
      <c r="F7" s="9">
        <v>3</v>
      </c>
    </row>
    <row r="8" spans="2:6" x14ac:dyDescent="0.2">
      <c r="B8" s="9" t="s">
        <v>271</v>
      </c>
      <c r="C8" s="9">
        <v>250</v>
      </c>
      <c r="D8" s="9">
        <v>2</v>
      </c>
      <c r="E8" s="9">
        <v>3</v>
      </c>
      <c r="F8" s="9">
        <v>3</v>
      </c>
    </row>
    <row r="9" spans="2:6" x14ac:dyDescent="0.2">
      <c r="B9" s="9" t="s">
        <v>270</v>
      </c>
      <c r="C9" s="9">
        <v>200</v>
      </c>
      <c r="D9" s="9">
        <v>2</v>
      </c>
      <c r="E9" s="9">
        <v>3</v>
      </c>
      <c r="F9" s="9">
        <v>2</v>
      </c>
    </row>
    <row r="10" spans="2:6" x14ac:dyDescent="0.2">
      <c r="B10" s="9" t="s">
        <v>269</v>
      </c>
      <c r="C10" s="9">
        <v>200</v>
      </c>
      <c r="D10" s="9">
        <v>2</v>
      </c>
      <c r="E10" s="9">
        <v>2</v>
      </c>
      <c r="F10" s="9">
        <v>3</v>
      </c>
    </row>
    <row r="11" spans="2:6" x14ac:dyDescent="0.2">
      <c r="B11" s="9" t="s">
        <v>268</v>
      </c>
      <c r="C11" s="9">
        <v>200</v>
      </c>
      <c r="D11" s="9">
        <v>1</v>
      </c>
      <c r="E11" s="9">
        <v>3</v>
      </c>
      <c r="F11" s="9">
        <v>3</v>
      </c>
    </row>
    <row r="12" spans="2:6" x14ac:dyDescent="0.2">
      <c r="B12" s="9" t="s">
        <v>267</v>
      </c>
      <c r="C12" s="9">
        <v>100</v>
      </c>
      <c r="D12" s="9">
        <v>1</v>
      </c>
      <c r="E12" s="9">
        <v>2</v>
      </c>
      <c r="F12" s="9">
        <v>2</v>
      </c>
    </row>
    <row r="13" spans="2:6" x14ac:dyDescent="0.2">
      <c r="B13" s="294" t="s">
        <v>280</v>
      </c>
      <c r="C13" s="293">
        <f>MIN(C6:C12)</f>
        <v>100</v>
      </c>
      <c r="D13" s="293">
        <f>MAX(D6:D12)</f>
        <v>3</v>
      </c>
      <c r="E13" s="293">
        <f>MAX(E6:E12)</f>
        <v>3</v>
      </c>
      <c r="F13" s="293">
        <f>MAX(F6:F12)</f>
        <v>3</v>
      </c>
    </row>
    <row r="16" spans="2:6" x14ac:dyDescent="0.2">
      <c r="B16" s="292" t="s">
        <v>279</v>
      </c>
    </row>
    <row r="18" spans="2:7" x14ac:dyDescent="0.2">
      <c r="B18" s="9"/>
      <c r="C18" s="9" t="s">
        <v>277</v>
      </c>
      <c r="D18" s="9" t="s">
        <v>276</v>
      </c>
      <c r="E18" s="9" t="s">
        <v>275</v>
      </c>
      <c r="F18" s="9" t="s">
        <v>274</v>
      </c>
    </row>
    <row r="19" spans="2:7" x14ac:dyDescent="0.2">
      <c r="B19" s="9" t="s">
        <v>273</v>
      </c>
      <c r="C19" s="246">
        <f>C$13/C6</f>
        <v>0.33333333333333331</v>
      </c>
      <c r="D19" s="246">
        <f>D6/D$13</f>
        <v>1</v>
      </c>
      <c r="E19" s="246">
        <f>E6/E$13</f>
        <v>1</v>
      </c>
      <c r="F19" s="246">
        <f>F6/F$13</f>
        <v>1</v>
      </c>
    </row>
    <row r="20" spans="2:7" x14ac:dyDescent="0.2">
      <c r="B20" s="9" t="s">
        <v>272</v>
      </c>
      <c r="C20" s="246">
        <f>C$13/C7</f>
        <v>0.4</v>
      </c>
      <c r="D20" s="246">
        <f>D7/D$13</f>
        <v>1</v>
      </c>
      <c r="E20" s="246">
        <f>E7/E$13</f>
        <v>0.66666666666666663</v>
      </c>
      <c r="F20" s="246">
        <f>F7/F$13</f>
        <v>1</v>
      </c>
    </row>
    <row r="21" spans="2:7" x14ac:dyDescent="0.2">
      <c r="B21" s="9" t="s">
        <v>271</v>
      </c>
      <c r="C21" s="246">
        <f>C$13/C8</f>
        <v>0.4</v>
      </c>
      <c r="D21" s="246">
        <f>D8/D$13</f>
        <v>0.66666666666666663</v>
      </c>
      <c r="E21" s="246">
        <f>E8/E$13</f>
        <v>1</v>
      </c>
      <c r="F21" s="246">
        <f>F8/F$13</f>
        <v>1</v>
      </c>
    </row>
    <row r="22" spans="2:7" x14ac:dyDescent="0.2">
      <c r="B22" s="9" t="s">
        <v>270</v>
      </c>
      <c r="C22" s="246">
        <f>C$13/C9</f>
        <v>0.5</v>
      </c>
      <c r="D22" s="246">
        <f>D9/D$13</f>
        <v>0.66666666666666663</v>
      </c>
      <c r="E22" s="246">
        <f>E9/E$13</f>
        <v>1</v>
      </c>
      <c r="F22" s="246">
        <f>F9/F$13</f>
        <v>0.66666666666666663</v>
      </c>
    </row>
    <row r="23" spans="2:7" x14ac:dyDescent="0.2">
      <c r="B23" s="9" t="s">
        <v>269</v>
      </c>
      <c r="C23" s="246">
        <f>C$13/C10</f>
        <v>0.5</v>
      </c>
      <c r="D23" s="246">
        <f>D10/D$13</f>
        <v>0.66666666666666663</v>
      </c>
      <c r="E23" s="246">
        <f>E10/E$13</f>
        <v>0.66666666666666663</v>
      </c>
      <c r="F23" s="246">
        <f>F10/F$13</f>
        <v>1</v>
      </c>
    </row>
    <row r="24" spans="2:7" x14ac:dyDescent="0.2">
      <c r="B24" s="9" t="s">
        <v>268</v>
      </c>
      <c r="C24" s="246">
        <f>C$13/C11</f>
        <v>0.5</v>
      </c>
      <c r="D24" s="246">
        <f>D11/D$13</f>
        <v>0.33333333333333331</v>
      </c>
      <c r="E24" s="246">
        <f>E11/E$13</f>
        <v>1</v>
      </c>
      <c r="F24" s="246">
        <f>F11/F$13</f>
        <v>1</v>
      </c>
    </row>
    <row r="25" spans="2:7" x14ac:dyDescent="0.2">
      <c r="B25" s="9" t="s">
        <v>267</v>
      </c>
      <c r="C25" s="246">
        <f>C$13/C12</f>
        <v>1</v>
      </c>
      <c r="D25" s="246">
        <f>D12/D$13</f>
        <v>0.33333333333333331</v>
      </c>
      <c r="E25" s="246">
        <f>E12/E$13</f>
        <v>0.66666666666666663</v>
      </c>
      <c r="F25" s="246">
        <f>F12/F$13</f>
        <v>0.66666666666666663</v>
      </c>
    </row>
    <row r="27" spans="2:7" x14ac:dyDescent="0.2">
      <c r="B27" s="290"/>
      <c r="C27" s="291" t="s">
        <v>278</v>
      </c>
      <c r="D27" s="87"/>
      <c r="E27" s="87"/>
      <c r="F27" s="87"/>
    </row>
    <row r="28" spans="2:7" x14ac:dyDescent="0.2">
      <c r="B28" s="290"/>
      <c r="C28" s="246">
        <v>0.33329999999999999</v>
      </c>
      <c r="D28" s="246">
        <v>0.26669999999999999</v>
      </c>
      <c r="E28" s="246">
        <v>0.2</v>
      </c>
      <c r="F28" s="246">
        <v>0.2</v>
      </c>
    </row>
    <row r="29" spans="2:7" x14ac:dyDescent="0.2">
      <c r="B29" s="9"/>
      <c r="C29" s="9" t="s">
        <v>277</v>
      </c>
      <c r="D29" s="9" t="s">
        <v>276</v>
      </c>
      <c r="E29" s="9" t="s">
        <v>275</v>
      </c>
      <c r="F29" s="9" t="s">
        <v>274</v>
      </c>
      <c r="G29" s="289" t="s">
        <v>218</v>
      </c>
    </row>
    <row r="30" spans="2:7" x14ac:dyDescent="0.2">
      <c r="B30" s="9" t="s">
        <v>273</v>
      </c>
      <c r="C30" s="246">
        <f>+C19</f>
        <v>0.33333333333333331</v>
      </c>
      <c r="D30" s="246">
        <f>+D19</f>
        <v>1</v>
      </c>
      <c r="E30" s="246">
        <f>+E19</f>
        <v>1</v>
      </c>
      <c r="F30" s="246">
        <f>+F19</f>
        <v>1</v>
      </c>
      <c r="G30" s="246">
        <f>SUMPRODUCT(C$28:F$28,C30:F30)</f>
        <v>0.77780000000000005</v>
      </c>
    </row>
    <row r="31" spans="2:7" x14ac:dyDescent="0.2">
      <c r="B31" s="9" t="s">
        <v>272</v>
      </c>
      <c r="C31" s="246">
        <f>+C20</f>
        <v>0.4</v>
      </c>
      <c r="D31" s="246">
        <f>+D20</f>
        <v>1</v>
      </c>
      <c r="E31" s="246">
        <f>+E20</f>
        <v>0.66666666666666663</v>
      </c>
      <c r="F31" s="246">
        <f>+F20</f>
        <v>1</v>
      </c>
      <c r="G31" s="246">
        <f>SUMPRODUCT(C$28:F$28,C31:F31)</f>
        <v>0.7333533333333333</v>
      </c>
    </row>
    <row r="32" spans="2:7" x14ac:dyDescent="0.2">
      <c r="B32" s="9" t="s">
        <v>271</v>
      </c>
      <c r="C32" s="246">
        <f>+C21</f>
        <v>0.4</v>
      </c>
      <c r="D32" s="246">
        <f>+D21</f>
        <v>0.66666666666666663</v>
      </c>
      <c r="E32" s="246">
        <f>+E21</f>
        <v>1</v>
      </c>
      <c r="F32" s="246">
        <f>+F21</f>
        <v>1</v>
      </c>
      <c r="G32" s="246">
        <f>SUMPRODUCT(C$28:F$28,C32:F32)</f>
        <v>0.71111999999999997</v>
      </c>
    </row>
    <row r="33" spans="2:16" x14ac:dyDescent="0.2">
      <c r="B33" s="9" t="s">
        <v>270</v>
      </c>
      <c r="C33" s="246">
        <f>+C22</f>
        <v>0.5</v>
      </c>
      <c r="D33" s="246">
        <f>+D22</f>
        <v>0.66666666666666663</v>
      </c>
      <c r="E33" s="246">
        <f>+E22</f>
        <v>1</v>
      </c>
      <c r="F33" s="246">
        <f>+F22</f>
        <v>0.66666666666666663</v>
      </c>
      <c r="G33" s="246">
        <f>SUMPRODUCT(C$28:F$28,C33:F33)</f>
        <v>0.67778333333333329</v>
      </c>
    </row>
    <row r="34" spans="2:16" x14ac:dyDescent="0.2">
      <c r="B34" s="9" t="s">
        <v>269</v>
      </c>
      <c r="C34" s="246">
        <f>+C23</f>
        <v>0.5</v>
      </c>
      <c r="D34" s="246">
        <f>+D23</f>
        <v>0.66666666666666663</v>
      </c>
      <c r="E34" s="246">
        <f>+E23</f>
        <v>0.66666666666666663</v>
      </c>
      <c r="F34" s="246">
        <f>+F23</f>
        <v>1</v>
      </c>
      <c r="G34" s="246">
        <f>SUMPRODUCT(C$28:F$28,C34:F34)</f>
        <v>0.6777833333333334</v>
      </c>
    </row>
    <row r="35" spans="2:16" x14ac:dyDescent="0.2">
      <c r="B35" s="9" t="s">
        <v>268</v>
      </c>
      <c r="C35" s="246">
        <f>+C24</f>
        <v>0.5</v>
      </c>
      <c r="D35" s="246">
        <f>+D24</f>
        <v>0.33333333333333331</v>
      </c>
      <c r="E35" s="246">
        <f>+E24</f>
        <v>1</v>
      </c>
      <c r="F35" s="246">
        <f>+F24</f>
        <v>1</v>
      </c>
      <c r="G35" s="246">
        <f>SUMPRODUCT(C$28:F$28,C35:F35)</f>
        <v>0.65555000000000008</v>
      </c>
    </row>
    <row r="36" spans="2:16" x14ac:dyDescent="0.2">
      <c r="B36" s="9" t="s">
        <v>267</v>
      </c>
      <c r="C36" s="246">
        <f>+C25</f>
        <v>1</v>
      </c>
      <c r="D36" s="246">
        <f>+D25</f>
        <v>0.33333333333333331</v>
      </c>
      <c r="E36" s="246">
        <f>+E25</f>
        <v>0.66666666666666663</v>
      </c>
      <c r="F36" s="246">
        <f>+F25</f>
        <v>0.66666666666666663</v>
      </c>
      <c r="G36" s="246">
        <f>SUMPRODUCT(C$28:F$28,C36:F36)</f>
        <v>0.68886666666666663</v>
      </c>
    </row>
    <row r="40" spans="2:16" ht="16" customHeight="1" x14ac:dyDescent="0.2">
      <c r="B40" s="296"/>
      <c r="C40" s="296"/>
      <c r="D40" s="322" t="s">
        <v>295</v>
      </c>
      <c r="E40" s="323"/>
      <c r="F40" s="323"/>
      <c r="G40" s="323"/>
      <c r="H40" s="324"/>
      <c r="I40" s="296"/>
      <c r="J40" s="296"/>
      <c r="K40" s="296"/>
      <c r="L40" s="296"/>
      <c r="M40" s="296"/>
      <c r="N40" s="296"/>
      <c r="O40" s="296"/>
      <c r="P40" s="296"/>
    </row>
    <row r="41" spans="2:16" x14ac:dyDescent="0.2">
      <c r="B41" s="296"/>
      <c r="C41" s="296"/>
      <c r="D41" s="299">
        <v>0.1</v>
      </c>
      <c r="E41" s="299">
        <v>0.25</v>
      </c>
      <c r="F41" s="299">
        <v>0.2</v>
      </c>
      <c r="G41" s="299">
        <v>0.15</v>
      </c>
      <c r="H41" s="299">
        <v>0.3</v>
      </c>
      <c r="I41" s="296"/>
      <c r="J41" s="296"/>
      <c r="K41" s="296"/>
      <c r="L41" s="296"/>
      <c r="M41" s="296"/>
      <c r="N41" s="296"/>
      <c r="O41" s="296"/>
      <c r="P41" s="296"/>
    </row>
    <row r="42" spans="2:16" ht="80" x14ac:dyDescent="0.2">
      <c r="B42" s="297" t="s">
        <v>127</v>
      </c>
      <c r="C42" s="297" t="s">
        <v>294</v>
      </c>
      <c r="D42" s="297" t="s">
        <v>294</v>
      </c>
      <c r="E42" s="297" t="s">
        <v>293</v>
      </c>
      <c r="F42" s="297" t="s">
        <v>292</v>
      </c>
      <c r="G42" s="297" t="s">
        <v>291</v>
      </c>
      <c r="H42" s="297" t="s">
        <v>290</v>
      </c>
      <c r="I42" s="297" t="s">
        <v>218</v>
      </c>
      <c r="J42" s="296"/>
      <c r="K42" s="296"/>
      <c r="L42" s="296"/>
      <c r="M42" s="296"/>
      <c r="N42" s="296"/>
      <c r="O42" s="296"/>
      <c r="P42" s="296"/>
    </row>
    <row r="43" spans="2:16" ht="48" x14ac:dyDescent="0.2">
      <c r="B43" s="297"/>
      <c r="C43" s="297"/>
      <c r="D43" s="297" t="s">
        <v>288</v>
      </c>
      <c r="E43" s="297" t="s">
        <v>289</v>
      </c>
      <c r="F43" s="297"/>
      <c r="G43" s="297" t="s">
        <v>289</v>
      </c>
      <c r="H43" s="297" t="s">
        <v>288</v>
      </c>
      <c r="I43" s="297"/>
      <c r="J43" s="296"/>
      <c r="K43" s="296"/>
      <c r="L43" s="296"/>
      <c r="M43" s="296"/>
      <c r="N43" s="296"/>
      <c r="O43" s="296"/>
      <c r="P43" s="296"/>
    </row>
    <row r="44" spans="2:16" ht="48" x14ac:dyDescent="0.2">
      <c r="B44" s="297" t="s">
        <v>287</v>
      </c>
      <c r="C44" s="298">
        <v>8000000</v>
      </c>
      <c r="D44" s="297">
        <v>1</v>
      </c>
      <c r="E44" s="297">
        <v>3</v>
      </c>
      <c r="F44" s="297">
        <v>5</v>
      </c>
      <c r="G44" s="297">
        <v>3</v>
      </c>
      <c r="H44" s="297">
        <v>4</v>
      </c>
      <c r="I44" s="297">
        <f>SUMPRODUCT(D$41:H$41,D44:H44)</f>
        <v>3.5</v>
      </c>
      <c r="J44" s="296"/>
      <c r="K44" s="296"/>
      <c r="L44" s="296"/>
      <c r="M44" s="296"/>
      <c r="N44" s="296"/>
      <c r="O44" s="296"/>
      <c r="P44" s="296"/>
    </row>
    <row r="45" spans="2:16" ht="48" x14ac:dyDescent="0.2">
      <c r="B45" s="297" t="s">
        <v>286</v>
      </c>
      <c r="C45" s="298">
        <v>1500000</v>
      </c>
      <c r="D45" s="297">
        <v>3</v>
      </c>
      <c r="E45" s="297">
        <v>3</v>
      </c>
      <c r="F45" s="297">
        <v>3</v>
      </c>
      <c r="G45" s="297">
        <v>2</v>
      </c>
      <c r="H45" s="297">
        <v>2</v>
      </c>
      <c r="I45" s="297">
        <f>SUMPRODUCT(D$41:H$41,D45:H45)</f>
        <v>2.5500000000000003</v>
      </c>
      <c r="J45" s="296"/>
      <c r="K45" s="296"/>
      <c r="L45" s="296"/>
      <c r="M45" s="296"/>
      <c r="N45" s="296"/>
      <c r="O45" s="296"/>
      <c r="P45" s="296"/>
    </row>
    <row r="46" spans="2:16" ht="64" x14ac:dyDescent="0.2">
      <c r="B46" s="297" t="s">
        <v>285</v>
      </c>
      <c r="C46" s="298">
        <v>2000000</v>
      </c>
      <c r="D46" s="297">
        <v>3</v>
      </c>
      <c r="E46" s="297">
        <v>2</v>
      </c>
      <c r="F46" s="297">
        <v>1</v>
      </c>
      <c r="G46" s="297">
        <v>5</v>
      </c>
      <c r="H46" s="297">
        <v>4</v>
      </c>
      <c r="I46" s="297">
        <f>SUMPRODUCT(D$41:H$41,D46:H46)</f>
        <v>2.95</v>
      </c>
      <c r="J46" s="296"/>
      <c r="K46" s="296"/>
      <c r="L46" s="296"/>
      <c r="M46" s="296"/>
      <c r="N46" s="296"/>
      <c r="O46" s="296"/>
      <c r="P46" s="296"/>
    </row>
    <row r="47" spans="2:16" ht="32" x14ac:dyDescent="0.2">
      <c r="B47" s="297" t="s">
        <v>284</v>
      </c>
      <c r="C47" s="298">
        <v>8000000</v>
      </c>
      <c r="D47" s="297">
        <v>5</v>
      </c>
      <c r="E47" s="297">
        <v>2</v>
      </c>
      <c r="F47" s="297">
        <v>1</v>
      </c>
      <c r="G47" s="297">
        <v>2</v>
      </c>
      <c r="H47" s="297">
        <v>3</v>
      </c>
      <c r="I47" s="297">
        <f>SUMPRODUCT(D$41:H$41,D47:H47)</f>
        <v>2.4</v>
      </c>
      <c r="J47" s="296"/>
      <c r="K47" s="296"/>
      <c r="L47" s="296"/>
      <c r="M47" s="296"/>
      <c r="N47" s="296"/>
      <c r="O47" s="296"/>
      <c r="P47" s="296"/>
    </row>
    <row r="48" spans="2:16" x14ac:dyDescent="0.2">
      <c r="B48" s="296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  <c r="N48" s="296"/>
      <c r="O48" s="296"/>
      <c r="P48" s="296"/>
    </row>
    <row r="49" spans="2:16" x14ac:dyDescent="0.2">
      <c r="B49" s="296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  <c r="N49" s="296"/>
      <c r="O49" s="296"/>
      <c r="P49" s="296"/>
    </row>
    <row r="53" spans="2:16" x14ac:dyDescent="0.2">
      <c r="B53" s="238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</row>
    <row r="54" spans="2:16" x14ac:dyDescent="0.2">
      <c r="B54" s="238"/>
      <c r="C54" s="203" t="s">
        <v>316</v>
      </c>
      <c r="D54" s="203">
        <v>10</v>
      </c>
      <c r="E54" s="203">
        <v>40</v>
      </c>
      <c r="F54" s="203">
        <v>30</v>
      </c>
      <c r="G54" s="203">
        <v>20</v>
      </c>
      <c r="H54" s="200"/>
      <c r="I54" s="200"/>
      <c r="J54" s="200"/>
      <c r="K54" s="200"/>
      <c r="L54" s="200"/>
      <c r="M54" s="200"/>
      <c r="N54" s="200"/>
      <c r="O54" s="200"/>
      <c r="P54" s="200"/>
    </row>
    <row r="55" spans="2:16" x14ac:dyDescent="0.2">
      <c r="B55" s="238"/>
      <c r="C55" s="203" t="s">
        <v>311</v>
      </c>
      <c r="D55" s="306">
        <f>+D54/SUM($D$54:$G$54)</f>
        <v>0.1</v>
      </c>
      <c r="E55" s="306">
        <f>+E54/SUM($D$54:$G$54)</f>
        <v>0.4</v>
      </c>
      <c r="F55" s="306">
        <f>+F54/SUM($D$54:$G$54)</f>
        <v>0.3</v>
      </c>
      <c r="G55" s="306">
        <f>+G54/SUM($D$54:$G$54)</f>
        <v>0.2</v>
      </c>
      <c r="H55" s="200"/>
      <c r="I55" s="200"/>
      <c r="J55" s="200"/>
      <c r="K55" s="200"/>
      <c r="L55" s="200"/>
      <c r="M55" s="200"/>
      <c r="N55" s="200"/>
      <c r="O55" s="200"/>
      <c r="P55" s="200"/>
    </row>
    <row r="56" spans="2:16" x14ac:dyDescent="0.2">
      <c r="B56" s="310"/>
      <c r="C56" s="305"/>
      <c r="D56" s="305" t="s">
        <v>315</v>
      </c>
      <c r="E56" s="305" t="s">
        <v>315</v>
      </c>
      <c r="F56" s="305" t="s">
        <v>315</v>
      </c>
      <c r="G56" s="305" t="s">
        <v>314</v>
      </c>
      <c r="H56" s="307"/>
      <c r="I56" s="307"/>
      <c r="J56" s="307"/>
      <c r="K56" s="307"/>
      <c r="L56" s="307"/>
      <c r="M56" s="307"/>
      <c r="N56" s="307"/>
      <c r="O56" s="307"/>
      <c r="P56" s="307"/>
    </row>
    <row r="57" spans="2:16" ht="30" x14ac:dyDescent="0.2">
      <c r="B57" s="310"/>
      <c r="C57" s="285" t="s">
        <v>313</v>
      </c>
      <c r="D57" s="300" t="s">
        <v>301</v>
      </c>
      <c r="E57" s="300" t="s">
        <v>300</v>
      </c>
      <c r="F57" s="301" t="s">
        <v>299</v>
      </c>
      <c r="G57" s="300" t="s">
        <v>298</v>
      </c>
      <c r="H57" s="307"/>
      <c r="I57" s="307"/>
      <c r="J57" s="307"/>
      <c r="K57" s="307"/>
      <c r="L57" s="307"/>
      <c r="M57" s="307"/>
      <c r="N57" s="307"/>
      <c r="O57" s="307"/>
      <c r="P57" s="307"/>
    </row>
    <row r="58" spans="2:16" x14ac:dyDescent="0.2">
      <c r="B58" s="238"/>
      <c r="C58" s="320" t="s">
        <v>305</v>
      </c>
      <c r="D58" s="319">
        <v>7</v>
      </c>
      <c r="E58" s="319">
        <v>7</v>
      </c>
      <c r="F58" s="318">
        <v>30</v>
      </c>
      <c r="G58" s="318">
        <v>26000</v>
      </c>
      <c r="H58" s="200"/>
      <c r="I58" s="215"/>
      <c r="J58" s="200"/>
      <c r="K58" s="200"/>
      <c r="L58" s="200"/>
      <c r="M58" s="200"/>
      <c r="N58" s="200"/>
      <c r="O58" s="200"/>
      <c r="P58" s="200"/>
    </row>
    <row r="59" spans="2:16" x14ac:dyDescent="0.2">
      <c r="B59" s="321"/>
      <c r="C59" s="320" t="s">
        <v>303</v>
      </c>
      <c r="D59" s="319">
        <v>8</v>
      </c>
      <c r="E59" s="319">
        <v>7</v>
      </c>
      <c r="F59" s="318">
        <v>28</v>
      </c>
      <c r="G59" s="318">
        <v>30000</v>
      </c>
      <c r="H59" s="215"/>
      <c r="I59" s="215"/>
      <c r="J59" s="200"/>
      <c r="K59" s="200"/>
      <c r="L59" s="200"/>
      <c r="M59" s="200"/>
      <c r="N59" s="200"/>
      <c r="O59" s="200"/>
      <c r="P59" s="200"/>
    </row>
    <row r="60" spans="2:16" x14ac:dyDescent="0.2">
      <c r="B60" s="321"/>
      <c r="C60" s="320" t="s">
        <v>302</v>
      </c>
      <c r="D60" s="319">
        <v>9</v>
      </c>
      <c r="E60" s="319">
        <v>6</v>
      </c>
      <c r="F60" s="318">
        <v>25</v>
      </c>
      <c r="G60" s="318">
        <v>22000</v>
      </c>
      <c r="H60" s="215"/>
      <c r="I60" s="215"/>
      <c r="J60" s="200"/>
      <c r="K60" s="200"/>
      <c r="L60" s="200"/>
      <c r="M60" s="200"/>
      <c r="N60" s="200"/>
      <c r="O60" s="200"/>
      <c r="P60" s="200"/>
    </row>
    <row r="61" spans="2:16" x14ac:dyDescent="0.2">
      <c r="B61" s="321"/>
      <c r="C61" s="320" t="s">
        <v>304</v>
      </c>
      <c r="D61" s="319">
        <v>6</v>
      </c>
      <c r="E61" s="319">
        <v>6</v>
      </c>
      <c r="F61" s="318">
        <v>35</v>
      </c>
      <c r="G61" s="318">
        <v>24000</v>
      </c>
      <c r="H61" s="215"/>
      <c r="I61" s="215"/>
      <c r="J61" s="200"/>
      <c r="K61" s="200"/>
      <c r="L61" s="200"/>
      <c r="M61" s="200"/>
      <c r="N61" s="200"/>
      <c r="O61" s="200"/>
      <c r="P61" s="200"/>
    </row>
    <row r="62" spans="2:16" x14ac:dyDescent="0.2">
      <c r="B62" s="238"/>
      <c r="C62" s="317"/>
      <c r="D62" s="316"/>
      <c r="E62" s="316"/>
      <c r="F62" s="315"/>
      <c r="G62" s="314"/>
      <c r="H62" s="200"/>
      <c r="I62" s="200"/>
      <c r="J62" s="200"/>
      <c r="K62" s="200"/>
      <c r="L62" s="200"/>
      <c r="M62" s="200"/>
      <c r="N62" s="200"/>
      <c r="O62" s="200"/>
      <c r="P62" s="200"/>
    </row>
    <row r="63" spans="2:16" x14ac:dyDescent="0.2">
      <c r="B63" s="238"/>
      <c r="C63" s="317"/>
      <c r="D63" s="316"/>
      <c r="E63" s="316"/>
      <c r="F63" s="315"/>
      <c r="G63" s="314"/>
      <c r="H63" s="200"/>
      <c r="I63" s="200"/>
      <c r="J63" s="200"/>
      <c r="K63" s="200"/>
      <c r="L63" s="200"/>
      <c r="M63" s="200"/>
      <c r="N63" s="200"/>
      <c r="O63" s="200"/>
      <c r="P63" s="200"/>
    </row>
    <row r="64" spans="2:16" ht="30" x14ac:dyDescent="0.2">
      <c r="B64" s="238"/>
      <c r="C64" s="200"/>
      <c r="D64" s="300" t="s">
        <v>301</v>
      </c>
      <c r="E64" s="300" t="s">
        <v>300</v>
      </c>
      <c r="F64" s="301" t="s">
        <v>299</v>
      </c>
      <c r="G64" s="300" t="s">
        <v>298</v>
      </c>
      <c r="H64" s="200"/>
      <c r="I64" s="200"/>
      <c r="J64" s="200"/>
      <c r="K64" s="200"/>
      <c r="L64" s="200"/>
      <c r="M64" s="200"/>
      <c r="N64" s="200"/>
      <c r="O64" s="200"/>
      <c r="P64" s="200"/>
    </row>
    <row r="65" spans="2:16" x14ac:dyDescent="0.2">
      <c r="B65" s="238"/>
      <c r="C65" s="203" t="s">
        <v>297</v>
      </c>
      <c r="D65" s="313">
        <f>IF(D56="BENEFIT",MAX(D58:D61),IF(D56="COST",MIN(D58:D61)))</f>
        <v>9</v>
      </c>
      <c r="E65" s="313">
        <f>IF(E56="BENEFIT",MAX(E58:E61),IF(E56="COST",MIN(E58:E61)))</f>
        <v>7</v>
      </c>
      <c r="F65" s="312">
        <f>IF(F56="BENEFIT",MAX(F58:F61),IF(F56="COST",MIN(F58:F61)))</f>
        <v>35</v>
      </c>
      <c r="G65" s="311">
        <f>IF(G56="BENEFIT",MAX(G58:G61),IF(G56="COST",MIN(G58:G61)))</f>
        <v>22000</v>
      </c>
      <c r="H65" s="200"/>
      <c r="I65" s="200"/>
      <c r="J65" s="200"/>
      <c r="K65" s="200"/>
      <c r="L65" s="200"/>
      <c r="M65" s="200"/>
      <c r="N65" s="200"/>
      <c r="O65" s="200"/>
      <c r="P65" s="200"/>
    </row>
    <row r="66" spans="2:16" x14ac:dyDescent="0.2">
      <c r="B66" s="238"/>
      <c r="C66" s="203" t="s">
        <v>296</v>
      </c>
      <c r="D66" s="313">
        <f>IF(D56="BENEFIT",MIN(D58:D61),MAX(D58:D61))</f>
        <v>6</v>
      </c>
      <c r="E66" s="313">
        <f>IF(E56="BENEFIT",MIN(E58:E61),MAX(E58:E61))</f>
        <v>6</v>
      </c>
      <c r="F66" s="312">
        <f>IF(F56="BENEFIT",MIN(F58:F61),MAX(F58:F61))</f>
        <v>25</v>
      </c>
      <c r="G66" s="311">
        <f>IF(G56="BENEFIT",MIN(G58:G61),MAX(G58:G61))</f>
        <v>30000</v>
      </c>
      <c r="H66" s="200"/>
      <c r="I66" s="200"/>
      <c r="J66" s="200"/>
      <c r="K66" s="200"/>
      <c r="L66" s="200"/>
      <c r="M66" s="200"/>
      <c r="N66" s="200"/>
      <c r="O66" s="200"/>
      <c r="P66" s="200"/>
    </row>
    <row r="67" spans="2:16" x14ac:dyDescent="0.2">
      <c r="B67" s="238"/>
      <c r="C67" s="200"/>
      <c r="D67" s="200"/>
      <c r="E67" s="200"/>
      <c r="F67" s="200"/>
      <c r="G67" s="200"/>
      <c r="H67" s="200"/>
      <c r="I67" s="200"/>
      <c r="J67" s="200"/>
      <c r="K67" s="200"/>
      <c r="L67" s="200"/>
      <c r="M67" s="200"/>
      <c r="N67" s="200"/>
      <c r="O67" s="200"/>
      <c r="P67" s="200"/>
    </row>
    <row r="68" spans="2:16" x14ac:dyDescent="0.2">
      <c r="B68" s="238"/>
      <c r="C68" s="200"/>
      <c r="D68" s="200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0"/>
      <c r="P68" s="200"/>
    </row>
    <row r="69" spans="2:16" ht="30" x14ac:dyDescent="0.2">
      <c r="B69" s="310"/>
      <c r="C69" s="309" t="s">
        <v>312</v>
      </c>
      <c r="D69" s="308" t="str">
        <f>+D57</f>
        <v>Style</v>
      </c>
      <c r="E69" s="308" t="str">
        <f>+E57</f>
        <v>Reliability</v>
      </c>
      <c r="F69" s="308" t="str">
        <f>+F57</f>
        <v>Fuel Economy</v>
      </c>
      <c r="G69" s="308" t="str">
        <f>+G57</f>
        <v>Cost</v>
      </c>
      <c r="H69" s="307"/>
      <c r="I69" s="307"/>
      <c r="J69" s="307"/>
      <c r="K69" s="307"/>
      <c r="L69" s="307"/>
      <c r="M69" s="307"/>
      <c r="N69" s="307"/>
      <c r="O69" s="307"/>
      <c r="P69" s="307"/>
    </row>
    <row r="70" spans="2:16" x14ac:dyDescent="0.2">
      <c r="B70" s="238"/>
      <c r="C70" s="304" t="s">
        <v>311</v>
      </c>
      <c r="D70" s="306">
        <f>+D55</f>
        <v>0.1</v>
      </c>
      <c r="E70" s="306">
        <f>+E55</f>
        <v>0.4</v>
      </c>
      <c r="F70" s="306">
        <f>+F55</f>
        <v>0.3</v>
      </c>
      <c r="G70" s="306">
        <f>+G55</f>
        <v>0.2</v>
      </c>
      <c r="H70" s="200"/>
      <c r="I70" s="200"/>
      <c r="J70" s="200"/>
      <c r="K70" s="200"/>
      <c r="L70" s="200"/>
      <c r="M70" s="200"/>
      <c r="N70" s="200"/>
      <c r="O70" s="200"/>
      <c r="P70" s="200"/>
    </row>
    <row r="71" spans="2:16" ht="30" x14ac:dyDescent="0.2">
      <c r="B71" s="238"/>
      <c r="C71" s="305"/>
      <c r="D71" s="305" t="str">
        <f>+D56</f>
        <v>BENEFIT</v>
      </c>
      <c r="E71" s="305" t="str">
        <f>+E56</f>
        <v>BENEFIT</v>
      </c>
      <c r="F71" s="305" t="str">
        <f>+F56</f>
        <v>BENEFIT</v>
      </c>
      <c r="G71" s="305" t="str">
        <f>+G56</f>
        <v>COST</v>
      </c>
      <c r="H71" s="305" t="s">
        <v>310</v>
      </c>
      <c r="I71" s="305" t="s">
        <v>309</v>
      </c>
      <c r="J71" s="305" t="s">
        <v>308</v>
      </c>
      <c r="K71" s="305" t="s">
        <v>67</v>
      </c>
      <c r="L71" s="200"/>
      <c r="M71" s="304" t="s">
        <v>307</v>
      </c>
      <c r="N71" s="303" t="s">
        <v>306</v>
      </c>
      <c r="O71" s="303" t="s">
        <v>67</v>
      </c>
      <c r="P71" s="200"/>
    </row>
    <row r="72" spans="2:16" x14ac:dyDescent="0.2">
      <c r="B72" s="238"/>
      <c r="C72" s="203" t="str">
        <f>+C58</f>
        <v>Civic</v>
      </c>
      <c r="D72" s="204">
        <f>D58/SQRT(SUMSQ(D$58:D$61))*D$70</f>
        <v>4.6156633137705093E-2</v>
      </c>
      <c r="E72" s="204">
        <f>E58/SQRT(SUMSQ(E$58:E$61))*E$70</f>
        <v>0.21475019687726371</v>
      </c>
      <c r="F72" s="204">
        <f>F58/SQRT(SUMSQ(F$58:F$61))*F$70</f>
        <v>0.15139419980680999</v>
      </c>
      <c r="G72" s="204">
        <f>G58/SQRT(SUMSQ(G$58:G$61))*G$70</f>
        <v>0.10128162032711058</v>
      </c>
      <c r="H72" s="204">
        <f>SQRT(SUMXMY2(D72:G72,D$79:G$79))</f>
        <v>3.2455777277873708E-2</v>
      </c>
      <c r="I72" s="204">
        <f>SQRT(SUMXMY2(D72:G72,D$80:G$80))</f>
        <v>4.317544634037359E-2</v>
      </c>
      <c r="J72" s="204">
        <f>+I72/(H72+I72)</f>
        <v>0.57086801290303057</v>
      </c>
      <c r="K72" s="203">
        <f>RANK(J72,J$72:J$75,0)</f>
        <v>2</v>
      </c>
      <c r="L72" s="200"/>
      <c r="M72" s="203" t="s">
        <v>305</v>
      </c>
      <c r="N72" s="302">
        <v>0.82866253332295026</v>
      </c>
      <c r="O72" s="108">
        <v>1</v>
      </c>
      <c r="P72" s="200"/>
    </row>
    <row r="73" spans="2:16" x14ac:dyDescent="0.2">
      <c r="B73" s="238"/>
      <c r="C73" s="203" t="str">
        <f>+C59</f>
        <v>Saturn</v>
      </c>
      <c r="D73" s="204">
        <f>D59/SQRT(SUMSQ(D$58:D$61))*D$70</f>
        <v>5.2750437871662961E-2</v>
      </c>
      <c r="E73" s="204">
        <f>E59/SQRT(SUMSQ(E$58:E$61))*E$70</f>
        <v>0.21475019687726371</v>
      </c>
      <c r="F73" s="204">
        <f>F59/SQRT(SUMSQ(F$58:F$61))*F$70</f>
        <v>0.14130125315302267</v>
      </c>
      <c r="G73" s="204">
        <f>G59/SQRT(SUMSQ(G$58:G$61))*G$70</f>
        <v>0.11686340806974296</v>
      </c>
      <c r="H73" s="204">
        <f>SQRT(SUMXMY2(D73:G73,D$79:G$79))</f>
        <v>4.7566001059672611E-2</v>
      </c>
      <c r="I73" s="204">
        <f>SQRT(SUMXMY2(D73:G73,D$80:G$80))</f>
        <v>3.666458170248147E-2</v>
      </c>
      <c r="J73" s="204">
        <f>+I73/(H73+I73)</f>
        <v>0.43528823498720171</v>
      </c>
      <c r="K73" s="203">
        <f>RANK(J73,J$72:J$75,0)</f>
        <v>3</v>
      </c>
      <c r="L73" s="200"/>
      <c r="M73" s="203" t="s">
        <v>304</v>
      </c>
      <c r="N73" s="302">
        <v>0.38126783328910618</v>
      </c>
      <c r="O73" s="108">
        <v>2</v>
      </c>
      <c r="P73" s="200"/>
    </row>
    <row r="74" spans="2:16" x14ac:dyDescent="0.2">
      <c r="B74" s="238"/>
      <c r="C74" s="203" t="str">
        <f>+C60</f>
        <v>Ford</v>
      </c>
      <c r="D74" s="204">
        <f>D60/SQRT(SUMSQ(D$58:D$61))*D$70</f>
        <v>5.9344242605620837E-2</v>
      </c>
      <c r="E74" s="204">
        <f>E60/SQRT(SUMSQ(E$58:E$61))*E$70</f>
        <v>0.18407159732336889</v>
      </c>
      <c r="F74" s="204">
        <f>F60/SQRT(SUMSQ(F$58:F$61))*F$70</f>
        <v>0.12616183317234167</v>
      </c>
      <c r="G74" s="204">
        <f>G60/SQRT(SUMSQ(G$58:G$61))*G$70</f>
        <v>8.5699832584478178E-2</v>
      </c>
      <c r="H74" s="204">
        <f>SQRT(SUMXMY2(D74:G74,D$79:G$79))</f>
        <v>5.9058155867696728E-2</v>
      </c>
      <c r="I74" s="204">
        <f>SQRT(SUMXMY2(D74:G74,D$80:G$80))</f>
        <v>3.6911689000259568E-2</v>
      </c>
      <c r="J74" s="204">
        <f>+I74/(H74+I74)</f>
        <v>0.384617574937689</v>
      </c>
      <c r="K74" s="203">
        <f>RANK(J74,J$72:J$75,0)</f>
        <v>4</v>
      </c>
      <c r="L74" s="200"/>
      <c r="M74" s="203" t="s">
        <v>303</v>
      </c>
      <c r="N74" s="302">
        <v>0.31967553772758378</v>
      </c>
      <c r="O74" s="108">
        <v>3</v>
      </c>
      <c r="P74" s="200"/>
    </row>
    <row r="75" spans="2:16" x14ac:dyDescent="0.2">
      <c r="B75" s="238"/>
      <c r="C75" s="203" t="str">
        <f>+C61</f>
        <v>Mazda</v>
      </c>
      <c r="D75" s="204">
        <f>D61/SQRT(SUMSQ(D$58:D$61))*D$70</f>
        <v>3.9562828403747224E-2</v>
      </c>
      <c r="E75" s="204">
        <f>E61/SQRT(SUMSQ(E$58:E$61))*E$70</f>
        <v>0.18407159732336889</v>
      </c>
      <c r="F75" s="204">
        <f>F61/SQRT(SUMSQ(F$58:F$61))*F$70</f>
        <v>0.17662656644127836</v>
      </c>
      <c r="G75" s="204">
        <f>G61/SQRT(SUMSQ(G$58:G$61))*G$70</f>
        <v>9.3490726455794371E-2</v>
      </c>
      <c r="H75" s="204">
        <f>SQRT(SUMXMY2(D75:G75,D$79:G$79))</f>
        <v>3.7325311060035851E-2</v>
      </c>
      <c r="I75" s="204">
        <f>SQRT(SUMXMY2(D75:G75,D$80:G$80))</f>
        <v>5.5614490465452762E-2</v>
      </c>
      <c r="J75" s="204">
        <f>+I75/(H75+I75)</f>
        <v>0.59839261062119398</v>
      </c>
      <c r="K75" s="203">
        <f>RANK(J75,J$72:J$75,0)</f>
        <v>1</v>
      </c>
      <c r="L75" s="200"/>
      <c r="M75" s="203" t="s">
        <v>302</v>
      </c>
      <c r="N75" s="302">
        <v>0.27509295935167943</v>
      </c>
      <c r="O75" s="108">
        <v>4</v>
      </c>
      <c r="P75" s="200"/>
    </row>
    <row r="76" spans="2:16" x14ac:dyDescent="0.2">
      <c r="B76" s="238"/>
      <c r="C76" s="203"/>
      <c r="D76" s="204"/>
      <c r="E76" s="204"/>
      <c r="F76" s="204"/>
      <c r="G76" s="204"/>
      <c r="H76" s="231"/>
      <c r="I76" s="231"/>
      <c r="J76" s="231"/>
      <c r="K76" s="238"/>
      <c r="L76" s="200"/>
      <c r="M76" s="200"/>
      <c r="N76" s="200"/>
      <c r="O76" s="200"/>
      <c r="P76" s="200"/>
    </row>
    <row r="77" spans="2:16" x14ac:dyDescent="0.2">
      <c r="B77" s="238"/>
      <c r="C77" s="203"/>
      <c r="D77" s="204"/>
      <c r="E77" s="204"/>
      <c r="F77" s="204"/>
      <c r="G77" s="204"/>
      <c r="H77" s="231"/>
      <c r="I77" s="231"/>
      <c r="J77" s="231"/>
      <c r="K77" s="238"/>
      <c r="L77" s="200"/>
      <c r="M77" s="200"/>
      <c r="N77" s="200"/>
      <c r="O77" s="200"/>
      <c r="P77" s="200"/>
    </row>
    <row r="78" spans="2:16" ht="30" x14ac:dyDescent="0.2">
      <c r="B78" s="238"/>
      <c r="C78" s="203"/>
      <c r="D78" s="300" t="s">
        <v>301</v>
      </c>
      <c r="E78" s="300" t="s">
        <v>300</v>
      </c>
      <c r="F78" s="301" t="s">
        <v>299</v>
      </c>
      <c r="G78" s="300" t="s">
        <v>298</v>
      </c>
      <c r="H78" s="200"/>
      <c r="I78" s="200"/>
      <c r="J78" s="200"/>
      <c r="K78" s="200"/>
      <c r="L78" s="200"/>
      <c r="M78" s="200"/>
      <c r="N78" s="200"/>
      <c r="O78" s="200"/>
      <c r="P78" s="200"/>
    </row>
    <row r="79" spans="2:16" x14ac:dyDescent="0.2">
      <c r="B79" s="238"/>
      <c r="C79" s="203" t="s">
        <v>297</v>
      </c>
      <c r="D79" s="204">
        <f>IF(D71="BENEFIT",MAX(D72:D75),IF(D71="COST",MIN(D72:D75)))</f>
        <v>5.9344242605620837E-2</v>
      </c>
      <c r="E79" s="204">
        <f>IF(E71="BENEFIT",MAX(E72:E75),IF(E71="COST",MIN(E72:E75)))</f>
        <v>0.21475019687726371</v>
      </c>
      <c r="F79" s="204">
        <f>IF(F71="BENEFIT",MAX(F72:F75),IF(F71="COST",MIN(F72:F75)))</f>
        <v>0.17662656644127836</v>
      </c>
      <c r="G79" s="204">
        <f>IF(G71="BENEFIT",MAX(G72:G75),IF(G71="COST",MIN(G72:G75)))</f>
        <v>8.5699832584478178E-2</v>
      </c>
      <c r="H79" s="200"/>
      <c r="I79" s="200"/>
      <c r="J79" s="200"/>
      <c r="K79" s="200"/>
      <c r="L79" s="200"/>
      <c r="M79" s="200"/>
      <c r="N79" s="200"/>
      <c r="O79" s="200"/>
      <c r="P79" s="200"/>
    </row>
    <row r="80" spans="2:16" x14ac:dyDescent="0.2">
      <c r="B80" s="238"/>
      <c r="C80" s="203" t="s">
        <v>296</v>
      </c>
      <c r="D80" s="204">
        <f>IF(D71="BENEFIT",MIN(D72:D75),MAX(D72:D75))</f>
        <v>3.9562828403747224E-2</v>
      </c>
      <c r="E80" s="204">
        <f>IF(E71="BENEFIT",MIN(E72:E75),MAX(E72:E75))</f>
        <v>0.18407159732336889</v>
      </c>
      <c r="F80" s="204">
        <f>IF(F71="BENEFIT",MIN(F72:F75),MAX(F72:F75))</f>
        <v>0.12616183317234167</v>
      </c>
      <c r="G80" s="204">
        <f>IF(G71="BENEFIT",MIN(G72:G75),MAX(G72:G75))</f>
        <v>0.11686340806974296</v>
      </c>
      <c r="H80" s="200"/>
      <c r="I80" s="200"/>
      <c r="J80" s="200"/>
      <c r="K80" s="200"/>
      <c r="L80" s="200"/>
      <c r="M80" s="200"/>
      <c r="N80" s="200"/>
      <c r="O80" s="200"/>
      <c r="P80" s="200"/>
    </row>
    <row r="81" spans="2:16" x14ac:dyDescent="0.2">
      <c r="B81" s="238"/>
      <c r="C81" s="200"/>
      <c r="D81" s="200"/>
      <c r="E81" s="200"/>
      <c r="F81" s="200"/>
      <c r="G81" s="200"/>
      <c r="H81" s="200"/>
      <c r="I81" s="200"/>
      <c r="J81" s="200"/>
      <c r="K81" s="200"/>
      <c r="L81" s="200"/>
      <c r="M81" s="200"/>
      <c r="N81" s="200"/>
      <c r="O81" s="200"/>
      <c r="P81" s="200"/>
    </row>
    <row r="82" spans="2:16" x14ac:dyDescent="0.2">
      <c r="B82" s="238"/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0"/>
      <c r="P82" s="200"/>
    </row>
  </sheetData>
  <mergeCells count="2">
    <mergeCell ref="C27:F27"/>
    <mergeCell ref="D40:H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Group Decision Making Methods</vt:lpstr>
      <vt:lpstr>SPAN</vt:lpstr>
      <vt:lpstr>SPAN Summary</vt:lpstr>
      <vt:lpstr>Borda</vt:lpstr>
      <vt:lpstr>Forecasting</vt:lpstr>
      <vt:lpstr>Satisficing Methods</vt:lpstr>
      <vt:lpstr>Cutting Scores</vt:lpstr>
      <vt:lpstr>Approximation Method</vt:lpstr>
      <vt:lpstr>AHP Eigen Value</vt:lpstr>
      <vt:lpstr>Geometric Mean</vt:lpstr>
      <vt:lpstr>MAUT</vt:lpstr>
      <vt:lpstr>Sensitivity Analysis</vt:lpstr>
      <vt:lpstr>TOPSIS and SAW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2017-10-11T23:55:47Z</dcterms:created>
  <dcterms:modified xsi:type="dcterms:W3CDTF">2017-10-13T02:17:42Z</dcterms:modified>
</cp:coreProperties>
</file>