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lenn\Documents\1_Git\tabulaExcel\"/>
    </mc:Choice>
  </mc:AlternateContent>
  <bookViews>
    <workbookView xWindow="930" yWindow="105" windowWidth="14400" windowHeight="12705" tabRatio="723" firstSheet="2" activeTab="5"/>
  </bookViews>
  <sheets>
    <sheet name="Gebouwgegevens Tabula" sheetId="1" state="hidden" r:id="rId1"/>
    <sheet name="Gebouwgegevens Allacker" sheetId="2" state="hidden" r:id="rId2"/>
    <sheet name="Tabula data" sheetId="3" r:id="rId3"/>
    <sheet name="Verwarming Allacker" sheetId="4" state="hidden" r:id="rId4"/>
    <sheet name="Verwarming Tabula" sheetId="5" state="hidden" r:id="rId5"/>
    <sheet name="Gebouwgegevens Tabula 2zone" sheetId="6" r:id="rId6"/>
    <sheet name="Tabula 2zone Ref 1" sheetId="14" r:id="rId7"/>
    <sheet name="Tabula 2zone Ref 2 (LE)" sheetId="11" r:id="rId8"/>
    <sheet name="Tabula RefULG1" sheetId="16" r:id="rId9"/>
    <sheet name="Tabula RefULG2" sheetId="17" r:id="rId10"/>
    <sheet name="Verwarming Tabula 2zone" sheetId="7" r:id="rId11"/>
    <sheet name="Verwarming Tabula 2zone Ref1" sheetId="15" r:id="rId12"/>
    <sheet name="Verwarming Tabula 2zone Ref2 LE" sheetId="12" r:id="rId13"/>
    <sheet name="Verwarming Tabula 2zone RefULG1" sheetId="18" r:id="rId14"/>
    <sheet name="Verwarming Tabula 2zone RefULG2" sheetId="19" r:id="rId15"/>
    <sheet name="PropertiesGB_Theoretical" sheetId="8" r:id="rId16"/>
    <sheet name="Sheet8" sheetId="9" r:id="rId17"/>
    <sheet name="Sheet9" sheetId="10" r:id="rId18"/>
  </sheets>
  <definedNames>
    <definedName name="_xlnm.Print_Area" localSheetId="1">'Gebouwgegevens Allacker'!$A$1:$H$38,'Gebouwgegevens Allacker'!$J$3:$T$32,'Gebouwgegevens Allacker'!$V$3:$AG$52</definedName>
    <definedName name="_xlnm.Print_Area" localSheetId="0">'Gebouwgegevens Tabula'!$A$1:$H$38,'Gebouwgegevens Tabula'!$J$3:$T$32,'Gebouwgegevens Tabula'!$V$3:$AG$52</definedName>
    <definedName name="_xlnm.Print_Area" localSheetId="5">'Gebouwgegevens Tabula 2zone'!$B$1:$I$37,'Gebouwgegevens Tabula 2zone'!$K$3:$U$32,'Gebouwgegevens Tabula 2zone'!$W$3:$AH$51</definedName>
    <definedName name="_xlnm.Print_Area" localSheetId="6">'Tabula 2zone Ref 1'!$B$1:$I$37,'Tabula 2zone Ref 1'!$K$3:$U$32,'Tabula 2zone Ref 1'!$W$3:$AH$52</definedName>
    <definedName name="_xlnm.Print_Area" localSheetId="7">'Tabula 2zone Ref 2 (LE)'!$B$1:$I$37,'Tabula 2zone Ref 2 (LE)'!$K$3:$U$32,'Tabula 2zone Ref 2 (LE)'!$W$3:$AH$52</definedName>
    <definedName name="_xlnm.Print_Area" localSheetId="2">'Tabula data'!$A$1:$D$28,'Tabula data'!$F$1:$Q$31,'Tabula data'!$A$31:$D$46</definedName>
    <definedName name="_xlnm.Print_Area" localSheetId="8">'Tabula RefULG1'!$B$1:$I$37,'Tabula RefULG1'!$K$3:$U$32,'Tabula RefULG1'!$W$3:$AH$51</definedName>
    <definedName name="_xlnm.Print_Area" localSheetId="9">'Tabula RefULG2'!$B$1:$I$37,'Tabula RefULG2'!$K$3:$U$32,'Tabula RefULG2'!$W$3:$AH$51</definedName>
  </definedNames>
  <calcPr calcId="162913"/>
</workbook>
</file>

<file path=xl/calcChain.xml><?xml version="1.0" encoding="utf-8"?>
<calcChain xmlns="http://schemas.openxmlformats.org/spreadsheetml/2006/main">
  <c r="B61" i="17" l="1"/>
  <c r="B66" i="17"/>
  <c r="B62" i="17"/>
  <c r="C62" i="17" s="1"/>
  <c r="D62" i="17" s="1"/>
  <c r="C61" i="17"/>
  <c r="D61" i="17" s="1"/>
  <c r="B61" i="16"/>
  <c r="C61" i="16" s="1"/>
  <c r="D61" i="16" s="1"/>
  <c r="B66" i="16"/>
  <c r="B62" i="16"/>
  <c r="C62" i="16" s="1"/>
  <c r="D62" i="16" s="1"/>
  <c r="B61" i="14"/>
  <c r="B66" i="14"/>
  <c r="B62" i="14"/>
  <c r="C62" i="14" s="1"/>
  <c r="D62" i="14" s="1"/>
  <c r="C61" i="14"/>
  <c r="D61" i="14" s="1"/>
  <c r="B66" i="6"/>
  <c r="B62" i="6"/>
  <c r="C62" i="6" s="1"/>
  <c r="D62" i="6" s="1"/>
  <c r="B61" i="6"/>
  <c r="C61" i="6" s="1"/>
  <c r="D61" i="6" s="1"/>
  <c r="AE19" i="17" l="1"/>
  <c r="AD30" i="17"/>
  <c r="AA28" i="17" s="1"/>
  <c r="AE30" i="17"/>
  <c r="AE31" i="17"/>
  <c r="AD32" i="17"/>
  <c r="AE32" i="17"/>
  <c r="AD33" i="17"/>
  <c r="AE33" i="17"/>
  <c r="AE35" i="17"/>
  <c r="AD36" i="17"/>
  <c r="AD43" i="17"/>
  <c r="AE43" i="17"/>
  <c r="AD44" i="17"/>
  <c r="AE44" i="17"/>
  <c r="AD45" i="17"/>
  <c r="AE45" i="17"/>
  <c r="AD46" i="17"/>
  <c r="AE46" i="17"/>
  <c r="AD47" i="17"/>
  <c r="AE47" i="17"/>
  <c r="AE50" i="17"/>
  <c r="AD52" i="17"/>
  <c r="AD57" i="17"/>
  <c r="AE28" i="17" l="1"/>
  <c r="AE41" i="17"/>
  <c r="AA41" i="17"/>
  <c r="B139" i="15"/>
  <c r="CZ78" i="14" l="1"/>
  <c r="CZ79" i="14"/>
  <c r="CZ77" i="14"/>
  <c r="I3" i="3" l="1"/>
  <c r="E109" i="19" l="1"/>
  <c r="D109" i="19"/>
  <c r="H109" i="19" s="1"/>
  <c r="C109" i="19"/>
  <c r="G109" i="19" s="1"/>
  <c r="E108" i="19"/>
  <c r="D108" i="19"/>
  <c r="H108" i="19" s="1"/>
  <c r="C108" i="19"/>
  <c r="G108" i="19" s="1"/>
  <c r="F92" i="19"/>
  <c r="D92" i="19"/>
  <c r="C92" i="19"/>
  <c r="F91" i="19"/>
  <c r="D91" i="19"/>
  <c r="C91" i="19"/>
  <c r="F90" i="19"/>
  <c r="D90" i="19"/>
  <c r="C90" i="19"/>
  <c r="F89" i="19"/>
  <c r="D89" i="19"/>
  <c r="C89" i="19"/>
  <c r="F88" i="19"/>
  <c r="D88" i="19"/>
  <c r="C88" i="19"/>
  <c r="F87" i="19"/>
  <c r="D87" i="19"/>
  <c r="C87" i="19"/>
  <c r="F86" i="19"/>
  <c r="D86" i="19"/>
  <c r="C86" i="19"/>
  <c r="F85" i="19"/>
  <c r="D85" i="19"/>
  <c r="C85" i="19"/>
  <c r="F84" i="19"/>
  <c r="D84" i="19"/>
  <c r="C84" i="19"/>
  <c r="E34" i="19"/>
  <c r="D34" i="19"/>
  <c r="H34" i="19" s="1"/>
  <c r="C34" i="19"/>
  <c r="G34" i="19" s="1"/>
  <c r="E33" i="19"/>
  <c r="D33" i="19"/>
  <c r="H33" i="19" s="1"/>
  <c r="C33" i="19"/>
  <c r="G33" i="19" s="1"/>
  <c r="K28" i="19"/>
  <c r="D28" i="19"/>
  <c r="C28" i="19"/>
  <c r="B19" i="19"/>
  <c r="F19" i="19" s="1"/>
  <c r="B18" i="19"/>
  <c r="B17" i="19"/>
  <c r="F17" i="19" s="1"/>
  <c r="B16" i="19"/>
  <c r="D16" i="19" s="1"/>
  <c r="B15" i="19"/>
  <c r="F15" i="19" s="1"/>
  <c r="B14" i="19"/>
  <c r="B13" i="19"/>
  <c r="B12" i="19"/>
  <c r="D12" i="19" s="1"/>
  <c r="B776" i="19"/>
  <c r="B778" i="19" s="1"/>
  <c r="B777" i="19" s="1"/>
  <c r="B768" i="19"/>
  <c r="B764" i="19"/>
  <c r="B761" i="19"/>
  <c r="J750" i="19"/>
  <c r="I750" i="19"/>
  <c r="F750" i="19"/>
  <c r="E750" i="19"/>
  <c r="D750" i="19"/>
  <c r="H750" i="19" s="1"/>
  <c r="C750" i="19"/>
  <c r="G750" i="19" s="1"/>
  <c r="K750" i="19" s="1"/>
  <c r="J749" i="19"/>
  <c r="I749" i="19"/>
  <c r="F749" i="19"/>
  <c r="E749" i="19"/>
  <c r="D749" i="19"/>
  <c r="H749" i="19" s="1"/>
  <c r="C749" i="19"/>
  <c r="G749" i="19" s="1"/>
  <c r="J748" i="19"/>
  <c r="I748" i="19"/>
  <c r="F748" i="19"/>
  <c r="E748" i="19"/>
  <c r="D748" i="19"/>
  <c r="H748" i="19" s="1"/>
  <c r="C748" i="19"/>
  <c r="G748" i="19" s="1"/>
  <c r="K748" i="19" s="1"/>
  <c r="J747" i="19"/>
  <c r="I747" i="19"/>
  <c r="H747" i="19"/>
  <c r="F747" i="19"/>
  <c r="E747" i="19"/>
  <c r="D747" i="19"/>
  <c r="C747" i="19"/>
  <c r="G747" i="19" s="1"/>
  <c r="K747" i="19" s="1"/>
  <c r="J746" i="19"/>
  <c r="I746" i="19"/>
  <c r="F746" i="19"/>
  <c r="E746" i="19"/>
  <c r="D746" i="19"/>
  <c r="H746" i="19" s="1"/>
  <c r="C746" i="19"/>
  <c r="G746" i="19" s="1"/>
  <c r="J745" i="19"/>
  <c r="I745" i="19"/>
  <c r="F745" i="19"/>
  <c r="E745" i="19"/>
  <c r="D745" i="19"/>
  <c r="H745" i="19" s="1"/>
  <c r="C745" i="19"/>
  <c r="G745" i="19" s="1"/>
  <c r="K745" i="19" s="1"/>
  <c r="J744" i="19"/>
  <c r="I744" i="19"/>
  <c r="F744" i="19"/>
  <c r="E744" i="19"/>
  <c r="D744" i="19"/>
  <c r="H744" i="19" s="1"/>
  <c r="C744" i="19"/>
  <c r="G744" i="19" s="1"/>
  <c r="J743" i="19"/>
  <c r="I743" i="19"/>
  <c r="H743" i="19"/>
  <c r="F743" i="19"/>
  <c r="E743" i="19"/>
  <c r="D743" i="19"/>
  <c r="C743" i="19"/>
  <c r="G743" i="19" s="1"/>
  <c r="K743" i="19" s="1"/>
  <c r="J742" i="19"/>
  <c r="I742" i="19"/>
  <c r="F742" i="19"/>
  <c r="E742" i="19"/>
  <c r="D742" i="19"/>
  <c r="H742" i="19" s="1"/>
  <c r="C742" i="19"/>
  <c r="G742" i="19" s="1"/>
  <c r="J741" i="19"/>
  <c r="I741" i="19"/>
  <c r="F741" i="19"/>
  <c r="E741" i="19"/>
  <c r="D741" i="19"/>
  <c r="H741" i="19" s="1"/>
  <c r="C741" i="19"/>
  <c r="G741" i="19" s="1"/>
  <c r="K741" i="19" s="1"/>
  <c r="J740" i="19"/>
  <c r="I740" i="19"/>
  <c r="F740" i="19"/>
  <c r="E740" i="19"/>
  <c r="D740" i="19"/>
  <c r="H740" i="19" s="1"/>
  <c r="C740" i="19"/>
  <c r="G740" i="19" s="1"/>
  <c r="K740" i="19" s="1"/>
  <c r="J739" i="19"/>
  <c r="I739" i="19"/>
  <c r="F739" i="19"/>
  <c r="E739" i="19"/>
  <c r="D739" i="19"/>
  <c r="H739" i="19" s="1"/>
  <c r="C739" i="19"/>
  <c r="G739" i="19" s="1"/>
  <c r="G731" i="19"/>
  <c r="F731" i="19"/>
  <c r="M731" i="19" s="1"/>
  <c r="E731" i="19"/>
  <c r="D731" i="19"/>
  <c r="C731" i="19"/>
  <c r="I731" i="19" s="1"/>
  <c r="L731" i="19" s="1"/>
  <c r="H717" i="19"/>
  <c r="G717" i="19"/>
  <c r="F717" i="19"/>
  <c r="E717" i="19"/>
  <c r="D717" i="19"/>
  <c r="C717" i="19"/>
  <c r="H716" i="19"/>
  <c r="G716" i="19"/>
  <c r="F716" i="19"/>
  <c r="E716" i="19"/>
  <c r="D716" i="19"/>
  <c r="C716" i="19"/>
  <c r="H715" i="19"/>
  <c r="G715" i="19"/>
  <c r="F715" i="19"/>
  <c r="E715" i="19"/>
  <c r="D715" i="19"/>
  <c r="C715" i="19"/>
  <c r="B697" i="19"/>
  <c r="B699" i="19" s="1"/>
  <c r="B698" i="19" s="1"/>
  <c r="B685" i="19"/>
  <c r="B682" i="19"/>
  <c r="B689" i="19" s="1"/>
  <c r="G689" i="19" s="1"/>
  <c r="J661" i="19"/>
  <c r="I661" i="19"/>
  <c r="F661" i="19"/>
  <c r="E661" i="19"/>
  <c r="D661" i="19"/>
  <c r="H661" i="19" s="1"/>
  <c r="C661" i="19"/>
  <c r="G661" i="19" s="1"/>
  <c r="K661" i="19" s="1"/>
  <c r="J660" i="19"/>
  <c r="I660" i="19"/>
  <c r="F660" i="19"/>
  <c r="E660" i="19"/>
  <c r="D660" i="19"/>
  <c r="H660" i="19" s="1"/>
  <c r="C660" i="19"/>
  <c r="G660" i="19" s="1"/>
  <c r="K660" i="19" s="1"/>
  <c r="M652" i="19"/>
  <c r="I652" i="19"/>
  <c r="L652" i="19" s="1"/>
  <c r="G652" i="19"/>
  <c r="F652" i="19"/>
  <c r="E652" i="19"/>
  <c r="D652" i="19"/>
  <c r="C652" i="19"/>
  <c r="H637" i="19"/>
  <c r="G637" i="19"/>
  <c r="F637" i="19"/>
  <c r="E637" i="19"/>
  <c r="D637" i="19"/>
  <c r="C637" i="19"/>
  <c r="H636" i="19"/>
  <c r="B673" i="19" s="1"/>
  <c r="G636" i="19"/>
  <c r="F636" i="19"/>
  <c r="E636" i="19"/>
  <c r="D636" i="19"/>
  <c r="C636" i="19"/>
  <c r="B618" i="19"/>
  <c r="B620" i="19" s="1"/>
  <c r="B619" i="19" s="1"/>
  <c r="B606" i="19"/>
  <c r="B607" i="19" s="1"/>
  <c r="B603" i="19"/>
  <c r="B610" i="19" s="1"/>
  <c r="J583" i="19"/>
  <c r="I583" i="19"/>
  <c r="F583" i="19"/>
  <c r="E583" i="19"/>
  <c r="D583" i="19"/>
  <c r="H583" i="19" s="1"/>
  <c r="C583" i="19"/>
  <c r="G583" i="19" s="1"/>
  <c r="J582" i="19"/>
  <c r="I582" i="19"/>
  <c r="F582" i="19"/>
  <c r="E582" i="19"/>
  <c r="D582" i="19"/>
  <c r="H582" i="19" s="1"/>
  <c r="C582" i="19"/>
  <c r="G582" i="19" s="1"/>
  <c r="J581" i="19"/>
  <c r="B594" i="19" s="1"/>
  <c r="I581" i="19"/>
  <c r="F581" i="19"/>
  <c r="E581" i="19"/>
  <c r="D581" i="19"/>
  <c r="H581" i="19" s="1"/>
  <c r="C581" i="19"/>
  <c r="G581" i="19" s="1"/>
  <c r="G573" i="19"/>
  <c r="F573" i="19"/>
  <c r="M573" i="19" s="1"/>
  <c r="E573" i="19"/>
  <c r="D573" i="19"/>
  <c r="C573" i="19"/>
  <c r="I573" i="19" s="1"/>
  <c r="L573" i="19" s="1"/>
  <c r="H559" i="19"/>
  <c r="G559" i="19"/>
  <c r="F559" i="19"/>
  <c r="E559" i="19"/>
  <c r="D559" i="19"/>
  <c r="C559" i="19"/>
  <c r="H558" i="19"/>
  <c r="G558" i="19"/>
  <c r="F558" i="19"/>
  <c r="E558" i="19"/>
  <c r="D558" i="19"/>
  <c r="C558" i="19"/>
  <c r="H557" i="19"/>
  <c r="G557" i="19"/>
  <c r="F557" i="19"/>
  <c r="E557" i="19"/>
  <c r="D557" i="19"/>
  <c r="C557" i="19"/>
  <c r="B539" i="19"/>
  <c r="B541" i="19" s="1"/>
  <c r="B540" i="19" s="1"/>
  <c r="B527" i="19"/>
  <c r="B528" i="19" s="1"/>
  <c r="B524" i="19"/>
  <c r="B531" i="19" s="1"/>
  <c r="J504" i="19"/>
  <c r="I504" i="19"/>
  <c r="F504" i="19"/>
  <c r="E504" i="19"/>
  <c r="D504" i="19"/>
  <c r="H504" i="19" s="1"/>
  <c r="C504" i="19"/>
  <c r="G504" i="19" s="1"/>
  <c r="K504" i="19" s="1"/>
  <c r="J503" i="19"/>
  <c r="I503" i="19"/>
  <c r="F503" i="19"/>
  <c r="E503" i="19"/>
  <c r="D503" i="19"/>
  <c r="H503" i="19" s="1"/>
  <c r="C503" i="19"/>
  <c r="G503" i="19" s="1"/>
  <c r="K503" i="19" s="1"/>
  <c r="J502" i="19"/>
  <c r="I502" i="19"/>
  <c r="F502" i="19"/>
  <c r="E502" i="19"/>
  <c r="D502" i="19"/>
  <c r="H502" i="19" s="1"/>
  <c r="C502" i="19"/>
  <c r="G502" i="19" s="1"/>
  <c r="H483" i="19"/>
  <c r="G483" i="19"/>
  <c r="F483" i="19"/>
  <c r="E483" i="19"/>
  <c r="D483" i="19"/>
  <c r="C483" i="19"/>
  <c r="H482" i="19"/>
  <c r="G482" i="19"/>
  <c r="F482" i="19"/>
  <c r="E482" i="19"/>
  <c r="D482" i="19"/>
  <c r="C482" i="19"/>
  <c r="H481" i="19"/>
  <c r="G481" i="19"/>
  <c r="F481" i="19"/>
  <c r="E481" i="19"/>
  <c r="D481" i="19"/>
  <c r="C481" i="19"/>
  <c r="H480" i="19"/>
  <c r="G480" i="19"/>
  <c r="F480" i="19"/>
  <c r="E480" i="19"/>
  <c r="D480" i="19"/>
  <c r="C480" i="19"/>
  <c r="F479" i="19"/>
  <c r="D479" i="19"/>
  <c r="C479" i="19"/>
  <c r="F478" i="19"/>
  <c r="D478" i="19"/>
  <c r="C478" i="19"/>
  <c r="B461" i="19"/>
  <c r="B463" i="19" s="1"/>
  <c r="B462" i="19" s="1"/>
  <c r="G453" i="19"/>
  <c r="B449" i="19"/>
  <c r="B450" i="19" s="1"/>
  <c r="B446" i="19"/>
  <c r="B453" i="19" s="1"/>
  <c r="B455" i="19" s="1"/>
  <c r="B456" i="19" s="1"/>
  <c r="J428" i="19"/>
  <c r="I428" i="19"/>
  <c r="F428" i="19"/>
  <c r="E428" i="19"/>
  <c r="D428" i="19"/>
  <c r="H428" i="19" s="1"/>
  <c r="C428" i="19"/>
  <c r="G428" i="19" s="1"/>
  <c r="J427" i="19"/>
  <c r="I427" i="19"/>
  <c r="F427" i="19"/>
  <c r="E427" i="19"/>
  <c r="D427" i="19"/>
  <c r="H427" i="19" s="1"/>
  <c r="C427" i="19"/>
  <c r="G427" i="19" s="1"/>
  <c r="K427" i="19" s="1"/>
  <c r="J426" i="19"/>
  <c r="I426" i="19"/>
  <c r="F426" i="19"/>
  <c r="E426" i="19"/>
  <c r="D426" i="19"/>
  <c r="H426" i="19" s="1"/>
  <c r="C426" i="19"/>
  <c r="G426" i="19" s="1"/>
  <c r="J425" i="19"/>
  <c r="I425" i="19"/>
  <c r="F425" i="19"/>
  <c r="E425" i="19"/>
  <c r="D425" i="19"/>
  <c r="H425" i="19" s="1"/>
  <c r="C425" i="19"/>
  <c r="G425" i="19" s="1"/>
  <c r="J424" i="19"/>
  <c r="I424" i="19"/>
  <c r="F424" i="19"/>
  <c r="E424" i="19"/>
  <c r="D424" i="19"/>
  <c r="H424" i="19" s="1"/>
  <c r="C424" i="19"/>
  <c r="G424" i="19" s="1"/>
  <c r="K424" i="19" s="1"/>
  <c r="F402" i="19"/>
  <c r="D402" i="19"/>
  <c r="C402" i="19"/>
  <c r="F401" i="19"/>
  <c r="D401" i="19"/>
  <c r="C401" i="19"/>
  <c r="F400" i="19"/>
  <c r="D400" i="19"/>
  <c r="C400" i="19"/>
  <c r="B383" i="19"/>
  <c r="B385" i="19" s="1"/>
  <c r="B384" i="19" s="1"/>
  <c r="B375" i="19"/>
  <c r="B377" i="19" s="1"/>
  <c r="B378" i="19" s="1"/>
  <c r="B371" i="19"/>
  <c r="B372" i="19" s="1"/>
  <c r="B368" i="19"/>
  <c r="J350" i="19"/>
  <c r="I350" i="19"/>
  <c r="F350" i="19"/>
  <c r="E350" i="19"/>
  <c r="D350" i="19"/>
  <c r="H350" i="19" s="1"/>
  <c r="C350" i="19"/>
  <c r="G350" i="19" s="1"/>
  <c r="K350" i="19" s="1"/>
  <c r="J349" i="19"/>
  <c r="I349" i="19"/>
  <c r="F349" i="19"/>
  <c r="E349" i="19"/>
  <c r="D349" i="19"/>
  <c r="H349" i="19" s="1"/>
  <c r="C349" i="19"/>
  <c r="G349" i="19" s="1"/>
  <c r="J348" i="19"/>
  <c r="I348" i="19"/>
  <c r="F348" i="19"/>
  <c r="E348" i="19"/>
  <c r="D348" i="19"/>
  <c r="H348" i="19" s="1"/>
  <c r="C348" i="19"/>
  <c r="G348" i="19" s="1"/>
  <c r="K348" i="19" s="1"/>
  <c r="J347" i="19"/>
  <c r="I347" i="19"/>
  <c r="H347" i="19"/>
  <c r="F347" i="19"/>
  <c r="E347" i="19"/>
  <c r="D347" i="19"/>
  <c r="C347" i="19"/>
  <c r="G347" i="19" s="1"/>
  <c r="K347" i="19" s="1"/>
  <c r="J346" i="19"/>
  <c r="I346" i="19"/>
  <c r="F346" i="19"/>
  <c r="E346" i="19"/>
  <c r="D346" i="19"/>
  <c r="H346" i="19" s="1"/>
  <c r="C346" i="19"/>
  <c r="G346" i="19" s="1"/>
  <c r="F325" i="19"/>
  <c r="D325" i="19"/>
  <c r="C325" i="19"/>
  <c r="F324" i="19"/>
  <c r="E324" i="19"/>
  <c r="D324" i="19"/>
  <c r="C324" i="19"/>
  <c r="F323" i="19"/>
  <c r="E323" i="19"/>
  <c r="D323" i="19"/>
  <c r="C323" i="19"/>
  <c r="F322" i="19"/>
  <c r="E322" i="19"/>
  <c r="D322" i="19"/>
  <c r="C322" i="19"/>
  <c r="B304" i="19"/>
  <c r="B306" i="19" s="1"/>
  <c r="B305" i="19" s="1"/>
  <c r="B296" i="19"/>
  <c r="B292" i="19"/>
  <c r="B289" i="19"/>
  <c r="J270" i="19"/>
  <c r="I270" i="19"/>
  <c r="F270" i="19"/>
  <c r="E270" i="19"/>
  <c r="D270" i="19"/>
  <c r="H270" i="19" s="1"/>
  <c r="C270" i="19"/>
  <c r="G270" i="19" s="1"/>
  <c r="K270" i="19" s="1"/>
  <c r="J269" i="19"/>
  <c r="I269" i="19"/>
  <c r="F269" i="19"/>
  <c r="E269" i="19"/>
  <c r="D269" i="19"/>
  <c r="H269" i="19" s="1"/>
  <c r="C269" i="19"/>
  <c r="G269" i="19" s="1"/>
  <c r="J268" i="19"/>
  <c r="I268" i="19"/>
  <c r="F268" i="19"/>
  <c r="E268" i="19"/>
  <c r="D268" i="19"/>
  <c r="H268" i="19" s="1"/>
  <c r="C268" i="19"/>
  <c r="G268" i="19" s="1"/>
  <c r="K268" i="19" s="1"/>
  <c r="J267" i="19"/>
  <c r="I267" i="19"/>
  <c r="F267" i="19"/>
  <c r="E267" i="19"/>
  <c r="D267" i="19"/>
  <c r="H267" i="19" s="1"/>
  <c r="C267" i="19"/>
  <c r="G267" i="19" s="1"/>
  <c r="F246" i="19"/>
  <c r="D246" i="19"/>
  <c r="C246" i="19"/>
  <c r="F245" i="19"/>
  <c r="E245" i="19"/>
  <c r="D245" i="19"/>
  <c r="C245" i="19"/>
  <c r="F244" i="19"/>
  <c r="D244" i="19"/>
  <c r="C244" i="19"/>
  <c r="F243" i="19"/>
  <c r="E243" i="19"/>
  <c r="D243" i="19"/>
  <c r="C243" i="19"/>
  <c r="B225" i="19"/>
  <c r="B227" i="19" s="1"/>
  <c r="B226" i="19" s="1"/>
  <c r="B217" i="19"/>
  <c r="B219" i="19" s="1"/>
  <c r="B220" i="19" s="1"/>
  <c r="B213" i="19"/>
  <c r="B210" i="19"/>
  <c r="J190" i="19"/>
  <c r="I190" i="19"/>
  <c r="F190" i="19"/>
  <c r="E190" i="19"/>
  <c r="D190" i="19"/>
  <c r="H190" i="19" s="1"/>
  <c r="C190" i="19"/>
  <c r="G190" i="19" s="1"/>
  <c r="J189" i="19"/>
  <c r="I189" i="19"/>
  <c r="F189" i="19"/>
  <c r="E189" i="19"/>
  <c r="D189" i="19"/>
  <c r="H189" i="19" s="1"/>
  <c r="C189" i="19"/>
  <c r="G189" i="19" s="1"/>
  <c r="K189" i="19" s="1"/>
  <c r="J188" i="19"/>
  <c r="I188" i="19"/>
  <c r="F188" i="19"/>
  <c r="E188" i="19"/>
  <c r="D188" i="19"/>
  <c r="H188" i="19" s="1"/>
  <c r="C188" i="19"/>
  <c r="G188" i="19" s="1"/>
  <c r="G180" i="19"/>
  <c r="F180" i="19"/>
  <c r="M180" i="19" s="1"/>
  <c r="E180" i="19"/>
  <c r="D180" i="19"/>
  <c r="C180" i="19"/>
  <c r="I180" i="19" s="1"/>
  <c r="L180" i="19" s="1"/>
  <c r="F165" i="19"/>
  <c r="D165" i="19"/>
  <c r="C165" i="19"/>
  <c r="F164" i="19"/>
  <c r="E164" i="19"/>
  <c r="D164" i="19"/>
  <c r="C164" i="19"/>
  <c r="B22" i="19"/>
  <c r="B21" i="19"/>
  <c r="E21" i="19" s="1"/>
  <c r="V12" i="19"/>
  <c r="V11" i="19"/>
  <c r="V10" i="19"/>
  <c r="V9" i="19"/>
  <c r="V8" i="19"/>
  <c r="V7" i="19"/>
  <c r="E109" i="18"/>
  <c r="D109" i="18"/>
  <c r="H109" i="18" s="1"/>
  <c r="C109" i="18"/>
  <c r="G109" i="18" s="1"/>
  <c r="E108" i="18"/>
  <c r="D108" i="18"/>
  <c r="H108" i="18" s="1"/>
  <c r="C108" i="18"/>
  <c r="G108" i="18" s="1"/>
  <c r="F92" i="18"/>
  <c r="D92" i="18"/>
  <c r="C92" i="18"/>
  <c r="F91" i="18"/>
  <c r="D91" i="18"/>
  <c r="C91" i="18"/>
  <c r="F90" i="18"/>
  <c r="D90" i="18"/>
  <c r="C90" i="18"/>
  <c r="F89" i="18"/>
  <c r="D89" i="18"/>
  <c r="C89" i="18"/>
  <c r="F88" i="18"/>
  <c r="D88" i="18"/>
  <c r="C88" i="18"/>
  <c r="F87" i="18"/>
  <c r="D87" i="18"/>
  <c r="C87" i="18"/>
  <c r="F86" i="18"/>
  <c r="D86" i="18"/>
  <c r="C86" i="18"/>
  <c r="F85" i="18"/>
  <c r="D85" i="18"/>
  <c r="C85" i="18"/>
  <c r="F84" i="18"/>
  <c r="D84" i="18"/>
  <c r="C84" i="18"/>
  <c r="E34" i="18"/>
  <c r="D34" i="18"/>
  <c r="H34" i="18" s="1"/>
  <c r="C34" i="18"/>
  <c r="G34" i="18" s="1"/>
  <c r="E33" i="18"/>
  <c r="D33" i="18"/>
  <c r="H33" i="18" s="1"/>
  <c r="C33" i="18"/>
  <c r="G33" i="18" s="1"/>
  <c r="K28" i="18"/>
  <c r="D28" i="18"/>
  <c r="C28" i="18"/>
  <c r="D22" i="18"/>
  <c r="B19" i="18"/>
  <c r="F19" i="18" s="1"/>
  <c r="B18" i="18"/>
  <c r="B17" i="18"/>
  <c r="B16" i="18"/>
  <c r="F16" i="18" s="1"/>
  <c r="B15" i="18"/>
  <c r="F15" i="18" s="1"/>
  <c r="B14" i="18"/>
  <c r="B13" i="18"/>
  <c r="B12" i="18"/>
  <c r="B776" i="18"/>
  <c r="B778" i="18" s="1"/>
  <c r="B777" i="18" s="1"/>
  <c r="B764" i="18"/>
  <c r="B761" i="18"/>
  <c r="B768" i="18" s="1"/>
  <c r="J750" i="18"/>
  <c r="I750" i="18"/>
  <c r="F750" i="18"/>
  <c r="E750" i="18"/>
  <c r="D750" i="18"/>
  <c r="H750" i="18" s="1"/>
  <c r="C750" i="18"/>
  <c r="G750" i="18" s="1"/>
  <c r="J749" i="18"/>
  <c r="I749" i="18"/>
  <c r="F749" i="18"/>
  <c r="E749" i="18"/>
  <c r="D749" i="18"/>
  <c r="H749" i="18" s="1"/>
  <c r="C749" i="18"/>
  <c r="G749" i="18" s="1"/>
  <c r="J748" i="18"/>
  <c r="I748" i="18"/>
  <c r="F748" i="18"/>
  <c r="E748" i="18"/>
  <c r="D748" i="18"/>
  <c r="H748" i="18" s="1"/>
  <c r="C748" i="18"/>
  <c r="G748" i="18" s="1"/>
  <c r="J747" i="18"/>
  <c r="I747" i="18"/>
  <c r="F747" i="18"/>
  <c r="E747" i="18"/>
  <c r="D747" i="18"/>
  <c r="H747" i="18" s="1"/>
  <c r="C747" i="18"/>
  <c r="G747" i="18" s="1"/>
  <c r="J746" i="18"/>
  <c r="I746" i="18"/>
  <c r="F746" i="18"/>
  <c r="E746" i="18"/>
  <c r="D746" i="18"/>
  <c r="H746" i="18" s="1"/>
  <c r="C746" i="18"/>
  <c r="G746" i="18" s="1"/>
  <c r="J745" i="18"/>
  <c r="I745" i="18"/>
  <c r="F745" i="18"/>
  <c r="E745" i="18"/>
  <c r="D745" i="18"/>
  <c r="H745" i="18" s="1"/>
  <c r="C745" i="18"/>
  <c r="G745" i="18" s="1"/>
  <c r="J744" i="18"/>
  <c r="I744" i="18"/>
  <c r="F744" i="18"/>
  <c r="E744" i="18"/>
  <c r="D744" i="18"/>
  <c r="H744" i="18" s="1"/>
  <c r="C744" i="18"/>
  <c r="G744" i="18" s="1"/>
  <c r="J743" i="18"/>
  <c r="I743" i="18"/>
  <c r="F743" i="18"/>
  <c r="E743" i="18"/>
  <c r="D743" i="18"/>
  <c r="H743" i="18" s="1"/>
  <c r="C743" i="18"/>
  <c r="G743" i="18" s="1"/>
  <c r="J742" i="18"/>
  <c r="I742" i="18"/>
  <c r="F742" i="18"/>
  <c r="E742" i="18"/>
  <c r="D742" i="18"/>
  <c r="H742" i="18" s="1"/>
  <c r="C742" i="18"/>
  <c r="G742" i="18" s="1"/>
  <c r="J741" i="18"/>
  <c r="I741" i="18"/>
  <c r="F741" i="18"/>
  <c r="E741" i="18"/>
  <c r="D741" i="18"/>
  <c r="H741" i="18" s="1"/>
  <c r="C741" i="18"/>
  <c r="G741" i="18" s="1"/>
  <c r="J740" i="18"/>
  <c r="I740" i="18"/>
  <c r="F740" i="18"/>
  <c r="E740" i="18"/>
  <c r="D740" i="18"/>
  <c r="H740" i="18" s="1"/>
  <c r="C740" i="18"/>
  <c r="G740" i="18" s="1"/>
  <c r="J739" i="18"/>
  <c r="I739" i="18"/>
  <c r="F739" i="18"/>
  <c r="E739" i="18"/>
  <c r="D739" i="18"/>
  <c r="H739" i="18" s="1"/>
  <c r="C739" i="18"/>
  <c r="G739" i="18" s="1"/>
  <c r="G731" i="18"/>
  <c r="F731" i="18"/>
  <c r="M731" i="18" s="1"/>
  <c r="E731" i="18"/>
  <c r="D731" i="18"/>
  <c r="C731" i="18"/>
  <c r="I731" i="18" s="1"/>
  <c r="L731" i="18" s="1"/>
  <c r="H717" i="18"/>
  <c r="G717" i="18"/>
  <c r="F717" i="18"/>
  <c r="E717" i="18"/>
  <c r="D717" i="18"/>
  <c r="C717" i="18"/>
  <c r="H716" i="18"/>
  <c r="G716" i="18"/>
  <c r="F716" i="18"/>
  <c r="E716" i="18"/>
  <c r="D716" i="18"/>
  <c r="C716" i="18"/>
  <c r="H715" i="18"/>
  <c r="G715" i="18"/>
  <c r="F715" i="18"/>
  <c r="E715" i="18"/>
  <c r="D715" i="18"/>
  <c r="C715" i="18"/>
  <c r="B697" i="18"/>
  <c r="B699" i="18" s="1"/>
  <c r="B698" i="18" s="1"/>
  <c r="B685" i="18"/>
  <c r="B682" i="18"/>
  <c r="B689" i="18" s="1"/>
  <c r="J661" i="18"/>
  <c r="I661" i="18"/>
  <c r="F661" i="18"/>
  <c r="E661" i="18"/>
  <c r="D661" i="18"/>
  <c r="H661" i="18" s="1"/>
  <c r="C661" i="18"/>
  <c r="G661" i="18" s="1"/>
  <c r="K661" i="18" s="1"/>
  <c r="J660" i="18"/>
  <c r="I660" i="18"/>
  <c r="F660" i="18"/>
  <c r="E660" i="18"/>
  <c r="D660" i="18"/>
  <c r="H660" i="18" s="1"/>
  <c r="C660" i="18"/>
  <c r="G660" i="18" s="1"/>
  <c r="G652" i="18"/>
  <c r="F652" i="18"/>
  <c r="M652" i="18" s="1"/>
  <c r="E652" i="18"/>
  <c r="D652" i="18"/>
  <c r="C652" i="18"/>
  <c r="I652" i="18" s="1"/>
  <c r="L652" i="18" s="1"/>
  <c r="H637" i="18"/>
  <c r="G637" i="18"/>
  <c r="F637" i="18"/>
  <c r="E637" i="18"/>
  <c r="D637" i="18"/>
  <c r="C637" i="18"/>
  <c r="H636" i="18"/>
  <c r="G636" i="18"/>
  <c r="F636" i="18"/>
  <c r="E636" i="18"/>
  <c r="D636" i="18"/>
  <c r="C636" i="18"/>
  <c r="B618" i="18"/>
  <c r="B620" i="18" s="1"/>
  <c r="B619" i="18" s="1"/>
  <c r="B606" i="18"/>
  <c r="B607" i="18" s="1"/>
  <c r="B603" i="18"/>
  <c r="B610" i="18" s="1"/>
  <c r="J583" i="18"/>
  <c r="I583" i="18"/>
  <c r="F583" i="18"/>
  <c r="E583" i="18"/>
  <c r="D583" i="18"/>
  <c r="H583" i="18" s="1"/>
  <c r="C583" i="18"/>
  <c r="G583" i="18" s="1"/>
  <c r="J582" i="18"/>
  <c r="I582" i="18"/>
  <c r="F582" i="18"/>
  <c r="E582" i="18"/>
  <c r="D582" i="18"/>
  <c r="H582" i="18" s="1"/>
  <c r="C582" i="18"/>
  <c r="G582" i="18" s="1"/>
  <c r="K582" i="18" s="1"/>
  <c r="J581" i="18"/>
  <c r="I581" i="18"/>
  <c r="F581" i="18"/>
  <c r="E581" i="18"/>
  <c r="D581" i="18"/>
  <c r="H581" i="18" s="1"/>
  <c r="C581" i="18"/>
  <c r="G581" i="18" s="1"/>
  <c r="G573" i="18"/>
  <c r="F573" i="18"/>
  <c r="M573" i="18" s="1"/>
  <c r="E573" i="18"/>
  <c r="D573" i="18"/>
  <c r="C573" i="18"/>
  <c r="I573" i="18" s="1"/>
  <c r="L573" i="18" s="1"/>
  <c r="H559" i="18"/>
  <c r="G559" i="18"/>
  <c r="F559" i="18"/>
  <c r="E559" i="18"/>
  <c r="D559" i="18"/>
  <c r="C559" i="18"/>
  <c r="H558" i="18"/>
  <c r="G558" i="18"/>
  <c r="F558" i="18"/>
  <c r="E558" i="18"/>
  <c r="D558" i="18"/>
  <c r="C558" i="18"/>
  <c r="H557" i="18"/>
  <c r="G557" i="18"/>
  <c r="F557" i="18"/>
  <c r="E557" i="18"/>
  <c r="D557" i="18"/>
  <c r="C557" i="18"/>
  <c r="B539" i="18"/>
  <c r="B541" i="18" s="1"/>
  <c r="B540" i="18" s="1"/>
  <c r="B527" i="18"/>
  <c r="B528" i="18" s="1"/>
  <c r="B524" i="18"/>
  <c r="B531" i="18" s="1"/>
  <c r="J504" i="18"/>
  <c r="I504" i="18"/>
  <c r="F504" i="18"/>
  <c r="E504" i="18"/>
  <c r="D504" i="18"/>
  <c r="H504" i="18" s="1"/>
  <c r="C504" i="18"/>
  <c r="G504" i="18" s="1"/>
  <c r="J503" i="18"/>
  <c r="I503" i="18"/>
  <c r="F503" i="18"/>
  <c r="E503" i="18"/>
  <c r="D503" i="18"/>
  <c r="H503" i="18" s="1"/>
  <c r="C503" i="18"/>
  <c r="G503" i="18" s="1"/>
  <c r="J502" i="18"/>
  <c r="I502" i="18"/>
  <c r="F502" i="18"/>
  <c r="E502" i="18"/>
  <c r="D502" i="18"/>
  <c r="H502" i="18" s="1"/>
  <c r="C502" i="18"/>
  <c r="G502" i="18" s="1"/>
  <c r="H483" i="18"/>
  <c r="G483" i="18"/>
  <c r="F483" i="18"/>
  <c r="E483" i="18"/>
  <c r="D483" i="18"/>
  <c r="C483" i="18"/>
  <c r="H482" i="18"/>
  <c r="G482" i="18"/>
  <c r="F482" i="18"/>
  <c r="E482" i="18"/>
  <c r="D482" i="18"/>
  <c r="C482" i="18"/>
  <c r="H481" i="18"/>
  <c r="G481" i="18"/>
  <c r="F481" i="18"/>
  <c r="E481" i="18"/>
  <c r="D481" i="18"/>
  <c r="C481" i="18"/>
  <c r="H480" i="18"/>
  <c r="G480" i="18"/>
  <c r="F480" i="18"/>
  <c r="E480" i="18"/>
  <c r="D480" i="18"/>
  <c r="C480" i="18"/>
  <c r="F479" i="18"/>
  <c r="D479" i="18"/>
  <c r="C479" i="18"/>
  <c r="F478" i="18"/>
  <c r="D478" i="18"/>
  <c r="C478" i="18"/>
  <c r="B461" i="18"/>
  <c r="B463" i="18" s="1"/>
  <c r="B462" i="18" s="1"/>
  <c r="B453" i="18"/>
  <c r="B455" i="18" s="1"/>
  <c r="B456" i="18" s="1"/>
  <c r="B449" i="18"/>
  <c r="B450" i="18" s="1"/>
  <c r="B446" i="18"/>
  <c r="J428" i="18"/>
  <c r="I428" i="18"/>
  <c r="F428" i="18"/>
  <c r="E428" i="18"/>
  <c r="D428" i="18"/>
  <c r="H428" i="18" s="1"/>
  <c r="C428" i="18"/>
  <c r="G428" i="18" s="1"/>
  <c r="J427" i="18"/>
  <c r="I427" i="18"/>
  <c r="F427" i="18"/>
  <c r="E427" i="18"/>
  <c r="D427" i="18"/>
  <c r="H427" i="18" s="1"/>
  <c r="C427" i="18"/>
  <c r="G427" i="18" s="1"/>
  <c r="K427" i="18" s="1"/>
  <c r="J426" i="18"/>
  <c r="I426" i="18"/>
  <c r="F426" i="18"/>
  <c r="E426" i="18"/>
  <c r="D426" i="18"/>
  <c r="H426" i="18" s="1"/>
  <c r="C426" i="18"/>
  <c r="G426" i="18" s="1"/>
  <c r="J425" i="18"/>
  <c r="I425" i="18"/>
  <c r="F425" i="18"/>
  <c r="E425" i="18"/>
  <c r="D425" i="18"/>
  <c r="H425" i="18" s="1"/>
  <c r="C425" i="18"/>
  <c r="G425" i="18" s="1"/>
  <c r="K425" i="18" s="1"/>
  <c r="J424" i="18"/>
  <c r="I424" i="18"/>
  <c r="F424" i="18"/>
  <c r="E424" i="18"/>
  <c r="D424" i="18"/>
  <c r="H424" i="18" s="1"/>
  <c r="C424" i="18"/>
  <c r="G424" i="18" s="1"/>
  <c r="F402" i="18"/>
  <c r="D402" i="18"/>
  <c r="C402" i="18"/>
  <c r="F401" i="18"/>
  <c r="D401" i="18"/>
  <c r="C401" i="18"/>
  <c r="F400" i="18"/>
  <c r="D400" i="18"/>
  <c r="C400" i="18"/>
  <c r="B383" i="18"/>
  <c r="B385" i="18" s="1"/>
  <c r="B384" i="18" s="1"/>
  <c r="B371" i="18"/>
  <c r="B372" i="18" s="1"/>
  <c r="B368" i="18"/>
  <c r="B375" i="18" s="1"/>
  <c r="J350" i="18"/>
  <c r="I350" i="18"/>
  <c r="F350" i="18"/>
  <c r="E350" i="18"/>
  <c r="D350" i="18"/>
  <c r="H350" i="18" s="1"/>
  <c r="C350" i="18"/>
  <c r="G350" i="18" s="1"/>
  <c r="J349" i="18"/>
  <c r="I349" i="18"/>
  <c r="F349" i="18"/>
  <c r="E349" i="18"/>
  <c r="D349" i="18"/>
  <c r="H349" i="18" s="1"/>
  <c r="C349" i="18"/>
  <c r="G349" i="18" s="1"/>
  <c r="K349" i="18" s="1"/>
  <c r="J348" i="18"/>
  <c r="I348" i="18"/>
  <c r="F348" i="18"/>
  <c r="E348" i="18"/>
  <c r="D348" i="18"/>
  <c r="H348" i="18" s="1"/>
  <c r="C348" i="18"/>
  <c r="G348" i="18" s="1"/>
  <c r="J347" i="18"/>
  <c r="I347" i="18"/>
  <c r="F347" i="18"/>
  <c r="E347" i="18"/>
  <c r="D347" i="18"/>
  <c r="H347" i="18" s="1"/>
  <c r="C347" i="18"/>
  <c r="G347" i="18" s="1"/>
  <c r="J346" i="18"/>
  <c r="I346" i="18"/>
  <c r="F346" i="18"/>
  <c r="E346" i="18"/>
  <c r="D346" i="18"/>
  <c r="H346" i="18" s="1"/>
  <c r="C346" i="18"/>
  <c r="G346" i="18" s="1"/>
  <c r="F325" i="18"/>
  <c r="D325" i="18"/>
  <c r="C325" i="18"/>
  <c r="F324" i="18"/>
  <c r="E324" i="18"/>
  <c r="D324" i="18"/>
  <c r="C324" i="18"/>
  <c r="F323" i="18"/>
  <c r="E323" i="18"/>
  <c r="D323" i="18"/>
  <c r="C323" i="18"/>
  <c r="F322" i="18"/>
  <c r="E322" i="18"/>
  <c r="D322" i="18"/>
  <c r="C322" i="18"/>
  <c r="B304" i="18"/>
  <c r="B306" i="18" s="1"/>
  <c r="B305" i="18" s="1"/>
  <c r="B292" i="18"/>
  <c r="B289" i="18"/>
  <c r="B296" i="18" s="1"/>
  <c r="J270" i="18"/>
  <c r="I270" i="18"/>
  <c r="H270" i="18"/>
  <c r="F270" i="18"/>
  <c r="E270" i="18"/>
  <c r="D270" i="18"/>
  <c r="C270" i="18"/>
  <c r="G270" i="18" s="1"/>
  <c r="K270" i="18" s="1"/>
  <c r="J269" i="18"/>
  <c r="I269" i="18"/>
  <c r="F269" i="18"/>
  <c r="E269" i="18"/>
  <c r="D269" i="18"/>
  <c r="H269" i="18" s="1"/>
  <c r="C269" i="18"/>
  <c r="G269" i="18" s="1"/>
  <c r="K269" i="18" s="1"/>
  <c r="J268" i="18"/>
  <c r="I268" i="18"/>
  <c r="F268" i="18"/>
  <c r="E268" i="18"/>
  <c r="D268" i="18"/>
  <c r="H268" i="18" s="1"/>
  <c r="C268" i="18"/>
  <c r="G268" i="18" s="1"/>
  <c r="K268" i="18" s="1"/>
  <c r="J267" i="18"/>
  <c r="I267" i="18"/>
  <c r="F267" i="18"/>
  <c r="E267" i="18"/>
  <c r="D267" i="18"/>
  <c r="H267" i="18" s="1"/>
  <c r="C267" i="18"/>
  <c r="G267" i="18" s="1"/>
  <c r="K267" i="18" s="1"/>
  <c r="F246" i="18"/>
  <c r="D246" i="18"/>
  <c r="C246" i="18"/>
  <c r="F245" i="18"/>
  <c r="E245" i="18"/>
  <c r="D245" i="18"/>
  <c r="C245" i="18"/>
  <c r="F244" i="18"/>
  <c r="D244" i="18"/>
  <c r="C244" i="18"/>
  <c r="F243" i="18"/>
  <c r="E243" i="18"/>
  <c r="D243" i="18"/>
  <c r="C243" i="18"/>
  <c r="B225" i="18"/>
  <c r="B227" i="18" s="1"/>
  <c r="B226" i="18" s="1"/>
  <c r="B213" i="18"/>
  <c r="B210" i="18"/>
  <c r="B217" i="18" s="1"/>
  <c r="B219" i="18" s="1"/>
  <c r="B220" i="18" s="1"/>
  <c r="J190" i="18"/>
  <c r="I190" i="18"/>
  <c r="F190" i="18"/>
  <c r="E190" i="18"/>
  <c r="D190" i="18"/>
  <c r="H190" i="18" s="1"/>
  <c r="C190" i="18"/>
  <c r="G190" i="18" s="1"/>
  <c r="J189" i="18"/>
  <c r="I189" i="18"/>
  <c r="F189" i="18"/>
  <c r="E189" i="18"/>
  <c r="D189" i="18"/>
  <c r="H189" i="18" s="1"/>
  <c r="C189" i="18"/>
  <c r="G189" i="18" s="1"/>
  <c r="J188" i="18"/>
  <c r="I188" i="18"/>
  <c r="F188" i="18"/>
  <c r="E188" i="18"/>
  <c r="D188" i="18"/>
  <c r="H188" i="18" s="1"/>
  <c r="C188" i="18"/>
  <c r="G188" i="18" s="1"/>
  <c r="G180" i="18"/>
  <c r="F180" i="18"/>
  <c r="M180" i="18" s="1"/>
  <c r="E180" i="18"/>
  <c r="D180" i="18"/>
  <c r="C180" i="18"/>
  <c r="I180" i="18" s="1"/>
  <c r="L180" i="18" s="1"/>
  <c r="F165" i="18"/>
  <c r="D165" i="18"/>
  <c r="C165" i="18"/>
  <c r="F164" i="18"/>
  <c r="E164" i="18"/>
  <c r="D164" i="18"/>
  <c r="C164" i="18"/>
  <c r="B22" i="18"/>
  <c r="C22" i="18" s="1"/>
  <c r="B21" i="18"/>
  <c r="C21" i="18" s="1"/>
  <c r="V12" i="18"/>
  <c r="V11" i="18"/>
  <c r="V10" i="18"/>
  <c r="V9" i="18"/>
  <c r="V8" i="18"/>
  <c r="V7" i="18"/>
  <c r="B770" i="19" l="1"/>
  <c r="B771" i="19" s="1"/>
  <c r="G768" i="19"/>
  <c r="F12" i="18"/>
  <c r="D12" i="18"/>
  <c r="C12" i="18"/>
  <c r="N180" i="19"/>
  <c r="H180" i="19" s="1"/>
  <c r="G531" i="18"/>
  <c r="B533" i="18"/>
  <c r="B534" i="18" s="1"/>
  <c r="D15" i="18"/>
  <c r="B298" i="19"/>
  <c r="B299" i="19" s="1"/>
  <c r="G296" i="19"/>
  <c r="F13" i="19"/>
  <c r="C13" i="19"/>
  <c r="B673" i="18"/>
  <c r="K426" i="19"/>
  <c r="N573" i="19"/>
  <c r="H573" i="19" s="1"/>
  <c r="B752" i="19"/>
  <c r="K188" i="18"/>
  <c r="K190" i="18"/>
  <c r="K424" i="18"/>
  <c r="K426" i="18"/>
  <c r="K428" i="18"/>
  <c r="B594" i="18"/>
  <c r="N573" i="18"/>
  <c r="H573" i="18" s="1"/>
  <c r="K581" i="18"/>
  <c r="K583" i="18"/>
  <c r="K660" i="18"/>
  <c r="D21" i="18"/>
  <c r="K33" i="18"/>
  <c r="K188" i="19"/>
  <c r="K346" i="19"/>
  <c r="K428" i="19"/>
  <c r="K739" i="19"/>
  <c r="K744" i="19"/>
  <c r="K746" i="19"/>
  <c r="D17" i="19"/>
  <c r="C19" i="19"/>
  <c r="F21" i="19"/>
  <c r="F22" i="19"/>
  <c r="C21" i="19"/>
  <c r="C22" i="19"/>
  <c r="D21" i="19"/>
  <c r="D22" i="19"/>
  <c r="D13" i="19"/>
  <c r="C15" i="19"/>
  <c r="C17" i="19"/>
  <c r="C19" i="18"/>
  <c r="E21" i="18"/>
  <c r="C16" i="18"/>
  <c r="D19" i="18"/>
  <c r="F21" i="18"/>
  <c r="F22" i="18"/>
  <c r="C15" i="18"/>
  <c r="D16" i="18"/>
  <c r="K33" i="19"/>
  <c r="K108" i="19"/>
  <c r="K109" i="18"/>
  <c r="K108" i="18"/>
  <c r="K34" i="19"/>
  <c r="F14" i="19"/>
  <c r="F18" i="19"/>
  <c r="C14" i="19"/>
  <c r="D15" i="19"/>
  <c r="C18" i="19"/>
  <c r="D19" i="19"/>
  <c r="F12" i="19"/>
  <c r="D14" i="19"/>
  <c r="F16" i="19"/>
  <c r="D18" i="19"/>
  <c r="C12" i="19"/>
  <c r="C16" i="19"/>
  <c r="B595" i="19"/>
  <c r="B625" i="19" s="1"/>
  <c r="B624" i="19"/>
  <c r="K109" i="19"/>
  <c r="K267" i="19"/>
  <c r="K349" i="19"/>
  <c r="K502" i="19"/>
  <c r="B674" i="19"/>
  <c r="B704" i="19" s="1"/>
  <c r="B703" i="19"/>
  <c r="K269" i="19"/>
  <c r="G375" i="19"/>
  <c r="K582" i="19"/>
  <c r="N652" i="19"/>
  <c r="H652" i="19" s="1"/>
  <c r="B691" i="19"/>
  <c r="B692" i="19" s="1"/>
  <c r="N731" i="19"/>
  <c r="H731" i="19" s="1"/>
  <c r="B782" i="19"/>
  <c r="B753" i="19"/>
  <c r="B783" i="19" s="1"/>
  <c r="K190" i="19"/>
  <c r="K425" i="19"/>
  <c r="B533" i="19"/>
  <c r="B534" i="19" s="1"/>
  <c r="G531" i="19"/>
  <c r="K581" i="19"/>
  <c r="K583" i="19"/>
  <c r="B612" i="19"/>
  <c r="B613" i="19" s="1"/>
  <c r="G610" i="19"/>
  <c r="K742" i="19"/>
  <c r="K749" i="19"/>
  <c r="F14" i="18"/>
  <c r="F17" i="18"/>
  <c r="C18" i="18"/>
  <c r="C13" i="18"/>
  <c r="D14" i="18"/>
  <c r="C17" i="18"/>
  <c r="D18" i="18"/>
  <c r="F18" i="18"/>
  <c r="F13" i="18"/>
  <c r="C14" i="18"/>
  <c r="D13" i="18"/>
  <c r="D17" i="18"/>
  <c r="B612" i="18"/>
  <c r="B613" i="18" s="1"/>
  <c r="G610" i="18"/>
  <c r="K34" i="18"/>
  <c r="K346" i="18"/>
  <c r="K348" i="18"/>
  <c r="B377" i="18"/>
  <c r="B378" i="18" s="1"/>
  <c r="G375" i="18"/>
  <c r="K502" i="18"/>
  <c r="K504" i="18"/>
  <c r="B674" i="18"/>
  <c r="B704" i="18" s="1"/>
  <c r="B703" i="18"/>
  <c r="N652" i="18"/>
  <c r="H652" i="18" s="1"/>
  <c r="K739" i="18"/>
  <c r="B752" i="18" s="1"/>
  <c r="K741" i="18"/>
  <c r="K743" i="18"/>
  <c r="K745" i="18"/>
  <c r="K747" i="18"/>
  <c r="K749" i="18"/>
  <c r="B770" i="18"/>
  <c r="B771" i="18" s="1"/>
  <c r="G768" i="18"/>
  <c r="N180" i="18"/>
  <c r="H180" i="18" s="1"/>
  <c r="B298" i="18"/>
  <c r="B299" i="18" s="1"/>
  <c r="G296" i="18"/>
  <c r="B595" i="18"/>
  <c r="B625" i="18" s="1"/>
  <c r="B624" i="18"/>
  <c r="G689" i="18"/>
  <c r="B691" i="18"/>
  <c r="B692" i="18" s="1"/>
  <c r="K189" i="18"/>
  <c r="K347" i="18"/>
  <c r="K350" i="18"/>
  <c r="K503" i="18"/>
  <c r="N731" i="18"/>
  <c r="H731" i="18" s="1"/>
  <c r="K740" i="18"/>
  <c r="K742" i="18"/>
  <c r="K744" i="18"/>
  <c r="K746" i="18"/>
  <c r="K748" i="18"/>
  <c r="K750" i="18"/>
  <c r="G453" i="18"/>
  <c r="AG50" i="17"/>
  <c r="AG41" i="17"/>
  <c r="AG35" i="17"/>
  <c r="AG28" i="17"/>
  <c r="AE26" i="17"/>
  <c r="AD26" i="17"/>
  <c r="AE25" i="17"/>
  <c r="AE22" i="17" s="1"/>
  <c r="AD25" i="17"/>
  <c r="AE24" i="17"/>
  <c r="AD24" i="17"/>
  <c r="AA22" i="17" s="1"/>
  <c r="AG22" i="17"/>
  <c r="AE20" i="17"/>
  <c r="AG14" i="17" s="1"/>
  <c r="AD20" i="17"/>
  <c r="AD19" i="17"/>
  <c r="AE18" i="17"/>
  <c r="AD18" i="17"/>
  <c r="AE17" i="17"/>
  <c r="AE14" i="17" s="1"/>
  <c r="AD17" i="17"/>
  <c r="AE11" i="17"/>
  <c r="AD11" i="17"/>
  <c r="AE10" i="17"/>
  <c r="AG5" i="17" s="1"/>
  <c r="AD10" i="17"/>
  <c r="AE9" i="17"/>
  <c r="AD9" i="17"/>
  <c r="AE8" i="17"/>
  <c r="AE5" i="17" s="1"/>
  <c r="AA8" i="17"/>
  <c r="AE7" i="17"/>
  <c r="AD7" i="17"/>
  <c r="AA5" i="17" s="1"/>
  <c r="CZ79" i="17"/>
  <c r="CZ78" i="17"/>
  <c r="CZ77" i="17"/>
  <c r="CZ76" i="17"/>
  <c r="CZ75" i="17"/>
  <c r="CZ73" i="17"/>
  <c r="CZ72" i="17"/>
  <c r="CZ71" i="17"/>
  <c r="CZ70" i="17"/>
  <c r="CZ68" i="17"/>
  <c r="CZ67" i="17"/>
  <c r="CZ66" i="17"/>
  <c r="CZ65" i="17"/>
  <c r="CZ63" i="17"/>
  <c r="CZ62" i="17"/>
  <c r="CZ61" i="17"/>
  <c r="CZ59" i="17"/>
  <c r="CZ58" i="17"/>
  <c r="CZ57" i="17"/>
  <c r="CK57" i="17"/>
  <c r="CZ56" i="17"/>
  <c r="CZ55" i="17"/>
  <c r="CZ54" i="17"/>
  <c r="CZ53" i="17"/>
  <c r="CZ52" i="17"/>
  <c r="CZ51" i="17"/>
  <c r="CZ50" i="17"/>
  <c r="BP50" i="17"/>
  <c r="CK49" i="17" s="1"/>
  <c r="CZ49" i="17"/>
  <c r="CE49" i="17"/>
  <c r="CL49" i="17" s="1"/>
  <c r="BP49" i="17"/>
  <c r="CK48" i="17" s="1"/>
  <c r="CZ48" i="17"/>
  <c r="CE48" i="17"/>
  <c r="CL48" i="17" s="1"/>
  <c r="BP48" i="17"/>
  <c r="CK47" i="17" s="1"/>
  <c r="CZ47" i="17"/>
  <c r="CE47" i="17"/>
  <c r="CL47" i="17" s="1"/>
  <c r="BP47" i="17"/>
  <c r="CK46" i="17" s="1"/>
  <c r="CZ46" i="17"/>
  <c r="CE46" i="17"/>
  <c r="CL46" i="17" s="1"/>
  <c r="BP46" i="17"/>
  <c r="CK45" i="17" s="1"/>
  <c r="CZ45" i="17"/>
  <c r="CE45" i="17"/>
  <c r="CL45" i="17" s="1"/>
  <c r="BP45" i="17"/>
  <c r="CZ44" i="17"/>
  <c r="CK44" i="17"/>
  <c r="CE44" i="17"/>
  <c r="CL44" i="17" s="1"/>
  <c r="BP44" i="17"/>
  <c r="CK43" i="17" s="1"/>
  <c r="CE43" i="17"/>
  <c r="CL43" i="17" s="1"/>
  <c r="BP43" i="17"/>
  <c r="CK42" i="17" s="1"/>
  <c r="CZ42" i="17"/>
  <c r="CE42" i="17"/>
  <c r="CL42" i="17" s="1"/>
  <c r="BP42" i="17"/>
  <c r="CK41" i="17" s="1"/>
  <c r="Q14" i="17"/>
  <c r="D42" i="17"/>
  <c r="CZ41" i="17"/>
  <c r="CE41" i="17"/>
  <c r="CL41" i="17" s="1"/>
  <c r="CZ40" i="17"/>
  <c r="BP40" i="17"/>
  <c r="CK39" i="17" s="1"/>
  <c r="AR40" i="17"/>
  <c r="CZ39" i="17"/>
  <c r="CE39" i="17"/>
  <c r="CL39" i="17" s="1"/>
  <c r="BP39" i="17"/>
  <c r="CZ38" i="17"/>
  <c r="CK38" i="17"/>
  <c r="CE38" i="17"/>
  <c r="CL38" i="17" s="1"/>
  <c r="BP38" i="17"/>
  <c r="CK37" i="17" s="1"/>
  <c r="CZ37" i="17"/>
  <c r="CE37" i="17"/>
  <c r="CL37" i="17" s="1"/>
  <c r="BP37" i="17"/>
  <c r="CZ36" i="17"/>
  <c r="CL36" i="17"/>
  <c r="CK36" i="17"/>
  <c r="CE36" i="17"/>
  <c r="H36" i="17"/>
  <c r="C36" i="17"/>
  <c r="CZ35" i="17"/>
  <c r="BP35" i="17"/>
  <c r="CK34" i="17" s="1"/>
  <c r="CZ34" i="17"/>
  <c r="CL34" i="17"/>
  <c r="CE34" i="17"/>
  <c r="BP34" i="17"/>
  <c r="CZ33" i="17"/>
  <c r="CL33" i="17"/>
  <c r="CK33" i="17"/>
  <c r="CE33" i="17"/>
  <c r="BP33" i="17"/>
  <c r="CK32" i="17" s="1"/>
  <c r="CZ32" i="17"/>
  <c r="CE32" i="17"/>
  <c r="CL32" i="17" s="1"/>
  <c r="BP32" i="17"/>
  <c r="CK31" i="17" s="1"/>
  <c r="CE31" i="17"/>
  <c r="CL31" i="17" s="1"/>
  <c r="BP31" i="17"/>
  <c r="CZ30" i="17"/>
  <c r="CK30" i="17"/>
  <c r="CE30" i="17"/>
  <c r="CL30" i="17" s="1"/>
  <c r="BP30" i="17"/>
  <c r="CZ29" i="17"/>
  <c r="CK29" i="17"/>
  <c r="CE29" i="17"/>
  <c r="CL29" i="17" s="1"/>
  <c r="CZ28" i="17"/>
  <c r="BP28" i="17"/>
  <c r="CZ27" i="17"/>
  <c r="CK27" i="17"/>
  <c r="CE27" i="17"/>
  <c r="CL27" i="17" s="1"/>
  <c r="BP27" i="17"/>
  <c r="CK26" i="17" s="1"/>
  <c r="CE26" i="17"/>
  <c r="CL26" i="17" s="1"/>
  <c r="BP26" i="17"/>
  <c r="C26" i="17"/>
  <c r="CK25" i="17"/>
  <c r="CE25" i="17"/>
  <c r="CL25" i="17" s="1"/>
  <c r="O25" i="17"/>
  <c r="CZ24" i="17"/>
  <c r="CL24" i="17"/>
  <c r="CK24" i="17"/>
  <c r="CJ24" i="17"/>
  <c r="BP24" i="17"/>
  <c r="Q24" i="17"/>
  <c r="G91" i="19" s="1"/>
  <c r="CZ23" i="17"/>
  <c r="CK23" i="17"/>
  <c r="CE23" i="17"/>
  <c r="CL23" i="17" s="1"/>
  <c r="BP23" i="17"/>
  <c r="CK22" i="17" s="1"/>
  <c r="AR23" i="17"/>
  <c r="Q23" i="17"/>
  <c r="G90" i="19" s="1"/>
  <c r="CZ22" i="17"/>
  <c r="CL22" i="17"/>
  <c r="CE22" i="17"/>
  <c r="BP22" i="17"/>
  <c r="CK21" i="17" s="1"/>
  <c r="Q22" i="17"/>
  <c r="G89" i="19" s="1"/>
  <c r="CZ21" i="17"/>
  <c r="CL21" i="17"/>
  <c r="CE21" i="17"/>
  <c r="BP21" i="17"/>
  <c r="CK20" i="17" s="1"/>
  <c r="Q21" i="17"/>
  <c r="G88" i="19" s="1"/>
  <c r="CZ20" i="17"/>
  <c r="CE20" i="17"/>
  <c r="CL20" i="17" s="1"/>
  <c r="BP20" i="17"/>
  <c r="CZ19" i="17"/>
  <c r="CK19" i="17"/>
  <c r="CE19" i="17"/>
  <c r="CL19" i="17" s="1"/>
  <c r="BP19" i="17"/>
  <c r="C19" i="17"/>
  <c r="CZ18" i="17"/>
  <c r="CK18" i="17"/>
  <c r="CE18" i="17"/>
  <c r="CL18" i="17" s="1"/>
  <c r="CZ17" i="17"/>
  <c r="BP17" i="17"/>
  <c r="CZ16" i="17"/>
  <c r="CL16" i="17"/>
  <c r="CK16" i="17"/>
  <c r="CE16" i="17"/>
  <c r="BP16" i="17"/>
  <c r="CK15" i="17" s="1"/>
  <c r="S16" i="17"/>
  <c r="T16" i="17" s="1"/>
  <c r="Q16" i="17"/>
  <c r="G22" i="19" s="1"/>
  <c r="O16" i="17"/>
  <c r="U16" i="17" s="1"/>
  <c r="CZ15" i="17"/>
  <c r="CL15" i="17"/>
  <c r="CE15" i="17"/>
  <c r="BP15" i="17"/>
  <c r="CK14" i="17" s="1"/>
  <c r="CZ14" i="17"/>
  <c r="CL14" i="17"/>
  <c r="CE14" i="17"/>
  <c r="BP14" i="17"/>
  <c r="CK13" i="17" s="1"/>
  <c r="CZ13" i="17"/>
  <c r="CE13" i="17"/>
  <c r="CL13" i="17" s="1"/>
  <c r="Q13" i="17"/>
  <c r="G19" i="19" s="1"/>
  <c r="I13" i="17"/>
  <c r="CZ12" i="17"/>
  <c r="CL12" i="17"/>
  <c r="CK12" i="17"/>
  <c r="CJ12" i="17"/>
  <c r="BP12" i="17"/>
  <c r="CK11" i="17" s="1"/>
  <c r="Q12" i="17"/>
  <c r="G18" i="19" s="1"/>
  <c r="I12" i="17"/>
  <c r="CZ11" i="17"/>
  <c r="CL11" i="17"/>
  <c r="CE11" i="17"/>
  <c r="BP11" i="17"/>
  <c r="CK10" i="17" s="1"/>
  <c r="Q11" i="17"/>
  <c r="I11" i="17"/>
  <c r="O22" i="17" s="1"/>
  <c r="E89" i="19" s="1"/>
  <c r="CZ10" i="17"/>
  <c r="CE10" i="17"/>
  <c r="CL10" i="17" s="1"/>
  <c r="BP10" i="17"/>
  <c r="CK9" i="17" s="1"/>
  <c r="Q10" i="17"/>
  <c r="I10" i="17"/>
  <c r="CZ9" i="17"/>
  <c r="CE9" i="17"/>
  <c r="CL9" i="17" s="1"/>
  <c r="BP9" i="17"/>
  <c r="CK8" i="17" s="1"/>
  <c r="I9" i="17"/>
  <c r="O13" i="17" s="1"/>
  <c r="E19" i="19" s="1"/>
  <c r="CZ8" i="17"/>
  <c r="CL8" i="17"/>
  <c r="CE8" i="17"/>
  <c r="I8" i="17"/>
  <c r="O12" i="17" s="1"/>
  <c r="E18" i="19" s="1"/>
  <c r="CZ7" i="17"/>
  <c r="BP7" i="17"/>
  <c r="CK6" i="17" s="1"/>
  <c r="I7" i="17"/>
  <c r="O11" i="17" s="1"/>
  <c r="CZ6" i="17"/>
  <c r="CE6" i="17"/>
  <c r="CL6" i="17" s="1"/>
  <c r="BP6" i="17"/>
  <c r="CK5" i="17" s="1"/>
  <c r="I6" i="17"/>
  <c r="O10" i="17" s="1"/>
  <c r="C6" i="17"/>
  <c r="C23" i="17" s="1"/>
  <c r="C24" i="17" s="1"/>
  <c r="CZ5" i="17"/>
  <c r="CL5" i="17"/>
  <c r="CE5" i="17"/>
  <c r="BP5" i="17"/>
  <c r="CK4" i="17" s="1"/>
  <c r="CE4" i="17"/>
  <c r="CL4" i="17" s="1"/>
  <c r="BP4" i="17"/>
  <c r="CK3" i="17" s="1"/>
  <c r="C4" i="17"/>
  <c r="CE3" i="17"/>
  <c r="CL3" i="17" s="1"/>
  <c r="AE11" i="16"/>
  <c r="AD11" i="16"/>
  <c r="AE10" i="16"/>
  <c r="AD10" i="16"/>
  <c r="AE9" i="16"/>
  <c r="AD9" i="16"/>
  <c r="AE8" i="16"/>
  <c r="AE5" i="16" s="1"/>
  <c r="T15" i="16" s="1"/>
  <c r="AA8" i="16"/>
  <c r="AE7" i="16"/>
  <c r="AD7" i="16"/>
  <c r="AG5" i="16"/>
  <c r="U15" i="16" s="1"/>
  <c r="AD36" i="16"/>
  <c r="AG35" i="16"/>
  <c r="AE35" i="16"/>
  <c r="CZ79" i="16"/>
  <c r="CZ78" i="16"/>
  <c r="CZ77" i="16"/>
  <c r="CZ76" i="16"/>
  <c r="CZ75" i="16"/>
  <c r="CZ73" i="16"/>
  <c r="CZ72" i="16"/>
  <c r="CZ71" i="16"/>
  <c r="CZ70" i="16"/>
  <c r="CZ68" i="16"/>
  <c r="CZ67" i="16"/>
  <c r="CZ66" i="16"/>
  <c r="CZ65" i="16"/>
  <c r="CZ63" i="16"/>
  <c r="CZ62" i="16"/>
  <c r="CZ61" i="16"/>
  <c r="CZ59" i="16"/>
  <c r="CZ58" i="16"/>
  <c r="CZ57" i="16"/>
  <c r="CK57" i="16"/>
  <c r="AD57" i="16"/>
  <c r="CZ56" i="16"/>
  <c r="CZ55" i="16"/>
  <c r="CZ54" i="16"/>
  <c r="CZ53" i="16"/>
  <c r="CZ52" i="16"/>
  <c r="CZ51" i="16"/>
  <c r="AD51" i="16"/>
  <c r="CZ50" i="16"/>
  <c r="BP50" i="16"/>
  <c r="CK49" i="16" s="1"/>
  <c r="CZ49" i="16"/>
  <c r="CE49" i="16"/>
  <c r="CL49" i="16" s="1"/>
  <c r="BP49" i="16"/>
  <c r="AG49" i="16"/>
  <c r="AE49" i="16"/>
  <c r="CZ48" i="16"/>
  <c r="CK48" i="16"/>
  <c r="CE48" i="16"/>
  <c r="CL48" i="16" s="1"/>
  <c r="BP48" i="16"/>
  <c r="CZ47" i="16"/>
  <c r="CK47" i="16"/>
  <c r="CE47" i="16"/>
  <c r="CL47" i="16" s="1"/>
  <c r="BP47" i="16"/>
  <c r="CZ46" i="16"/>
  <c r="CL46" i="16"/>
  <c r="CK46" i="16"/>
  <c r="CE46" i="16"/>
  <c r="BP46" i="16"/>
  <c r="CK45" i="16" s="1"/>
  <c r="AE46" i="16"/>
  <c r="AD46" i="16"/>
  <c r="CZ45" i="16"/>
  <c r="CE45" i="16"/>
  <c r="CL45" i="16" s="1"/>
  <c r="BP45" i="16"/>
  <c r="AE45" i="16"/>
  <c r="AD45" i="16"/>
  <c r="CZ44" i="16"/>
  <c r="CK44" i="16"/>
  <c r="CE44" i="16"/>
  <c r="CL44" i="16" s="1"/>
  <c r="BP44" i="16"/>
  <c r="AE44" i="16"/>
  <c r="AD44" i="16"/>
  <c r="CK43" i="16"/>
  <c r="CE43" i="16"/>
  <c r="CL43" i="16" s="1"/>
  <c r="BP43" i="16"/>
  <c r="AE43" i="16"/>
  <c r="AD43" i="16"/>
  <c r="CZ42" i="16"/>
  <c r="CK42" i="16"/>
  <c r="CE42" i="16"/>
  <c r="CL42" i="16" s="1"/>
  <c r="BP42" i="16"/>
  <c r="AE42" i="16"/>
  <c r="AD42" i="16"/>
  <c r="D42" i="16"/>
  <c r="CZ41" i="16"/>
  <c r="CK41" i="16"/>
  <c r="CE41" i="16"/>
  <c r="CL41" i="16" s="1"/>
  <c r="CZ40" i="16"/>
  <c r="BP40" i="16"/>
  <c r="AR40" i="16"/>
  <c r="AG40" i="16"/>
  <c r="CZ39" i="16"/>
  <c r="CK39" i="16"/>
  <c r="CE39" i="16"/>
  <c r="CL39" i="16" s="1"/>
  <c r="BP39" i="16"/>
  <c r="CK38" i="16" s="1"/>
  <c r="CZ38" i="16"/>
  <c r="CE38" i="16"/>
  <c r="CL38" i="16" s="1"/>
  <c r="BP38" i="16"/>
  <c r="CK37" i="16" s="1"/>
  <c r="CZ37" i="16"/>
  <c r="CE37" i="16"/>
  <c r="CL37" i="16" s="1"/>
  <c r="BP37" i="16"/>
  <c r="CZ36" i="16"/>
  <c r="CL36" i="16"/>
  <c r="CK36" i="16"/>
  <c r="CE36" i="16"/>
  <c r="H36" i="16"/>
  <c r="C36" i="16"/>
  <c r="CZ35" i="16"/>
  <c r="BP35" i="16"/>
  <c r="CK34" i="16" s="1"/>
  <c r="CZ34" i="16"/>
  <c r="CL34" i="16"/>
  <c r="CE34" i="16"/>
  <c r="BP34" i="16"/>
  <c r="CZ33" i="16"/>
  <c r="CL33" i="16"/>
  <c r="CK33" i="16"/>
  <c r="CE33" i="16"/>
  <c r="BP33" i="16"/>
  <c r="CK32" i="16" s="1"/>
  <c r="CZ32" i="16"/>
  <c r="CE32" i="16"/>
  <c r="CL32" i="16" s="1"/>
  <c r="BP32" i="16"/>
  <c r="CK31" i="16" s="1"/>
  <c r="AE32" i="16"/>
  <c r="AD32" i="16"/>
  <c r="CE31" i="16"/>
  <c r="CL31" i="16" s="1"/>
  <c r="BP31" i="16"/>
  <c r="AE31" i="16"/>
  <c r="AD31" i="16"/>
  <c r="CZ30" i="16"/>
  <c r="CK30" i="16"/>
  <c r="CE30" i="16"/>
  <c r="CL30" i="16" s="1"/>
  <c r="BP30" i="16"/>
  <c r="AE30" i="16"/>
  <c r="CZ29" i="16"/>
  <c r="CK29" i="16"/>
  <c r="CE29" i="16"/>
  <c r="CL29" i="16" s="1"/>
  <c r="AE29" i="16"/>
  <c r="AD29" i="16"/>
  <c r="AA27" i="16" s="1"/>
  <c r="CZ28" i="16"/>
  <c r="BP28" i="16"/>
  <c r="CK27" i="16" s="1"/>
  <c r="CZ27" i="16"/>
  <c r="CL27" i="16"/>
  <c r="CE27" i="16"/>
  <c r="BP27" i="16"/>
  <c r="CK26" i="16" s="1"/>
  <c r="CE26" i="16"/>
  <c r="CL26" i="16" s="1"/>
  <c r="BP26" i="16"/>
  <c r="C26" i="16"/>
  <c r="CK25" i="16"/>
  <c r="CE25" i="16"/>
  <c r="CL25" i="16" s="1"/>
  <c r="AE25" i="16"/>
  <c r="AE21" i="16" s="1"/>
  <c r="AD25" i="16"/>
  <c r="U25" i="16"/>
  <c r="O25" i="16"/>
  <c r="CZ24" i="16"/>
  <c r="CL24" i="16"/>
  <c r="CK24" i="16"/>
  <c r="CJ24" i="16"/>
  <c r="BP24" i="16"/>
  <c r="CK23" i="16" s="1"/>
  <c r="AE24" i="16"/>
  <c r="AD24" i="16"/>
  <c r="Q24" i="16"/>
  <c r="G91" i="18" s="1"/>
  <c r="CZ23" i="16"/>
  <c r="CE23" i="16"/>
  <c r="CL23" i="16" s="1"/>
  <c r="BP23" i="16"/>
  <c r="CK22" i="16" s="1"/>
  <c r="AR23" i="16"/>
  <c r="AE23" i="16"/>
  <c r="AD23" i="16"/>
  <c r="AA21" i="16" s="1"/>
  <c r="Q23" i="16"/>
  <c r="G90" i="18" s="1"/>
  <c r="CZ22" i="16"/>
  <c r="CE22" i="16"/>
  <c r="CL22" i="16" s="1"/>
  <c r="BP22" i="16"/>
  <c r="CK21" i="16" s="1"/>
  <c r="Q22" i="16"/>
  <c r="G89" i="18" s="1"/>
  <c r="CZ21" i="16"/>
  <c r="CE21" i="16"/>
  <c r="CL21" i="16" s="1"/>
  <c r="BP21" i="16"/>
  <c r="CK20" i="16" s="1"/>
  <c r="AG21" i="16"/>
  <c r="Q21" i="16"/>
  <c r="G88" i="18" s="1"/>
  <c r="CZ20" i="16"/>
  <c r="CE20" i="16"/>
  <c r="CL20" i="16" s="1"/>
  <c r="BP20" i="16"/>
  <c r="CK19" i="16" s="1"/>
  <c r="CZ19" i="16"/>
  <c r="CE19" i="16"/>
  <c r="CL19" i="16" s="1"/>
  <c r="BP19" i="16"/>
  <c r="CK18" i="16" s="1"/>
  <c r="AE19" i="16"/>
  <c r="AD19" i="16"/>
  <c r="C19" i="16"/>
  <c r="CZ18" i="16"/>
  <c r="CE18" i="16"/>
  <c r="CL18" i="16" s="1"/>
  <c r="AE18" i="16"/>
  <c r="AD18" i="16"/>
  <c r="CZ17" i="16"/>
  <c r="BP17" i="16"/>
  <c r="CK16" i="16" s="1"/>
  <c r="AE17" i="16"/>
  <c r="AD17" i="16"/>
  <c r="G17" i="16"/>
  <c r="CZ16" i="16"/>
  <c r="CE16" i="16"/>
  <c r="CL16" i="16" s="1"/>
  <c r="BP16" i="16"/>
  <c r="CK15" i="16" s="1"/>
  <c r="Q16" i="16"/>
  <c r="G22" i="18" s="1"/>
  <c r="O16" i="16"/>
  <c r="E22" i="18" s="1"/>
  <c r="CZ15" i="16"/>
  <c r="CE15" i="16"/>
  <c r="CL15" i="16" s="1"/>
  <c r="BP15" i="16"/>
  <c r="CK14" i="16" s="1"/>
  <c r="CZ14" i="16"/>
  <c r="CE14" i="16"/>
  <c r="CL14" i="16" s="1"/>
  <c r="BP14" i="16"/>
  <c r="CK13" i="16" s="1"/>
  <c r="CZ13" i="16"/>
  <c r="CE13" i="16"/>
  <c r="CL13" i="16" s="1"/>
  <c r="Q13" i="16"/>
  <c r="G19" i="18" s="1"/>
  <c r="I13" i="16"/>
  <c r="CZ12" i="16"/>
  <c r="CL12" i="16"/>
  <c r="CK12" i="16"/>
  <c r="CJ12" i="16"/>
  <c r="BP12" i="16"/>
  <c r="CK11" i="16" s="1"/>
  <c r="Q12" i="16"/>
  <c r="G18" i="18" s="1"/>
  <c r="I12" i="16"/>
  <c r="CZ11" i="16"/>
  <c r="CL11" i="16"/>
  <c r="CE11" i="16"/>
  <c r="BP11" i="16"/>
  <c r="CK10" i="16" s="1"/>
  <c r="Q11" i="16"/>
  <c r="I11" i="16"/>
  <c r="CZ10" i="16"/>
  <c r="CL10" i="16"/>
  <c r="CE10" i="16"/>
  <c r="BP10" i="16"/>
  <c r="CK9" i="16" s="1"/>
  <c r="Q10" i="16"/>
  <c r="G16" i="18" s="1"/>
  <c r="I10" i="16"/>
  <c r="O21" i="16" s="1"/>
  <c r="E88" i="18" s="1"/>
  <c r="CZ9" i="16"/>
  <c r="CL9" i="16"/>
  <c r="CE9" i="16"/>
  <c r="BP9" i="16"/>
  <c r="CK8" i="16" s="1"/>
  <c r="I9" i="16"/>
  <c r="O13" i="16" s="1"/>
  <c r="E19" i="18" s="1"/>
  <c r="CZ8" i="16"/>
  <c r="CL8" i="16"/>
  <c r="CE8" i="16"/>
  <c r="I8" i="16"/>
  <c r="O12" i="16" s="1"/>
  <c r="E18" i="18" s="1"/>
  <c r="CZ7" i="16"/>
  <c r="BP7" i="16"/>
  <c r="I7" i="16"/>
  <c r="O11" i="16" s="1"/>
  <c r="CZ6" i="16"/>
  <c r="CL6" i="16"/>
  <c r="CK6" i="16"/>
  <c r="CE6" i="16"/>
  <c r="BP6" i="16"/>
  <c r="CK5" i="16" s="1"/>
  <c r="I6" i="16"/>
  <c r="C6" i="16"/>
  <c r="C23" i="16" s="1"/>
  <c r="C24" i="16" s="1"/>
  <c r="CZ5" i="16"/>
  <c r="CE5" i="16"/>
  <c r="CL5" i="16" s="1"/>
  <c r="BP5" i="16"/>
  <c r="CK4" i="16"/>
  <c r="CE4" i="16"/>
  <c r="CL4" i="16" s="1"/>
  <c r="BP4" i="16"/>
  <c r="CK3" i="16" s="1"/>
  <c r="C4" i="16"/>
  <c r="B58" i="16" s="1"/>
  <c r="CL3" i="16"/>
  <c r="CE3" i="16"/>
  <c r="E17" i="18" l="1"/>
  <c r="S11" i="16"/>
  <c r="T11" i="16" s="1"/>
  <c r="E16" i="19"/>
  <c r="S10" i="17"/>
  <c r="T10" i="17" s="1"/>
  <c r="E17" i="19"/>
  <c r="R11" i="16"/>
  <c r="H17" i="18" s="1"/>
  <c r="C39" i="17"/>
  <c r="B58" i="17"/>
  <c r="AG13" i="16"/>
  <c r="AE40" i="16"/>
  <c r="AA5" i="16"/>
  <c r="AA14" i="17"/>
  <c r="S16" i="16"/>
  <c r="T16" i="16" s="1"/>
  <c r="AA13" i="16"/>
  <c r="AA40" i="16"/>
  <c r="Q14" i="16" s="1"/>
  <c r="F28" i="18" s="1"/>
  <c r="M28" i="18" s="1"/>
  <c r="R10" i="17"/>
  <c r="E92" i="19"/>
  <c r="G17" i="18"/>
  <c r="E22" i="19"/>
  <c r="E92" i="18"/>
  <c r="Q26" i="16"/>
  <c r="T15" i="17"/>
  <c r="H16" i="19"/>
  <c r="G16" i="19"/>
  <c r="R11" i="17"/>
  <c r="H17" i="19" s="1"/>
  <c r="G17" i="19"/>
  <c r="F28" i="19"/>
  <c r="M28" i="19" s="1"/>
  <c r="I108" i="18"/>
  <c r="I33" i="18"/>
  <c r="B782" i="18"/>
  <c r="B753" i="18"/>
  <c r="B783" i="18" s="1"/>
  <c r="Q19" i="17"/>
  <c r="Q17" i="17"/>
  <c r="S13" i="17"/>
  <c r="T13" i="17" s="1"/>
  <c r="U13" i="17"/>
  <c r="S22" i="17"/>
  <c r="T22" i="17" s="1"/>
  <c r="U22" i="17"/>
  <c r="Q15" i="17"/>
  <c r="Q25" i="17"/>
  <c r="R22" i="17"/>
  <c r="H89" i="19" s="1"/>
  <c r="O39" i="17"/>
  <c r="H4" i="17"/>
  <c r="G13" i="17" s="1"/>
  <c r="U11" i="17"/>
  <c r="R12" i="17"/>
  <c r="H18" i="19" s="1"/>
  <c r="O21" i="17"/>
  <c r="S25" i="17"/>
  <c r="T25" i="17" s="1"/>
  <c r="U15" i="17"/>
  <c r="U25" i="17"/>
  <c r="U12" i="17"/>
  <c r="G16" i="17"/>
  <c r="Q26" i="17"/>
  <c r="U10" i="17"/>
  <c r="S12" i="17"/>
  <c r="T12" i="17" s="1"/>
  <c r="R13" i="17"/>
  <c r="H19" i="19" s="1"/>
  <c r="Q20" i="17"/>
  <c r="Q28" i="17"/>
  <c r="I109" i="19" s="1"/>
  <c r="O24" i="17"/>
  <c r="E91" i="19" s="1"/>
  <c r="Q27" i="17"/>
  <c r="I34" i="19" s="1"/>
  <c r="Q6" i="17"/>
  <c r="Q7" i="17"/>
  <c r="Q8" i="17"/>
  <c r="Q9" i="17"/>
  <c r="S11" i="17"/>
  <c r="T11" i="17" s="1"/>
  <c r="G12" i="17"/>
  <c r="R16" i="17"/>
  <c r="G17" i="17"/>
  <c r="Q18" i="17"/>
  <c r="O23" i="17"/>
  <c r="E90" i="19" s="1"/>
  <c r="G18" i="17"/>
  <c r="U11" i="16"/>
  <c r="O22" i="16"/>
  <c r="E89" i="18" s="1"/>
  <c r="H4" i="16"/>
  <c r="G6" i="16" s="1"/>
  <c r="O10" i="16"/>
  <c r="E16" i="18" s="1"/>
  <c r="S21" i="16"/>
  <c r="T21" i="16" s="1"/>
  <c r="U21" i="16"/>
  <c r="Q15" i="16"/>
  <c r="Q25" i="16"/>
  <c r="C39" i="16"/>
  <c r="O39" i="16"/>
  <c r="G16" i="16"/>
  <c r="S13" i="16"/>
  <c r="T13" i="16" s="1"/>
  <c r="U13" i="16"/>
  <c r="AG27" i="16"/>
  <c r="AE27" i="16"/>
  <c r="S12" i="16"/>
  <c r="T12" i="16" s="1"/>
  <c r="U12" i="16"/>
  <c r="R13" i="16"/>
  <c r="H19" i="18" s="1"/>
  <c r="R22" i="16"/>
  <c r="H89" i="18" s="1"/>
  <c r="R12" i="16"/>
  <c r="H18" i="18" s="1"/>
  <c r="AE13" i="16"/>
  <c r="Q17" i="16"/>
  <c r="Q19" i="16"/>
  <c r="G86" i="18" s="1"/>
  <c r="Q6" i="16"/>
  <c r="G13" i="16"/>
  <c r="U16" i="16"/>
  <c r="R16" i="16"/>
  <c r="H22" i="18" s="1"/>
  <c r="Q18" i="16"/>
  <c r="Q20" i="16"/>
  <c r="G18" i="16"/>
  <c r="R21" i="16"/>
  <c r="O23" i="16"/>
  <c r="E90" i="18" s="1"/>
  <c r="O24" i="16"/>
  <c r="E91" i="18" s="1"/>
  <c r="S25" i="16"/>
  <c r="T25" i="16" s="1"/>
  <c r="CE49" i="6"/>
  <c r="CE48" i="6"/>
  <c r="CE47" i="6"/>
  <c r="CE42" i="6"/>
  <c r="CE41" i="6"/>
  <c r="CK57" i="6"/>
  <c r="CZ78" i="6"/>
  <c r="CZ79" i="6"/>
  <c r="CZ77" i="6"/>
  <c r="CZ76" i="6"/>
  <c r="CZ75" i="6"/>
  <c r="G11" i="16" l="1"/>
  <c r="G12" i="16"/>
  <c r="E88" i="19"/>
  <c r="Q7" i="16"/>
  <c r="Q8" i="16"/>
  <c r="Q9" i="16"/>
  <c r="G86" i="19"/>
  <c r="G15" i="19"/>
  <c r="I108" i="19"/>
  <c r="I33" i="19"/>
  <c r="G13" i="19"/>
  <c r="G12" i="19"/>
  <c r="R15" i="17"/>
  <c r="H21" i="19" s="1"/>
  <c r="G21" i="19"/>
  <c r="H22" i="19"/>
  <c r="G14" i="19"/>
  <c r="G85" i="19"/>
  <c r="G87" i="19"/>
  <c r="R25" i="17"/>
  <c r="H92" i="19" s="1"/>
  <c r="G92" i="19"/>
  <c r="G84" i="19"/>
  <c r="G85" i="18"/>
  <c r="G12" i="18"/>
  <c r="R25" i="16"/>
  <c r="H92" i="18" s="1"/>
  <c r="G92" i="18"/>
  <c r="G84" i="18"/>
  <c r="R15" i="16"/>
  <c r="H21" i="18" s="1"/>
  <c r="G21" i="18"/>
  <c r="H88" i="18"/>
  <c r="G87" i="18"/>
  <c r="U21" i="17"/>
  <c r="S21" i="17"/>
  <c r="T21" i="17" s="1"/>
  <c r="G22" i="17"/>
  <c r="R32" i="17"/>
  <c r="G21" i="17"/>
  <c r="G20" i="17"/>
  <c r="G9" i="17"/>
  <c r="G8" i="17"/>
  <c r="G11" i="17"/>
  <c r="G6" i="17"/>
  <c r="G7" i="17"/>
  <c r="S23" i="17"/>
  <c r="T23" i="17" s="1"/>
  <c r="U23" i="17"/>
  <c r="R23" i="17"/>
  <c r="H90" i="19" s="1"/>
  <c r="S24" i="17"/>
  <c r="T24" i="17" s="1"/>
  <c r="R24" i="17"/>
  <c r="H91" i="19" s="1"/>
  <c r="U24" i="17"/>
  <c r="R21" i="17"/>
  <c r="G10" i="17"/>
  <c r="S24" i="16"/>
  <c r="T24" i="16" s="1"/>
  <c r="U24" i="16"/>
  <c r="S23" i="16"/>
  <c r="T23" i="16" s="1"/>
  <c r="U23" i="16"/>
  <c r="R24" i="16"/>
  <c r="H91" i="18" s="1"/>
  <c r="R23" i="16"/>
  <c r="H90" i="18" s="1"/>
  <c r="U10" i="16"/>
  <c r="S10" i="16"/>
  <c r="T10" i="16" s="1"/>
  <c r="R10" i="16"/>
  <c r="S22" i="16"/>
  <c r="T22" i="16" s="1"/>
  <c r="U22" i="16"/>
  <c r="Q27" i="16"/>
  <c r="Q28" i="16"/>
  <c r="I109" i="18" s="1"/>
  <c r="G22" i="16"/>
  <c r="R32" i="16"/>
  <c r="G21" i="16"/>
  <c r="G20" i="16"/>
  <c r="G9" i="16"/>
  <c r="G8" i="16"/>
  <c r="G10" i="16"/>
  <c r="G7" i="16"/>
  <c r="G13" i="18" l="1"/>
  <c r="G15" i="18"/>
  <c r="G14" i="18"/>
  <c r="AP39" i="17"/>
  <c r="H88" i="19"/>
  <c r="H16" i="18"/>
  <c r="I34" i="18"/>
  <c r="AP39" i="16"/>
  <c r="DF72" i="16" s="1"/>
  <c r="O36" i="17"/>
  <c r="O36" i="16"/>
  <c r="DF72" i="17" l="1"/>
  <c r="AD37" i="11" l="1"/>
  <c r="F28" i="3"/>
  <c r="B48" i="12" s="1"/>
  <c r="B127" i="12" s="1"/>
  <c r="E28" i="3"/>
  <c r="E27" i="3"/>
  <c r="E109" i="15"/>
  <c r="D109" i="15"/>
  <c r="H109" i="15" s="1"/>
  <c r="C109" i="15"/>
  <c r="G109" i="15" s="1"/>
  <c r="E108" i="15"/>
  <c r="D108" i="15"/>
  <c r="H108" i="15" s="1"/>
  <c r="C108" i="15"/>
  <c r="G108" i="15" s="1"/>
  <c r="F92" i="15"/>
  <c r="D92" i="15"/>
  <c r="C92" i="15"/>
  <c r="F91" i="15"/>
  <c r="D91" i="15"/>
  <c r="C91" i="15"/>
  <c r="F90" i="15"/>
  <c r="D90" i="15"/>
  <c r="C90" i="15"/>
  <c r="F89" i="15"/>
  <c r="D89" i="15"/>
  <c r="C89" i="15"/>
  <c r="F88" i="15"/>
  <c r="D88" i="15"/>
  <c r="C88" i="15"/>
  <c r="F87" i="15"/>
  <c r="D87" i="15"/>
  <c r="C87" i="15"/>
  <c r="F86" i="15"/>
  <c r="D86" i="15"/>
  <c r="C86" i="15"/>
  <c r="F85" i="15"/>
  <c r="D85" i="15"/>
  <c r="C85" i="15"/>
  <c r="F84" i="15"/>
  <c r="D84" i="15"/>
  <c r="C84" i="15"/>
  <c r="E34" i="15"/>
  <c r="D34" i="15"/>
  <c r="H34" i="15" s="1"/>
  <c r="C34" i="15"/>
  <c r="G34" i="15" s="1"/>
  <c r="E33" i="15"/>
  <c r="D33" i="15"/>
  <c r="H33" i="15" s="1"/>
  <c r="C33" i="15"/>
  <c r="G33" i="15" s="1"/>
  <c r="K28" i="15"/>
  <c r="D28" i="15"/>
  <c r="C28" i="15"/>
  <c r="B19" i="15"/>
  <c r="B18" i="15"/>
  <c r="F18" i="15" s="1"/>
  <c r="B17" i="15"/>
  <c r="D17" i="15" s="1"/>
  <c r="B16" i="15"/>
  <c r="F16" i="15" s="1"/>
  <c r="B15" i="15"/>
  <c r="B14" i="15"/>
  <c r="B13" i="15"/>
  <c r="F13" i="15" s="1"/>
  <c r="B12" i="15"/>
  <c r="F12" i="15" s="1"/>
  <c r="B776" i="15"/>
  <c r="B778" i="15" s="1"/>
  <c r="B777" i="15" s="1"/>
  <c r="B764" i="15"/>
  <c r="B761" i="15"/>
  <c r="B768" i="15" s="1"/>
  <c r="J750" i="15"/>
  <c r="I750" i="15"/>
  <c r="F750" i="15"/>
  <c r="E750" i="15"/>
  <c r="D750" i="15"/>
  <c r="H750" i="15" s="1"/>
  <c r="C750" i="15"/>
  <c r="G750" i="15" s="1"/>
  <c r="J749" i="15"/>
  <c r="I749" i="15"/>
  <c r="F749" i="15"/>
  <c r="E749" i="15"/>
  <c r="D749" i="15"/>
  <c r="H749" i="15" s="1"/>
  <c r="C749" i="15"/>
  <c r="G749" i="15" s="1"/>
  <c r="K749" i="15" s="1"/>
  <c r="J748" i="15"/>
  <c r="I748" i="15"/>
  <c r="F748" i="15"/>
  <c r="E748" i="15"/>
  <c r="D748" i="15"/>
  <c r="H748" i="15" s="1"/>
  <c r="C748" i="15"/>
  <c r="G748" i="15" s="1"/>
  <c r="J747" i="15"/>
  <c r="I747" i="15"/>
  <c r="F747" i="15"/>
  <c r="E747" i="15"/>
  <c r="D747" i="15"/>
  <c r="H747" i="15" s="1"/>
  <c r="C747" i="15"/>
  <c r="G747" i="15" s="1"/>
  <c r="K747" i="15" s="1"/>
  <c r="J746" i="15"/>
  <c r="I746" i="15"/>
  <c r="F746" i="15"/>
  <c r="E746" i="15"/>
  <c r="D746" i="15"/>
  <c r="H746" i="15" s="1"/>
  <c r="C746" i="15"/>
  <c r="G746" i="15" s="1"/>
  <c r="J745" i="15"/>
  <c r="I745" i="15"/>
  <c r="F745" i="15"/>
  <c r="E745" i="15"/>
  <c r="D745" i="15"/>
  <c r="H745" i="15" s="1"/>
  <c r="C745" i="15"/>
  <c r="G745" i="15" s="1"/>
  <c r="K745" i="15" s="1"/>
  <c r="J744" i="15"/>
  <c r="I744" i="15"/>
  <c r="F744" i="15"/>
  <c r="E744" i="15"/>
  <c r="D744" i="15"/>
  <c r="H744" i="15" s="1"/>
  <c r="C744" i="15"/>
  <c r="G744" i="15" s="1"/>
  <c r="J743" i="15"/>
  <c r="I743" i="15"/>
  <c r="F743" i="15"/>
  <c r="E743" i="15"/>
  <c r="D743" i="15"/>
  <c r="H743" i="15" s="1"/>
  <c r="C743" i="15"/>
  <c r="G743" i="15" s="1"/>
  <c r="J742" i="15"/>
  <c r="I742" i="15"/>
  <c r="F742" i="15"/>
  <c r="E742" i="15"/>
  <c r="D742" i="15"/>
  <c r="H742" i="15" s="1"/>
  <c r="C742" i="15"/>
  <c r="G742" i="15" s="1"/>
  <c r="J741" i="15"/>
  <c r="I741" i="15"/>
  <c r="F741" i="15"/>
  <c r="E741" i="15"/>
  <c r="D741" i="15"/>
  <c r="H741" i="15" s="1"/>
  <c r="C741" i="15"/>
  <c r="G741" i="15" s="1"/>
  <c r="K741" i="15" s="1"/>
  <c r="J740" i="15"/>
  <c r="I740" i="15"/>
  <c r="H740" i="15"/>
  <c r="F740" i="15"/>
  <c r="E740" i="15"/>
  <c r="D740" i="15"/>
  <c r="C740" i="15"/>
  <c r="G740" i="15" s="1"/>
  <c r="K740" i="15" s="1"/>
  <c r="J739" i="15"/>
  <c r="I739" i="15"/>
  <c r="F739" i="15"/>
  <c r="E739" i="15"/>
  <c r="D739" i="15"/>
  <c r="H739" i="15" s="1"/>
  <c r="C739" i="15"/>
  <c r="G739" i="15" s="1"/>
  <c r="G731" i="15"/>
  <c r="F731" i="15"/>
  <c r="M731" i="15" s="1"/>
  <c r="E731" i="15"/>
  <c r="D731" i="15"/>
  <c r="C731" i="15"/>
  <c r="I731" i="15" s="1"/>
  <c r="L731" i="15" s="1"/>
  <c r="H717" i="15"/>
  <c r="G717" i="15"/>
  <c r="F717" i="15"/>
  <c r="E717" i="15"/>
  <c r="D717" i="15"/>
  <c r="C717" i="15"/>
  <c r="H716" i="15"/>
  <c r="G716" i="15"/>
  <c r="F716" i="15"/>
  <c r="E716" i="15"/>
  <c r="D716" i="15"/>
  <c r="C716" i="15"/>
  <c r="H715" i="15"/>
  <c r="G715" i="15"/>
  <c r="F715" i="15"/>
  <c r="E715" i="15"/>
  <c r="D715" i="15"/>
  <c r="C715" i="15"/>
  <c r="B697" i="15"/>
  <c r="B699" i="15" s="1"/>
  <c r="B698" i="15" s="1"/>
  <c r="B685" i="15"/>
  <c r="B682" i="15"/>
  <c r="B689" i="15" s="1"/>
  <c r="J661" i="15"/>
  <c r="I661" i="15"/>
  <c r="F661" i="15"/>
  <c r="E661" i="15"/>
  <c r="D661" i="15"/>
  <c r="H661" i="15" s="1"/>
  <c r="C661" i="15"/>
  <c r="G661" i="15" s="1"/>
  <c r="J660" i="15"/>
  <c r="I660" i="15"/>
  <c r="H660" i="15"/>
  <c r="F660" i="15"/>
  <c r="E660" i="15"/>
  <c r="D660" i="15"/>
  <c r="C660" i="15"/>
  <c r="G660" i="15" s="1"/>
  <c r="K660" i="15" s="1"/>
  <c r="G652" i="15"/>
  <c r="F652" i="15"/>
  <c r="M652" i="15" s="1"/>
  <c r="E652" i="15"/>
  <c r="D652" i="15"/>
  <c r="C652" i="15"/>
  <c r="I652" i="15" s="1"/>
  <c r="L652" i="15" s="1"/>
  <c r="H637" i="15"/>
  <c r="G637" i="15"/>
  <c r="F637" i="15"/>
  <c r="E637" i="15"/>
  <c r="D637" i="15"/>
  <c r="C637" i="15"/>
  <c r="H636" i="15"/>
  <c r="B673" i="15" s="1"/>
  <c r="G636" i="15"/>
  <c r="F636" i="15"/>
  <c r="E636" i="15"/>
  <c r="D636" i="15"/>
  <c r="C636" i="15"/>
  <c r="B618" i="15"/>
  <c r="B620" i="15" s="1"/>
  <c r="B619" i="15" s="1"/>
  <c r="B606" i="15"/>
  <c r="B607" i="15" s="1"/>
  <c r="B603" i="15"/>
  <c r="B610" i="15" s="1"/>
  <c r="J583" i="15"/>
  <c r="I583" i="15"/>
  <c r="F583" i="15"/>
  <c r="E583" i="15"/>
  <c r="D583" i="15"/>
  <c r="H583" i="15" s="1"/>
  <c r="C583" i="15"/>
  <c r="G583" i="15" s="1"/>
  <c r="K583" i="15" s="1"/>
  <c r="J582" i="15"/>
  <c r="I582" i="15"/>
  <c r="F582" i="15"/>
  <c r="E582" i="15"/>
  <c r="D582" i="15"/>
  <c r="H582" i="15" s="1"/>
  <c r="C582" i="15"/>
  <c r="G582" i="15" s="1"/>
  <c r="J581" i="15"/>
  <c r="I581" i="15"/>
  <c r="F581" i="15"/>
  <c r="E581" i="15"/>
  <c r="D581" i="15"/>
  <c r="H581" i="15" s="1"/>
  <c r="C581" i="15"/>
  <c r="G581" i="15" s="1"/>
  <c r="I573" i="15"/>
  <c r="L573" i="15" s="1"/>
  <c r="G573" i="15"/>
  <c r="F573" i="15"/>
  <c r="M573" i="15" s="1"/>
  <c r="E573" i="15"/>
  <c r="D573" i="15"/>
  <c r="C573" i="15"/>
  <c r="H559" i="15"/>
  <c r="G559" i="15"/>
  <c r="F559" i="15"/>
  <c r="E559" i="15"/>
  <c r="D559" i="15"/>
  <c r="C559" i="15"/>
  <c r="H558" i="15"/>
  <c r="G558" i="15"/>
  <c r="F558" i="15"/>
  <c r="E558" i="15"/>
  <c r="D558" i="15"/>
  <c r="C558" i="15"/>
  <c r="H557" i="15"/>
  <c r="B594" i="15" s="1"/>
  <c r="B624" i="15" s="1"/>
  <c r="G557" i="15"/>
  <c r="F557" i="15"/>
  <c r="E557" i="15"/>
  <c r="D557" i="15"/>
  <c r="C557" i="15"/>
  <c r="B541" i="15"/>
  <c r="B540" i="15" s="1"/>
  <c r="B539" i="15"/>
  <c r="B527" i="15"/>
  <c r="B528" i="15" s="1"/>
  <c r="B524" i="15"/>
  <c r="B531" i="15" s="1"/>
  <c r="B533" i="15" s="1"/>
  <c r="B534" i="15" s="1"/>
  <c r="J504" i="15"/>
  <c r="I504" i="15"/>
  <c r="F504" i="15"/>
  <c r="E504" i="15"/>
  <c r="D504" i="15"/>
  <c r="H504" i="15" s="1"/>
  <c r="C504" i="15"/>
  <c r="G504" i="15" s="1"/>
  <c r="J503" i="15"/>
  <c r="I503" i="15"/>
  <c r="F503" i="15"/>
  <c r="E503" i="15"/>
  <c r="D503" i="15"/>
  <c r="H503" i="15" s="1"/>
  <c r="C503" i="15"/>
  <c r="G503" i="15" s="1"/>
  <c r="J502" i="15"/>
  <c r="I502" i="15"/>
  <c r="H502" i="15"/>
  <c r="F502" i="15"/>
  <c r="E502" i="15"/>
  <c r="D502" i="15"/>
  <c r="C502" i="15"/>
  <c r="G502" i="15" s="1"/>
  <c r="K502" i="15" s="1"/>
  <c r="H483" i="15"/>
  <c r="G483" i="15"/>
  <c r="F483" i="15"/>
  <c r="E483" i="15"/>
  <c r="D483" i="15"/>
  <c r="C483" i="15"/>
  <c r="H482" i="15"/>
  <c r="G482" i="15"/>
  <c r="F482" i="15"/>
  <c r="E482" i="15"/>
  <c r="D482" i="15"/>
  <c r="C482" i="15"/>
  <c r="H481" i="15"/>
  <c r="G481" i="15"/>
  <c r="F481" i="15"/>
  <c r="E481" i="15"/>
  <c r="D481" i="15"/>
  <c r="C481" i="15"/>
  <c r="H480" i="15"/>
  <c r="G480" i="15"/>
  <c r="F480" i="15"/>
  <c r="E480" i="15"/>
  <c r="D480" i="15"/>
  <c r="C480" i="15"/>
  <c r="F479" i="15"/>
  <c r="D479" i="15"/>
  <c r="C479" i="15"/>
  <c r="F478" i="15"/>
  <c r="D478" i="15"/>
  <c r="C478" i="15"/>
  <c r="B463" i="15"/>
  <c r="B462" i="15" s="1"/>
  <c r="B461" i="15"/>
  <c r="B453" i="15"/>
  <c r="G453" i="15" s="1"/>
  <c r="B449" i="15"/>
  <c r="B450" i="15" s="1"/>
  <c r="B446" i="15"/>
  <c r="J428" i="15"/>
  <c r="I428" i="15"/>
  <c r="F428" i="15"/>
  <c r="E428" i="15"/>
  <c r="D428" i="15"/>
  <c r="H428" i="15" s="1"/>
  <c r="C428" i="15"/>
  <c r="G428" i="15" s="1"/>
  <c r="K428" i="15" s="1"/>
  <c r="J427" i="15"/>
  <c r="I427" i="15"/>
  <c r="F427" i="15"/>
  <c r="E427" i="15"/>
  <c r="D427" i="15"/>
  <c r="H427" i="15" s="1"/>
  <c r="C427" i="15"/>
  <c r="G427" i="15" s="1"/>
  <c r="J426" i="15"/>
  <c r="I426" i="15"/>
  <c r="F426" i="15"/>
  <c r="E426" i="15"/>
  <c r="D426" i="15"/>
  <c r="H426" i="15" s="1"/>
  <c r="C426" i="15"/>
  <c r="G426" i="15" s="1"/>
  <c r="J425" i="15"/>
  <c r="I425" i="15"/>
  <c r="F425" i="15"/>
  <c r="E425" i="15"/>
  <c r="D425" i="15"/>
  <c r="H425" i="15" s="1"/>
  <c r="C425" i="15"/>
  <c r="G425" i="15" s="1"/>
  <c r="J424" i="15"/>
  <c r="I424" i="15"/>
  <c r="F424" i="15"/>
  <c r="E424" i="15"/>
  <c r="D424" i="15"/>
  <c r="H424" i="15" s="1"/>
  <c r="C424" i="15"/>
  <c r="G424" i="15" s="1"/>
  <c r="F402" i="15"/>
  <c r="D402" i="15"/>
  <c r="C402" i="15"/>
  <c r="F401" i="15"/>
  <c r="D401" i="15"/>
  <c r="C401" i="15"/>
  <c r="F400" i="15"/>
  <c r="D400" i="15"/>
  <c r="C400" i="15"/>
  <c r="B383" i="15"/>
  <c r="B385" i="15" s="1"/>
  <c r="B384" i="15" s="1"/>
  <c r="B372" i="15"/>
  <c r="B371" i="15"/>
  <c r="B368" i="15"/>
  <c r="B375" i="15" s="1"/>
  <c r="J350" i="15"/>
  <c r="I350" i="15"/>
  <c r="F350" i="15"/>
  <c r="E350" i="15"/>
  <c r="D350" i="15"/>
  <c r="H350" i="15" s="1"/>
  <c r="C350" i="15"/>
  <c r="G350" i="15" s="1"/>
  <c r="J349" i="15"/>
  <c r="I349" i="15"/>
  <c r="F349" i="15"/>
  <c r="E349" i="15"/>
  <c r="D349" i="15"/>
  <c r="H349" i="15" s="1"/>
  <c r="C349" i="15"/>
  <c r="G349" i="15" s="1"/>
  <c r="K349" i="15" s="1"/>
  <c r="J348" i="15"/>
  <c r="I348" i="15"/>
  <c r="F348" i="15"/>
  <c r="E348" i="15"/>
  <c r="D348" i="15"/>
  <c r="H348" i="15" s="1"/>
  <c r="C348" i="15"/>
  <c r="G348" i="15" s="1"/>
  <c r="J347" i="15"/>
  <c r="I347" i="15"/>
  <c r="F347" i="15"/>
  <c r="E347" i="15"/>
  <c r="D347" i="15"/>
  <c r="H347" i="15" s="1"/>
  <c r="C347" i="15"/>
  <c r="G347" i="15" s="1"/>
  <c r="K347" i="15" s="1"/>
  <c r="J346" i="15"/>
  <c r="I346" i="15"/>
  <c r="F346" i="15"/>
  <c r="E346" i="15"/>
  <c r="D346" i="15"/>
  <c r="H346" i="15" s="1"/>
  <c r="C346" i="15"/>
  <c r="G346" i="15" s="1"/>
  <c r="F325" i="15"/>
  <c r="D325" i="15"/>
  <c r="C325" i="15"/>
  <c r="F324" i="15"/>
  <c r="E324" i="15"/>
  <c r="D324" i="15"/>
  <c r="C324" i="15"/>
  <c r="F323" i="15"/>
  <c r="E323" i="15"/>
  <c r="D323" i="15"/>
  <c r="C323" i="15"/>
  <c r="F322" i="15"/>
  <c r="E322" i="15"/>
  <c r="D322" i="15"/>
  <c r="C322" i="15"/>
  <c r="B304" i="15"/>
  <c r="B306" i="15" s="1"/>
  <c r="B305" i="15" s="1"/>
  <c r="B292" i="15"/>
  <c r="B289" i="15"/>
  <c r="B296" i="15" s="1"/>
  <c r="G296" i="15" s="1"/>
  <c r="J270" i="15"/>
  <c r="I270" i="15"/>
  <c r="F270" i="15"/>
  <c r="E270" i="15"/>
  <c r="D270" i="15"/>
  <c r="H270" i="15" s="1"/>
  <c r="C270" i="15"/>
  <c r="G270" i="15" s="1"/>
  <c r="K270" i="15" s="1"/>
  <c r="J269" i="15"/>
  <c r="I269" i="15"/>
  <c r="F269" i="15"/>
  <c r="E269" i="15"/>
  <c r="D269" i="15"/>
  <c r="H269" i="15" s="1"/>
  <c r="C269" i="15"/>
  <c r="G269" i="15" s="1"/>
  <c r="J268" i="15"/>
  <c r="I268" i="15"/>
  <c r="F268" i="15"/>
  <c r="E268" i="15"/>
  <c r="D268" i="15"/>
  <c r="H268" i="15" s="1"/>
  <c r="C268" i="15"/>
  <c r="G268" i="15" s="1"/>
  <c r="J267" i="15"/>
  <c r="I267" i="15"/>
  <c r="F267" i="15"/>
  <c r="E267" i="15"/>
  <c r="D267" i="15"/>
  <c r="H267" i="15" s="1"/>
  <c r="C267" i="15"/>
  <c r="G267" i="15" s="1"/>
  <c r="F246" i="15"/>
  <c r="D246" i="15"/>
  <c r="C246" i="15"/>
  <c r="F245" i="15"/>
  <c r="E245" i="15"/>
  <c r="D245" i="15"/>
  <c r="C245" i="15"/>
  <c r="F244" i="15"/>
  <c r="D244" i="15"/>
  <c r="C244" i="15"/>
  <c r="F243" i="15"/>
  <c r="E243" i="15"/>
  <c r="D243" i="15"/>
  <c r="C243" i="15"/>
  <c r="B225" i="15"/>
  <c r="B227" i="15" s="1"/>
  <c r="B226" i="15" s="1"/>
  <c r="B217" i="15"/>
  <c r="B219" i="15" s="1"/>
  <c r="B220" i="15" s="1"/>
  <c r="B213" i="15"/>
  <c r="B210" i="15"/>
  <c r="J190" i="15"/>
  <c r="I190" i="15"/>
  <c r="F190" i="15"/>
  <c r="E190" i="15"/>
  <c r="D190" i="15"/>
  <c r="H190" i="15" s="1"/>
  <c r="C190" i="15"/>
  <c r="G190" i="15" s="1"/>
  <c r="K190" i="15" s="1"/>
  <c r="J189" i="15"/>
  <c r="I189" i="15"/>
  <c r="F189" i="15"/>
  <c r="E189" i="15"/>
  <c r="D189" i="15"/>
  <c r="H189" i="15" s="1"/>
  <c r="C189" i="15"/>
  <c r="G189" i="15" s="1"/>
  <c r="J188" i="15"/>
  <c r="I188" i="15"/>
  <c r="F188" i="15"/>
  <c r="E188" i="15"/>
  <c r="D188" i="15"/>
  <c r="H188" i="15" s="1"/>
  <c r="C188" i="15"/>
  <c r="G188" i="15" s="1"/>
  <c r="G180" i="15"/>
  <c r="F180" i="15"/>
  <c r="M180" i="15" s="1"/>
  <c r="N180" i="15" s="1"/>
  <c r="H180" i="15" s="1"/>
  <c r="E180" i="15"/>
  <c r="D180" i="15"/>
  <c r="C180" i="15"/>
  <c r="I180" i="15" s="1"/>
  <c r="L180" i="15" s="1"/>
  <c r="F165" i="15"/>
  <c r="D165" i="15"/>
  <c r="C165" i="15"/>
  <c r="F164" i="15"/>
  <c r="E164" i="15"/>
  <c r="D164" i="15"/>
  <c r="C164" i="15"/>
  <c r="B22" i="15"/>
  <c r="B21" i="15"/>
  <c r="E21" i="15" s="1"/>
  <c r="V12" i="15"/>
  <c r="V11" i="15"/>
  <c r="V10" i="15"/>
  <c r="V9" i="15"/>
  <c r="V8" i="15"/>
  <c r="V7" i="15"/>
  <c r="AD36" i="14"/>
  <c r="B691" i="15" l="1"/>
  <c r="B692" i="15" s="1"/>
  <c r="G689" i="15"/>
  <c r="K425" i="15"/>
  <c r="K427" i="15"/>
  <c r="B455" i="15"/>
  <c r="B456" i="15" s="1"/>
  <c r="K504" i="15"/>
  <c r="G531" i="15"/>
  <c r="D12" i="15"/>
  <c r="B48" i="19"/>
  <c r="B48" i="18"/>
  <c r="K269" i="15"/>
  <c r="K348" i="15"/>
  <c r="K350" i="15"/>
  <c r="N573" i="15"/>
  <c r="H573" i="15" s="1"/>
  <c r="K746" i="15"/>
  <c r="K748" i="15"/>
  <c r="K424" i="15"/>
  <c r="K426" i="15"/>
  <c r="K503" i="15"/>
  <c r="K582" i="15"/>
  <c r="K661" i="15"/>
  <c r="K739" i="15"/>
  <c r="B752" i="15" s="1"/>
  <c r="B48" i="15"/>
  <c r="C12" i="15"/>
  <c r="D13" i="15"/>
  <c r="C22" i="15"/>
  <c r="D21" i="15"/>
  <c r="D22" i="15"/>
  <c r="D16" i="15"/>
  <c r="F21" i="15"/>
  <c r="F22" i="15"/>
  <c r="C21" i="15"/>
  <c r="C16" i="15"/>
  <c r="K108" i="15"/>
  <c r="K34" i="15"/>
  <c r="K33" i="15"/>
  <c r="K109" i="15"/>
  <c r="F15" i="15"/>
  <c r="F14" i="15"/>
  <c r="C15" i="15"/>
  <c r="F17" i="15"/>
  <c r="C18" i="15"/>
  <c r="D19" i="15"/>
  <c r="C13" i="15"/>
  <c r="D14" i="15"/>
  <c r="C17" i="15"/>
  <c r="D18" i="15"/>
  <c r="F19" i="15"/>
  <c r="C19" i="15"/>
  <c r="C14" i="15"/>
  <c r="D15" i="15"/>
  <c r="B595" i="15"/>
  <c r="B625" i="15" s="1"/>
  <c r="K581" i="15"/>
  <c r="B298" i="15"/>
  <c r="B299" i="15" s="1"/>
  <c r="B782" i="15"/>
  <c r="B753" i="15"/>
  <c r="B783" i="15" s="1"/>
  <c r="K189" i="15"/>
  <c r="K268" i="15"/>
  <c r="B612" i="15"/>
  <c r="B613" i="15" s="1"/>
  <c r="G610" i="15"/>
  <c r="B674" i="15"/>
  <c r="B704" i="15" s="1"/>
  <c r="K742" i="15"/>
  <c r="K744" i="15"/>
  <c r="B770" i="15"/>
  <c r="B771" i="15" s="1"/>
  <c r="G768" i="15"/>
  <c r="G375" i="15"/>
  <c r="B377" i="15"/>
  <c r="B378" i="15" s="1"/>
  <c r="K188" i="15"/>
  <c r="K267" i="15"/>
  <c r="K346" i="15"/>
  <c r="N652" i="15"/>
  <c r="H652" i="15" s="1"/>
  <c r="B703" i="15"/>
  <c r="N731" i="15"/>
  <c r="H731" i="15" s="1"/>
  <c r="K743" i="15"/>
  <c r="K750" i="15"/>
  <c r="CZ76" i="14"/>
  <c r="CZ75" i="14"/>
  <c r="CZ72" i="14"/>
  <c r="CZ71" i="14"/>
  <c r="CZ70" i="14"/>
  <c r="DB73" i="14" s="1"/>
  <c r="CZ68" i="14"/>
  <c r="CZ67" i="14"/>
  <c r="CZ66" i="14"/>
  <c r="CZ65" i="14"/>
  <c r="CZ63" i="14"/>
  <c r="CZ62" i="14"/>
  <c r="CZ61" i="14"/>
  <c r="CZ59" i="14"/>
  <c r="CZ58" i="14"/>
  <c r="CZ57" i="14"/>
  <c r="CZ56" i="14"/>
  <c r="CZ55" i="14"/>
  <c r="CZ54" i="14"/>
  <c r="CZ53" i="14"/>
  <c r="CZ52" i="14"/>
  <c r="AD52" i="14"/>
  <c r="CZ51" i="14"/>
  <c r="CZ50" i="14"/>
  <c r="BP50" i="14"/>
  <c r="AG50" i="14"/>
  <c r="AE50" i="14"/>
  <c r="CZ49" i="14"/>
  <c r="CL49" i="14"/>
  <c r="CK49" i="14"/>
  <c r="CE49" i="14"/>
  <c r="BP49" i="14"/>
  <c r="CZ48" i="14"/>
  <c r="CL48" i="14"/>
  <c r="CK48" i="14"/>
  <c r="CE48" i="14"/>
  <c r="BP48" i="14"/>
  <c r="CK47" i="14" s="1"/>
  <c r="CZ47" i="14"/>
  <c r="CE47" i="14"/>
  <c r="CL47" i="14" s="1"/>
  <c r="BP47" i="14"/>
  <c r="CK46" i="14" s="1"/>
  <c r="AE47" i="14"/>
  <c r="AD47" i="14"/>
  <c r="CZ46" i="14"/>
  <c r="CE46" i="14"/>
  <c r="CL46" i="14" s="1"/>
  <c r="BP46" i="14"/>
  <c r="AE46" i="14"/>
  <c r="AD46" i="14"/>
  <c r="CZ45" i="14"/>
  <c r="CK45" i="14"/>
  <c r="CE45" i="14"/>
  <c r="CL45" i="14" s="1"/>
  <c r="BP45" i="14"/>
  <c r="AE45" i="14"/>
  <c r="AD45" i="14"/>
  <c r="CZ44" i="14"/>
  <c r="CK44" i="14"/>
  <c r="CE44" i="14"/>
  <c r="CL44" i="14" s="1"/>
  <c r="BP44" i="14"/>
  <c r="AE44" i="14"/>
  <c r="AD44" i="14"/>
  <c r="CK43" i="14"/>
  <c r="CE43" i="14"/>
  <c r="CL43" i="14" s="1"/>
  <c r="BP43" i="14"/>
  <c r="CK42" i="14" s="1"/>
  <c r="AE43" i="14"/>
  <c r="AD43" i="14"/>
  <c r="CZ42" i="14"/>
  <c r="CE42" i="14"/>
  <c r="CL42" i="14" s="1"/>
  <c r="BP42" i="14"/>
  <c r="D42" i="14"/>
  <c r="CZ41" i="14"/>
  <c r="CL41" i="14"/>
  <c r="CK41" i="14"/>
  <c r="CE41" i="14"/>
  <c r="AG41" i="14"/>
  <c r="CZ40" i="14"/>
  <c r="BP40" i="14"/>
  <c r="AR40" i="14"/>
  <c r="CZ39" i="14"/>
  <c r="CK39" i="14"/>
  <c r="CE39" i="14"/>
  <c r="CL39" i="14" s="1"/>
  <c r="BP39" i="14"/>
  <c r="CZ38" i="14"/>
  <c r="CK38" i="14"/>
  <c r="CE38" i="14"/>
  <c r="CL38" i="14" s="1"/>
  <c r="BP38" i="14"/>
  <c r="CK37" i="14" s="1"/>
  <c r="CE37" i="14"/>
  <c r="CL37" i="14" s="1"/>
  <c r="BP37" i="14"/>
  <c r="CK36" i="14" s="1"/>
  <c r="CZ36" i="14"/>
  <c r="CE36" i="14"/>
  <c r="CL36" i="14" s="1"/>
  <c r="AG35" i="14"/>
  <c r="AE35" i="14"/>
  <c r="H36" i="14"/>
  <c r="C36" i="14"/>
  <c r="CZ35" i="14"/>
  <c r="BP35" i="14"/>
  <c r="CZ34" i="14"/>
  <c r="CK34" i="14"/>
  <c r="CE34" i="14"/>
  <c r="CL34" i="14" s="1"/>
  <c r="BP34" i="14"/>
  <c r="CZ33" i="14"/>
  <c r="CL33" i="14"/>
  <c r="CK33" i="14"/>
  <c r="CE33" i="14"/>
  <c r="BP33" i="14"/>
  <c r="CK32" i="14" s="1"/>
  <c r="AE33" i="14"/>
  <c r="AD33" i="14"/>
  <c r="CZ32" i="14"/>
  <c r="DC37" i="14" s="1"/>
  <c r="CE32" i="14"/>
  <c r="CL32" i="14" s="1"/>
  <c r="BP32" i="14"/>
  <c r="AE32" i="14"/>
  <c r="AD32" i="14"/>
  <c r="CL31" i="14"/>
  <c r="CK31" i="14"/>
  <c r="CE31" i="14"/>
  <c r="BP31" i="14"/>
  <c r="CK30" i="14" s="1"/>
  <c r="AE31" i="14"/>
  <c r="CZ30" i="14"/>
  <c r="CE30" i="14"/>
  <c r="CL30" i="14" s="1"/>
  <c r="BP30" i="14"/>
  <c r="AE30" i="14"/>
  <c r="AG28" i="14" s="1"/>
  <c r="AD30" i="14"/>
  <c r="AA28" i="14" s="1"/>
  <c r="CZ29" i="14"/>
  <c r="CK29" i="14"/>
  <c r="CE29" i="14"/>
  <c r="CL29" i="14" s="1"/>
  <c r="CZ28" i="14"/>
  <c r="BP28" i="14"/>
  <c r="CK27" i="14" s="1"/>
  <c r="CZ27" i="14"/>
  <c r="CE27" i="14"/>
  <c r="CL27" i="14" s="1"/>
  <c r="BP27" i="14"/>
  <c r="CK26" i="14" s="1"/>
  <c r="CE26" i="14"/>
  <c r="CL26" i="14" s="1"/>
  <c r="BP26" i="14"/>
  <c r="AE26" i="14"/>
  <c r="AD26" i="14"/>
  <c r="Q26" i="14"/>
  <c r="C26" i="14"/>
  <c r="CK25" i="14"/>
  <c r="CE25" i="14"/>
  <c r="CL25" i="14" s="1"/>
  <c r="AE25" i="14"/>
  <c r="AD25" i="14"/>
  <c r="O25" i="14"/>
  <c r="E92" i="15" s="1"/>
  <c r="CZ24" i="14"/>
  <c r="CL24" i="14"/>
  <c r="CK24" i="14"/>
  <c r="CJ24" i="14"/>
  <c r="BP24" i="14"/>
  <c r="CK23" i="14" s="1"/>
  <c r="AE24" i="14"/>
  <c r="AD24" i="14"/>
  <c r="Q24" i="14"/>
  <c r="G91" i="15" s="1"/>
  <c r="CZ23" i="14"/>
  <c r="CE23" i="14"/>
  <c r="CL23" i="14" s="1"/>
  <c r="BP23" i="14"/>
  <c r="CK22" i="14" s="1"/>
  <c r="AR23" i="14"/>
  <c r="Q23" i="14"/>
  <c r="G90" i="15" s="1"/>
  <c r="CZ22" i="14"/>
  <c r="CE22" i="14"/>
  <c r="CL22" i="14" s="1"/>
  <c r="BP22" i="14"/>
  <c r="CK21" i="14" s="1"/>
  <c r="AG22" i="14"/>
  <c r="AE22" i="14"/>
  <c r="Q22" i="14"/>
  <c r="G89" i="15" s="1"/>
  <c r="CZ21" i="14"/>
  <c r="CE21" i="14"/>
  <c r="CL21" i="14" s="1"/>
  <c r="BP21" i="14"/>
  <c r="Q21" i="14"/>
  <c r="G88" i="15" s="1"/>
  <c r="CZ20" i="14"/>
  <c r="CK20" i="14"/>
  <c r="CE20" i="14"/>
  <c r="CL20" i="14" s="1"/>
  <c r="BP20" i="14"/>
  <c r="AE20" i="14"/>
  <c r="AD20" i="14"/>
  <c r="CZ19" i="14"/>
  <c r="CK19" i="14"/>
  <c r="CE19" i="14"/>
  <c r="CL19" i="14" s="1"/>
  <c r="BP19" i="14"/>
  <c r="AE19" i="14"/>
  <c r="AD19" i="14"/>
  <c r="C19" i="14"/>
  <c r="CZ18" i="14"/>
  <c r="CL18" i="14"/>
  <c r="CK18" i="14"/>
  <c r="CE18" i="14"/>
  <c r="AE18" i="14"/>
  <c r="AD18" i="14"/>
  <c r="AA14" i="14" s="1"/>
  <c r="Q9" i="14" s="1"/>
  <c r="CZ17" i="14"/>
  <c r="BP17" i="14"/>
  <c r="AE17" i="14"/>
  <c r="AD17" i="14"/>
  <c r="CZ16" i="14"/>
  <c r="CL16" i="14"/>
  <c r="CK16" i="14"/>
  <c r="CE16" i="14"/>
  <c r="BP16" i="14"/>
  <c r="S16" i="14"/>
  <c r="T16" i="14" s="1"/>
  <c r="Q16" i="14"/>
  <c r="O16" i="14"/>
  <c r="U16" i="14" s="1"/>
  <c r="CZ15" i="14"/>
  <c r="CK15" i="14"/>
  <c r="CE15" i="14"/>
  <c r="CL15" i="14" s="1"/>
  <c r="BP15" i="14"/>
  <c r="CZ14" i="14"/>
  <c r="CL14" i="14"/>
  <c r="CK14" i="14"/>
  <c r="CE14" i="14"/>
  <c r="BP14" i="14"/>
  <c r="CK13" i="14" s="1"/>
  <c r="CZ13" i="14"/>
  <c r="CE13" i="14"/>
  <c r="CL13" i="14" s="1"/>
  <c r="Q13" i="14"/>
  <c r="CZ12" i="14"/>
  <c r="CL12" i="14"/>
  <c r="CK12" i="14"/>
  <c r="CJ12" i="14"/>
  <c r="BP12" i="14"/>
  <c r="CK11" i="14" s="1"/>
  <c r="Q12" i="14"/>
  <c r="G18" i="15" s="1"/>
  <c r="I12" i="14"/>
  <c r="CZ11" i="14"/>
  <c r="CE11" i="14"/>
  <c r="CL11" i="14" s="1"/>
  <c r="BP11" i="14"/>
  <c r="CK10" i="14" s="1"/>
  <c r="AE11" i="14"/>
  <c r="AD11" i="14"/>
  <c r="Q11" i="14"/>
  <c r="G17" i="15" s="1"/>
  <c r="CZ10" i="14"/>
  <c r="CE10" i="14"/>
  <c r="CL10" i="14" s="1"/>
  <c r="BP10" i="14"/>
  <c r="AE10" i="14"/>
  <c r="AD10" i="14"/>
  <c r="Q10" i="14"/>
  <c r="G16" i="15" s="1"/>
  <c r="I10" i="14"/>
  <c r="CZ9" i="14"/>
  <c r="CK9" i="14"/>
  <c r="CE9" i="14"/>
  <c r="CL9" i="14" s="1"/>
  <c r="BP9" i="14"/>
  <c r="AE9" i="14"/>
  <c r="AD9" i="14"/>
  <c r="I9" i="14"/>
  <c r="O13" i="14" s="1"/>
  <c r="E19" i="15" s="1"/>
  <c r="CZ8" i="14"/>
  <c r="CK8" i="14"/>
  <c r="CE8" i="14"/>
  <c r="CL8" i="14" s="1"/>
  <c r="AE8" i="14"/>
  <c r="AA8" i="14"/>
  <c r="CZ7" i="14"/>
  <c r="BP7" i="14"/>
  <c r="AE7" i="14"/>
  <c r="AD7" i="14"/>
  <c r="I7" i="14"/>
  <c r="CZ6" i="14"/>
  <c r="CK6" i="14"/>
  <c r="CE6" i="14"/>
  <c r="CL6" i="14" s="1"/>
  <c r="BP6" i="14"/>
  <c r="CK5" i="14" s="1"/>
  <c r="I6" i="14"/>
  <c r="O10" i="14" s="1"/>
  <c r="E16" i="15" s="1"/>
  <c r="C6" i="14"/>
  <c r="C23" i="14" s="1"/>
  <c r="C24" i="14" s="1"/>
  <c r="CZ5" i="14"/>
  <c r="CE5" i="14"/>
  <c r="CL5" i="14" s="1"/>
  <c r="BP5" i="14"/>
  <c r="CK4" i="14" s="1"/>
  <c r="AG5" i="14"/>
  <c r="CE4" i="14"/>
  <c r="CL4" i="14" s="1"/>
  <c r="BP4" i="14"/>
  <c r="CK3" i="14" s="1"/>
  <c r="C4" i="14"/>
  <c r="CE3" i="14"/>
  <c r="CL3" i="14" s="1"/>
  <c r="B127" i="19" l="1"/>
  <c r="B58" i="14"/>
  <c r="C32" i="14"/>
  <c r="B127" i="15"/>
  <c r="E22" i="15"/>
  <c r="G16" i="14"/>
  <c r="AG14" i="14"/>
  <c r="O39" i="14"/>
  <c r="B127" i="18"/>
  <c r="AE5" i="14"/>
  <c r="T15" i="14" s="1"/>
  <c r="AA5" i="14"/>
  <c r="Q15" i="14" s="1"/>
  <c r="R13" i="14"/>
  <c r="H19" i="15" s="1"/>
  <c r="G15" i="15"/>
  <c r="R16" i="14"/>
  <c r="H22" i="15" s="1"/>
  <c r="G22" i="15"/>
  <c r="AE41" i="14"/>
  <c r="I108" i="15"/>
  <c r="I33" i="15"/>
  <c r="G19" i="15"/>
  <c r="Q6" i="14"/>
  <c r="G12" i="15" s="1"/>
  <c r="Q7" i="14"/>
  <c r="G13" i="15" s="1"/>
  <c r="Q8" i="14"/>
  <c r="G14" i="15" s="1"/>
  <c r="O21" i="14"/>
  <c r="E88" i="15" s="1"/>
  <c r="O11" i="14"/>
  <c r="E17" i="15" s="1"/>
  <c r="O23" i="14"/>
  <c r="E90" i="15" s="1"/>
  <c r="R11" i="14"/>
  <c r="H17" i="15" s="1"/>
  <c r="U15" i="14"/>
  <c r="U25" i="14"/>
  <c r="S13" i="14"/>
  <c r="T13" i="14" s="1"/>
  <c r="U13" i="14"/>
  <c r="U10" i="14"/>
  <c r="G17" i="14"/>
  <c r="S10" i="14"/>
  <c r="T10" i="14" s="1"/>
  <c r="AA22" i="14"/>
  <c r="AE28" i="14"/>
  <c r="R10" i="14"/>
  <c r="H16" i="15" s="1"/>
  <c r="Q18" i="14"/>
  <c r="Q20" i="14"/>
  <c r="Q17" i="14"/>
  <c r="AE14" i="14"/>
  <c r="G18" i="14"/>
  <c r="Q19" i="14"/>
  <c r="AA41" i="14"/>
  <c r="Q14" i="14" s="1"/>
  <c r="F28" i="15" s="1"/>
  <c r="M28" i="15" s="1"/>
  <c r="I13" i="14"/>
  <c r="I8" i="14"/>
  <c r="I11" i="14"/>
  <c r="B28" i="3"/>
  <c r="H4" i="14" l="1"/>
  <c r="R32" i="14" s="1"/>
  <c r="S25" i="14"/>
  <c r="T25" i="14" s="1"/>
  <c r="Q25" i="14"/>
  <c r="G92" i="15" s="1"/>
  <c r="G87" i="15"/>
  <c r="R25" i="14"/>
  <c r="H92" i="15" s="1"/>
  <c r="G85" i="15"/>
  <c r="R15" i="14"/>
  <c r="H21" i="15" s="1"/>
  <c r="G21" i="15"/>
  <c r="G86" i="15"/>
  <c r="G84" i="15"/>
  <c r="G22" i="14"/>
  <c r="G21" i="14"/>
  <c r="G20" i="14"/>
  <c r="G9" i="14"/>
  <c r="G7" i="14"/>
  <c r="G12" i="14"/>
  <c r="G6" i="14"/>
  <c r="G10" i="14"/>
  <c r="G11" i="14"/>
  <c r="O22" i="14"/>
  <c r="E89" i="15" s="1"/>
  <c r="S11" i="14"/>
  <c r="T11" i="14" s="1"/>
  <c r="U11" i="14"/>
  <c r="S23" i="14"/>
  <c r="T23" i="14" s="1"/>
  <c r="R23" i="14"/>
  <c r="H90" i="15" s="1"/>
  <c r="U23" i="14"/>
  <c r="U21" i="14"/>
  <c r="S21" i="14"/>
  <c r="T21" i="14" s="1"/>
  <c r="R21" i="14"/>
  <c r="H88" i="15" s="1"/>
  <c r="O12" i="14"/>
  <c r="E18" i="15" s="1"/>
  <c r="G8" i="14"/>
  <c r="G13" i="14"/>
  <c r="O24" i="14"/>
  <c r="E91" i="15" s="1"/>
  <c r="Q28" i="14"/>
  <c r="Q27" i="14"/>
  <c r="I34" i="15" s="1"/>
  <c r="AD36" i="6"/>
  <c r="I109" i="15" l="1"/>
  <c r="U12" i="14"/>
  <c r="S12" i="14"/>
  <c r="T12" i="14" s="1"/>
  <c r="R12" i="14"/>
  <c r="H18" i="15" s="1"/>
  <c r="U22" i="14"/>
  <c r="S22" i="14"/>
  <c r="T22" i="14" s="1"/>
  <c r="R22" i="14"/>
  <c r="H89" i="15" s="1"/>
  <c r="S24" i="14"/>
  <c r="T24" i="14" s="1"/>
  <c r="U24" i="14"/>
  <c r="R24" i="14"/>
  <c r="H91" i="15" s="1"/>
  <c r="AD57" i="6"/>
  <c r="O36" i="14" l="1"/>
  <c r="D28" i="7"/>
  <c r="B140" i="15" l="1"/>
  <c r="AZ39" i="17"/>
  <c r="CJ38" i="17" s="1"/>
  <c r="AZ39" i="16"/>
  <c r="CJ38" i="16" s="1"/>
  <c r="E109" i="12"/>
  <c r="D109" i="12"/>
  <c r="H109" i="12" s="1"/>
  <c r="C109" i="12"/>
  <c r="G109" i="12" s="1"/>
  <c r="E108" i="12"/>
  <c r="D108" i="12"/>
  <c r="H108" i="12" s="1"/>
  <c r="C108" i="12"/>
  <c r="G108" i="12" s="1"/>
  <c r="F92" i="12"/>
  <c r="D92" i="12"/>
  <c r="C92" i="12"/>
  <c r="F91" i="12"/>
  <c r="D91" i="12"/>
  <c r="C91" i="12"/>
  <c r="F90" i="12"/>
  <c r="D90" i="12"/>
  <c r="C90" i="12"/>
  <c r="F89" i="12"/>
  <c r="D89" i="12"/>
  <c r="C89" i="12"/>
  <c r="F88" i="12"/>
  <c r="D88" i="12"/>
  <c r="C88" i="12"/>
  <c r="F87" i="12"/>
  <c r="D87" i="12"/>
  <c r="C87" i="12"/>
  <c r="F86" i="12"/>
  <c r="D86" i="12"/>
  <c r="C86" i="12"/>
  <c r="F85" i="12"/>
  <c r="D85" i="12"/>
  <c r="C85" i="12"/>
  <c r="F84" i="12"/>
  <c r="D84" i="12"/>
  <c r="C84" i="12"/>
  <c r="E34" i="12"/>
  <c r="D34" i="12"/>
  <c r="H34" i="12" s="1"/>
  <c r="C34" i="12"/>
  <c r="G34" i="12" s="1"/>
  <c r="E33" i="12"/>
  <c r="D33" i="12"/>
  <c r="H33" i="12" s="1"/>
  <c r="C33" i="12"/>
  <c r="G33" i="12" s="1"/>
  <c r="K28" i="12"/>
  <c r="D28" i="12"/>
  <c r="C28" i="12"/>
  <c r="D22" i="12"/>
  <c r="D21" i="12"/>
  <c r="B19" i="12"/>
  <c r="F19" i="12" s="1"/>
  <c r="B18" i="12"/>
  <c r="B17" i="12"/>
  <c r="B16" i="12"/>
  <c r="D16" i="12" s="1"/>
  <c r="B15" i="12"/>
  <c r="F15" i="12" s="1"/>
  <c r="B14" i="12"/>
  <c r="B13" i="12"/>
  <c r="D12" i="12"/>
  <c r="B12" i="12"/>
  <c r="B776" i="12"/>
  <c r="B778" i="12" s="1"/>
  <c r="B777" i="12" s="1"/>
  <c r="B768" i="12"/>
  <c r="B770" i="12" s="1"/>
  <c r="B771" i="12" s="1"/>
  <c r="B764" i="12"/>
  <c r="B761" i="12"/>
  <c r="J750" i="12"/>
  <c r="I750" i="12"/>
  <c r="F750" i="12"/>
  <c r="E750" i="12"/>
  <c r="D750" i="12"/>
  <c r="H750" i="12" s="1"/>
  <c r="C750" i="12"/>
  <c r="G750" i="12" s="1"/>
  <c r="J749" i="12"/>
  <c r="I749" i="12"/>
  <c r="F749" i="12"/>
  <c r="E749" i="12"/>
  <c r="D749" i="12"/>
  <c r="H749" i="12" s="1"/>
  <c r="C749" i="12"/>
  <c r="G749" i="12" s="1"/>
  <c r="J748" i="12"/>
  <c r="I748" i="12"/>
  <c r="F748" i="12"/>
  <c r="E748" i="12"/>
  <c r="D748" i="12"/>
  <c r="H748" i="12" s="1"/>
  <c r="C748" i="12"/>
  <c r="G748" i="12" s="1"/>
  <c r="K748" i="12" s="1"/>
  <c r="J747" i="12"/>
  <c r="I747" i="12"/>
  <c r="F747" i="12"/>
  <c r="E747" i="12"/>
  <c r="D747" i="12"/>
  <c r="H747" i="12" s="1"/>
  <c r="C747" i="12"/>
  <c r="G747" i="12" s="1"/>
  <c r="J746" i="12"/>
  <c r="I746" i="12"/>
  <c r="F746" i="12"/>
  <c r="E746" i="12"/>
  <c r="D746" i="12"/>
  <c r="H746" i="12" s="1"/>
  <c r="C746" i="12"/>
  <c r="G746" i="12" s="1"/>
  <c r="K746" i="12" s="1"/>
  <c r="J745" i="12"/>
  <c r="I745" i="12"/>
  <c r="F745" i="12"/>
  <c r="E745" i="12"/>
  <c r="D745" i="12"/>
  <c r="H745" i="12" s="1"/>
  <c r="C745" i="12"/>
  <c r="G745" i="12" s="1"/>
  <c r="J744" i="12"/>
  <c r="I744" i="12"/>
  <c r="F744" i="12"/>
  <c r="E744" i="12"/>
  <c r="D744" i="12"/>
  <c r="H744" i="12" s="1"/>
  <c r="C744" i="12"/>
  <c r="G744" i="12" s="1"/>
  <c r="K744" i="12" s="1"/>
  <c r="J743" i="12"/>
  <c r="I743" i="12"/>
  <c r="F743" i="12"/>
  <c r="E743" i="12"/>
  <c r="D743" i="12"/>
  <c r="H743" i="12" s="1"/>
  <c r="C743" i="12"/>
  <c r="G743" i="12" s="1"/>
  <c r="J742" i="12"/>
  <c r="I742" i="12"/>
  <c r="F742" i="12"/>
  <c r="E742" i="12"/>
  <c r="D742" i="12"/>
  <c r="H742" i="12" s="1"/>
  <c r="C742" i="12"/>
  <c r="G742" i="12" s="1"/>
  <c r="J741" i="12"/>
  <c r="I741" i="12"/>
  <c r="F741" i="12"/>
  <c r="E741" i="12"/>
  <c r="D741" i="12"/>
  <c r="H741" i="12" s="1"/>
  <c r="C741" i="12"/>
  <c r="G741" i="12" s="1"/>
  <c r="J740" i="12"/>
  <c r="I740" i="12"/>
  <c r="F740" i="12"/>
  <c r="E740" i="12"/>
  <c r="D740" i="12"/>
  <c r="H740" i="12" s="1"/>
  <c r="C740" i="12"/>
  <c r="G740" i="12" s="1"/>
  <c r="K740" i="12" s="1"/>
  <c r="J739" i="12"/>
  <c r="I739" i="12"/>
  <c r="F739" i="12"/>
  <c r="E739" i="12"/>
  <c r="D739" i="12"/>
  <c r="H739" i="12" s="1"/>
  <c r="C739" i="12"/>
  <c r="G739" i="12" s="1"/>
  <c r="G731" i="12"/>
  <c r="F731" i="12"/>
  <c r="M731" i="12" s="1"/>
  <c r="E731" i="12"/>
  <c r="D731" i="12"/>
  <c r="C731" i="12"/>
  <c r="I731" i="12" s="1"/>
  <c r="L731" i="12" s="1"/>
  <c r="H717" i="12"/>
  <c r="G717" i="12"/>
  <c r="F717" i="12"/>
  <c r="E717" i="12"/>
  <c r="D717" i="12"/>
  <c r="C717" i="12"/>
  <c r="H716" i="12"/>
  <c r="G716" i="12"/>
  <c r="F716" i="12"/>
  <c r="E716" i="12"/>
  <c r="D716" i="12"/>
  <c r="C716" i="12"/>
  <c r="H715" i="12"/>
  <c r="G715" i="12"/>
  <c r="F715" i="12"/>
  <c r="E715" i="12"/>
  <c r="D715" i="12"/>
  <c r="C715" i="12"/>
  <c r="B697" i="12"/>
  <c r="B699" i="12" s="1"/>
  <c r="B698" i="12" s="1"/>
  <c r="B691" i="12"/>
  <c r="B692" i="12" s="1"/>
  <c r="B685" i="12"/>
  <c r="B682" i="12"/>
  <c r="B689" i="12" s="1"/>
  <c r="G689" i="12" s="1"/>
  <c r="J661" i="12"/>
  <c r="I661" i="12"/>
  <c r="F661" i="12"/>
  <c r="E661" i="12"/>
  <c r="D661" i="12"/>
  <c r="H661" i="12" s="1"/>
  <c r="C661" i="12"/>
  <c r="G661" i="12" s="1"/>
  <c r="J660" i="12"/>
  <c r="I660" i="12"/>
  <c r="F660" i="12"/>
  <c r="E660" i="12"/>
  <c r="D660" i="12"/>
  <c r="H660" i="12" s="1"/>
  <c r="C660" i="12"/>
  <c r="G660" i="12" s="1"/>
  <c r="M652" i="12"/>
  <c r="G652" i="12"/>
  <c r="F652" i="12"/>
  <c r="E652" i="12"/>
  <c r="D652" i="12"/>
  <c r="C652" i="12"/>
  <c r="I652" i="12" s="1"/>
  <c r="L652" i="12" s="1"/>
  <c r="H637" i="12"/>
  <c r="G637" i="12"/>
  <c r="F637" i="12"/>
  <c r="E637" i="12"/>
  <c r="D637" i="12"/>
  <c r="C637" i="12"/>
  <c r="H636" i="12"/>
  <c r="G636" i="12"/>
  <c r="F636" i="12"/>
  <c r="E636" i="12"/>
  <c r="D636" i="12"/>
  <c r="C636" i="12"/>
  <c r="B618" i="12"/>
  <c r="B620" i="12" s="1"/>
  <c r="B619" i="12" s="1"/>
  <c r="B607" i="12"/>
  <c r="B606" i="12"/>
  <c r="B603" i="12"/>
  <c r="B610" i="12" s="1"/>
  <c r="J583" i="12"/>
  <c r="I583" i="12"/>
  <c r="F583" i="12"/>
  <c r="E583" i="12"/>
  <c r="D583" i="12"/>
  <c r="H583" i="12" s="1"/>
  <c r="C583" i="12"/>
  <c r="G583" i="12" s="1"/>
  <c r="J582" i="12"/>
  <c r="I582" i="12"/>
  <c r="F582" i="12"/>
  <c r="E582" i="12"/>
  <c r="D582" i="12"/>
  <c r="H582" i="12" s="1"/>
  <c r="C582" i="12"/>
  <c r="G582" i="12" s="1"/>
  <c r="J581" i="12"/>
  <c r="I581" i="12"/>
  <c r="F581" i="12"/>
  <c r="E581" i="12"/>
  <c r="D581" i="12"/>
  <c r="H581" i="12" s="1"/>
  <c r="C581" i="12"/>
  <c r="G581" i="12" s="1"/>
  <c r="G573" i="12"/>
  <c r="F573" i="12"/>
  <c r="M573" i="12" s="1"/>
  <c r="N573" i="12" s="1"/>
  <c r="H573" i="12" s="1"/>
  <c r="E573" i="12"/>
  <c r="D573" i="12"/>
  <c r="C573" i="12"/>
  <c r="I573" i="12" s="1"/>
  <c r="L573" i="12" s="1"/>
  <c r="H559" i="12"/>
  <c r="G559" i="12"/>
  <c r="F559" i="12"/>
  <c r="E559" i="12"/>
  <c r="D559" i="12"/>
  <c r="C559" i="12"/>
  <c r="H558" i="12"/>
  <c r="G558" i="12"/>
  <c r="F558" i="12"/>
  <c r="E558" i="12"/>
  <c r="D558" i="12"/>
  <c r="C558" i="12"/>
  <c r="H557" i="12"/>
  <c r="B594" i="12" s="1"/>
  <c r="B595" i="12" s="1"/>
  <c r="B625" i="12" s="1"/>
  <c r="G557" i="12"/>
  <c r="F557" i="12"/>
  <c r="E557" i="12"/>
  <c r="D557" i="12"/>
  <c r="C557" i="12"/>
  <c r="B539" i="12"/>
  <c r="B541" i="12" s="1"/>
  <c r="B540" i="12" s="1"/>
  <c r="B531" i="12"/>
  <c r="B527" i="12"/>
  <c r="B528" i="12" s="1"/>
  <c r="B524" i="12"/>
  <c r="J504" i="12"/>
  <c r="I504" i="12"/>
  <c r="F504" i="12"/>
  <c r="E504" i="12"/>
  <c r="D504" i="12"/>
  <c r="H504" i="12" s="1"/>
  <c r="C504" i="12"/>
  <c r="G504" i="12" s="1"/>
  <c r="K504" i="12" s="1"/>
  <c r="J503" i="12"/>
  <c r="I503" i="12"/>
  <c r="F503" i="12"/>
  <c r="E503" i="12"/>
  <c r="D503" i="12"/>
  <c r="H503" i="12" s="1"/>
  <c r="C503" i="12"/>
  <c r="G503" i="12" s="1"/>
  <c r="J502" i="12"/>
  <c r="I502" i="12"/>
  <c r="F502" i="12"/>
  <c r="E502" i="12"/>
  <c r="D502" i="12"/>
  <c r="H502" i="12" s="1"/>
  <c r="C502" i="12"/>
  <c r="G502" i="12" s="1"/>
  <c r="H483" i="12"/>
  <c r="G483" i="12"/>
  <c r="F483" i="12"/>
  <c r="E483" i="12"/>
  <c r="D483" i="12"/>
  <c r="C483" i="12"/>
  <c r="H482" i="12"/>
  <c r="G482" i="12"/>
  <c r="F482" i="12"/>
  <c r="E482" i="12"/>
  <c r="D482" i="12"/>
  <c r="C482" i="12"/>
  <c r="H481" i="12"/>
  <c r="G481" i="12"/>
  <c r="F481" i="12"/>
  <c r="E481" i="12"/>
  <c r="D481" i="12"/>
  <c r="C481" i="12"/>
  <c r="H480" i="12"/>
  <c r="G480" i="12"/>
  <c r="F480" i="12"/>
  <c r="E480" i="12"/>
  <c r="D480" i="12"/>
  <c r="C480" i="12"/>
  <c r="F479" i="12"/>
  <c r="D479" i="12"/>
  <c r="C479" i="12"/>
  <c r="F478" i="12"/>
  <c r="D478" i="12"/>
  <c r="C478" i="12"/>
  <c r="B461" i="12"/>
  <c r="B463" i="12" s="1"/>
  <c r="B462" i="12" s="1"/>
  <c r="B449" i="12"/>
  <c r="B450" i="12" s="1"/>
  <c r="B446" i="12"/>
  <c r="B453" i="12" s="1"/>
  <c r="B455" i="12" s="1"/>
  <c r="B456" i="12" s="1"/>
  <c r="J428" i="12"/>
  <c r="I428" i="12"/>
  <c r="F428" i="12"/>
  <c r="E428" i="12"/>
  <c r="D428" i="12"/>
  <c r="H428" i="12" s="1"/>
  <c r="C428" i="12"/>
  <c r="G428" i="12" s="1"/>
  <c r="J427" i="12"/>
  <c r="I427" i="12"/>
  <c r="F427" i="12"/>
  <c r="E427" i="12"/>
  <c r="D427" i="12"/>
  <c r="H427" i="12" s="1"/>
  <c r="C427" i="12"/>
  <c r="G427" i="12" s="1"/>
  <c r="J426" i="12"/>
  <c r="I426" i="12"/>
  <c r="F426" i="12"/>
  <c r="E426" i="12"/>
  <c r="D426" i="12"/>
  <c r="H426" i="12" s="1"/>
  <c r="C426" i="12"/>
  <c r="G426" i="12" s="1"/>
  <c r="J425" i="12"/>
  <c r="I425" i="12"/>
  <c r="F425" i="12"/>
  <c r="E425" i="12"/>
  <c r="D425" i="12"/>
  <c r="H425" i="12" s="1"/>
  <c r="C425" i="12"/>
  <c r="G425" i="12" s="1"/>
  <c r="J424" i="12"/>
  <c r="I424" i="12"/>
  <c r="F424" i="12"/>
  <c r="E424" i="12"/>
  <c r="D424" i="12"/>
  <c r="H424" i="12" s="1"/>
  <c r="C424" i="12"/>
  <c r="G424" i="12" s="1"/>
  <c r="F402" i="12"/>
  <c r="D402" i="12"/>
  <c r="C402" i="12"/>
  <c r="F401" i="12"/>
  <c r="D401" i="12"/>
  <c r="C401" i="12"/>
  <c r="F400" i="12"/>
  <c r="D400" i="12"/>
  <c r="C400" i="12"/>
  <c r="B385" i="12"/>
  <c r="B384" i="12" s="1"/>
  <c r="B383" i="12"/>
  <c r="B371" i="12"/>
  <c r="B372" i="12" s="1"/>
  <c r="B368" i="12"/>
  <c r="B375" i="12" s="1"/>
  <c r="G375" i="12" s="1"/>
  <c r="J350" i="12"/>
  <c r="I350" i="12"/>
  <c r="F350" i="12"/>
  <c r="E350" i="12"/>
  <c r="D350" i="12"/>
  <c r="H350" i="12" s="1"/>
  <c r="C350" i="12"/>
  <c r="G350" i="12" s="1"/>
  <c r="J349" i="12"/>
  <c r="I349" i="12"/>
  <c r="F349" i="12"/>
  <c r="E349" i="12"/>
  <c r="D349" i="12"/>
  <c r="H349" i="12" s="1"/>
  <c r="C349" i="12"/>
  <c r="G349" i="12" s="1"/>
  <c r="J348" i="12"/>
  <c r="I348" i="12"/>
  <c r="F348" i="12"/>
  <c r="E348" i="12"/>
  <c r="D348" i="12"/>
  <c r="H348" i="12" s="1"/>
  <c r="C348" i="12"/>
  <c r="G348" i="12" s="1"/>
  <c r="J347" i="12"/>
  <c r="I347" i="12"/>
  <c r="F347" i="12"/>
  <c r="E347" i="12"/>
  <c r="D347" i="12"/>
  <c r="H347" i="12" s="1"/>
  <c r="C347" i="12"/>
  <c r="G347" i="12" s="1"/>
  <c r="J346" i="12"/>
  <c r="I346" i="12"/>
  <c r="F346" i="12"/>
  <c r="E346" i="12"/>
  <c r="D346" i="12"/>
  <c r="H346" i="12" s="1"/>
  <c r="C346" i="12"/>
  <c r="G346" i="12" s="1"/>
  <c r="F325" i="12"/>
  <c r="D325" i="12"/>
  <c r="C325" i="12"/>
  <c r="F324" i="12"/>
  <c r="E324" i="12"/>
  <c r="D324" i="12"/>
  <c r="C324" i="12"/>
  <c r="F323" i="12"/>
  <c r="E323" i="12"/>
  <c r="D323" i="12"/>
  <c r="C323" i="12"/>
  <c r="F322" i="12"/>
  <c r="E322" i="12"/>
  <c r="D322" i="12"/>
  <c r="C322" i="12"/>
  <c r="B305" i="12"/>
  <c r="B304" i="12"/>
  <c r="B306" i="12" s="1"/>
  <c r="B292" i="12"/>
  <c r="B289" i="12"/>
  <c r="B296" i="12" s="1"/>
  <c r="B298" i="12" s="1"/>
  <c r="B299" i="12" s="1"/>
  <c r="J270" i="12"/>
  <c r="I270" i="12"/>
  <c r="F270" i="12"/>
  <c r="E270" i="12"/>
  <c r="D270" i="12"/>
  <c r="H270" i="12" s="1"/>
  <c r="C270" i="12"/>
  <c r="G270" i="12" s="1"/>
  <c r="J269" i="12"/>
  <c r="I269" i="12"/>
  <c r="H269" i="12"/>
  <c r="F269" i="12"/>
  <c r="E269" i="12"/>
  <c r="D269" i="12"/>
  <c r="C269" i="12"/>
  <c r="G269" i="12" s="1"/>
  <c r="K269" i="12" s="1"/>
  <c r="J268" i="12"/>
  <c r="I268" i="12"/>
  <c r="F268" i="12"/>
  <c r="E268" i="12"/>
  <c r="D268" i="12"/>
  <c r="H268" i="12" s="1"/>
  <c r="C268" i="12"/>
  <c r="G268" i="12" s="1"/>
  <c r="K268" i="12" s="1"/>
  <c r="J267" i="12"/>
  <c r="I267" i="12"/>
  <c r="F267" i="12"/>
  <c r="E267" i="12"/>
  <c r="D267" i="12"/>
  <c r="H267" i="12" s="1"/>
  <c r="C267" i="12"/>
  <c r="G267" i="12" s="1"/>
  <c r="K267" i="12" s="1"/>
  <c r="F246" i="12"/>
  <c r="D246" i="12"/>
  <c r="C246" i="12"/>
  <c r="F245" i="12"/>
  <c r="E245" i="12"/>
  <c r="D245" i="12"/>
  <c r="C245" i="12"/>
  <c r="F244" i="12"/>
  <c r="D244" i="12"/>
  <c r="C244" i="12"/>
  <c r="F243" i="12"/>
  <c r="E243" i="12"/>
  <c r="D243" i="12"/>
  <c r="C243" i="12"/>
  <c r="B225" i="12"/>
  <c r="B227" i="12" s="1"/>
  <c r="B226" i="12" s="1"/>
  <c r="B213" i="12"/>
  <c r="B210" i="12"/>
  <c r="B217" i="12" s="1"/>
  <c r="J190" i="12"/>
  <c r="I190" i="12"/>
  <c r="F190" i="12"/>
  <c r="E190" i="12"/>
  <c r="D190" i="12"/>
  <c r="H190" i="12" s="1"/>
  <c r="C190" i="12"/>
  <c r="G190" i="12" s="1"/>
  <c r="J189" i="12"/>
  <c r="I189" i="12"/>
  <c r="F189" i="12"/>
  <c r="E189" i="12"/>
  <c r="D189" i="12"/>
  <c r="H189" i="12" s="1"/>
  <c r="C189" i="12"/>
  <c r="G189" i="12" s="1"/>
  <c r="J188" i="12"/>
  <c r="I188" i="12"/>
  <c r="F188" i="12"/>
  <c r="E188" i="12"/>
  <c r="D188" i="12"/>
  <c r="H188" i="12" s="1"/>
  <c r="C188" i="12"/>
  <c r="G188" i="12" s="1"/>
  <c r="G180" i="12"/>
  <c r="F180" i="12"/>
  <c r="M180" i="12" s="1"/>
  <c r="E180" i="12"/>
  <c r="D180" i="12"/>
  <c r="C180" i="12"/>
  <c r="I180" i="12" s="1"/>
  <c r="L180" i="12" s="1"/>
  <c r="F165" i="12"/>
  <c r="D165" i="12"/>
  <c r="C165" i="12"/>
  <c r="F164" i="12"/>
  <c r="E164" i="12"/>
  <c r="D164" i="12"/>
  <c r="C164" i="12"/>
  <c r="B22" i="12"/>
  <c r="C22" i="12" s="1"/>
  <c r="B21" i="12"/>
  <c r="C21" i="12" s="1"/>
  <c r="V12" i="12"/>
  <c r="V11" i="12"/>
  <c r="V10" i="12"/>
  <c r="V9" i="12"/>
  <c r="V8" i="12"/>
  <c r="V7" i="12"/>
  <c r="AE18" i="11"/>
  <c r="AD18" i="11"/>
  <c r="AE9" i="11"/>
  <c r="AD9" i="11"/>
  <c r="CZ79" i="11"/>
  <c r="CZ78" i="11"/>
  <c r="CZ77" i="11"/>
  <c r="CZ76" i="11"/>
  <c r="CZ75" i="11"/>
  <c r="CZ72" i="11"/>
  <c r="CZ71" i="11"/>
  <c r="CZ70" i="11"/>
  <c r="DB73" i="11" s="1"/>
  <c r="CZ68" i="11"/>
  <c r="CZ67" i="11"/>
  <c r="CZ66" i="11"/>
  <c r="CZ65" i="11"/>
  <c r="CZ63" i="11"/>
  <c r="CZ62" i="11"/>
  <c r="CZ61" i="11"/>
  <c r="CZ59" i="11"/>
  <c r="CZ58" i="11"/>
  <c r="CZ57" i="11"/>
  <c r="CZ56" i="11"/>
  <c r="CZ55" i="11"/>
  <c r="CZ54" i="11"/>
  <c r="CZ53" i="11"/>
  <c r="CZ52" i="11"/>
  <c r="CZ51" i="11"/>
  <c r="AD52" i="11"/>
  <c r="CZ50" i="11"/>
  <c r="BP50" i="11"/>
  <c r="CK49" i="11" s="1"/>
  <c r="CZ49" i="11"/>
  <c r="CE49" i="11"/>
  <c r="CL49" i="11" s="1"/>
  <c r="BP49" i="11"/>
  <c r="CK48" i="11" s="1"/>
  <c r="AG50" i="11"/>
  <c r="AE50" i="11"/>
  <c r="CZ48" i="11"/>
  <c r="CE48" i="11"/>
  <c r="CL48" i="11" s="1"/>
  <c r="BP48" i="11"/>
  <c r="CK47" i="11" s="1"/>
  <c r="CZ47" i="11"/>
  <c r="CE47" i="11"/>
  <c r="CL47" i="11" s="1"/>
  <c r="BP47" i="11"/>
  <c r="CK46" i="11" s="1"/>
  <c r="CZ46" i="11"/>
  <c r="CE46" i="11"/>
  <c r="CL46" i="11" s="1"/>
  <c r="BP46" i="11"/>
  <c r="AE47" i="11"/>
  <c r="AD47" i="11"/>
  <c r="CZ45" i="11"/>
  <c r="CK45" i="11"/>
  <c r="CE45" i="11"/>
  <c r="CL45" i="11" s="1"/>
  <c r="BP45" i="11"/>
  <c r="CK44" i="11" s="1"/>
  <c r="AE46" i="11"/>
  <c r="AD46" i="11"/>
  <c r="I11" i="11"/>
  <c r="CZ44" i="11"/>
  <c r="CE44" i="11"/>
  <c r="CL44" i="11" s="1"/>
  <c r="BP44" i="11"/>
  <c r="CK43" i="11" s="1"/>
  <c r="AE45" i="11"/>
  <c r="AD45" i="11"/>
  <c r="CE43" i="11"/>
  <c r="CL43" i="11" s="1"/>
  <c r="BP43" i="11"/>
  <c r="CK42" i="11" s="1"/>
  <c r="AE44" i="11"/>
  <c r="AD44" i="11"/>
  <c r="CZ42" i="11"/>
  <c r="CE42" i="11"/>
  <c r="CL42" i="11" s="1"/>
  <c r="BP42" i="11"/>
  <c r="CK41" i="11" s="1"/>
  <c r="AE43" i="11"/>
  <c r="AD43" i="11"/>
  <c r="D42" i="11"/>
  <c r="CZ41" i="11"/>
  <c r="CE41" i="11"/>
  <c r="CL41" i="11" s="1"/>
  <c r="CZ40" i="11"/>
  <c r="BP40" i="11"/>
  <c r="CK39" i="11" s="1"/>
  <c r="AR40" i="11"/>
  <c r="CZ39" i="11"/>
  <c r="CE39" i="11"/>
  <c r="CL39" i="11" s="1"/>
  <c r="BP39" i="11"/>
  <c r="CK38" i="11" s="1"/>
  <c r="CZ38" i="11"/>
  <c r="CE38" i="11"/>
  <c r="CL38" i="11" s="1"/>
  <c r="BP38" i="11"/>
  <c r="CK37" i="11" s="1"/>
  <c r="CE37" i="11"/>
  <c r="CL37" i="11" s="1"/>
  <c r="BP37" i="11"/>
  <c r="CK36" i="11" s="1"/>
  <c r="CZ36" i="11"/>
  <c r="CE36" i="11"/>
  <c r="CL36" i="11" s="1"/>
  <c r="H36" i="11"/>
  <c r="C36" i="11" s="1"/>
  <c r="CZ35" i="11"/>
  <c r="BP35" i="11"/>
  <c r="AG36" i="11"/>
  <c r="AE36" i="11"/>
  <c r="CZ34" i="11"/>
  <c r="CK34" i="11"/>
  <c r="CE34" i="11"/>
  <c r="CL34" i="11" s="1"/>
  <c r="BP34" i="11"/>
  <c r="CK33" i="11" s="1"/>
  <c r="CZ33" i="11"/>
  <c r="CL33" i="11"/>
  <c r="CE33" i="11"/>
  <c r="BP33" i="11"/>
  <c r="CK32" i="11" s="1"/>
  <c r="CZ32" i="11"/>
  <c r="DC37" i="11" s="1"/>
  <c r="CE32" i="11"/>
  <c r="CL32" i="11" s="1"/>
  <c r="BP32" i="11"/>
  <c r="CK31" i="11" s="1"/>
  <c r="AE33" i="11"/>
  <c r="AD33" i="11"/>
  <c r="CE31" i="11"/>
  <c r="CL31" i="11" s="1"/>
  <c r="BP31" i="11"/>
  <c r="AE32" i="11"/>
  <c r="AD32" i="11"/>
  <c r="CZ30" i="11"/>
  <c r="CK30" i="11"/>
  <c r="CE30" i="11"/>
  <c r="CL30" i="11" s="1"/>
  <c r="BP30" i="11"/>
  <c r="CK29" i="11" s="1"/>
  <c r="AE31" i="11"/>
  <c r="CZ29" i="11"/>
  <c r="CE29" i="11"/>
  <c r="CL29" i="11" s="1"/>
  <c r="AE30" i="11"/>
  <c r="AD30" i="11"/>
  <c r="CZ28" i="11"/>
  <c r="BP28" i="11"/>
  <c r="CK27" i="11" s="1"/>
  <c r="Q28" i="11"/>
  <c r="I109" i="12" s="1"/>
  <c r="CZ27" i="11"/>
  <c r="CE27" i="11"/>
  <c r="CL27" i="11" s="1"/>
  <c r="BP27" i="11"/>
  <c r="CK26" i="11"/>
  <c r="CE26" i="11"/>
  <c r="CL26" i="11" s="1"/>
  <c r="BP26" i="11"/>
  <c r="CK25" i="11" s="1"/>
  <c r="C26" i="11"/>
  <c r="G18" i="11" s="1"/>
  <c r="CE25" i="11"/>
  <c r="CL25" i="11" s="1"/>
  <c r="AE26" i="11"/>
  <c r="AD26" i="11"/>
  <c r="O25" i="11"/>
  <c r="E92" i="12" s="1"/>
  <c r="CZ24" i="11"/>
  <c r="CL24" i="11"/>
  <c r="CK24" i="11"/>
  <c r="CJ24" i="11"/>
  <c r="BP24" i="11"/>
  <c r="CK23" i="11" s="1"/>
  <c r="AE25" i="11"/>
  <c r="AE22" i="11" s="1"/>
  <c r="AD25" i="11"/>
  <c r="Q24" i="11"/>
  <c r="G91" i="12" s="1"/>
  <c r="CZ23" i="11"/>
  <c r="CE23" i="11"/>
  <c r="CL23" i="11" s="1"/>
  <c r="BP23" i="11"/>
  <c r="CK22" i="11" s="1"/>
  <c r="AR23" i="11"/>
  <c r="AE24" i="11"/>
  <c r="AD24" i="11"/>
  <c r="AA22" i="11" s="1"/>
  <c r="Q27" i="11" s="1"/>
  <c r="I34" i="12" s="1"/>
  <c r="Q23" i="11"/>
  <c r="G90" i="12" s="1"/>
  <c r="CZ22" i="11"/>
  <c r="CE22" i="11"/>
  <c r="CL22" i="11" s="1"/>
  <c r="BP22" i="11"/>
  <c r="CK21" i="11" s="1"/>
  <c r="Q22" i="11"/>
  <c r="G89" i="12" s="1"/>
  <c r="CZ21" i="11"/>
  <c r="CE21" i="11"/>
  <c r="CL21" i="11" s="1"/>
  <c r="BP21" i="11"/>
  <c r="Q21" i="11"/>
  <c r="G88" i="12" s="1"/>
  <c r="CZ20" i="11"/>
  <c r="CK20" i="11"/>
  <c r="CE20" i="11"/>
  <c r="CL20" i="11" s="1"/>
  <c r="BP20" i="11"/>
  <c r="CK19" i="11" s="1"/>
  <c r="CZ19" i="11"/>
  <c r="CE19" i="11"/>
  <c r="CL19" i="11" s="1"/>
  <c r="BP19" i="11"/>
  <c r="CK18" i="11" s="1"/>
  <c r="AE20" i="11"/>
  <c r="AG14" i="11" s="1"/>
  <c r="AD20" i="11"/>
  <c r="C19" i="11"/>
  <c r="CZ18" i="11"/>
  <c r="CE18" i="11"/>
  <c r="CL18" i="11" s="1"/>
  <c r="AE19" i="11"/>
  <c r="AD19" i="11"/>
  <c r="CZ17" i="11"/>
  <c r="BP17" i="11"/>
  <c r="CK16" i="11" s="1"/>
  <c r="AE17" i="11"/>
  <c r="AD17" i="11"/>
  <c r="CZ16" i="11"/>
  <c r="CE16" i="11"/>
  <c r="CL16" i="11" s="1"/>
  <c r="BP16" i="11"/>
  <c r="CK15" i="11" s="1"/>
  <c r="Q16" i="11"/>
  <c r="G22" i="12" s="1"/>
  <c r="O16" i="11"/>
  <c r="S16" i="11" s="1"/>
  <c r="T16" i="11" s="1"/>
  <c r="CZ15" i="11"/>
  <c r="CL15" i="11"/>
  <c r="CE15" i="11"/>
  <c r="BP15" i="11"/>
  <c r="CK14" i="11" s="1"/>
  <c r="CZ14" i="11"/>
  <c r="CE14" i="11"/>
  <c r="CL14" i="11" s="1"/>
  <c r="BP14" i="11"/>
  <c r="CZ13" i="11"/>
  <c r="CK13" i="11"/>
  <c r="CE13" i="11"/>
  <c r="CL13" i="11" s="1"/>
  <c r="Q13" i="11"/>
  <c r="G19" i="12" s="1"/>
  <c r="I13" i="11"/>
  <c r="CZ12" i="11"/>
  <c r="CL12" i="11"/>
  <c r="CK12" i="11"/>
  <c r="CJ12" i="11"/>
  <c r="BP12" i="11"/>
  <c r="Q12" i="11"/>
  <c r="I12" i="11"/>
  <c r="O23" i="11" s="1"/>
  <c r="U23" i="11" s="1"/>
  <c r="CZ11" i="11"/>
  <c r="CK11" i="11"/>
  <c r="CE11" i="11"/>
  <c r="CL11" i="11" s="1"/>
  <c r="BP11" i="11"/>
  <c r="CK10" i="11" s="1"/>
  <c r="Q11" i="11"/>
  <c r="CZ10" i="11"/>
  <c r="CE10" i="11"/>
  <c r="CL10" i="11" s="1"/>
  <c r="BP10" i="11"/>
  <c r="CK9" i="11" s="1"/>
  <c r="AE11" i="11"/>
  <c r="AD11" i="11"/>
  <c r="Q10" i="11"/>
  <c r="CZ9" i="11"/>
  <c r="CE9" i="11"/>
  <c r="CL9" i="11" s="1"/>
  <c r="BP9" i="11"/>
  <c r="AE10" i="11"/>
  <c r="AD10" i="11"/>
  <c r="AA5" i="11" s="1"/>
  <c r="Q15" i="11" s="1"/>
  <c r="R15" i="11" s="1"/>
  <c r="H21" i="12" s="1"/>
  <c r="I9" i="11"/>
  <c r="CZ8" i="11"/>
  <c r="CK8" i="11"/>
  <c r="CE8" i="11"/>
  <c r="CL8" i="11" s="1"/>
  <c r="AE8" i="11"/>
  <c r="AA8" i="11"/>
  <c r="CZ7" i="11"/>
  <c r="BP7" i="11"/>
  <c r="CK6" i="11" s="1"/>
  <c r="AE7" i="11"/>
  <c r="AD7" i="11"/>
  <c r="CZ6" i="11"/>
  <c r="CE6" i="11"/>
  <c r="CL6" i="11" s="1"/>
  <c r="BP6" i="11"/>
  <c r="CK5" i="11" s="1"/>
  <c r="C6" i="11"/>
  <c r="CZ5" i="11"/>
  <c r="CL5" i="11"/>
  <c r="CE5" i="11"/>
  <c r="BP5" i="11"/>
  <c r="CK4" i="11" s="1"/>
  <c r="CE4" i="11"/>
  <c r="CL4" i="11" s="1"/>
  <c r="BP4" i="11"/>
  <c r="C4" i="11"/>
  <c r="C32" i="11" s="1"/>
  <c r="CK3" i="11"/>
  <c r="CE3" i="11"/>
  <c r="CL3" i="11" s="1"/>
  <c r="K189" i="12" l="1"/>
  <c r="K349" i="12"/>
  <c r="K427" i="12"/>
  <c r="B673" i="12"/>
  <c r="K661" i="12"/>
  <c r="N731" i="12"/>
  <c r="H731" i="12" s="1"/>
  <c r="K739" i="12"/>
  <c r="G768" i="12"/>
  <c r="C15" i="12"/>
  <c r="C19" i="12"/>
  <c r="E21" i="12"/>
  <c r="F22" i="12"/>
  <c r="N652" i="12"/>
  <c r="H652" i="12" s="1"/>
  <c r="D15" i="12"/>
  <c r="D19" i="12"/>
  <c r="F21" i="12"/>
  <c r="AA28" i="11"/>
  <c r="Q26" i="11" s="1"/>
  <c r="I108" i="12" s="1"/>
  <c r="N180" i="12"/>
  <c r="H180" i="12" s="1"/>
  <c r="K188" i="12"/>
  <c r="K270" i="12"/>
  <c r="K346" i="12"/>
  <c r="K348" i="12"/>
  <c r="K350" i="12"/>
  <c r="K428" i="12"/>
  <c r="K660" i="12"/>
  <c r="AA14" i="11"/>
  <c r="Q9" i="11" s="1"/>
  <c r="G15" i="12" s="1"/>
  <c r="AA41" i="11"/>
  <c r="Q14" i="11" s="1"/>
  <c r="F28" i="12" s="1"/>
  <c r="M28" i="12" s="1"/>
  <c r="K108" i="12"/>
  <c r="G21" i="12"/>
  <c r="G16" i="12"/>
  <c r="R16" i="11"/>
  <c r="H22" i="12" s="1"/>
  <c r="U16" i="11"/>
  <c r="E22" i="12"/>
  <c r="E90" i="12"/>
  <c r="K109" i="12"/>
  <c r="F14" i="12"/>
  <c r="F18" i="12"/>
  <c r="F13" i="12"/>
  <c r="C14" i="12"/>
  <c r="F17" i="12"/>
  <c r="C18" i="12"/>
  <c r="G18" i="12"/>
  <c r="F12" i="12"/>
  <c r="C13" i="12"/>
  <c r="D14" i="12"/>
  <c r="F16" i="12"/>
  <c r="C17" i="12"/>
  <c r="G17" i="12"/>
  <c r="D18" i="12"/>
  <c r="C12" i="12"/>
  <c r="D13" i="12"/>
  <c r="C16" i="12"/>
  <c r="D17" i="12"/>
  <c r="K34" i="12"/>
  <c r="B219" i="12"/>
  <c r="B220" i="12" s="1"/>
  <c r="K502" i="12"/>
  <c r="B624" i="12"/>
  <c r="K33" i="12"/>
  <c r="K190" i="12"/>
  <c r="G296" i="12"/>
  <c r="K425" i="12"/>
  <c r="B533" i="12"/>
  <c r="B534" i="12" s="1"/>
  <c r="G531" i="12"/>
  <c r="K581" i="12"/>
  <c r="K583" i="12"/>
  <c r="B612" i="12"/>
  <c r="B613" i="12" s="1"/>
  <c r="G610" i="12"/>
  <c r="K742" i="12"/>
  <c r="K749" i="12"/>
  <c r="B377" i="12"/>
  <c r="B378" i="12" s="1"/>
  <c r="K503" i="12"/>
  <c r="B674" i="12"/>
  <c r="B704" i="12" s="1"/>
  <c r="B703" i="12"/>
  <c r="B752" i="12"/>
  <c r="K745" i="12"/>
  <c r="K747" i="12"/>
  <c r="K347" i="12"/>
  <c r="K424" i="12"/>
  <c r="K426" i="12"/>
  <c r="G453" i="12"/>
  <c r="K582" i="12"/>
  <c r="K741" i="12"/>
  <c r="K743" i="12"/>
  <c r="K750" i="12"/>
  <c r="AE14" i="11"/>
  <c r="Q8" i="11"/>
  <c r="G14" i="12" s="1"/>
  <c r="AG22" i="11"/>
  <c r="AE5" i="11"/>
  <c r="S15" i="11" s="1"/>
  <c r="T15" i="11" s="1"/>
  <c r="O22" i="11"/>
  <c r="E89" i="12" s="1"/>
  <c r="R23" i="11"/>
  <c r="H90" i="12" s="1"/>
  <c r="O24" i="11"/>
  <c r="E91" i="12" s="1"/>
  <c r="I8" i="11"/>
  <c r="O13" i="11"/>
  <c r="E19" i="12" s="1"/>
  <c r="Q25" i="11"/>
  <c r="AG5" i="11"/>
  <c r="U15" i="11" s="1"/>
  <c r="I7" i="11"/>
  <c r="I10" i="11"/>
  <c r="C23" i="11"/>
  <c r="AG41" i="11"/>
  <c r="AE41" i="11"/>
  <c r="S25" i="11"/>
  <c r="T25" i="11" s="1"/>
  <c r="I6" i="11"/>
  <c r="S23" i="11"/>
  <c r="T23" i="11" s="1"/>
  <c r="O39" i="11"/>
  <c r="G16" i="11"/>
  <c r="Q18" i="11"/>
  <c r="G85" i="12" s="1"/>
  <c r="AE28" i="11"/>
  <c r="AG28" i="11"/>
  <c r="CZ28" i="6"/>
  <c r="CZ29" i="6"/>
  <c r="CZ30" i="6"/>
  <c r="CZ27" i="6"/>
  <c r="Q19" i="11" l="1"/>
  <c r="Q17" i="11"/>
  <c r="G84" i="12" s="1"/>
  <c r="Q7" i="11"/>
  <c r="I33" i="12"/>
  <c r="Q6" i="11"/>
  <c r="U25" i="11"/>
  <c r="Q20" i="11"/>
  <c r="G87" i="12" s="1"/>
  <c r="G86" i="12"/>
  <c r="R25" i="11"/>
  <c r="H92" i="12" s="1"/>
  <c r="G92" i="12"/>
  <c r="G13" i="12"/>
  <c r="B782" i="12"/>
  <c r="B753" i="12"/>
  <c r="B783" i="12" s="1"/>
  <c r="O10" i="11"/>
  <c r="E16" i="12" s="1"/>
  <c r="H4" i="11"/>
  <c r="O21" i="11"/>
  <c r="E88" i="12" s="1"/>
  <c r="O12" i="11"/>
  <c r="E18" i="12" s="1"/>
  <c r="S22" i="11"/>
  <c r="T22" i="11" s="1"/>
  <c r="U22" i="11"/>
  <c r="R24" i="11"/>
  <c r="H91" i="12" s="1"/>
  <c r="U24" i="11"/>
  <c r="S24" i="11"/>
  <c r="T24" i="11" s="1"/>
  <c r="R13" i="11"/>
  <c r="H19" i="12" s="1"/>
  <c r="U13" i="11"/>
  <c r="S13" i="11"/>
  <c r="T13" i="11" s="1"/>
  <c r="C24" i="11"/>
  <c r="G17" i="11"/>
  <c r="O11" i="11"/>
  <c r="E17" i="12" s="1"/>
  <c r="R22" i="11"/>
  <c r="H89" i="12" s="1"/>
  <c r="CZ73" i="6"/>
  <c r="CZ71" i="6"/>
  <c r="CZ72" i="6"/>
  <c r="CZ70" i="6"/>
  <c r="CZ66" i="6"/>
  <c r="CZ67" i="6"/>
  <c r="CZ68" i="6"/>
  <c r="CZ65" i="6"/>
  <c r="CZ62" i="6"/>
  <c r="CZ63" i="6"/>
  <c r="CZ61" i="6"/>
  <c r="CZ45" i="6"/>
  <c r="CZ46" i="6"/>
  <c r="CZ47" i="6"/>
  <c r="CZ48" i="6"/>
  <c r="CZ49" i="6"/>
  <c r="CZ50" i="6"/>
  <c r="CZ51" i="6"/>
  <c r="CZ52" i="6"/>
  <c r="CZ53" i="6"/>
  <c r="CZ54" i="6"/>
  <c r="CZ55" i="6"/>
  <c r="CZ56" i="6"/>
  <c r="CZ57" i="6"/>
  <c r="CZ58" i="6"/>
  <c r="CZ59" i="6"/>
  <c r="CZ44" i="6"/>
  <c r="CZ39" i="6"/>
  <c r="CZ40" i="6"/>
  <c r="CZ41" i="6"/>
  <c r="CZ42" i="6"/>
  <c r="CZ38" i="6"/>
  <c r="CZ37" i="6"/>
  <c r="CZ36" i="6"/>
  <c r="CZ35" i="6"/>
  <c r="CZ33" i="6"/>
  <c r="CZ34" i="6"/>
  <c r="CZ32" i="6"/>
  <c r="CZ6" i="6"/>
  <c r="CZ7" i="6"/>
  <c r="CZ8" i="6"/>
  <c r="CZ9" i="6"/>
  <c r="CZ10" i="6"/>
  <c r="CZ11" i="6"/>
  <c r="CZ12" i="6"/>
  <c r="CZ13" i="6"/>
  <c r="CZ14" i="6"/>
  <c r="CZ15" i="6"/>
  <c r="CZ16" i="6"/>
  <c r="CZ17" i="6"/>
  <c r="CZ18" i="6"/>
  <c r="CZ19" i="6"/>
  <c r="CZ20" i="6"/>
  <c r="CZ21" i="6"/>
  <c r="CZ22" i="6"/>
  <c r="CZ23" i="6"/>
  <c r="CZ24" i="6"/>
  <c r="CZ5" i="6"/>
  <c r="G10" i="11" l="1"/>
  <c r="R32" i="11"/>
  <c r="G12" i="12"/>
  <c r="U11" i="11"/>
  <c r="S11" i="11"/>
  <c r="T11" i="11" s="1"/>
  <c r="R11" i="11"/>
  <c r="H17" i="12" s="1"/>
  <c r="S12" i="11"/>
  <c r="T12" i="11" s="1"/>
  <c r="U12" i="11"/>
  <c r="R12" i="11"/>
  <c r="H18" i="12" s="1"/>
  <c r="S10" i="11"/>
  <c r="T10" i="11" s="1"/>
  <c r="U10" i="11"/>
  <c r="R10" i="11"/>
  <c r="H16" i="12" s="1"/>
  <c r="G22" i="11"/>
  <c r="G21" i="11"/>
  <c r="G20" i="11"/>
  <c r="G12" i="11"/>
  <c r="G9" i="11"/>
  <c r="G11" i="11"/>
  <c r="G13" i="11"/>
  <c r="G8" i="11"/>
  <c r="G6" i="11"/>
  <c r="G7" i="11"/>
  <c r="R21" i="11"/>
  <c r="U21" i="11"/>
  <c r="S21" i="11"/>
  <c r="T21" i="11" s="1"/>
  <c r="CK12" i="6"/>
  <c r="CL12" i="6"/>
  <c r="CK24" i="6"/>
  <c r="CL24" i="6"/>
  <c r="CJ12" i="6"/>
  <c r="CJ24" i="6"/>
  <c r="H88" i="12" l="1"/>
  <c r="O36" i="11"/>
  <c r="AD7" i="6"/>
  <c r="AE7" i="6"/>
  <c r="AA8" i="6"/>
  <c r="AE8" i="6"/>
  <c r="AD9" i="6"/>
  <c r="AE9" i="6"/>
  <c r="AD10" i="6"/>
  <c r="AE10" i="6"/>
  <c r="AD17" i="6"/>
  <c r="AE17" i="6"/>
  <c r="AD18" i="6"/>
  <c r="AE18" i="6"/>
  <c r="AD19" i="6"/>
  <c r="AE19" i="6"/>
  <c r="AD23" i="6"/>
  <c r="AE23" i="6"/>
  <c r="AD24" i="6"/>
  <c r="AE24" i="6"/>
  <c r="AE21" i="6" s="1"/>
  <c r="AD25" i="6"/>
  <c r="AE25" i="6"/>
  <c r="AD29" i="6"/>
  <c r="AE29" i="6"/>
  <c r="AE30" i="6"/>
  <c r="AD31" i="6"/>
  <c r="AE31" i="6"/>
  <c r="AD32" i="6"/>
  <c r="AE32" i="6"/>
  <c r="AA21" i="6" l="1"/>
  <c r="AA5" i="6"/>
  <c r="AE27" i="6"/>
  <c r="AE13" i="6"/>
  <c r="AE5" i="6"/>
  <c r="AA27" i="6"/>
  <c r="AA13" i="6"/>
  <c r="BP49" i="6"/>
  <c r="CK48" i="6" s="1"/>
  <c r="BP50" i="6"/>
  <c r="CK49" i="6" s="1"/>
  <c r="BP48" i="6"/>
  <c r="CK47" i="6" s="1"/>
  <c r="BP47" i="6"/>
  <c r="CK46" i="6" s="1"/>
  <c r="BP46" i="6"/>
  <c r="CK45" i="6" s="1"/>
  <c r="BP45" i="6"/>
  <c r="CK44" i="6" s="1"/>
  <c r="BP44" i="6"/>
  <c r="CK43" i="6" s="1"/>
  <c r="BP43" i="6"/>
  <c r="CK42" i="6" s="1"/>
  <c r="BP42" i="6"/>
  <c r="CK41" i="6" s="1"/>
  <c r="BP40" i="6"/>
  <c r="CK39" i="6" s="1"/>
  <c r="BP38" i="6"/>
  <c r="CK37" i="6" s="1"/>
  <c r="BP39" i="6"/>
  <c r="CK38" i="6" s="1"/>
  <c r="BP37" i="6"/>
  <c r="CK36" i="6" s="1"/>
  <c r="BP34" i="6"/>
  <c r="CK33" i="6" s="1"/>
  <c r="BP35" i="6"/>
  <c r="CK34" i="6" s="1"/>
  <c r="BP33" i="6"/>
  <c r="CK32" i="6" s="1"/>
  <c r="BP31" i="6"/>
  <c r="CK30" i="6" s="1"/>
  <c r="BP32" i="6"/>
  <c r="CK31" i="6" s="1"/>
  <c r="BP30" i="6"/>
  <c r="CK29" i="6" s="1"/>
  <c r="BP27" i="6"/>
  <c r="CK26" i="6" s="1"/>
  <c r="BP28" i="6"/>
  <c r="CK27" i="6" s="1"/>
  <c r="BP26" i="6"/>
  <c r="CK25" i="6" s="1"/>
  <c r="BP24" i="6"/>
  <c r="CK23" i="6" s="1"/>
  <c r="BP23" i="6"/>
  <c r="CK22" i="6" s="1"/>
  <c r="BP20" i="6"/>
  <c r="CK19" i="6" s="1"/>
  <c r="BP21" i="6"/>
  <c r="CK20" i="6" s="1"/>
  <c r="BP22" i="6"/>
  <c r="CK21" i="6" s="1"/>
  <c r="BP19" i="6"/>
  <c r="CK18" i="6" s="1"/>
  <c r="BP15" i="6"/>
  <c r="CK14" i="6" s="1"/>
  <c r="BP16" i="6"/>
  <c r="CK15" i="6" s="1"/>
  <c r="BP17" i="6"/>
  <c r="CK16" i="6" s="1"/>
  <c r="BP14" i="6"/>
  <c r="CK13" i="6" s="1"/>
  <c r="BP12" i="6"/>
  <c r="CK11" i="6" s="1"/>
  <c r="BP10" i="6"/>
  <c r="CK9" i="6" s="1"/>
  <c r="BP11" i="6"/>
  <c r="CK10" i="6" s="1"/>
  <c r="BP9" i="6"/>
  <c r="CK8" i="6" s="1"/>
  <c r="BP5" i="6"/>
  <c r="CK4" i="6" s="1"/>
  <c r="BP6" i="6"/>
  <c r="CK5" i="6" s="1"/>
  <c r="BP7" i="6"/>
  <c r="CK6" i="6" s="1"/>
  <c r="BP4" i="6"/>
  <c r="CK3" i="6" s="1"/>
  <c r="CL49" i="6" l="1"/>
  <c r="CL48" i="6"/>
  <c r="CL47" i="6"/>
  <c r="CE46" i="6"/>
  <c r="CL46" i="6" s="1"/>
  <c r="CE45" i="6"/>
  <c r="CL45" i="6" s="1"/>
  <c r="CE44" i="6"/>
  <c r="CL44" i="6" s="1"/>
  <c r="CE43" i="6"/>
  <c r="CL43" i="6" s="1"/>
  <c r="CL42" i="6"/>
  <c r="CL41" i="6"/>
  <c r="CE39" i="6"/>
  <c r="CL39" i="6" s="1"/>
  <c r="CE37" i="6"/>
  <c r="CL37" i="6" s="1"/>
  <c r="CE38" i="6"/>
  <c r="CL38" i="6" s="1"/>
  <c r="CE36" i="6"/>
  <c r="CL36" i="6" s="1"/>
  <c r="CE33" i="6"/>
  <c r="CL33" i="6" s="1"/>
  <c r="CE34" i="6"/>
  <c r="CL34" i="6" s="1"/>
  <c r="CE32" i="6"/>
  <c r="CL32" i="6" s="1"/>
  <c r="CE30" i="6"/>
  <c r="CL30" i="6" s="1"/>
  <c r="CE31" i="6"/>
  <c r="CL31" i="6" s="1"/>
  <c r="CE29" i="6"/>
  <c r="CL29" i="6" s="1"/>
  <c r="CE26" i="6"/>
  <c r="CL26" i="6" s="1"/>
  <c r="CE27" i="6"/>
  <c r="CL27" i="6" s="1"/>
  <c r="CE25" i="6"/>
  <c r="CL25" i="6" s="1"/>
  <c r="CE23" i="6"/>
  <c r="CL23" i="6" s="1"/>
  <c r="CE22" i="6"/>
  <c r="CL22" i="6" s="1"/>
  <c r="CE19" i="6"/>
  <c r="CL19" i="6" s="1"/>
  <c r="CE20" i="6"/>
  <c r="CL20" i="6" s="1"/>
  <c r="CE21" i="6"/>
  <c r="CL21" i="6" s="1"/>
  <c r="CE18" i="6"/>
  <c r="CL18" i="6" s="1"/>
  <c r="CE14" i="6"/>
  <c r="CL14" i="6" s="1"/>
  <c r="CE15" i="6"/>
  <c r="CL15" i="6" s="1"/>
  <c r="CE16" i="6"/>
  <c r="CL16" i="6" s="1"/>
  <c r="CE13" i="6"/>
  <c r="CL13" i="6" s="1"/>
  <c r="CE11" i="6"/>
  <c r="CL11" i="6" s="1"/>
  <c r="CE9" i="6"/>
  <c r="CL9" i="6" s="1"/>
  <c r="CE10" i="6"/>
  <c r="CL10" i="6" s="1"/>
  <c r="CE8" i="6"/>
  <c r="CL8" i="6" s="1"/>
  <c r="CE4" i="6"/>
  <c r="CL4" i="6" s="1"/>
  <c r="CE5" i="6"/>
  <c r="CL5" i="6" s="1"/>
  <c r="CE6" i="6"/>
  <c r="CL6" i="6" s="1"/>
  <c r="CE3" i="6"/>
  <c r="CL3" i="6" s="1"/>
  <c r="AR40" i="6" l="1"/>
  <c r="AR23" i="6"/>
  <c r="AD51" i="6" l="1"/>
  <c r="B48" i="7" l="1"/>
  <c r="B22" i="7"/>
  <c r="D22" i="7" s="1"/>
  <c r="B14" i="3"/>
  <c r="B10" i="3"/>
  <c r="O9" i="16" l="1"/>
  <c r="O7" i="16"/>
  <c r="O6" i="16"/>
  <c r="O20" i="17"/>
  <c r="O6" i="17"/>
  <c r="O19" i="17"/>
  <c r="O17" i="17"/>
  <c r="O9" i="17"/>
  <c r="O7" i="17"/>
  <c r="O20" i="16"/>
  <c r="O17" i="16"/>
  <c r="O18" i="17"/>
  <c r="O19" i="16"/>
  <c r="O18" i="16"/>
  <c r="O20" i="14"/>
  <c r="O19" i="14"/>
  <c r="O18" i="14"/>
  <c r="O17" i="14"/>
  <c r="O9" i="14"/>
  <c r="O7" i="14"/>
  <c r="O6" i="14"/>
  <c r="O9" i="11"/>
  <c r="O6" i="11"/>
  <c r="O19" i="11"/>
  <c r="O7" i="11"/>
  <c r="O20" i="11"/>
  <c r="O17" i="11"/>
  <c r="O18" i="11"/>
  <c r="C7" i="17"/>
  <c r="O26" i="17"/>
  <c r="O26" i="16"/>
  <c r="C7" i="16"/>
  <c r="C7" i="14"/>
  <c r="O26" i="14"/>
  <c r="C7" i="11"/>
  <c r="O26" i="11"/>
  <c r="C22" i="7"/>
  <c r="F22" i="7"/>
  <c r="B127" i="7"/>
  <c r="P12" i="1"/>
  <c r="B776" i="7"/>
  <c r="B778" i="7" s="1"/>
  <c r="B777" i="7" s="1"/>
  <c r="B764" i="7"/>
  <c r="B761" i="7"/>
  <c r="B768" i="7" s="1"/>
  <c r="G768" i="7" s="1"/>
  <c r="J750" i="7"/>
  <c r="I750" i="7"/>
  <c r="F750" i="7"/>
  <c r="E750" i="7"/>
  <c r="D750" i="7"/>
  <c r="H750" i="7" s="1"/>
  <c r="C750" i="7"/>
  <c r="G750" i="7" s="1"/>
  <c r="K750" i="7" s="1"/>
  <c r="J749" i="7"/>
  <c r="I749" i="7"/>
  <c r="F749" i="7"/>
  <c r="E749" i="7"/>
  <c r="D749" i="7"/>
  <c r="H749" i="7" s="1"/>
  <c r="C749" i="7"/>
  <c r="G749" i="7" s="1"/>
  <c r="K749" i="7" s="1"/>
  <c r="J748" i="7"/>
  <c r="I748" i="7"/>
  <c r="F748" i="7"/>
  <c r="E748" i="7"/>
  <c r="D748" i="7"/>
  <c r="H748" i="7" s="1"/>
  <c r="C748" i="7"/>
  <c r="G748" i="7" s="1"/>
  <c r="J747" i="7"/>
  <c r="I747" i="7"/>
  <c r="F747" i="7"/>
  <c r="E747" i="7"/>
  <c r="D747" i="7"/>
  <c r="H747" i="7" s="1"/>
  <c r="C747" i="7"/>
  <c r="G747" i="7" s="1"/>
  <c r="J746" i="7"/>
  <c r="I746" i="7"/>
  <c r="F746" i="7"/>
  <c r="E746" i="7"/>
  <c r="D746" i="7"/>
  <c r="H746" i="7" s="1"/>
  <c r="C746" i="7"/>
  <c r="G746" i="7" s="1"/>
  <c r="J745" i="7"/>
  <c r="I745" i="7"/>
  <c r="F745" i="7"/>
  <c r="E745" i="7"/>
  <c r="D745" i="7"/>
  <c r="H745" i="7" s="1"/>
  <c r="C745" i="7"/>
  <c r="G745" i="7" s="1"/>
  <c r="K745" i="7" s="1"/>
  <c r="J744" i="7"/>
  <c r="I744" i="7"/>
  <c r="F744" i="7"/>
  <c r="E744" i="7"/>
  <c r="D744" i="7"/>
  <c r="H744" i="7" s="1"/>
  <c r="C744" i="7"/>
  <c r="G744" i="7" s="1"/>
  <c r="J743" i="7"/>
  <c r="I743" i="7"/>
  <c r="F743" i="7"/>
  <c r="E743" i="7"/>
  <c r="D743" i="7"/>
  <c r="H743" i="7" s="1"/>
  <c r="C743" i="7"/>
  <c r="G743" i="7" s="1"/>
  <c r="J742" i="7"/>
  <c r="I742" i="7"/>
  <c r="F742" i="7"/>
  <c r="E742" i="7"/>
  <c r="D742" i="7"/>
  <c r="H742" i="7" s="1"/>
  <c r="C742" i="7"/>
  <c r="G742" i="7" s="1"/>
  <c r="J741" i="7"/>
  <c r="I741" i="7"/>
  <c r="F741" i="7"/>
  <c r="E741" i="7"/>
  <c r="D741" i="7"/>
  <c r="H741" i="7" s="1"/>
  <c r="C741" i="7"/>
  <c r="G741" i="7" s="1"/>
  <c r="J740" i="7"/>
  <c r="I740" i="7"/>
  <c r="F740" i="7"/>
  <c r="E740" i="7"/>
  <c r="D740" i="7"/>
  <c r="H740" i="7" s="1"/>
  <c r="C740" i="7"/>
  <c r="G740" i="7" s="1"/>
  <c r="J739" i="7"/>
  <c r="I739" i="7"/>
  <c r="F739" i="7"/>
  <c r="E739" i="7"/>
  <c r="D739" i="7"/>
  <c r="H739" i="7" s="1"/>
  <c r="C739" i="7"/>
  <c r="G739" i="7" s="1"/>
  <c r="G731" i="7"/>
  <c r="F731" i="7"/>
  <c r="M731" i="7" s="1"/>
  <c r="N731" i="7" s="1"/>
  <c r="H731" i="7" s="1"/>
  <c r="E731" i="7"/>
  <c r="D731" i="7"/>
  <c r="C731" i="7"/>
  <c r="I731" i="7" s="1"/>
  <c r="L731" i="7" s="1"/>
  <c r="H717" i="7"/>
  <c r="G717" i="7"/>
  <c r="F717" i="7"/>
  <c r="E717" i="7"/>
  <c r="D717" i="7"/>
  <c r="C717" i="7"/>
  <c r="H716" i="7"/>
  <c r="G716" i="7"/>
  <c r="F716" i="7"/>
  <c r="E716" i="7"/>
  <c r="D716" i="7"/>
  <c r="C716" i="7"/>
  <c r="H715" i="7"/>
  <c r="G715" i="7"/>
  <c r="F715" i="7"/>
  <c r="E715" i="7"/>
  <c r="D715" i="7"/>
  <c r="C715" i="7"/>
  <c r="B697" i="7"/>
  <c r="B699" i="7" s="1"/>
  <c r="B698" i="7" s="1"/>
  <c r="B685" i="7"/>
  <c r="B682" i="7"/>
  <c r="B689" i="7" s="1"/>
  <c r="J661" i="7"/>
  <c r="I661" i="7"/>
  <c r="F661" i="7"/>
  <c r="E661" i="7"/>
  <c r="D661" i="7"/>
  <c r="H661" i="7" s="1"/>
  <c r="C661" i="7"/>
  <c r="G661" i="7" s="1"/>
  <c r="J660" i="7"/>
  <c r="I660" i="7"/>
  <c r="F660" i="7"/>
  <c r="E660" i="7"/>
  <c r="D660" i="7"/>
  <c r="H660" i="7" s="1"/>
  <c r="C660" i="7"/>
  <c r="G660" i="7" s="1"/>
  <c r="L652" i="7"/>
  <c r="G652" i="7"/>
  <c r="F652" i="7"/>
  <c r="M652" i="7" s="1"/>
  <c r="E652" i="7"/>
  <c r="D652" i="7"/>
  <c r="C652" i="7"/>
  <c r="I652" i="7" s="1"/>
  <c r="H637" i="7"/>
  <c r="G637" i="7"/>
  <c r="F637" i="7"/>
  <c r="E637" i="7"/>
  <c r="D637" i="7"/>
  <c r="C637" i="7"/>
  <c r="H636" i="7"/>
  <c r="B673" i="7" s="1"/>
  <c r="B703" i="7" s="1"/>
  <c r="G636" i="7"/>
  <c r="F636" i="7"/>
  <c r="E636" i="7"/>
  <c r="D636" i="7"/>
  <c r="C636" i="7"/>
  <c r="B618" i="7"/>
  <c r="B620" i="7" s="1"/>
  <c r="B619" i="7" s="1"/>
  <c r="B606" i="7"/>
  <c r="B607" i="7" s="1"/>
  <c r="B603" i="7"/>
  <c r="B610" i="7" s="1"/>
  <c r="J583" i="7"/>
  <c r="I583" i="7"/>
  <c r="F583" i="7"/>
  <c r="E583" i="7"/>
  <c r="D583" i="7"/>
  <c r="H583" i="7" s="1"/>
  <c r="C583" i="7"/>
  <c r="G583" i="7" s="1"/>
  <c r="J582" i="7"/>
  <c r="I582" i="7"/>
  <c r="F582" i="7"/>
  <c r="E582" i="7"/>
  <c r="D582" i="7"/>
  <c r="H582" i="7" s="1"/>
  <c r="C582" i="7"/>
  <c r="G582" i="7" s="1"/>
  <c r="J581" i="7"/>
  <c r="I581" i="7"/>
  <c r="F581" i="7"/>
  <c r="E581" i="7"/>
  <c r="D581" i="7"/>
  <c r="H581" i="7" s="1"/>
  <c r="C581" i="7"/>
  <c r="G581" i="7" s="1"/>
  <c r="M573" i="7"/>
  <c r="G573" i="7"/>
  <c r="F573" i="7"/>
  <c r="E573" i="7"/>
  <c r="D573" i="7"/>
  <c r="C573" i="7"/>
  <c r="I573" i="7" s="1"/>
  <c r="L573" i="7" s="1"/>
  <c r="H559" i="7"/>
  <c r="G559" i="7"/>
  <c r="F559" i="7"/>
  <c r="E559" i="7"/>
  <c r="D559" i="7"/>
  <c r="C559" i="7"/>
  <c r="H558" i="7"/>
  <c r="G558" i="7"/>
  <c r="F558" i="7"/>
  <c r="E558" i="7"/>
  <c r="D558" i="7"/>
  <c r="C558" i="7"/>
  <c r="H557" i="7"/>
  <c r="B594" i="7" s="1"/>
  <c r="B624" i="7" s="1"/>
  <c r="G557" i="7"/>
  <c r="F557" i="7"/>
  <c r="E557" i="7"/>
  <c r="D557" i="7"/>
  <c r="C557" i="7"/>
  <c r="B539" i="7"/>
  <c r="B541" i="7" s="1"/>
  <c r="B540" i="7" s="1"/>
  <c r="B528" i="7"/>
  <c r="B527" i="7"/>
  <c r="B524" i="7"/>
  <c r="B531" i="7" s="1"/>
  <c r="B533" i="7" s="1"/>
  <c r="B534" i="7" s="1"/>
  <c r="J504" i="7"/>
  <c r="I504" i="7"/>
  <c r="F504" i="7"/>
  <c r="E504" i="7"/>
  <c r="D504" i="7"/>
  <c r="H504" i="7" s="1"/>
  <c r="C504" i="7"/>
  <c r="G504" i="7" s="1"/>
  <c r="J503" i="7"/>
  <c r="I503" i="7"/>
  <c r="F503" i="7"/>
  <c r="E503" i="7"/>
  <c r="D503" i="7"/>
  <c r="H503" i="7" s="1"/>
  <c r="C503" i="7"/>
  <c r="G503" i="7" s="1"/>
  <c r="K503" i="7" s="1"/>
  <c r="J502" i="7"/>
  <c r="I502" i="7"/>
  <c r="F502" i="7"/>
  <c r="E502" i="7"/>
  <c r="D502" i="7"/>
  <c r="H502" i="7" s="1"/>
  <c r="C502" i="7"/>
  <c r="G502" i="7" s="1"/>
  <c r="H483" i="7"/>
  <c r="G483" i="7"/>
  <c r="F483" i="7"/>
  <c r="E483" i="7"/>
  <c r="D483" i="7"/>
  <c r="C483" i="7"/>
  <c r="H482" i="7"/>
  <c r="G482" i="7"/>
  <c r="F482" i="7"/>
  <c r="E482" i="7"/>
  <c r="D482" i="7"/>
  <c r="C482" i="7"/>
  <c r="H481" i="7"/>
  <c r="G481" i="7"/>
  <c r="F481" i="7"/>
  <c r="E481" i="7"/>
  <c r="D481" i="7"/>
  <c r="C481" i="7"/>
  <c r="H480" i="7"/>
  <c r="G480" i="7"/>
  <c r="F480" i="7"/>
  <c r="E480" i="7"/>
  <c r="D480" i="7"/>
  <c r="C480" i="7"/>
  <c r="F479" i="7"/>
  <c r="D479" i="7"/>
  <c r="C479" i="7"/>
  <c r="F478" i="7"/>
  <c r="D478" i="7"/>
  <c r="C478" i="7"/>
  <c r="B461" i="7"/>
  <c r="B463" i="7" s="1"/>
  <c r="B462" i="7" s="1"/>
  <c r="B449" i="7"/>
  <c r="B450" i="7" s="1"/>
  <c r="B446" i="7"/>
  <c r="B453" i="7" s="1"/>
  <c r="J428" i="7"/>
  <c r="I428" i="7"/>
  <c r="F428" i="7"/>
  <c r="E428" i="7"/>
  <c r="D428" i="7"/>
  <c r="H428" i="7" s="1"/>
  <c r="C428" i="7"/>
  <c r="G428" i="7" s="1"/>
  <c r="K428" i="7" s="1"/>
  <c r="J427" i="7"/>
  <c r="I427" i="7"/>
  <c r="F427" i="7"/>
  <c r="E427" i="7"/>
  <c r="D427" i="7"/>
  <c r="H427" i="7" s="1"/>
  <c r="C427" i="7"/>
  <c r="G427" i="7" s="1"/>
  <c r="J426" i="7"/>
  <c r="I426" i="7"/>
  <c r="F426" i="7"/>
  <c r="E426" i="7"/>
  <c r="D426" i="7"/>
  <c r="H426" i="7" s="1"/>
  <c r="C426" i="7"/>
  <c r="G426" i="7" s="1"/>
  <c r="K426" i="7" s="1"/>
  <c r="J425" i="7"/>
  <c r="I425" i="7"/>
  <c r="F425" i="7"/>
  <c r="E425" i="7"/>
  <c r="D425" i="7"/>
  <c r="H425" i="7" s="1"/>
  <c r="C425" i="7"/>
  <c r="G425" i="7" s="1"/>
  <c r="J424" i="7"/>
  <c r="I424" i="7"/>
  <c r="F424" i="7"/>
  <c r="E424" i="7"/>
  <c r="D424" i="7"/>
  <c r="H424" i="7" s="1"/>
  <c r="C424" i="7"/>
  <c r="G424" i="7" s="1"/>
  <c r="K424" i="7" s="1"/>
  <c r="F402" i="7"/>
  <c r="D402" i="7"/>
  <c r="C402" i="7"/>
  <c r="F401" i="7"/>
  <c r="D401" i="7"/>
  <c r="C401" i="7"/>
  <c r="F400" i="7"/>
  <c r="D400" i="7"/>
  <c r="C400" i="7"/>
  <c r="B383" i="7"/>
  <c r="B385" i="7" s="1"/>
  <c r="B384" i="7" s="1"/>
  <c r="B371" i="7"/>
  <c r="B372" i="7" s="1"/>
  <c r="B368" i="7"/>
  <c r="B375" i="7" s="1"/>
  <c r="J350" i="7"/>
  <c r="I350" i="7"/>
  <c r="H350" i="7"/>
  <c r="F350" i="7"/>
  <c r="E350" i="7"/>
  <c r="D350" i="7"/>
  <c r="C350" i="7"/>
  <c r="G350" i="7" s="1"/>
  <c r="K350" i="7" s="1"/>
  <c r="J349" i="7"/>
  <c r="I349" i="7"/>
  <c r="F349" i="7"/>
  <c r="E349" i="7"/>
  <c r="D349" i="7"/>
  <c r="H349" i="7" s="1"/>
  <c r="C349" i="7"/>
  <c r="G349" i="7" s="1"/>
  <c r="J348" i="7"/>
  <c r="I348" i="7"/>
  <c r="F348" i="7"/>
  <c r="E348" i="7"/>
  <c r="D348" i="7"/>
  <c r="H348" i="7" s="1"/>
  <c r="C348" i="7"/>
  <c r="G348" i="7" s="1"/>
  <c r="K348" i="7" s="1"/>
  <c r="J347" i="7"/>
  <c r="I347" i="7"/>
  <c r="F347" i="7"/>
  <c r="E347" i="7"/>
  <c r="D347" i="7"/>
  <c r="H347" i="7" s="1"/>
  <c r="C347" i="7"/>
  <c r="G347" i="7" s="1"/>
  <c r="K347" i="7" s="1"/>
  <c r="J346" i="7"/>
  <c r="I346" i="7"/>
  <c r="F346" i="7"/>
  <c r="E346" i="7"/>
  <c r="D346" i="7"/>
  <c r="H346" i="7" s="1"/>
  <c r="C346" i="7"/>
  <c r="G346" i="7" s="1"/>
  <c r="F325" i="7"/>
  <c r="D325" i="7"/>
  <c r="C325" i="7"/>
  <c r="F324" i="7"/>
  <c r="E324" i="7"/>
  <c r="D324" i="7"/>
  <c r="C324" i="7"/>
  <c r="F323" i="7"/>
  <c r="E323" i="7"/>
  <c r="D323" i="7"/>
  <c r="C323" i="7"/>
  <c r="F322" i="7"/>
  <c r="E322" i="7"/>
  <c r="D322" i="7"/>
  <c r="C322" i="7"/>
  <c r="B306" i="7"/>
  <c r="B305" i="7" s="1"/>
  <c r="B304" i="7"/>
  <c r="B292" i="7"/>
  <c r="B289" i="7"/>
  <c r="B296" i="7" s="1"/>
  <c r="G296" i="7" s="1"/>
  <c r="J270" i="7"/>
  <c r="I270" i="7"/>
  <c r="F270" i="7"/>
  <c r="E270" i="7"/>
  <c r="D270" i="7"/>
  <c r="H270" i="7" s="1"/>
  <c r="C270" i="7"/>
  <c r="G270" i="7" s="1"/>
  <c r="K269" i="7"/>
  <c r="J269" i="7"/>
  <c r="I269" i="7"/>
  <c r="F269" i="7"/>
  <c r="E269" i="7"/>
  <c r="D269" i="7"/>
  <c r="H269" i="7" s="1"/>
  <c r="C269" i="7"/>
  <c r="G269" i="7" s="1"/>
  <c r="J268" i="7"/>
  <c r="I268" i="7"/>
  <c r="F268" i="7"/>
  <c r="E268" i="7"/>
  <c r="D268" i="7"/>
  <c r="H268" i="7" s="1"/>
  <c r="C268" i="7"/>
  <c r="G268" i="7" s="1"/>
  <c r="J267" i="7"/>
  <c r="I267" i="7"/>
  <c r="F267" i="7"/>
  <c r="E267" i="7"/>
  <c r="D267" i="7"/>
  <c r="H267" i="7" s="1"/>
  <c r="C267" i="7"/>
  <c r="G267" i="7" s="1"/>
  <c r="K267" i="7" s="1"/>
  <c r="F246" i="7"/>
  <c r="D246" i="7"/>
  <c r="C246" i="7"/>
  <c r="F245" i="7"/>
  <c r="E245" i="7"/>
  <c r="D245" i="7"/>
  <c r="C245" i="7"/>
  <c r="F244" i="7"/>
  <c r="D244" i="7"/>
  <c r="C244" i="7"/>
  <c r="F243" i="7"/>
  <c r="E243" i="7"/>
  <c r="D243" i="7"/>
  <c r="C243" i="7"/>
  <c r="B225" i="7"/>
  <c r="B227" i="7" s="1"/>
  <c r="B226" i="7" s="1"/>
  <c r="B213" i="7"/>
  <c r="B210" i="7"/>
  <c r="B217" i="7" s="1"/>
  <c r="B219" i="7" s="1"/>
  <c r="B220" i="7" s="1"/>
  <c r="J190" i="7"/>
  <c r="I190" i="7"/>
  <c r="F190" i="7"/>
  <c r="E190" i="7"/>
  <c r="D190" i="7"/>
  <c r="H190" i="7" s="1"/>
  <c r="C190" i="7"/>
  <c r="G190" i="7" s="1"/>
  <c r="K190" i="7" s="1"/>
  <c r="J189" i="7"/>
  <c r="I189" i="7"/>
  <c r="F189" i="7"/>
  <c r="E189" i="7"/>
  <c r="D189" i="7"/>
  <c r="H189" i="7" s="1"/>
  <c r="C189" i="7"/>
  <c r="G189" i="7" s="1"/>
  <c r="J188" i="7"/>
  <c r="I188" i="7"/>
  <c r="F188" i="7"/>
  <c r="E188" i="7"/>
  <c r="D188" i="7"/>
  <c r="H188" i="7" s="1"/>
  <c r="C188" i="7"/>
  <c r="G188" i="7" s="1"/>
  <c r="I180" i="7"/>
  <c r="L180" i="7" s="1"/>
  <c r="G180" i="7"/>
  <c r="F180" i="7"/>
  <c r="M180" i="7" s="1"/>
  <c r="E180" i="7"/>
  <c r="D180" i="7"/>
  <c r="C180" i="7"/>
  <c r="F165" i="7"/>
  <c r="D165" i="7"/>
  <c r="C165" i="7"/>
  <c r="F164" i="7"/>
  <c r="E164" i="7"/>
  <c r="D164" i="7"/>
  <c r="C164" i="7"/>
  <c r="E109" i="7"/>
  <c r="D109" i="7"/>
  <c r="H109" i="7" s="1"/>
  <c r="C109" i="7"/>
  <c r="G109" i="7" s="1"/>
  <c r="E108" i="7"/>
  <c r="D108" i="7"/>
  <c r="H108" i="7" s="1"/>
  <c r="C108" i="7"/>
  <c r="G108" i="7" s="1"/>
  <c r="F92" i="7"/>
  <c r="D92" i="7"/>
  <c r="C92" i="7"/>
  <c r="F91" i="7"/>
  <c r="D91" i="7"/>
  <c r="C91" i="7"/>
  <c r="F90" i="7"/>
  <c r="D90" i="7"/>
  <c r="C90" i="7"/>
  <c r="F89" i="7"/>
  <c r="D89" i="7"/>
  <c r="C89" i="7"/>
  <c r="F88" i="7"/>
  <c r="D88" i="7"/>
  <c r="C88" i="7"/>
  <c r="F87" i="7"/>
  <c r="D87" i="7"/>
  <c r="C87" i="7"/>
  <c r="F86" i="7"/>
  <c r="D86" i="7"/>
  <c r="C86" i="7"/>
  <c r="F85" i="7"/>
  <c r="D85" i="7"/>
  <c r="C85" i="7"/>
  <c r="F84" i="7"/>
  <c r="D84" i="7"/>
  <c r="C84" i="7"/>
  <c r="E34" i="7"/>
  <c r="D34" i="7"/>
  <c r="H34" i="7" s="1"/>
  <c r="C34" i="7"/>
  <c r="G34" i="7" s="1"/>
  <c r="E33" i="7"/>
  <c r="D33" i="7"/>
  <c r="H33" i="7" s="1"/>
  <c r="C33" i="7"/>
  <c r="G33" i="7" s="1"/>
  <c r="K28" i="7"/>
  <c r="C28" i="7"/>
  <c r="B21" i="7"/>
  <c r="E21" i="7" s="1"/>
  <c r="B19" i="7"/>
  <c r="F19" i="7" s="1"/>
  <c r="B18" i="7"/>
  <c r="C18" i="7" s="1"/>
  <c r="B17" i="7"/>
  <c r="F17" i="7" s="1"/>
  <c r="B16" i="7"/>
  <c r="B15" i="7"/>
  <c r="F15" i="7" s="1"/>
  <c r="B14" i="7"/>
  <c r="B13" i="7"/>
  <c r="F13" i="7" s="1"/>
  <c r="V12" i="7"/>
  <c r="B12" i="7"/>
  <c r="F12" i="7" s="1"/>
  <c r="V11" i="7"/>
  <c r="V10" i="7"/>
  <c r="V9" i="7"/>
  <c r="V8" i="7"/>
  <c r="V7" i="7"/>
  <c r="AG49" i="6"/>
  <c r="AE49" i="6"/>
  <c r="AE46" i="6"/>
  <c r="AD46" i="6"/>
  <c r="AE45" i="6"/>
  <c r="AD45" i="6"/>
  <c r="AE44" i="6"/>
  <c r="AD44" i="6"/>
  <c r="AE43" i="6"/>
  <c r="AD43" i="6"/>
  <c r="D42" i="6"/>
  <c r="O18" i="6" s="1"/>
  <c r="AE42" i="6"/>
  <c r="AD42" i="6"/>
  <c r="H36" i="6"/>
  <c r="C36" i="6" s="1"/>
  <c r="AG35" i="6"/>
  <c r="AE35" i="6"/>
  <c r="C26" i="6"/>
  <c r="O25" i="6"/>
  <c r="AG21" i="6"/>
  <c r="Q24" i="6"/>
  <c r="G91" i="7" s="1"/>
  <c r="Q23" i="6"/>
  <c r="Q22" i="6"/>
  <c r="G89" i="7" s="1"/>
  <c r="Q21" i="6"/>
  <c r="C19" i="6"/>
  <c r="AG13" i="6"/>
  <c r="Q16" i="6"/>
  <c r="O16" i="6"/>
  <c r="U16" i="6" s="1"/>
  <c r="I13" i="6"/>
  <c r="Q13" i="6"/>
  <c r="Q12" i="6"/>
  <c r="Q11" i="6"/>
  <c r="Q10" i="6"/>
  <c r="AG5" i="6"/>
  <c r="I6" i="6"/>
  <c r="C6" i="6"/>
  <c r="C4" i="6"/>
  <c r="B58" i="6" s="1"/>
  <c r="B776" i="5"/>
  <c r="B778" i="5" s="1"/>
  <c r="B777" i="5" s="1"/>
  <c r="B764" i="5"/>
  <c r="B761" i="5"/>
  <c r="B768" i="5" s="1"/>
  <c r="G768" i="5" s="1"/>
  <c r="J750" i="5"/>
  <c r="I750" i="5"/>
  <c r="F750" i="5"/>
  <c r="E750" i="5"/>
  <c r="D750" i="5"/>
  <c r="H750" i="5" s="1"/>
  <c r="C750" i="5"/>
  <c r="G750" i="5" s="1"/>
  <c r="J749" i="5"/>
  <c r="I749" i="5"/>
  <c r="F749" i="5"/>
  <c r="E749" i="5"/>
  <c r="D749" i="5"/>
  <c r="H749" i="5" s="1"/>
  <c r="C749" i="5"/>
  <c r="G749" i="5" s="1"/>
  <c r="K749" i="5" s="1"/>
  <c r="J748" i="5"/>
  <c r="I748" i="5"/>
  <c r="F748" i="5"/>
  <c r="E748" i="5"/>
  <c r="D748" i="5"/>
  <c r="H748" i="5" s="1"/>
  <c r="C748" i="5"/>
  <c r="G748" i="5" s="1"/>
  <c r="J747" i="5"/>
  <c r="I747" i="5"/>
  <c r="F747" i="5"/>
  <c r="E747" i="5"/>
  <c r="D747" i="5"/>
  <c r="H747" i="5" s="1"/>
  <c r="C747" i="5"/>
  <c r="G747" i="5" s="1"/>
  <c r="J746" i="5"/>
  <c r="I746" i="5"/>
  <c r="F746" i="5"/>
  <c r="E746" i="5"/>
  <c r="D746" i="5"/>
  <c r="H746" i="5" s="1"/>
  <c r="C746" i="5"/>
  <c r="G746" i="5" s="1"/>
  <c r="J745" i="5"/>
  <c r="I745" i="5"/>
  <c r="F745" i="5"/>
  <c r="E745" i="5"/>
  <c r="D745" i="5"/>
  <c r="H745" i="5" s="1"/>
  <c r="C745" i="5"/>
  <c r="G745" i="5" s="1"/>
  <c r="J744" i="5"/>
  <c r="I744" i="5"/>
  <c r="F744" i="5"/>
  <c r="E744" i="5"/>
  <c r="D744" i="5"/>
  <c r="H744" i="5" s="1"/>
  <c r="C744" i="5"/>
  <c r="G744" i="5" s="1"/>
  <c r="J743" i="5"/>
  <c r="I743" i="5"/>
  <c r="F743" i="5"/>
  <c r="E743" i="5"/>
  <c r="D743" i="5"/>
  <c r="H743" i="5" s="1"/>
  <c r="C743" i="5"/>
  <c r="G743" i="5" s="1"/>
  <c r="J742" i="5"/>
  <c r="I742" i="5"/>
  <c r="F742" i="5"/>
  <c r="E742" i="5"/>
  <c r="D742" i="5"/>
  <c r="H742" i="5" s="1"/>
  <c r="C742" i="5"/>
  <c r="G742" i="5" s="1"/>
  <c r="J741" i="5"/>
  <c r="I741" i="5"/>
  <c r="F741" i="5"/>
  <c r="E741" i="5"/>
  <c r="D741" i="5"/>
  <c r="H741" i="5" s="1"/>
  <c r="C741" i="5"/>
  <c r="G741" i="5" s="1"/>
  <c r="J740" i="5"/>
  <c r="I740" i="5"/>
  <c r="H740" i="5"/>
  <c r="F740" i="5"/>
  <c r="E740" i="5"/>
  <c r="D740" i="5"/>
  <c r="C740" i="5"/>
  <c r="G740" i="5" s="1"/>
  <c r="K740" i="5" s="1"/>
  <c r="J739" i="5"/>
  <c r="I739" i="5"/>
  <c r="F739" i="5"/>
  <c r="E739" i="5"/>
  <c r="D739" i="5"/>
  <c r="H739" i="5" s="1"/>
  <c r="C739" i="5"/>
  <c r="G739" i="5" s="1"/>
  <c r="K739" i="5" s="1"/>
  <c r="G731" i="5"/>
  <c r="F731" i="5"/>
  <c r="M731" i="5" s="1"/>
  <c r="E731" i="5"/>
  <c r="D731" i="5"/>
  <c r="C731" i="5"/>
  <c r="I731" i="5" s="1"/>
  <c r="L731" i="5" s="1"/>
  <c r="H717" i="5"/>
  <c r="G717" i="5"/>
  <c r="F717" i="5"/>
  <c r="E717" i="5"/>
  <c r="D717" i="5"/>
  <c r="C717" i="5"/>
  <c r="H716" i="5"/>
  <c r="G716" i="5"/>
  <c r="F716" i="5"/>
  <c r="E716" i="5"/>
  <c r="D716" i="5"/>
  <c r="C716" i="5"/>
  <c r="H715" i="5"/>
  <c r="G715" i="5"/>
  <c r="F715" i="5"/>
  <c r="E715" i="5"/>
  <c r="D715" i="5"/>
  <c r="C715" i="5"/>
  <c r="B697" i="5"/>
  <c r="B699" i="5" s="1"/>
  <c r="B698" i="5" s="1"/>
  <c r="B685" i="5"/>
  <c r="B682" i="5"/>
  <c r="B689" i="5" s="1"/>
  <c r="J661" i="5"/>
  <c r="I661" i="5"/>
  <c r="F661" i="5"/>
  <c r="E661" i="5"/>
  <c r="D661" i="5"/>
  <c r="H661" i="5" s="1"/>
  <c r="C661" i="5"/>
  <c r="G661" i="5" s="1"/>
  <c r="K661" i="5" s="1"/>
  <c r="J660" i="5"/>
  <c r="I660" i="5"/>
  <c r="H660" i="5"/>
  <c r="F660" i="5"/>
  <c r="E660" i="5"/>
  <c r="D660" i="5"/>
  <c r="C660" i="5"/>
  <c r="G660" i="5" s="1"/>
  <c r="K660" i="5" s="1"/>
  <c r="G652" i="5"/>
  <c r="F652" i="5"/>
  <c r="M652" i="5" s="1"/>
  <c r="E652" i="5"/>
  <c r="D652" i="5"/>
  <c r="C652" i="5"/>
  <c r="I652" i="5" s="1"/>
  <c r="L652" i="5" s="1"/>
  <c r="H637" i="5"/>
  <c r="G637" i="5"/>
  <c r="F637" i="5"/>
  <c r="E637" i="5"/>
  <c r="D637" i="5"/>
  <c r="C637" i="5"/>
  <c r="H636" i="5"/>
  <c r="G636" i="5"/>
  <c r="F636" i="5"/>
  <c r="E636" i="5"/>
  <c r="D636" i="5"/>
  <c r="C636" i="5"/>
  <c r="B618" i="5"/>
  <c r="B620" i="5" s="1"/>
  <c r="B619" i="5" s="1"/>
  <c r="B606" i="5"/>
  <c r="B607" i="5" s="1"/>
  <c r="B603" i="5"/>
  <c r="B610" i="5" s="1"/>
  <c r="J583" i="5"/>
  <c r="I583" i="5"/>
  <c r="F583" i="5"/>
  <c r="E583" i="5"/>
  <c r="D583" i="5"/>
  <c r="H583" i="5" s="1"/>
  <c r="C583" i="5"/>
  <c r="G583" i="5" s="1"/>
  <c r="J582" i="5"/>
  <c r="I582" i="5"/>
  <c r="F582" i="5"/>
  <c r="E582" i="5"/>
  <c r="D582" i="5"/>
  <c r="H582" i="5" s="1"/>
  <c r="C582" i="5"/>
  <c r="G582" i="5" s="1"/>
  <c r="J581" i="5"/>
  <c r="I581" i="5"/>
  <c r="F581" i="5"/>
  <c r="E581" i="5"/>
  <c r="D581" i="5"/>
  <c r="H581" i="5" s="1"/>
  <c r="C581" i="5"/>
  <c r="G581" i="5" s="1"/>
  <c r="M573" i="5"/>
  <c r="G573" i="5"/>
  <c r="F573" i="5"/>
  <c r="E573" i="5"/>
  <c r="D573" i="5"/>
  <c r="C573" i="5"/>
  <c r="I573" i="5" s="1"/>
  <c r="L573" i="5" s="1"/>
  <c r="H559" i="5"/>
  <c r="G559" i="5"/>
  <c r="F559" i="5"/>
  <c r="E559" i="5"/>
  <c r="D559" i="5"/>
  <c r="C559" i="5"/>
  <c r="H558" i="5"/>
  <c r="G558" i="5"/>
  <c r="F558" i="5"/>
  <c r="E558" i="5"/>
  <c r="D558" i="5"/>
  <c r="C558" i="5"/>
  <c r="H557" i="5"/>
  <c r="G557" i="5"/>
  <c r="F557" i="5"/>
  <c r="E557" i="5"/>
  <c r="D557" i="5"/>
  <c r="C557" i="5"/>
  <c r="B539" i="5"/>
  <c r="B541" i="5" s="1"/>
  <c r="B540" i="5" s="1"/>
  <c r="B528" i="5"/>
  <c r="B527" i="5"/>
  <c r="B524" i="5"/>
  <c r="B531" i="5" s="1"/>
  <c r="B533" i="5" s="1"/>
  <c r="B534" i="5" s="1"/>
  <c r="J504" i="5"/>
  <c r="I504" i="5"/>
  <c r="F504" i="5"/>
  <c r="E504" i="5"/>
  <c r="D504" i="5"/>
  <c r="H504" i="5" s="1"/>
  <c r="C504" i="5"/>
  <c r="G504" i="5" s="1"/>
  <c r="K504" i="5" s="1"/>
  <c r="J503" i="5"/>
  <c r="I503" i="5"/>
  <c r="F503" i="5"/>
  <c r="E503" i="5"/>
  <c r="D503" i="5"/>
  <c r="H503" i="5" s="1"/>
  <c r="C503" i="5"/>
  <c r="G503" i="5" s="1"/>
  <c r="K503" i="5" s="1"/>
  <c r="J502" i="5"/>
  <c r="I502" i="5"/>
  <c r="F502" i="5"/>
  <c r="E502" i="5"/>
  <c r="D502" i="5"/>
  <c r="H502" i="5" s="1"/>
  <c r="C502" i="5"/>
  <c r="G502" i="5" s="1"/>
  <c r="H483" i="5"/>
  <c r="G483" i="5"/>
  <c r="F483" i="5"/>
  <c r="E483" i="5"/>
  <c r="D483" i="5"/>
  <c r="C483" i="5"/>
  <c r="H482" i="5"/>
  <c r="G482" i="5"/>
  <c r="F482" i="5"/>
  <c r="E482" i="5"/>
  <c r="D482" i="5"/>
  <c r="C482" i="5"/>
  <c r="H481" i="5"/>
  <c r="G481" i="5"/>
  <c r="F481" i="5"/>
  <c r="E481" i="5"/>
  <c r="D481" i="5"/>
  <c r="C481" i="5"/>
  <c r="H480" i="5"/>
  <c r="G480" i="5"/>
  <c r="F480" i="5"/>
  <c r="E480" i="5"/>
  <c r="D480" i="5"/>
  <c r="C480" i="5"/>
  <c r="F479" i="5"/>
  <c r="D479" i="5"/>
  <c r="C479" i="5"/>
  <c r="F478" i="5"/>
  <c r="D478" i="5"/>
  <c r="C478" i="5"/>
  <c r="B461" i="5"/>
  <c r="B463" i="5" s="1"/>
  <c r="B462" i="5" s="1"/>
  <c r="B453" i="5"/>
  <c r="G453" i="5" s="1"/>
  <c r="B449" i="5"/>
  <c r="B450" i="5" s="1"/>
  <c r="B446" i="5"/>
  <c r="J428" i="5"/>
  <c r="I428" i="5"/>
  <c r="F428" i="5"/>
  <c r="E428" i="5"/>
  <c r="D428" i="5"/>
  <c r="H428" i="5" s="1"/>
  <c r="C428" i="5"/>
  <c r="G428" i="5" s="1"/>
  <c r="K428" i="5" s="1"/>
  <c r="J427" i="5"/>
  <c r="I427" i="5"/>
  <c r="F427" i="5"/>
  <c r="E427" i="5"/>
  <c r="D427" i="5"/>
  <c r="H427" i="5" s="1"/>
  <c r="C427" i="5"/>
  <c r="G427" i="5" s="1"/>
  <c r="J426" i="5"/>
  <c r="I426" i="5"/>
  <c r="F426" i="5"/>
  <c r="E426" i="5"/>
  <c r="D426" i="5"/>
  <c r="H426" i="5" s="1"/>
  <c r="C426" i="5"/>
  <c r="G426" i="5" s="1"/>
  <c r="J425" i="5"/>
  <c r="I425" i="5"/>
  <c r="F425" i="5"/>
  <c r="E425" i="5"/>
  <c r="D425" i="5"/>
  <c r="H425" i="5" s="1"/>
  <c r="C425" i="5"/>
  <c r="G425" i="5" s="1"/>
  <c r="J424" i="5"/>
  <c r="I424" i="5"/>
  <c r="F424" i="5"/>
  <c r="E424" i="5"/>
  <c r="D424" i="5"/>
  <c r="H424" i="5" s="1"/>
  <c r="C424" i="5"/>
  <c r="G424" i="5" s="1"/>
  <c r="F402" i="5"/>
  <c r="D402" i="5"/>
  <c r="C402" i="5"/>
  <c r="F401" i="5"/>
  <c r="D401" i="5"/>
  <c r="C401" i="5"/>
  <c r="F400" i="5"/>
  <c r="D400" i="5"/>
  <c r="C400" i="5"/>
  <c r="B383" i="5"/>
  <c r="B385" i="5" s="1"/>
  <c r="B384" i="5" s="1"/>
  <c r="B372" i="5"/>
  <c r="B371" i="5"/>
  <c r="B368" i="5"/>
  <c r="B375" i="5" s="1"/>
  <c r="J350" i="5"/>
  <c r="I350" i="5"/>
  <c r="F350" i="5"/>
  <c r="E350" i="5"/>
  <c r="D350" i="5"/>
  <c r="H350" i="5" s="1"/>
  <c r="C350" i="5"/>
  <c r="G350" i="5" s="1"/>
  <c r="J349" i="5"/>
  <c r="I349" i="5"/>
  <c r="F349" i="5"/>
  <c r="E349" i="5"/>
  <c r="D349" i="5"/>
  <c r="H349" i="5" s="1"/>
  <c r="C349" i="5"/>
  <c r="G349" i="5" s="1"/>
  <c r="K349" i="5" s="1"/>
  <c r="J348" i="5"/>
  <c r="I348" i="5"/>
  <c r="F348" i="5"/>
  <c r="E348" i="5"/>
  <c r="D348" i="5"/>
  <c r="H348" i="5" s="1"/>
  <c r="C348" i="5"/>
  <c r="G348" i="5" s="1"/>
  <c r="J347" i="5"/>
  <c r="I347" i="5"/>
  <c r="F347" i="5"/>
  <c r="E347" i="5"/>
  <c r="D347" i="5"/>
  <c r="H347" i="5" s="1"/>
  <c r="C347" i="5"/>
  <c r="G347" i="5" s="1"/>
  <c r="K347" i="5" s="1"/>
  <c r="J346" i="5"/>
  <c r="I346" i="5"/>
  <c r="F346" i="5"/>
  <c r="E346" i="5"/>
  <c r="D346" i="5"/>
  <c r="H346" i="5" s="1"/>
  <c r="C346" i="5"/>
  <c r="G346" i="5" s="1"/>
  <c r="F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B304" i="5"/>
  <c r="B306" i="5" s="1"/>
  <c r="B305" i="5" s="1"/>
  <c r="B296" i="5"/>
  <c r="B292" i="5"/>
  <c r="B289" i="5"/>
  <c r="J270" i="5"/>
  <c r="I270" i="5"/>
  <c r="H270" i="5"/>
  <c r="F270" i="5"/>
  <c r="E270" i="5"/>
  <c r="D270" i="5"/>
  <c r="C270" i="5"/>
  <c r="G270" i="5" s="1"/>
  <c r="K270" i="5" s="1"/>
  <c r="J269" i="5"/>
  <c r="I269" i="5"/>
  <c r="F269" i="5"/>
  <c r="E269" i="5"/>
  <c r="D269" i="5"/>
  <c r="H269" i="5" s="1"/>
  <c r="C269" i="5"/>
  <c r="G269" i="5" s="1"/>
  <c r="J268" i="5"/>
  <c r="I268" i="5"/>
  <c r="F268" i="5"/>
  <c r="E268" i="5"/>
  <c r="D268" i="5"/>
  <c r="H268" i="5" s="1"/>
  <c r="C268" i="5"/>
  <c r="G268" i="5" s="1"/>
  <c r="K268" i="5" s="1"/>
  <c r="J267" i="5"/>
  <c r="I267" i="5"/>
  <c r="F267" i="5"/>
  <c r="E267" i="5"/>
  <c r="D267" i="5"/>
  <c r="H267" i="5" s="1"/>
  <c r="C267" i="5"/>
  <c r="G267" i="5" s="1"/>
  <c r="K267" i="5" s="1"/>
  <c r="F246" i="5"/>
  <c r="D246" i="5"/>
  <c r="C246" i="5"/>
  <c r="F245" i="5"/>
  <c r="E245" i="5"/>
  <c r="D245" i="5"/>
  <c r="C245" i="5"/>
  <c r="F244" i="5"/>
  <c r="D244" i="5"/>
  <c r="C244" i="5"/>
  <c r="F243" i="5"/>
  <c r="E243" i="5"/>
  <c r="D243" i="5"/>
  <c r="C243" i="5"/>
  <c r="B225" i="5"/>
  <c r="B227" i="5" s="1"/>
  <c r="B226" i="5" s="1"/>
  <c r="B213" i="5"/>
  <c r="B210" i="5"/>
  <c r="B217" i="5" s="1"/>
  <c r="B219" i="5" s="1"/>
  <c r="B220" i="5" s="1"/>
  <c r="J190" i="5"/>
  <c r="I190" i="5"/>
  <c r="F190" i="5"/>
  <c r="E190" i="5"/>
  <c r="D190" i="5"/>
  <c r="H190" i="5" s="1"/>
  <c r="C190" i="5"/>
  <c r="G190" i="5" s="1"/>
  <c r="K190" i="5" s="1"/>
  <c r="J189" i="5"/>
  <c r="I189" i="5"/>
  <c r="F189" i="5"/>
  <c r="E189" i="5"/>
  <c r="D189" i="5"/>
  <c r="H189" i="5" s="1"/>
  <c r="C189" i="5"/>
  <c r="G189" i="5" s="1"/>
  <c r="J188" i="5"/>
  <c r="I188" i="5"/>
  <c r="F188" i="5"/>
  <c r="E188" i="5"/>
  <c r="D188" i="5"/>
  <c r="H188" i="5" s="1"/>
  <c r="C188" i="5"/>
  <c r="G188" i="5" s="1"/>
  <c r="K188" i="5" s="1"/>
  <c r="M180" i="5"/>
  <c r="I180" i="5"/>
  <c r="L180" i="5" s="1"/>
  <c r="G180" i="5"/>
  <c r="F180" i="5"/>
  <c r="E180" i="5"/>
  <c r="D180" i="5"/>
  <c r="C180" i="5"/>
  <c r="F165" i="5"/>
  <c r="D165" i="5"/>
  <c r="C165" i="5"/>
  <c r="F164" i="5"/>
  <c r="E164" i="5"/>
  <c r="D164" i="5"/>
  <c r="C164" i="5"/>
  <c r="B145" i="5"/>
  <c r="B147" i="5" s="1"/>
  <c r="B146" i="5" s="1"/>
  <c r="B133" i="5"/>
  <c r="B130" i="5"/>
  <c r="B137" i="5" s="1"/>
  <c r="J112" i="5"/>
  <c r="I112" i="5"/>
  <c r="F112" i="5"/>
  <c r="E112" i="5"/>
  <c r="D112" i="5"/>
  <c r="H112" i="5" s="1"/>
  <c r="C112" i="5"/>
  <c r="G112" i="5" s="1"/>
  <c r="K112" i="5" s="1"/>
  <c r="J111" i="5"/>
  <c r="I111" i="5"/>
  <c r="F111" i="5"/>
  <c r="E111" i="5"/>
  <c r="D111" i="5"/>
  <c r="H111" i="5" s="1"/>
  <c r="C111" i="5"/>
  <c r="G111" i="5" s="1"/>
  <c r="J110" i="5"/>
  <c r="I110" i="5"/>
  <c r="F110" i="5"/>
  <c r="E110" i="5"/>
  <c r="D110" i="5"/>
  <c r="H110" i="5" s="1"/>
  <c r="C110" i="5"/>
  <c r="G110" i="5" s="1"/>
  <c r="K110" i="5" s="1"/>
  <c r="J109" i="5"/>
  <c r="I109" i="5"/>
  <c r="F109" i="5"/>
  <c r="E109" i="5"/>
  <c r="D109" i="5"/>
  <c r="H109" i="5" s="1"/>
  <c r="C109" i="5"/>
  <c r="G109" i="5" s="1"/>
  <c r="J108" i="5"/>
  <c r="I108" i="5"/>
  <c r="F108" i="5"/>
  <c r="E108" i="5"/>
  <c r="D108" i="5"/>
  <c r="H108" i="5" s="1"/>
  <c r="C108" i="5"/>
  <c r="G108" i="5" s="1"/>
  <c r="K108" i="5" s="1"/>
  <c r="I100" i="5"/>
  <c r="L100" i="5" s="1"/>
  <c r="G100" i="5"/>
  <c r="F100" i="5"/>
  <c r="M100" i="5" s="1"/>
  <c r="E100" i="5"/>
  <c r="D100" i="5"/>
  <c r="C100" i="5"/>
  <c r="F86" i="5"/>
  <c r="D86" i="5"/>
  <c r="C86" i="5"/>
  <c r="F85" i="5"/>
  <c r="E85" i="5"/>
  <c r="D85" i="5"/>
  <c r="C85" i="5"/>
  <c r="F84" i="5"/>
  <c r="E84" i="5"/>
  <c r="D84" i="5"/>
  <c r="C84" i="5"/>
  <c r="B66" i="5"/>
  <c r="B68" i="5" s="1"/>
  <c r="B67" i="5" s="1"/>
  <c r="B55" i="5"/>
  <c r="B51" i="5"/>
  <c r="D28" i="5"/>
  <c r="C28" i="5"/>
  <c r="C21" i="5"/>
  <c r="B21" i="5"/>
  <c r="F21" i="5" s="1"/>
  <c r="B19" i="5"/>
  <c r="F19" i="5" s="1"/>
  <c r="B18" i="5"/>
  <c r="E17" i="5"/>
  <c r="D17" i="5"/>
  <c r="C17" i="5"/>
  <c r="B17" i="5"/>
  <c r="F17" i="5" s="1"/>
  <c r="D16" i="5"/>
  <c r="C16" i="5"/>
  <c r="B16" i="5"/>
  <c r="F16" i="5" s="1"/>
  <c r="C15" i="5"/>
  <c r="B15" i="5"/>
  <c r="F15" i="5" s="1"/>
  <c r="B14" i="5"/>
  <c r="F14" i="5" s="1"/>
  <c r="D13" i="5"/>
  <c r="C13" i="5"/>
  <c r="B13" i="5"/>
  <c r="F13" i="5" s="1"/>
  <c r="V12" i="5"/>
  <c r="B12" i="5"/>
  <c r="V11" i="5"/>
  <c r="V10" i="5"/>
  <c r="V9" i="5"/>
  <c r="V8" i="5"/>
  <c r="V7" i="5"/>
  <c r="B776" i="4"/>
  <c r="B778" i="4" s="1"/>
  <c r="B777" i="4" s="1"/>
  <c r="B764" i="4"/>
  <c r="B761" i="4"/>
  <c r="B768" i="4" s="1"/>
  <c r="J750" i="4"/>
  <c r="I750" i="4"/>
  <c r="F750" i="4"/>
  <c r="E750" i="4"/>
  <c r="D750" i="4"/>
  <c r="H750" i="4" s="1"/>
  <c r="C750" i="4"/>
  <c r="G750" i="4" s="1"/>
  <c r="J749" i="4"/>
  <c r="I749" i="4"/>
  <c r="F749" i="4"/>
  <c r="E749" i="4"/>
  <c r="D749" i="4"/>
  <c r="H749" i="4" s="1"/>
  <c r="C749" i="4"/>
  <c r="G749" i="4" s="1"/>
  <c r="J748" i="4"/>
  <c r="I748" i="4"/>
  <c r="F748" i="4"/>
  <c r="E748" i="4"/>
  <c r="D748" i="4"/>
  <c r="H748" i="4" s="1"/>
  <c r="C748" i="4"/>
  <c r="G748" i="4" s="1"/>
  <c r="J747" i="4"/>
  <c r="I747" i="4"/>
  <c r="F747" i="4"/>
  <c r="E747" i="4"/>
  <c r="D747" i="4"/>
  <c r="H747" i="4" s="1"/>
  <c r="C747" i="4"/>
  <c r="G747" i="4" s="1"/>
  <c r="J746" i="4"/>
  <c r="I746" i="4"/>
  <c r="F746" i="4"/>
  <c r="E746" i="4"/>
  <c r="D746" i="4"/>
  <c r="H746" i="4" s="1"/>
  <c r="C746" i="4"/>
  <c r="G746" i="4" s="1"/>
  <c r="J745" i="4"/>
  <c r="I745" i="4"/>
  <c r="H745" i="4"/>
  <c r="F745" i="4"/>
  <c r="E745" i="4"/>
  <c r="D745" i="4"/>
  <c r="C745" i="4"/>
  <c r="G745" i="4" s="1"/>
  <c r="K745" i="4" s="1"/>
  <c r="J744" i="4"/>
  <c r="I744" i="4"/>
  <c r="F744" i="4"/>
  <c r="E744" i="4"/>
  <c r="D744" i="4"/>
  <c r="H744" i="4" s="1"/>
  <c r="C744" i="4"/>
  <c r="G744" i="4" s="1"/>
  <c r="J743" i="4"/>
  <c r="I743" i="4"/>
  <c r="F743" i="4"/>
  <c r="E743" i="4"/>
  <c r="D743" i="4"/>
  <c r="H743" i="4" s="1"/>
  <c r="C743" i="4"/>
  <c r="G743" i="4" s="1"/>
  <c r="K743" i="4" s="1"/>
  <c r="J742" i="4"/>
  <c r="I742" i="4"/>
  <c r="F742" i="4"/>
  <c r="E742" i="4"/>
  <c r="D742" i="4"/>
  <c r="H742" i="4" s="1"/>
  <c r="C742" i="4"/>
  <c r="G742" i="4" s="1"/>
  <c r="J741" i="4"/>
  <c r="I741" i="4"/>
  <c r="F741" i="4"/>
  <c r="E741" i="4"/>
  <c r="D741" i="4"/>
  <c r="H741" i="4" s="1"/>
  <c r="C741" i="4"/>
  <c r="G741" i="4" s="1"/>
  <c r="J740" i="4"/>
  <c r="I740" i="4"/>
  <c r="F740" i="4"/>
  <c r="E740" i="4"/>
  <c r="D740" i="4"/>
  <c r="H740" i="4" s="1"/>
  <c r="C740" i="4"/>
  <c r="G740" i="4" s="1"/>
  <c r="J739" i="4"/>
  <c r="I739" i="4"/>
  <c r="F739" i="4"/>
  <c r="E739" i="4"/>
  <c r="D739" i="4"/>
  <c r="H739" i="4" s="1"/>
  <c r="C739" i="4"/>
  <c r="G739" i="4" s="1"/>
  <c r="G731" i="4"/>
  <c r="F731" i="4"/>
  <c r="M731" i="4" s="1"/>
  <c r="N731" i="4" s="1"/>
  <c r="H731" i="4" s="1"/>
  <c r="E731" i="4"/>
  <c r="D731" i="4"/>
  <c r="C731" i="4"/>
  <c r="I731" i="4" s="1"/>
  <c r="L731" i="4" s="1"/>
  <c r="H717" i="4"/>
  <c r="G717" i="4"/>
  <c r="F717" i="4"/>
  <c r="E717" i="4"/>
  <c r="D717" i="4"/>
  <c r="C717" i="4"/>
  <c r="H716" i="4"/>
  <c r="G716" i="4"/>
  <c r="F716" i="4"/>
  <c r="E716" i="4"/>
  <c r="D716" i="4"/>
  <c r="C716" i="4"/>
  <c r="H715" i="4"/>
  <c r="G715" i="4"/>
  <c r="F715" i="4"/>
  <c r="E715" i="4"/>
  <c r="D715" i="4"/>
  <c r="C715" i="4"/>
  <c r="B697" i="4"/>
  <c r="B699" i="4" s="1"/>
  <c r="B698" i="4" s="1"/>
  <c r="B685" i="4"/>
  <c r="B682" i="4"/>
  <c r="B689" i="4" s="1"/>
  <c r="J661" i="4"/>
  <c r="I661" i="4"/>
  <c r="F661" i="4"/>
  <c r="E661" i="4"/>
  <c r="D661" i="4"/>
  <c r="H661" i="4" s="1"/>
  <c r="C661" i="4"/>
  <c r="G661" i="4" s="1"/>
  <c r="J660" i="4"/>
  <c r="I660" i="4"/>
  <c r="F660" i="4"/>
  <c r="E660" i="4"/>
  <c r="D660" i="4"/>
  <c r="H660" i="4" s="1"/>
  <c r="C660" i="4"/>
  <c r="G660" i="4" s="1"/>
  <c r="G652" i="4"/>
  <c r="F652" i="4"/>
  <c r="M652" i="4" s="1"/>
  <c r="E652" i="4"/>
  <c r="D652" i="4"/>
  <c r="C652" i="4"/>
  <c r="I652" i="4" s="1"/>
  <c r="L652" i="4" s="1"/>
  <c r="H637" i="4"/>
  <c r="G637" i="4"/>
  <c r="F637" i="4"/>
  <c r="E637" i="4"/>
  <c r="D637" i="4"/>
  <c r="C637" i="4"/>
  <c r="H636" i="4"/>
  <c r="G636" i="4"/>
  <c r="F636" i="4"/>
  <c r="E636" i="4"/>
  <c r="D636" i="4"/>
  <c r="C636" i="4"/>
  <c r="B619" i="4"/>
  <c r="B618" i="4"/>
  <c r="B620" i="4" s="1"/>
  <c r="B606" i="4"/>
  <c r="B607" i="4" s="1"/>
  <c r="B603" i="4"/>
  <c r="B610" i="4" s="1"/>
  <c r="B612" i="4" s="1"/>
  <c r="B613" i="4" s="1"/>
  <c r="J583" i="4"/>
  <c r="I583" i="4"/>
  <c r="F583" i="4"/>
  <c r="E583" i="4"/>
  <c r="D583" i="4"/>
  <c r="H583" i="4" s="1"/>
  <c r="C583" i="4"/>
  <c r="G583" i="4" s="1"/>
  <c r="J582" i="4"/>
  <c r="I582" i="4"/>
  <c r="F582" i="4"/>
  <c r="E582" i="4"/>
  <c r="D582" i="4"/>
  <c r="H582" i="4" s="1"/>
  <c r="C582" i="4"/>
  <c r="G582" i="4" s="1"/>
  <c r="J581" i="4"/>
  <c r="I581" i="4"/>
  <c r="H581" i="4"/>
  <c r="F581" i="4"/>
  <c r="E581" i="4"/>
  <c r="D581" i="4"/>
  <c r="C581" i="4"/>
  <c r="G581" i="4" s="1"/>
  <c r="K581" i="4" s="1"/>
  <c r="L573" i="4"/>
  <c r="I573" i="4"/>
  <c r="G573" i="4"/>
  <c r="F573" i="4"/>
  <c r="M573" i="4" s="1"/>
  <c r="E573" i="4"/>
  <c r="D573" i="4"/>
  <c r="C573" i="4"/>
  <c r="H559" i="4"/>
  <c r="G559" i="4"/>
  <c r="F559" i="4"/>
  <c r="E559" i="4"/>
  <c r="D559" i="4"/>
  <c r="C559" i="4"/>
  <c r="H558" i="4"/>
  <c r="G558" i="4"/>
  <c r="F558" i="4"/>
  <c r="E558" i="4"/>
  <c r="D558" i="4"/>
  <c r="C558" i="4"/>
  <c r="H557" i="4"/>
  <c r="B594" i="4" s="1"/>
  <c r="G557" i="4"/>
  <c r="F557" i="4"/>
  <c r="E557" i="4"/>
  <c r="D557" i="4"/>
  <c r="C557" i="4"/>
  <c r="B541" i="4"/>
  <c r="B540" i="4" s="1"/>
  <c r="B539" i="4"/>
  <c r="B533" i="4"/>
  <c r="B534" i="4" s="1"/>
  <c r="B531" i="4"/>
  <c r="G531" i="4" s="1"/>
  <c r="B527" i="4"/>
  <c r="B528" i="4" s="1"/>
  <c r="B524" i="4"/>
  <c r="J504" i="4"/>
  <c r="I504" i="4"/>
  <c r="F504" i="4"/>
  <c r="E504" i="4"/>
  <c r="D504" i="4"/>
  <c r="H504" i="4" s="1"/>
  <c r="C504" i="4"/>
  <c r="G504" i="4" s="1"/>
  <c r="J503" i="4"/>
  <c r="I503" i="4"/>
  <c r="F503" i="4"/>
  <c r="E503" i="4"/>
  <c r="D503" i="4"/>
  <c r="H503" i="4" s="1"/>
  <c r="C503" i="4"/>
  <c r="G503" i="4" s="1"/>
  <c r="J502" i="4"/>
  <c r="I502" i="4"/>
  <c r="F502" i="4"/>
  <c r="E502" i="4"/>
  <c r="D502" i="4"/>
  <c r="H502" i="4" s="1"/>
  <c r="C502" i="4"/>
  <c r="G502" i="4" s="1"/>
  <c r="H483" i="4"/>
  <c r="G483" i="4"/>
  <c r="F483" i="4"/>
  <c r="E483" i="4"/>
  <c r="D483" i="4"/>
  <c r="C483" i="4"/>
  <c r="H482" i="4"/>
  <c r="G482" i="4"/>
  <c r="F482" i="4"/>
  <c r="E482" i="4"/>
  <c r="D482" i="4"/>
  <c r="C482" i="4"/>
  <c r="H481" i="4"/>
  <c r="G481" i="4"/>
  <c r="F481" i="4"/>
  <c r="E481" i="4"/>
  <c r="D481" i="4"/>
  <c r="C481" i="4"/>
  <c r="H480" i="4"/>
  <c r="G480" i="4"/>
  <c r="F480" i="4"/>
  <c r="E480" i="4"/>
  <c r="D480" i="4"/>
  <c r="C480" i="4"/>
  <c r="F479" i="4"/>
  <c r="D479" i="4"/>
  <c r="C479" i="4"/>
  <c r="F478" i="4"/>
  <c r="D478" i="4"/>
  <c r="C478" i="4"/>
  <c r="B463" i="4"/>
  <c r="B462" i="4" s="1"/>
  <c r="B461" i="4"/>
  <c r="B449" i="4"/>
  <c r="B450" i="4" s="1"/>
  <c r="B446" i="4"/>
  <c r="B453" i="4" s="1"/>
  <c r="J428" i="4"/>
  <c r="I428" i="4"/>
  <c r="H428" i="4"/>
  <c r="F428" i="4"/>
  <c r="E428" i="4"/>
  <c r="D428" i="4"/>
  <c r="C428" i="4"/>
  <c r="G428" i="4" s="1"/>
  <c r="K428" i="4" s="1"/>
  <c r="J427" i="4"/>
  <c r="I427" i="4"/>
  <c r="F427" i="4"/>
  <c r="E427" i="4"/>
  <c r="D427" i="4"/>
  <c r="H427" i="4" s="1"/>
  <c r="C427" i="4"/>
  <c r="G427" i="4" s="1"/>
  <c r="J426" i="4"/>
  <c r="I426" i="4"/>
  <c r="F426" i="4"/>
  <c r="E426" i="4"/>
  <c r="D426" i="4"/>
  <c r="H426" i="4" s="1"/>
  <c r="C426" i="4"/>
  <c r="G426" i="4" s="1"/>
  <c r="K426" i="4" s="1"/>
  <c r="J425" i="4"/>
  <c r="I425" i="4"/>
  <c r="F425" i="4"/>
  <c r="E425" i="4"/>
  <c r="D425" i="4"/>
  <c r="H425" i="4" s="1"/>
  <c r="C425" i="4"/>
  <c r="G425" i="4" s="1"/>
  <c r="J424" i="4"/>
  <c r="I424" i="4"/>
  <c r="F424" i="4"/>
  <c r="E424" i="4"/>
  <c r="D424" i="4"/>
  <c r="H424" i="4" s="1"/>
  <c r="C424" i="4"/>
  <c r="G424" i="4" s="1"/>
  <c r="F402" i="4"/>
  <c r="D402" i="4"/>
  <c r="C402" i="4"/>
  <c r="F401" i="4"/>
  <c r="D401" i="4"/>
  <c r="C401" i="4"/>
  <c r="F400" i="4"/>
  <c r="D400" i="4"/>
  <c r="C400" i="4"/>
  <c r="B383" i="4"/>
  <c r="B385" i="4" s="1"/>
  <c r="B384" i="4" s="1"/>
  <c r="B371" i="4"/>
  <c r="B372" i="4" s="1"/>
  <c r="B368" i="4"/>
  <c r="B375" i="4" s="1"/>
  <c r="J350" i="4"/>
  <c r="I350" i="4"/>
  <c r="F350" i="4"/>
  <c r="E350" i="4"/>
  <c r="D350" i="4"/>
  <c r="H350" i="4" s="1"/>
  <c r="C350" i="4"/>
  <c r="G350" i="4" s="1"/>
  <c r="J349" i="4"/>
  <c r="I349" i="4"/>
  <c r="F349" i="4"/>
  <c r="E349" i="4"/>
  <c r="D349" i="4"/>
  <c r="H349" i="4" s="1"/>
  <c r="C349" i="4"/>
  <c r="G349" i="4" s="1"/>
  <c r="J348" i="4"/>
  <c r="I348" i="4"/>
  <c r="F348" i="4"/>
  <c r="E348" i="4"/>
  <c r="D348" i="4"/>
  <c r="H348" i="4" s="1"/>
  <c r="C348" i="4"/>
  <c r="G348" i="4" s="1"/>
  <c r="J347" i="4"/>
  <c r="I347" i="4"/>
  <c r="F347" i="4"/>
  <c r="E347" i="4"/>
  <c r="D347" i="4"/>
  <c r="H347" i="4" s="1"/>
  <c r="C347" i="4"/>
  <c r="G347" i="4" s="1"/>
  <c r="J346" i="4"/>
  <c r="I346" i="4"/>
  <c r="F346" i="4"/>
  <c r="E346" i="4"/>
  <c r="D346" i="4"/>
  <c r="H346" i="4" s="1"/>
  <c r="C346" i="4"/>
  <c r="G346" i="4" s="1"/>
  <c r="F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B304" i="4"/>
  <c r="B306" i="4" s="1"/>
  <c r="B305" i="4" s="1"/>
  <c r="B292" i="4"/>
  <c r="B289" i="4"/>
  <c r="B296" i="4" s="1"/>
  <c r="J270" i="4"/>
  <c r="I270" i="4"/>
  <c r="F270" i="4"/>
  <c r="E270" i="4"/>
  <c r="D270" i="4"/>
  <c r="H270" i="4" s="1"/>
  <c r="C270" i="4"/>
  <c r="G270" i="4" s="1"/>
  <c r="J269" i="4"/>
  <c r="I269" i="4"/>
  <c r="F269" i="4"/>
  <c r="E269" i="4"/>
  <c r="D269" i="4"/>
  <c r="H269" i="4" s="1"/>
  <c r="C269" i="4"/>
  <c r="G269" i="4" s="1"/>
  <c r="J268" i="4"/>
  <c r="I268" i="4"/>
  <c r="F268" i="4"/>
  <c r="E268" i="4"/>
  <c r="D268" i="4"/>
  <c r="H268" i="4" s="1"/>
  <c r="C268" i="4"/>
  <c r="G268" i="4" s="1"/>
  <c r="J267" i="4"/>
  <c r="I267" i="4"/>
  <c r="F267" i="4"/>
  <c r="E267" i="4"/>
  <c r="D267" i="4"/>
  <c r="H267" i="4" s="1"/>
  <c r="C267" i="4"/>
  <c r="G267" i="4" s="1"/>
  <c r="F246" i="4"/>
  <c r="D246" i="4"/>
  <c r="C246" i="4"/>
  <c r="F245" i="4"/>
  <c r="E245" i="4"/>
  <c r="D245" i="4"/>
  <c r="C245" i="4"/>
  <c r="F244" i="4"/>
  <c r="D244" i="4"/>
  <c r="C244" i="4"/>
  <c r="F243" i="4"/>
  <c r="E243" i="4"/>
  <c r="D243" i="4"/>
  <c r="C243" i="4"/>
  <c r="B225" i="4"/>
  <c r="B227" i="4" s="1"/>
  <c r="B226" i="4" s="1"/>
  <c r="B217" i="4"/>
  <c r="B213" i="4"/>
  <c r="B210" i="4"/>
  <c r="J190" i="4"/>
  <c r="I190" i="4"/>
  <c r="F190" i="4"/>
  <c r="E190" i="4"/>
  <c r="D190" i="4"/>
  <c r="H190" i="4" s="1"/>
  <c r="C190" i="4"/>
  <c r="G190" i="4" s="1"/>
  <c r="J189" i="4"/>
  <c r="I189" i="4"/>
  <c r="F189" i="4"/>
  <c r="E189" i="4"/>
  <c r="D189" i="4"/>
  <c r="H189" i="4" s="1"/>
  <c r="C189" i="4"/>
  <c r="G189" i="4" s="1"/>
  <c r="K189" i="4" s="1"/>
  <c r="J188" i="4"/>
  <c r="I188" i="4"/>
  <c r="F188" i="4"/>
  <c r="E188" i="4"/>
  <c r="D188" i="4"/>
  <c r="H188" i="4" s="1"/>
  <c r="C188" i="4"/>
  <c r="G188" i="4" s="1"/>
  <c r="G180" i="4"/>
  <c r="F180" i="4"/>
  <c r="M180" i="4" s="1"/>
  <c r="N180" i="4" s="1"/>
  <c r="H180" i="4" s="1"/>
  <c r="E180" i="4"/>
  <c r="D180" i="4"/>
  <c r="C180" i="4"/>
  <c r="I180" i="4" s="1"/>
  <c r="L180" i="4" s="1"/>
  <c r="F165" i="4"/>
  <c r="D165" i="4"/>
  <c r="C165" i="4"/>
  <c r="F164" i="4"/>
  <c r="E164" i="4"/>
  <c r="D164" i="4"/>
  <c r="C164" i="4"/>
  <c r="B145" i="4"/>
  <c r="B147" i="4" s="1"/>
  <c r="B146" i="4" s="1"/>
  <c r="B133" i="4"/>
  <c r="B130" i="4"/>
  <c r="B137" i="4" s="1"/>
  <c r="J112" i="4"/>
  <c r="I112" i="4"/>
  <c r="H112" i="4"/>
  <c r="F112" i="4"/>
  <c r="E112" i="4"/>
  <c r="D112" i="4"/>
  <c r="C112" i="4"/>
  <c r="G112" i="4" s="1"/>
  <c r="K112" i="4" s="1"/>
  <c r="J111" i="4"/>
  <c r="I111" i="4"/>
  <c r="F111" i="4"/>
  <c r="E111" i="4"/>
  <c r="D111" i="4"/>
  <c r="H111" i="4" s="1"/>
  <c r="C111" i="4"/>
  <c r="G111" i="4" s="1"/>
  <c r="J110" i="4"/>
  <c r="I110" i="4"/>
  <c r="F110" i="4"/>
  <c r="E110" i="4"/>
  <c r="D110" i="4"/>
  <c r="H110" i="4" s="1"/>
  <c r="C110" i="4"/>
  <c r="G110" i="4" s="1"/>
  <c r="J109" i="4"/>
  <c r="I109" i="4"/>
  <c r="F109" i="4"/>
  <c r="E109" i="4"/>
  <c r="D109" i="4"/>
  <c r="H109" i="4" s="1"/>
  <c r="C109" i="4"/>
  <c r="G109" i="4" s="1"/>
  <c r="J108" i="4"/>
  <c r="I108" i="4"/>
  <c r="F108" i="4"/>
  <c r="E108" i="4"/>
  <c r="D108" i="4"/>
  <c r="H108" i="4" s="1"/>
  <c r="C108" i="4"/>
  <c r="G108" i="4" s="1"/>
  <c r="L100" i="4"/>
  <c r="G100" i="4"/>
  <c r="F100" i="4"/>
  <c r="M100" i="4" s="1"/>
  <c r="N100" i="4" s="1"/>
  <c r="H100" i="4" s="1"/>
  <c r="E100" i="4"/>
  <c r="D100" i="4"/>
  <c r="C100" i="4"/>
  <c r="I100" i="4" s="1"/>
  <c r="F86" i="4"/>
  <c r="D86" i="4"/>
  <c r="C86" i="4"/>
  <c r="F85" i="4"/>
  <c r="E85" i="4"/>
  <c r="D85" i="4"/>
  <c r="C85" i="4"/>
  <c r="F84" i="4"/>
  <c r="E84" i="4"/>
  <c r="D84" i="4"/>
  <c r="C84" i="4"/>
  <c r="B68" i="4"/>
  <c r="B67" i="4" s="1"/>
  <c r="F55" i="4"/>
  <c r="B51" i="4"/>
  <c r="L28" i="4"/>
  <c r="D28" i="4"/>
  <c r="C28" i="4"/>
  <c r="D21" i="4"/>
  <c r="B21" i="4"/>
  <c r="E21" i="4" s="1"/>
  <c r="E19" i="4"/>
  <c r="C19" i="4"/>
  <c r="B19" i="4"/>
  <c r="F19" i="4" s="1"/>
  <c r="C18" i="4"/>
  <c r="B18" i="4"/>
  <c r="E18" i="4" s="1"/>
  <c r="B17" i="4"/>
  <c r="D17" i="4" s="1"/>
  <c r="D16" i="4"/>
  <c r="B16" i="4"/>
  <c r="D15" i="4"/>
  <c r="B15" i="4"/>
  <c r="D14" i="4"/>
  <c r="B14" i="4"/>
  <c r="D13" i="4"/>
  <c r="B13" i="4"/>
  <c r="V12" i="4"/>
  <c r="E12" i="4"/>
  <c r="C12" i="4"/>
  <c r="B12" i="4"/>
  <c r="F12" i="4" s="1"/>
  <c r="V11" i="4"/>
  <c r="V10" i="4"/>
  <c r="V9" i="4"/>
  <c r="V8" i="4"/>
  <c r="V7" i="4"/>
  <c r="B26" i="3"/>
  <c r="B25" i="3"/>
  <c r="B24" i="3"/>
  <c r="B23" i="3"/>
  <c r="B22" i="3"/>
  <c r="B21" i="3"/>
  <c r="B20" i="3"/>
  <c r="D15" i="3"/>
  <c r="AF49" i="2"/>
  <c r="AD49" i="2"/>
  <c r="AD46" i="2"/>
  <c r="AC46" i="2"/>
  <c r="AD45" i="2"/>
  <c r="AC45" i="2"/>
  <c r="AD44" i="2"/>
  <c r="AC44" i="2"/>
  <c r="AD43" i="2"/>
  <c r="AC43" i="2"/>
  <c r="AD42" i="2"/>
  <c r="AD40" i="2" s="1"/>
  <c r="AC42" i="2"/>
  <c r="Z40" i="2" s="1"/>
  <c r="P14" i="2" s="1"/>
  <c r="AF35" i="2"/>
  <c r="T21" i="2" s="1"/>
  <c r="AD35" i="2"/>
  <c r="AD32" i="2"/>
  <c r="AC32" i="2"/>
  <c r="AD31" i="2"/>
  <c r="AC31" i="2"/>
  <c r="AD30" i="2"/>
  <c r="AC30" i="2"/>
  <c r="Z27" i="2" s="1"/>
  <c r="P26" i="2" s="1"/>
  <c r="AD29" i="2"/>
  <c r="AD27" i="2" s="1"/>
  <c r="AC29" i="2"/>
  <c r="N28" i="2"/>
  <c r="AF27" i="2"/>
  <c r="N27" i="2"/>
  <c r="N26" i="2"/>
  <c r="AD25" i="2"/>
  <c r="AC25" i="2"/>
  <c r="N25" i="2"/>
  <c r="AD24" i="2"/>
  <c r="AC24" i="2"/>
  <c r="P24" i="2"/>
  <c r="N24" i="2"/>
  <c r="T24" i="2" s="1"/>
  <c r="AD23" i="2"/>
  <c r="AC23" i="2"/>
  <c r="T23" i="2"/>
  <c r="R23" i="2"/>
  <c r="S23" i="2" s="1"/>
  <c r="Q23" i="2"/>
  <c r="P23" i="2"/>
  <c r="T22" i="2"/>
  <c r="Q22" i="2"/>
  <c r="P22" i="2"/>
  <c r="R21" i="2"/>
  <c r="S21" i="2" s="1"/>
  <c r="Q21" i="2"/>
  <c r="P21" i="2"/>
  <c r="N20" i="2"/>
  <c r="AD19" i="2"/>
  <c r="AC19" i="2"/>
  <c r="B19" i="2"/>
  <c r="AD18" i="2"/>
  <c r="AF14" i="2" s="1"/>
  <c r="AC18" i="2"/>
  <c r="Z14" i="2" s="1"/>
  <c r="P20" i="2" s="1"/>
  <c r="N18" i="2"/>
  <c r="AD17" i="2"/>
  <c r="AC17" i="2"/>
  <c r="T16" i="2"/>
  <c r="R16" i="2"/>
  <c r="S16" i="2" s="1"/>
  <c r="P16" i="2"/>
  <c r="N16" i="2"/>
  <c r="N14" i="2"/>
  <c r="T13" i="2"/>
  <c r="R13" i="2"/>
  <c r="S13" i="2" s="1"/>
  <c r="P13" i="2"/>
  <c r="H13" i="2"/>
  <c r="T12" i="2"/>
  <c r="Q12" i="2"/>
  <c r="P12" i="2"/>
  <c r="G84" i="4" s="1"/>
  <c r="H12" i="2"/>
  <c r="AD11" i="2"/>
  <c r="AD5" i="2" s="1"/>
  <c r="R25" i="2" s="1"/>
  <c r="S25" i="2" s="1"/>
  <c r="AC11" i="2"/>
  <c r="T11" i="2"/>
  <c r="P11" i="2"/>
  <c r="Q11" i="2" s="1"/>
  <c r="H11" i="2"/>
  <c r="AD10" i="2"/>
  <c r="AC10" i="2"/>
  <c r="P10" i="2"/>
  <c r="Q10" i="2" s="1"/>
  <c r="H10" i="2"/>
  <c r="AD9" i="2"/>
  <c r="AC9" i="2"/>
  <c r="Q9" i="2"/>
  <c r="P9" i="2"/>
  <c r="N9" i="2"/>
  <c r="H9" i="2"/>
  <c r="B9" i="2"/>
  <c r="AD8" i="2"/>
  <c r="N8" i="2"/>
  <c r="H8" i="2"/>
  <c r="AD7" i="2"/>
  <c r="AC7" i="2"/>
  <c r="P7" i="2"/>
  <c r="Q7" i="2" s="1"/>
  <c r="N7" i="2"/>
  <c r="H7" i="2"/>
  <c r="AO6" i="2"/>
  <c r="AN6" i="2"/>
  <c r="Q6" i="2"/>
  <c r="P6" i="2"/>
  <c r="G12" i="4" s="1"/>
  <c r="N6" i="2"/>
  <c r="AF5" i="2"/>
  <c r="T15" i="2" s="1"/>
  <c r="B5" i="2"/>
  <c r="AF49" i="1"/>
  <c r="AD49" i="1"/>
  <c r="AD46" i="1"/>
  <c r="AC46" i="1"/>
  <c r="AD45" i="1"/>
  <c r="AC45" i="1"/>
  <c r="AD44" i="1"/>
  <c r="AC44" i="1"/>
  <c r="AD43" i="1"/>
  <c r="AC43" i="1"/>
  <c r="Z40" i="1" s="1"/>
  <c r="P14" i="1" s="1"/>
  <c r="AD42" i="1"/>
  <c r="AF40" i="1" s="1"/>
  <c r="AC42" i="1"/>
  <c r="N39" i="1"/>
  <c r="G37" i="1"/>
  <c r="B37" i="1" s="1"/>
  <c r="AF35" i="1"/>
  <c r="T23" i="1" s="1"/>
  <c r="AD35" i="1"/>
  <c r="R22" i="1" s="1"/>
  <c r="S22" i="1" s="1"/>
  <c r="AD32" i="1"/>
  <c r="AC32" i="1"/>
  <c r="AD31" i="1"/>
  <c r="AC31" i="1"/>
  <c r="AD30" i="1"/>
  <c r="AC30" i="1"/>
  <c r="AD29" i="1"/>
  <c r="AF27" i="1" s="1"/>
  <c r="AC29" i="1"/>
  <c r="N26" i="1"/>
  <c r="AD25" i="1"/>
  <c r="AC25" i="1"/>
  <c r="AD24" i="1"/>
  <c r="AC24" i="1"/>
  <c r="P24" i="1"/>
  <c r="Q24" i="1" s="1"/>
  <c r="N24" i="1"/>
  <c r="B24" i="1"/>
  <c r="F18" i="1" s="1"/>
  <c r="AD23" i="1"/>
  <c r="AC23" i="1"/>
  <c r="Q23" i="1"/>
  <c r="P23" i="1"/>
  <c r="P22" i="1"/>
  <c r="Q22" i="1" s="1"/>
  <c r="Z21" i="1"/>
  <c r="P28" i="1" s="1"/>
  <c r="Q28" i="1" s="1"/>
  <c r="P21" i="1"/>
  <c r="Q21" i="1" s="1"/>
  <c r="B20" i="1"/>
  <c r="AD19" i="1"/>
  <c r="AC19" i="1"/>
  <c r="F19" i="1"/>
  <c r="AD18" i="1"/>
  <c r="AC18" i="1"/>
  <c r="AD17" i="1"/>
  <c r="AC17" i="1"/>
  <c r="F17" i="1"/>
  <c r="P16" i="1"/>
  <c r="Q16" i="1" s="1"/>
  <c r="N16" i="1"/>
  <c r="N15" i="1"/>
  <c r="E21" i="5" s="1"/>
  <c r="N14" i="1"/>
  <c r="H14" i="1"/>
  <c r="T13" i="1"/>
  <c r="P13" i="1"/>
  <c r="N13" i="1"/>
  <c r="R13" i="1" s="1"/>
  <c r="S13" i="1" s="1"/>
  <c r="H13" i="1"/>
  <c r="T12" i="1"/>
  <c r="N12" i="1"/>
  <c r="R12" i="1" s="1"/>
  <c r="S12" i="1" s="1"/>
  <c r="AD11" i="1"/>
  <c r="AC11" i="1"/>
  <c r="Z5" i="1" s="1"/>
  <c r="R11" i="1"/>
  <c r="S11" i="1" s="1"/>
  <c r="Q11" i="1"/>
  <c r="H17" i="5" s="1"/>
  <c r="P11" i="1"/>
  <c r="G17" i="5" s="1"/>
  <c r="H11" i="1"/>
  <c r="AD10" i="1"/>
  <c r="AC10" i="1"/>
  <c r="Q10" i="1"/>
  <c r="H16" i="5" s="1"/>
  <c r="P10" i="1"/>
  <c r="G16" i="5" s="1"/>
  <c r="N10" i="1"/>
  <c r="E16" i="5" s="1"/>
  <c r="AD9" i="1"/>
  <c r="AF5" i="1" s="1"/>
  <c r="T25" i="1" s="1"/>
  <c r="AC9" i="1"/>
  <c r="B9" i="1"/>
  <c r="G36" i="1" s="1"/>
  <c r="B36" i="1" s="1"/>
  <c r="AD8" i="1"/>
  <c r="B8" i="1"/>
  <c r="G35" i="1" s="1"/>
  <c r="AD7" i="1"/>
  <c r="AD5" i="1" s="1"/>
  <c r="R25" i="1" s="1"/>
  <c r="S25" i="1" s="1"/>
  <c r="AC7" i="1"/>
  <c r="N7" i="1"/>
  <c r="E13" i="5" s="1"/>
  <c r="N6" i="1"/>
  <c r="N8" i="1" s="1"/>
  <c r="G5" i="1"/>
  <c r="F21" i="1" s="1"/>
  <c r="G453" i="7" l="1"/>
  <c r="B455" i="7"/>
  <c r="B456" i="7" s="1"/>
  <c r="B691" i="5"/>
  <c r="B692" i="5" s="1"/>
  <c r="G689" i="5"/>
  <c r="B691" i="7"/>
  <c r="B692" i="7" s="1"/>
  <c r="G689" i="7"/>
  <c r="E244" i="19"/>
  <c r="E244" i="18"/>
  <c r="E244" i="15"/>
  <c r="E244" i="12"/>
  <c r="G325" i="18"/>
  <c r="G325" i="19"/>
  <c r="G325" i="15"/>
  <c r="G325" i="12"/>
  <c r="E401" i="19"/>
  <c r="E401" i="18"/>
  <c r="E401" i="15"/>
  <c r="E401" i="12"/>
  <c r="F10" i="1"/>
  <c r="R10" i="1"/>
  <c r="S10" i="1" s="1"/>
  <c r="F13" i="1"/>
  <c r="F14" i="1"/>
  <c r="R16" i="1"/>
  <c r="S16" i="1" s="1"/>
  <c r="Z14" i="1"/>
  <c r="P7" i="1" s="1"/>
  <c r="R23" i="1"/>
  <c r="S23" i="1" s="1"/>
  <c r="R24" i="1"/>
  <c r="S24" i="1" s="1"/>
  <c r="AD40" i="1"/>
  <c r="Z5" i="2"/>
  <c r="T10" i="2"/>
  <c r="H14" i="2"/>
  <c r="E165" i="19"/>
  <c r="E165" i="18"/>
  <c r="E165" i="15"/>
  <c r="E165" i="12"/>
  <c r="P18" i="2"/>
  <c r="E246" i="19"/>
  <c r="E246" i="18"/>
  <c r="E246" i="15"/>
  <c r="E246" i="12"/>
  <c r="G324" i="19"/>
  <c r="G324" i="18"/>
  <c r="G324" i="15"/>
  <c r="G324" i="12"/>
  <c r="Z21" i="2"/>
  <c r="Q24" i="2"/>
  <c r="E400" i="18"/>
  <c r="E400" i="19"/>
  <c r="E400" i="15"/>
  <c r="E400" i="12"/>
  <c r="R26" i="2"/>
  <c r="S26" i="2" s="1"/>
  <c r="E479" i="18"/>
  <c r="E479" i="19"/>
  <c r="E478" i="18"/>
  <c r="E478" i="19"/>
  <c r="E478" i="15"/>
  <c r="E479" i="15"/>
  <c r="E478" i="12"/>
  <c r="E479" i="12"/>
  <c r="F18" i="4"/>
  <c r="K270" i="4"/>
  <c r="K346" i="4"/>
  <c r="K348" i="4"/>
  <c r="K583" i="4"/>
  <c r="B673" i="4"/>
  <c r="C14" i="5"/>
  <c r="D15" i="5"/>
  <c r="N180" i="7"/>
  <c r="H180" i="7" s="1"/>
  <c r="N573" i="7"/>
  <c r="H573" i="7" s="1"/>
  <c r="F33" i="12"/>
  <c r="F108" i="12"/>
  <c r="R26" i="11"/>
  <c r="S26" i="11"/>
  <c r="AP48" i="11"/>
  <c r="U26" i="11"/>
  <c r="H34" i="16"/>
  <c r="B54" i="18" s="1"/>
  <c r="B66" i="18"/>
  <c r="B68" i="18" s="1"/>
  <c r="B67" i="18" s="1"/>
  <c r="O14" i="16"/>
  <c r="C8" i="16"/>
  <c r="C34" i="16"/>
  <c r="E85" i="12"/>
  <c r="U18" i="11"/>
  <c r="R18" i="11"/>
  <c r="H85" i="12" s="1"/>
  <c r="S18" i="11"/>
  <c r="T18" i="11" s="1"/>
  <c r="E86" i="12"/>
  <c r="U19" i="11"/>
  <c r="S19" i="11"/>
  <c r="T19" i="11" s="1"/>
  <c r="R19" i="11"/>
  <c r="H86" i="12" s="1"/>
  <c r="E13" i="15"/>
  <c r="U7" i="14"/>
  <c r="S7" i="14"/>
  <c r="T7" i="14" s="1"/>
  <c r="R7" i="14"/>
  <c r="H13" i="15" s="1"/>
  <c r="E86" i="15"/>
  <c r="U19" i="14"/>
  <c r="S19" i="14"/>
  <c r="T19" i="14" s="1"/>
  <c r="R19" i="14"/>
  <c r="H86" i="15" s="1"/>
  <c r="E85" i="19"/>
  <c r="S18" i="17"/>
  <c r="T18" i="17" s="1"/>
  <c r="U18" i="17"/>
  <c r="R18" i="17"/>
  <c r="H85" i="19" s="1"/>
  <c r="E15" i="19"/>
  <c r="S9" i="17"/>
  <c r="T9" i="17" s="1"/>
  <c r="U9" i="17"/>
  <c r="R9" i="17"/>
  <c r="H15" i="19" s="1"/>
  <c r="S20" i="17"/>
  <c r="T20" i="17" s="1"/>
  <c r="E87" i="19"/>
  <c r="U20" i="17"/>
  <c r="R20" i="17"/>
  <c r="H87" i="19" s="1"/>
  <c r="G401" i="18"/>
  <c r="G401" i="19"/>
  <c r="G401" i="15"/>
  <c r="G401" i="12"/>
  <c r="E14" i="5"/>
  <c r="F9" i="1"/>
  <c r="T14" i="1"/>
  <c r="P42" i="1" s="1"/>
  <c r="AD14" i="1"/>
  <c r="B25" i="1"/>
  <c r="AD27" i="1"/>
  <c r="R26" i="1" s="1"/>
  <c r="S26" i="1" s="1"/>
  <c r="B55" i="4"/>
  <c r="G5" i="2"/>
  <c r="F12" i="2" s="1"/>
  <c r="P8" i="2"/>
  <c r="Q8" i="2" s="1"/>
  <c r="H14" i="4" s="1"/>
  <c r="Q16" i="2"/>
  <c r="G165" i="19"/>
  <c r="G165" i="18"/>
  <c r="G165" i="15"/>
  <c r="G165" i="12"/>
  <c r="AD14" i="2"/>
  <c r="R6" i="2" s="1"/>
  <c r="S6" i="2" s="1"/>
  <c r="G322" i="19"/>
  <c r="G322" i="18"/>
  <c r="G322" i="15"/>
  <c r="G322" i="12"/>
  <c r="G323" i="18"/>
  <c r="G323" i="19"/>
  <c r="G323" i="15"/>
  <c r="G323" i="12"/>
  <c r="H324" i="18"/>
  <c r="H324" i="19"/>
  <c r="H324" i="15"/>
  <c r="H324" i="12"/>
  <c r="AF21" i="2"/>
  <c r="T28" i="2" s="1"/>
  <c r="AF40" i="2"/>
  <c r="B59" i="17"/>
  <c r="B59" i="6"/>
  <c r="B59" i="14"/>
  <c r="B59" i="16"/>
  <c r="K109" i="4"/>
  <c r="K111" i="4"/>
  <c r="K188" i="4"/>
  <c r="K190" i="4"/>
  <c r="K425" i="4"/>
  <c r="K427" i="4"/>
  <c r="G610" i="4"/>
  <c r="K742" i="4"/>
  <c r="K744" i="4"/>
  <c r="D14" i="5"/>
  <c r="K425" i="5"/>
  <c r="B455" i="5"/>
  <c r="B456" i="5" s="1"/>
  <c r="K582" i="5"/>
  <c r="K746" i="5"/>
  <c r="K748" i="5"/>
  <c r="K581" i="7"/>
  <c r="B66" i="12"/>
  <c r="B68" i="12" s="1"/>
  <c r="B67" i="12" s="1"/>
  <c r="C34" i="11"/>
  <c r="C8" i="11"/>
  <c r="H34" i="11"/>
  <c r="B54" i="12" s="1"/>
  <c r="O14" i="11"/>
  <c r="F33" i="18"/>
  <c r="F108" i="18"/>
  <c r="AP48" i="16"/>
  <c r="R26" i="16"/>
  <c r="S26" i="16"/>
  <c r="U26" i="16"/>
  <c r="AP40" i="11"/>
  <c r="AZ40" i="11" s="1"/>
  <c r="CJ39" i="11" s="1"/>
  <c r="U17" i="11"/>
  <c r="E84" i="12"/>
  <c r="AP37" i="11"/>
  <c r="AZ37" i="11" s="1"/>
  <c r="CJ36" i="11" s="1"/>
  <c r="S17" i="11"/>
  <c r="T17" i="11" s="1"/>
  <c r="O28" i="11"/>
  <c r="R17" i="11"/>
  <c r="AP28" i="11"/>
  <c r="AP26" i="11"/>
  <c r="E12" i="12"/>
  <c r="U6" i="11"/>
  <c r="O8" i="11"/>
  <c r="S6" i="11"/>
  <c r="R6" i="11"/>
  <c r="E15" i="15"/>
  <c r="R9" i="14"/>
  <c r="H15" i="15" s="1"/>
  <c r="U9" i="14"/>
  <c r="S9" i="14"/>
  <c r="T9" i="14" s="1"/>
  <c r="E87" i="15"/>
  <c r="U20" i="14"/>
  <c r="R20" i="14"/>
  <c r="H87" i="15" s="1"/>
  <c r="S20" i="14"/>
  <c r="T20" i="14" s="1"/>
  <c r="E84" i="18"/>
  <c r="AP37" i="16"/>
  <c r="AP40" i="16"/>
  <c r="U17" i="16"/>
  <c r="S17" i="16"/>
  <c r="T17" i="16" s="1"/>
  <c r="R17" i="16"/>
  <c r="H84" i="18" s="1"/>
  <c r="O28" i="16"/>
  <c r="E84" i="19"/>
  <c r="AP37" i="17"/>
  <c r="O28" i="17"/>
  <c r="S17" i="17"/>
  <c r="T17" i="17" s="1"/>
  <c r="AP40" i="17"/>
  <c r="U17" i="17"/>
  <c r="AP31" i="17" s="1"/>
  <c r="R17" i="17"/>
  <c r="H84" i="19" s="1"/>
  <c r="AP23" i="16"/>
  <c r="AP19" i="16"/>
  <c r="E12" i="18"/>
  <c r="O8" i="16"/>
  <c r="U6" i="16"/>
  <c r="R6" i="16"/>
  <c r="C27" i="16"/>
  <c r="S6" i="16"/>
  <c r="B752" i="4"/>
  <c r="B753" i="4" s="1"/>
  <c r="B783" i="4" s="1"/>
  <c r="W16" i="4" s="1"/>
  <c r="T22" i="1"/>
  <c r="F7" i="1"/>
  <c r="Q12" i="1"/>
  <c r="Q13" i="1"/>
  <c r="AF14" i="1"/>
  <c r="T20" i="1" s="1"/>
  <c r="AF21" i="1"/>
  <c r="T28" i="1" s="1"/>
  <c r="Z27" i="1"/>
  <c r="P26" i="1" s="1"/>
  <c r="F10" i="2"/>
  <c r="B18" i="2"/>
  <c r="G246" i="19"/>
  <c r="G246" i="18"/>
  <c r="G246" i="15"/>
  <c r="G246" i="12"/>
  <c r="H322" i="18"/>
  <c r="H322" i="19"/>
  <c r="H322" i="15"/>
  <c r="H322" i="12"/>
  <c r="H323" i="18"/>
  <c r="H323" i="19"/>
  <c r="H323" i="15"/>
  <c r="H323" i="12"/>
  <c r="E325" i="19"/>
  <c r="E325" i="18"/>
  <c r="E325" i="15"/>
  <c r="E325" i="12"/>
  <c r="E402" i="18"/>
  <c r="E402" i="19"/>
  <c r="E402" i="15"/>
  <c r="E402" i="12"/>
  <c r="D5" i="3"/>
  <c r="K108" i="4"/>
  <c r="K502" i="4"/>
  <c r="K504" i="4"/>
  <c r="K582" i="4"/>
  <c r="K741" i="4"/>
  <c r="K746" i="4"/>
  <c r="K748" i="4"/>
  <c r="K750" i="4"/>
  <c r="B58" i="5"/>
  <c r="B60" i="5" s="1"/>
  <c r="B673" i="5"/>
  <c r="B752" i="5"/>
  <c r="N652" i="7"/>
  <c r="H652" i="7" s="1"/>
  <c r="F33" i="15"/>
  <c r="F108" i="15"/>
  <c r="R26" i="14"/>
  <c r="AP48" i="14"/>
  <c r="U26" i="14"/>
  <c r="S26" i="14"/>
  <c r="AP43" i="14"/>
  <c r="AP48" i="17"/>
  <c r="F33" i="19"/>
  <c r="F108" i="19"/>
  <c r="U26" i="17"/>
  <c r="S26" i="17"/>
  <c r="R26" i="17"/>
  <c r="E87" i="12"/>
  <c r="S20" i="11"/>
  <c r="T20" i="11" s="1"/>
  <c r="R20" i="11"/>
  <c r="H87" i="12" s="1"/>
  <c r="U20" i="11"/>
  <c r="E15" i="12"/>
  <c r="U9" i="11"/>
  <c r="R9" i="11"/>
  <c r="H15" i="12" s="1"/>
  <c r="S9" i="11"/>
  <c r="T9" i="11" s="1"/>
  <c r="E84" i="15"/>
  <c r="AP37" i="14"/>
  <c r="AZ37" i="14" s="1"/>
  <c r="CJ36" i="14" s="1"/>
  <c r="U17" i="14"/>
  <c r="O28" i="14"/>
  <c r="AP26" i="14" s="1"/>
  <c r="AP40" i="14"/>
  <c r="AZ40" i="14" s="1"/>
  <c r="CJ39" i="14" s="1"/>
  <c r="R17" i="14"/>
  <c r="S17" i="14"/>
  <c r="T17" i="14" s="1"/>
  <c r="AP28" i="14"/>
  <c r="E85" i="18"/>
  <c r="R18" i="16"/>
  <c r="H85" i="18" s="1"/>
  <c r="S18" i="16"/>
  <c r="T18" i="16" s="1"/>
  <c r="U18" i="16"/>
  <c r="E87" i="18"/>
  <c r="U20" i="16"/>
  <c r="S20" i="16"/>
  <c r="T20" i="16" s="1"/>
  <c r="R20" i="16"/>
  <c r="H87" i="18" s="1"/>
  <c r="E86" i="19"/>
  <c r="U19" i="17"/>
  <c r="S19" i="17"/>
  <c r="T19" i="17" s="1"/>
  <c r="R19" i="17"/>
  <c r="H86" i="19" s="1"/>
  <c r="U7" i="16"/>
  <c r="E13" i="18"/>
  <c r="S7" i="16"/>
  <c r="T7" i="16" s="1"/>
  <c r="R7" i="16"/>
  <c r="H13" i="18" s="1"/>
  <c r="K424" i="5"/>
  <c r="B594" i="5"/>
  <c r="B624" i="5" s="1"/>
  <c r="K581" i="5"/>
  <c r="K583" i="5"/>
  <c r="K741" i="5"/>
  <c r="K745" i="5"/>
  <c r="K747" i="5"/>
  <c r="K661" i="7"/>
  <c r="K741" i="7"/>
  <c r="K743" i="7"/>
  <c r="C34" i="14"/>
  <c r="B66" i="15"/>
  <c r="B68" i="15" s="1"/>
  <c r="B67" i="15" s="1"/>
  <c r="H34" i="14"/>
  <c r="B54" i="15" s="1"/>
  <c r="C8" i="14"/>
  <c r="O14" i="14"/>
  <c r="B66" i="19"/>
  <c r="B68" i="19" s="1"/>
  <c r="B67" i="19" s="1"/>
  <c r="O14" i="17"/>
  <c r="C34" i="17"/>
  <c r="C8" i="17"/>
  <c r="H34" i="17"/>
  <c r="B54" i="19" s="1"/>
  <c r="E13" i="12"/>
  <c r="U7" i="11"/>
  <c r="S7" i="11"/>
  <c r="T7" i="11" s="1"/>
  <c r="R7" i="11"/>
  <c r="H13" i="12" s="1"/>
  <c r="E12" i="15"/>
  <c r="U6" i="14"/>
  <c r="O8" i="14"/>
  <c r="R6" i="14"/>
  <c r="S6" i="14"/>
  <c r="C27" i="14"/>
  <c r="E85" i="15"/>
  <c r="U18" i="14"/>
  <c r="S18" i="14"/>
  <c r="T18" i="14" s="1"/>
  <c r="R18" i="14"/>
  <c r="H85" i="15" s="1"/>
  <c r="E86" i="18"/>
  <c r="R19" i="16"/>
  <c r="H86" i="18" s="1"/>
  <c r="S19" i="16"/>
  <c r="T19" i="16" s="1"/>
  <c r="U19" i="16"/>
  <c r="E13" i="19"/>
  <c r="S7" i="17"/>
  <c r="T7" i="17" s="1"/>
  <c r="U7" i="17"/>
  <c r="R7" i="17"/>
  <c r="H13" i="19" s="1"/>
  <c r="O8" i="17"/>
  <c r="AP19" i="17"/>
  <c r="E12" i="19"/>
  <c r="U6" i="17"/>
  <c r="O27" i="17"/>
  <c r="S6" i="17"/>
  <c r="R6" i="17"/>
  <c r="U9" i="16"/>
  <c r="E15" i="18"/>
  <c r="S9" i="16"/>
  <c r="T9" i="16" s="1"/>
  <c r="R9" i="16"/>
  <c r="H15" i="18" s="1"/>
  <c r="O39" i="6"/>
  <c r="C39" i="6"/>
  <c r="C23" i="6"/>
  <c r="G17" i="6" s="1"/>
  <c r="C12" i="7"/>
  <c r="C19" i="7"/>
  <c r="Q7" i="6"/>
  <c r="G13" i="7" s="1"/>
  <c r="F18" i="7"/>
  <c r="O20" i="6"/>
  <c r="E87" i="7" s="1"/>
  <c r="U15" i="6"/>
  <c r="D21" i="7"/>
  <c r="O7" i="6"/>
  <c r="O9" i="6"/>
  <c r="E15" i="7" s="1"/>
  <c r="E22" i="7"/>
  <c r="O17" i="6"/>
  <c r="O19" i="6"/>
  <c r="R16" i="6"/>
  <c r="H22" i="7" s="1"/>
  <c r="O6" i="6"/>
  <c r="AG27" i="6"/>
  <c r="Q26" i="6"/>
  <c r="I108" i="7" s="1"/>
  <c r="Q25" i="6"/>
  <c r="G22" i="7"/>
  <c r="T15" i="6"/>
  <c r="T26" i="1"/>
  <c r="Q26" i="1"/>
  <c r="AA40" i="6"/>
  <c r="Q14" i="6" s="1"/>
  <c r="F28" i="7" s="1"/>
  <c r="M28" i="7" s="1"/>
  <c r="T16" i="1"/>
  <c r="T8" i="1"/>
  <c r="N9" i="1"/>
  <c r="E15" i="5" s="1"/>
  <c r="T6" i="1"/>
  <c r="K108" i="7"/>
  <c r="K34" i="7"/>
  <c r="K33" i="7"/>
  <c r="K109" i="7"/>
  <c r="G246" i="7"/>
  <c r="G246" i="4"/>
  <c r="G246" i="5"/>
  <c r="Q20" i="2"/>
  <c r="P20" i="1"/>
  <c r="Q20" i="1" s="1"/>
  <c r="P18" i="1"/>
  <c r="Q18" i="1" s="1"/>
  <c r="P9" i="1"/>
  <c r="P8" i="1"/>
  <c r="P28" i="2"/>
  <c r="P27" i="2"/>
  <c r="B54" i="5"/>
  <c r="B35" i="1"/>
  <c r="P15" i="1"/>
  <c r="P25" i="1"/>
  <c r="Q25" i="1" s="1"/>
  <c r="P25" i="2"/>
  <c r="P15" i="2"/>
  <c r="R6" i="1"/>
  <c r="R7" i="1"/>
  <c r="S7" i="1" s="1"/>
  <c r="R20" i="1"/>
  <c r="S20" i="1" s="1"/>
  <c r="R19" i="1"/>
  <c r="S19" i="1" s="1"/>
  <c r="R18" i="1"/>
  <c r="S18" i="1" s="1"/>
  <c r="R17" i="1"/>
  <c r="S17" i="1" s="1"/>
  <c r="B40" i="3"/>
  <c r="F9" i="2"/>
  <c r="D20" i="3"/>
  <c r="H165" i="7"/>
  <c r="H165" i="4"/>
  <c r="H165" i="5"/>
  <c r="R19" i="2"/>
  <c r="S19" i="2" s="1"/>
  <c r="R17" i="2"/>
  <c r="S17" i="2" s="1"/>
  <c r="R18" i="2"/>
  <c r="S18" i="2" s="1"/>
  <c r="R7" i="2"/>
  <c r="S7" i="2" s="1"/>
  <c r="R20" i="2"/>
  <c r="S20" i="2" s="1"/>
  <c r="F28" i="5"/>
  <c r="M28" i="5" s="1"/>
  <c r="Q14" i="1"/>
  <c r="G28" i="5" s="1"/>
  <c r="F8" i="2"/>
  <c r="F11" i="2"/>
  <c r="T7" i="2"/>
  <c r="T19" i="2"/>
  <c r="T18" i="2"/>
  <c r="T9" i="2"/>
  <c r="T6" i="2"/>
  <c r="T17" i="2"/>
  <c r="G401" i="7"/>
  <c r="G401" i="4"/>
  <c r="G401" i="5"/>
  <c r="Q26" i="2"/>
  <c r="E86" i="4"/>
  <c r="E86" i="5"/>
  <c r="E28" i="4"/>
  <c r="T14" i="2"/>
  <c r="H325" i="7"/>
  <c r="H325" i="4"/>
  <c r="H325" i="5"/>
  <c r="R22" i="2"/>
  <c r="S22" i="2" s="1"/>
  <c r="R10" i="2"/>
  <c r="S10" i="2" s="1"/>
  <c r="D14" i="3"/>
  <c r="T11" i="1"/>
  <c r="I28" i="5"/>
  <c r="L28" i="5" s="1"/>
  <c r="E28" i="5"/>
  <c r="R15" i="1"/>
  <c r="S15" i="1" s="1"/>
  <c r="T21" i="1"/>
  <c r="F22" i="1"/>
  <c r="T24" i="1"/>
  <c r="F25" i="1"/>
  <c r="N36" i="1"/>
  <c r="F7" i="2"/>
  <c r="R8" i="2"/>
  <c r="S8" i="2" s="1"/>
  <c r="G85" i="4"/>
  <c r="G85" i="5"/>
  <c r="Q13" i="2"/>
  <c r="H19" i="4" s="1"/>
  <c r="F14" i="2"/>
  <c r="H322" i="4"/>
  <c r="H322" i="7"/>
  <c r="H322" i="5"/>
  <c r="AD21" i="2"/>
  <c r="R28" i="2" s="1"/>
  <c r="S28" i="2" s="1"/>
  <c r="H324" i="7"/>
  <c r="H324" i="4"/>
  <c r="H324" i="5"/>
  <c r="G325" i="7"/>
  <c r="G325" i="5"/>
  <c r="G325" i="4"/>
  <c r="G36" i="2"/>
  <c r="B36" i="2" s="1"/>
  <c r="G137" i="5" s="1"/>
  <c r="C7" i="6"/>
  <c r="O26" i="6"/>
  <c r="AP48" i="6" s="1"/>
  <c r="E13" i="4"/>
  <c r="G13" i="4"/>
  <c r="C13" i="4"/>
  <c r="E14" i="4"/>
  <c r="G14" i="4"/>
  <c r="C14" i="4"/>
  <c r="E15" i="4"/>
  <c r="G15" i="4"/>
  <c r="C15" i="4"/>
  <c r="E16" i="4"/>
  <c r="G16" i="4"/>
  <c r="C16" i="4"/>
  <c r="H17" i="4"/>
  <c r="R15" i="2"/>
  <c r="S15" i="2" s="1"/>
  <c r="F11" i="1"/>
  <c r="T15" i="1"/>
  <c r="T17" i="1"/>
  <c r="T18" i="1"/>
  <c r="T19" i="1"/>
  <c r="R21" i="1"/>
  <c r="S21" i="1" s="1"/>
  <c r="AD21" i="1"/>
  <c r="R28" i="1" s="1"/>
  <c r="S28" i="1" s="1"/>
  <c r="F23" i="1"/>
  <c r="T8" i="2"/>
  <c r="R11" i="2"/>
  <c r="S11" i="2" s="1"/>
  <c r="H84" i="5"/>
  <c r="H84" i="4"/>
  <c r="G86" i="4"/>
  <c r="F28" i="4"/>
  <c r="M28" i="4" s="1"/>
  <c r="N28" i="4" s="1"/>
  <c r="H28" i="4" s="1"/>
  <c r="G86" i="5"/>
  <c r="Q14" i="2"/>
  <c r="P17" i="2"/>
  <c r="E246" i="7"/>
  <c r="E246" i="4"/>
  <c r="E246" i="5"/>
  <c r="T20" i="2"/>
  <c r="G323" i="7"/>
  <c r="G323" i="5"/>
  <c r="G323" i="4"/>
  <c r="R24" i="2"/>
  <c r="S24" i="2" s="1"/>
  <c r="E401" i="7"/>
  <c r="E401" i="5"/>
  <c r="E401" i="4"/>
  <c r="T26" i="2"/>
  <c r="E479" i="7"/>
  <c r="E478" i="7"/>
  <c r="E479" i="5"/>
  <c r="E478" i="5"/>
  <c r="E479" i="4"/>
  <c r="E478" i="4"/>
  <c r="B34" i="3"/>
  <c r="F13" i="4"/>
  <c r="F14" i="4"/>
  <c r="F15" i="4"/>
  <c r="F16" i="4"/>
  <c r="G165" i="7"/>
  <c r="G165" i="4"/>
  <c r="G165" i="5"/>
  <c r="E17" i="4"/>
  <c r="G17" i="4"/>
  <c r="C17" i="4"/>
  <c r="B703" i="4"/>
  <c r="B674" i="4"/>
  <c r="B704" i="4" s="1"/>
  <c r="W15" i="4" s="1"/>
  <c r="T7" i="1"/>
  <c r="F8" i="1"/>
  <c r="R8" i="1"/>
  <c r="S8" i="1" s="1"/>
  <c r="T10" i="1"/>
  <c r="F12" i="1"/>
  <c r="R14" i="1"/>
  <c r="P27" i="1"/>
  <c r="B37" i="3"/>
  <c r="D10" i="3"/>
  <c r="B27" i="2"/>
  <c r="F23" i="2" s="1"/>
  <c r="B7" i="2"/>
  <c r="B24" i="2" s="1"/>
  <c r="R12" i="2"/>
  <c r="S12" i="2" s="1"/>
  <c r="R14" i="2"/>
  <c r="S14" i="2" s="1"/>
  <c r="G244" i="7"/>
  <c r="G244" i="5"/>
  <c r="P19" i="2"/>
  <c r="G322" i="7"/>
  <c r="G322" i="4"/>
  <c r="G322" i="5"/>
  <c r="H323" i="7"/>
  <c r="H323" i="4"/>
  <c r="H323" i="5"/>
  <c r="E400" i="7"/>
  <c r="E400" i="4"/>
  <c r="E400" i="5"/>
  <c r="T25" i="2"/>
  <c r="E402" i="7"/>
  <c r="E402" i="4"/>
  <c r="E402" i="5"/>
  <c r="T27" i="2"/>
  <c r="D7" i="3"/>
  <c r="B36" i="3"/>
  <c r="H13" i="4"/>
  <c r="H15" i="4"/>
  <c r="H16" i="4"/>
  <c r="F17" i="4"/>
  <c r="B139" i="4"/>
  <c r="B140" i="4" s="1"/>
  <c r="E165" i="7"/>
  <c r="E165" i="4"/>
  <c r="E165" i="5"/>
  <c r="E244" i="7"/>
  <c r="E244" i="4"/>
  <c r="G324" i="7"/>
  <c r="G324" i="4"/>
  <c r="G324" i="5"/>
  <c r="E325" i="7"/>
  <c r="E325" i="4"/>
  <c r="E325" i="5"/>
  <c r="B39" i="3"/>
  <c r="D12" i="4"/>
  <c r="H12" i="4"/>
  <c r="D19" i="4"/>
  <c r="G19" i="4"/>
  <c r="F21" i="4"/>
  <c r="K110" i="4"/>
  <c r="K268" i="4"/>
  <c r="K349" i="4"/>
  <c r="K424" i="4"/>
  <c r="K660" i="4"/>
  <c r="B691" i="4"/>
  <c r="B692" i="4" s="1"/>
  <c r="G689" i="4"/>
  <c r="K739" i="4"/>
  <c r="O37" i="6"/>
  <c r="B61" i="5"/>
  <c r="N100" i="5"/>
  <c r="H100" i="5" s="1"/>
  <c r="B139" i="5"/>
  <c r="B140" i="5" s="1"/>
  <c r="E244" i="5"/>
  <c r="G21" i="4"/>
  <c r="B58" i="4"/>
  <c r="B298" i="4"/>
  <c r="B299" i="4" s="1"/>
  <c r="G296" i="4"/>
  <c r="K347" i="4"/>
  <c r="K503" i="4"/>
  <c r="B770" i="4"/>
  <c r="B771" i="4" s="1"/>
  <c r="G768" i="4"/>
  <c r="E12" i="5"/>
  <c r="D12" i="5"/>
  <c r="C12" i="5"/>
  <c r="E18" i="5"/>
  <c r="H18" i="5"/>
  <c r="D18" i="5"/>
  <c r="G18" i="5"/>
  <c r="C18" i="5"/>
  <c r="G84" i="5"/>
  <c r="K109" i="5"/>
  <c r="K111" i="5"/>
  <c r="N180" i="5"/>
  <c r="H180" i="5" s="1"/>
  <c r="K269" i="5"/>
  <c r="B298" i="5"/>
  <c r="B299" i="5" s="1"/>
  <c r="G296" i="5"/>
  <c r="K346" i="5"/>
  <c r="K348" i="5"/>
  <c r="H18" i="4"/>
  <c r="D18" i="4"/>
  <c r="G18" i="4"/>
  <c r="C21" i="4"/>
  <c r="K267" i="4"/>
  <c r="K269" i="4"/>
  <c r="K350" i="4"/>
  <c r="K661" i="4"/>
  <c r="K740" i="4"/>
  <c r="K747" i="4"/>
  <c r="K749" i="4"/>
  <c r="F12" i="5"/>
  <c r="F18" i="5"/>
  <c r="K189" i="5"/>
  <c r="B219" i="4"/>
  <c r="B220" i="4" s="1"/>
  <c r="B377" i="4"/>
  <c r="B378" i="4" s="1"/>
  <c r="G375" i="4"/>
  <c r="B455" i="4"/>
  <c r="B456" i="4" s="1"/>
  <c r="G453" i="4"/>
  <c r="B595" i="4"/>
  <c r="B625" i="4" s="1"/>
  <c r="W14" i="4" s="1"/>
  <c r="B624" i="4"/>
  <c r="N573" i="4"/>
  <c r="H573" i="4" s="1"/>
  <c r="N652" i="4"/>
  <c r="H652" i="4" s="1"/>
  <c r="B782" i="4"/>
  <c r="E19" i="5"/>
  <c r="H19" i="5"/>
  <c r="D19" i="5"/>
  <c r="G19" i="5"/>
  <c r="C19" i="5"/>
  <c r="B377" i="5"/>
  <c r="B378" i="5" s="1"/>
  <c r="G375" i="5"/>
  <c r="B753" i="5"/>
  <c r="B783" i="5" s="1"/>
  <c r="W16" i="5" s="1"/>
  <c r="B782" i="5"/>
  <c r="Q15" i="6"/>
  <c r="R15" i="6" s="1"/>
  <c r="H21" i="7" s="1"/>
  <c r="Q6" i="6"/>
  <c r="G12" i="7" s="1"/>
  <c r="D21" i="5"/>
  <c r="K350" i="5"/>
  <c r="K427" i="5"/>
  <c r="K502" i="5"/>
  <c r="G531" i="5"/>
  <c r="N573" i="5"/>
  <c r="H573" i="5" s="1"/>
  <c r="B612" i="5"/>
  <c r="B613" i="5" s="1"/>
  <c r="G610" i="5"/>
  <c r="B674" i="5"/>
  <c r="B704" i="5" s="1"/>
  <c r="W15" i="5" s="1"/>
  <c r="K742" i="5"/>
  <c r="K744" i="5"/>
  <c r="G88" i="7"/>
  <c r="C14" i="7"/>
  <c r="F14" i="7"/>
  <c r="D14" i="7"/>
  <c r="G16" i="7"/>
  <c r="C16" i="7"/>
  <c r="F16" i="7"/>
  <c r="D16" i="7"/>
  <c r="B377" i="7"/>
  <c r="B378" i="7" s="1"/>
  <c r="G375" i="7"/>
  <c r="B595" i="5"/>
  <c r="B625" i="5" s="1"/>
  <c r="W14" i="5" s="1"/>
  <c r="O24" i="6"/>
  <c r="Q28" i="6"/>
  <c r="K426" i="5"/>
  <c r="N652" i="5"/>
  <c r="H652" i="5" s="1"/>
  <c r="B703" i="5"/>
  <c r="N731" i="5"/>
  <c r="H731" i="5" s="1"/>
  <c r="K743" i="5"/>
  <c r="K750" i="5"/>
  <c r="B770" i="5"/>
  <c r="B771" i="5" s="1"/>
  <c r="O10" i="6"/>
  <c r="AE40" i="6"/>
  <c r="AG40" i="6"/>
  <c r="I8" i="6"/>
  <c r="I7" i="6"/>
  <c r="I9" i="6"/>
  <c r="I12" i="6"/>
  <c r="I11" i="6"/>
  <c r="I10" i="6"/>
  <c r="S16" i="6"/>
  <c r="T16" i="6" s="1"/>
  <c r="G16" i="6"/>
  <c r="E92" i="7"/>
  <c r="U25" i="6"/>
  <c r="G18" i="6"/>
  <c r="D19" i="7"/>
  <c r="G19" i="7"/>
  <c r="F21" i="7"/>
  <c r="G90" i="7"/>
  <c r="C13" i="7"/>
  <c r="C15" i="7"/>
  <c r="G17" i="7"/>
  <c r="C17" i="7"/>
  <c r="D12" i="7"/>
  <c r="D13" i="7"/>
  <c r="D15" i="7"/>
  <c r="D17" i="7"/>
  <c r="D18" i="7"/>
  <c r="G18" i="7"/>
  <c r="C21" i="7"/>
  <c r="K188" i="7"/>
  <c r="K270" i="7"/>
  <c r="B298" i="7"/>
  <c r="B299" i="7" s="1"/>
  <c r="K346" i="7"/>
  <c r="K504" i="7"/>
  <c r="K583" i="7"/>
  <c r="K739" i="7"/>
  <c r="B752" i="7" s="1"/>
  <c r="K746" i="7"/>
  <c r="K748" i="7"/>
  <c r="K268" i="7"/>
  <c r="K349" i="7"/>
  <c r="K425" i="7"/>
  <c r="K427" i="7"/>
  <c r="K502" i="7"/>
  <c r="G531" i="7"/>
  <c r="B612" i="7"/>
  <c r="B613" i="7" s="1"/>
  <c r="G610" i="7"/>
  <c r="B674" i="7"/>
  <c r="B704" i="7" s="1"/>
  <c r="K742" i="7"/>
  <c r="K744" i="7"/>
  <c r="K189" i="7"/>
  <c r="K582" i="7"/>
  <c r="B595" i="7"/>
  <c r="B625" i="7" s="1"/>
  <c r="K660" i="7"/>
  <c r="K740" i="7"/>
  <c r="K747" i="7"/>
  <c r="B770" i="7"/>
  <c r="B771" i="7" s="1"/>
  <c r="AP33" i="14" l="1"/>
  <c r="AZ33" i="14" s="1"/>
  <c r="CJ32" i="14" s="1"/>
  <c r="AZ26" i="14"/>
  <c r="CJ25" i="14" s="1"/>
  <c r="G243" i="19"/>
  <c r="G243" i="18"/>
  <c r="G243" i="15"/>
  <c r="G243" i="12"/>
  <c r="G400" i="19"/>
  <c r="G400" i="18"/>
  <c r="G400" i="15"/>
  <c r="G400" i="12"/>
  <c r="H246" i="19"/>
  <c r="H246" i="18"/>
  <c r="H246" i="15"/>
  <c r="H246" i="12"/>
  <c r="AP42" i="17"/>
  <c r="AP4" i="17"/>
  <c r="AP5" i="17"/>
  <c r="AP6" i="17"/>
  <c r="AP7" i="17"/>
  <c r="F34" i="19"/>
  <c r="AP21" i="17"/>
  <c r="U27" i="17"/>
  <c r="AP11" i="17" s="1"/>
  <c r="R27" i="17"/>
  <c r="J34" i="19" s="1"/>
  <c r="S27" i="17"/>
  <c r="T27" i="17" s="1"/>
  <c r="DF32" i="17"/>
  <c r="AZ19" i="17"/>
  <c r="CJ18" i="17" s="1"/>
  <c r="E14" i="15"/>
  <c r="S8" i="14"/>
  <c r="T8" i="14" s="1"/>
  <c r="U8" i="14"/>
  <c r="Q40" i="14" s="1"/>
  <c r="R8" i="14"/>
  <c r="H14" i="15" s="1"/>
  <c r="AP24" i="17"/>
  <c r="AP20" i="17"/>
  <c r="E28" i="19"/>
  <c r="I28" i="19"/>
  <c r="J28" i="19" s="1"/>
  <c r="L28" i="19" s="1"/>
  <c r="N28" i="19" s="1"/>
  <c r="H28" i="19" s="1"/>
  <c r="S14" i="17"/>
  <c r="U14" i="17"/>
  <c r="R14" i="17"/>
  <c r="H84" i="15"/>
  <c r="DB72" i="14"/>
  <c r="AP44" i="17"/>
  <c r="AP45" i="17"/>
  <c r="Q41" i="17"/>
  <c r="AP47" i="14"/>
  <c r="AZ43" i="14"/>
  <c r="CJ42" i="14" s="1"/>
  <c r="AZ48" i="14"/>
  <c r="CJ47" i="14" s="1"/>
  <c r="AP50" i="14"/>
  <c r="DF62" i="17"/>
  <c r="AZ31" i="17"/>
  <c r="CJ30" i="17" s="1"/>
  <c r="DF70" i="17"/>
  <c r="AZ37" i="17"/>
  <c r="CJ36" i="17" s="1"/>
  <c r="H12" i="12"/>
  <c r="O35" i="11"/>
  <c r="DC38" i="11"/>
  <c r="AP23" i="11"/>
  <c r="AZ23" i="11" s="1"/>
  <c r="CJ22" i="11" s="1"/>
  <c r="R8" i="11"/>
  <c r="H14" i="12" s="1"/>
  <c r="E14" i="12"/>
  <c r="U8" i="11"/>
  <c r="Q40" i="11" s="1"/>
  <c r="S8" i="11"/>
  <c r="T8" i="11" s="1"/>
  <c r="AP35" i="11"/>
  <c r="AZ35" i="11" s="1"/>
  <c r="CJ34" i="11" s="1"/>
  <c r="AZ28" i="11"/>
  <c r="CJ27" i="11" s="1"/>
  <c r="AP44" i="16"/>
  <c r="AP45" i="16"/>
  <c r="G24" i="11"/>
  <c r="H35" i="11"/>
  <c r="B133" i="12" s="1"/>
  <c r="B145" i="12" s="1"/>
  <c r="B147" i="12" s="1"/>
  <c r="B146" i="12" s="1"/>
  <c r="D59" i="14"/>
  <c r="C59" i="14"/>
  <c r="AP45" i="11"/>
  <c r="AZ45" i="11" s="1"/>
  <c r="CJ44" i="11" s="1"/>
  <c r="AP44" i="11"/>
  <c r="AZ44" i="11" s="1"/>
  <c r="CJ43" i="11" s="1"/>
  <c r="G244" i="19"/>
  <c r="G244" i="18"/>
  <c r="G244" i="15"/>
  <c r="G244" i="12"/>
  <c r="Q18" i="2"/>
  <c r="R27" i="2"/>
  <c r="S27" i="2" s="1"/>
  <c r="G244" i="4"/>
  <c r="F25" i="2"/>
  <c r="G402" i="19"/>
  <c r="G402" i="18"/>
  <c r="G402" i="15"/>
  <c r="G402" i="12"/>
  <c r="P6" i="1"/>
  <c r="P19" i="1"/>
  <c r="Q19" i="1" s="1"/>
  <c r="C27" i="17"/>
  <c r="Q40" i="17"/>
  <c r="E14" i="19"/>
  <c r="S8" i="17"/>
  <c r="T8" i="17" s="1"/>
  <c r="U8" i="17"/>
  <c r="AP10" i="17" s="1"/>
  <c r="R8" i="17"/>
  <c r="H14" i="19" s="1"/>
  <c r="O40" i="14"/>
  <c r="T6" i="14"/>
  <c r="AP23" i="14"/>
  <c r="AZ23" i="14" s="1"/>
  <c r="CJ22" i="14" s="1"/>
  <c r="J108" i="15"/>
  <c r="J33" i="15"/>
  <c r="G37" i="2"/>
  <c r="B37" i="2" s="1"/>
  <c r="B20" i="2"/>
  <c r="H12" i="18"/>
  <c r="DF32" i="16"/>
  <c r="AZ19" i="16"/>
  <c r="CJ18" i="16" s="1"/>
  <c r="DF73" i="17"/>
  <c r="AZ40" i="17"/>
  <c r="CJ39" i="17" s="1"/>
  <c r="AP31" i="16"/>
  <c r="AP4" i="11"/>
  <c r="O27" i="11"/>
  <c r="H84" i="12"/>
  <c r="DB72" i="11"/>
  <c r="T26" i="16"/>
  <c r="C35" i="11"/>
  <c r="AP9" i="11"/>
  <c r="AZ9" i="11" s="1"/>
  <c r="CJ8" i="11" s="1"/>
  <c r="B55" i="12"/>
  <c r="B51" i="12"/>
  <c r="B58" i="12" s="1"/>
  <c r="C59" i="6"/>
  <c r="D59" i="6"/>
  <c r="C35" i="16"/>
  <c r="C58" i="16"/>
  <c r="D58" i="16" s="1"/>
  <c r="AP9" i="16"/>
  <c r="B51" i="18"/>
  <c r="B58" i="18" s="1"/>
  <c r="AP50" i="11"/>
  <c r="AZ48" i="11"/>
  <c r="CJ47" i="11" s="1"/>
  <c r="DF37" i="16"/>
  <c r="AZ23" i="16"/>
  <c r="CJ22" i="16" s="1"/>
  <c r="AP27" i="16"/>
  <c r="AP43" i="16"/>
  <c r="AP28" i="16"/>
  <c r="AP26" i="16"/>
  <c r="F109" i="18"/>
  <c r="AP38" i="16"/>
  <c r="S28" i="16"/>
  <c r="T28" i="16" s="1"/>
  <c r="U28" i="16"/>
  <c r="AP32" i="16" s="1"/>
  <c r="R28" i="16"/>
  <c r="J109" i="18" s="1"/>
  <c r="B121" i="18" s="1"/>
  <c r="DF73" i="16"/>
  <c r="AZ40" i="16"/>
  <c r="CJ39" i="16" s="1"/>
  <c r="C27" i="11"/>
  <c r="T6" i="11"/>
  <c r="O40" i="11"/>
  <c r="F109" i="12"/>
  <c r="AP27" i="11"/>
  <c r="AP38" i="11"/>
  <c r="AZ38" i="11" s="1"/>
  <c r="CJ37" i="11" s="1"/>
  <c r="S28" i="11"/>
  <c r="T28" i="11" s="1"/>
  <c r="R28" i="11"/>
  <c r="J109" i="12" s="1"/>
  <c r="U28" i="11"/>
  <c r="AP32" i="11" s="1"/>
  <c r="AZ32" i="11" s="1"/>
  <c r="CJ31" i="11" s="1"/>
  <c r="AP31" i="11"/>
  <c r="AZ31" i="11" s="1"/>
  <c r="CJ30" i="11" s="1"/>
  <c r="J33" i="18"/>
  <c r="J108" i="18"/>
  <c r="S14" i="11"/>
  <c r="R14" i="11"/>
  <c r="AP20" i="11"/>
  <c r="AZ20" i="11" s="1"/>
  <c r="CJ19" i="11" s="1"/>
  <c r="I28" i="12"/>
  <c r="J28" i="12" s="1"/>
  <c r="L28" i="12" s="1"/>
  <c r="N28" i="12" s="1"/>
  <c r="H28" i="12" s="1"/>
  <c r="E28" i="12"/>
  <c r="U14" i="11"/>
  <c r="AP24" i="11"/>
  <c r="AZ24" i="11" s="1"/>
  <c r="CJ23" i="11" s="1"/>
  <c r="AP7" i="11"/>
  <c r="C59" i="17"/>
  <c r="D59" i="17"/>
  <c r="H165" i="18"/>
  <c r="H165" i="19"/>
  <c r="H165" i="15"/>
  <c r="H165" i="12"/>
  <c r="G24" i="16"/>
  <c r="H35" i="16"/>
  <c r="B133" i="18" s="1"/>
  <c r="B145" i="18" s="1"/>
  <c r="B147" i="18" s="1"/>
  <c r="B146" i="18" s="1"/>
  <c r="AP43" i="11"/>
  <c r="T26" i="11"/>
  <c r="H325" i="18"/>
  <c r="B359" i="18" s="1"/>
  <c r="H325" i="19"/>
  <c r="B359" i="19" s="1"/>
  <c r="H325" i="15"/>
  <c r="B359" i="15" s="1"/>
  <c r="H325" i="12"/>
  <c r="B359" i="12" s="1"/>
  <c r="F13" i="2"/>
  <c r="H401" i="19"/>
  <c r="H401" i="18"/>
  <c r="H401" i="15"/>
  <c r="H401" i="12"/>
  <c r="G478" i="19"/>
  <c r="G478" i="18"/>
  <c r="G479" i="18"/>
  <c r="G479" i="19"/>
  <c r="G479" i="15"/>
  <c r="G478" i="15"/>
  <c r="G479" i="12"/>
  <c r="G478" i="12"/>
  <c r="O35" i="17"/>
  <c r="H12" i="19"/>
  <c r="AO60" i="17"/>
  <c r="O27" i="14"/>
  <c r="AP10" i="14"/>
  <c r="AZ10" i="14" s="1"/>
  <c r="CJ9" i="14" s="1"/>
  <c r="G24" i="17"/>
  <c r="H35" i="17"/>
  <c r="B133" i="19" s="1"/>
  <c r="B145" i="19" s="1"/>
  <c r="B147" i="19" s="1"/>
  <c r="B146" i="19" s="1"/>
  <c r="I28" i="15"/>
  <c r="J28" i="15" s="1"/>
  <c r="L28" i="15" s="1"/>
  <c r="N28" i="15" s="1"/>
  <c r="H28" i="15" s="1"/>
  <c r="E28" i="15"/>
  <c r="S14" i="14"/>
  <c r="R14" i="14"/>
  <c r="U14" i="14"/>
  <c r="AP24" i="14"/>
  <c r="AZ24" i="14" s="1"/>
  <c r="CJ23" i="14" s="1"/>
  <c r="AP20" i="14"/>
  <c r="AZ20" i="14" s="1"/>
  <c r="CJ19" i="14" s="1"/>
  <c r="C58" i="14"/>
  <c r="D58" i="14" s="1"/>
  <c r="B51" i="15"/>
  <c r="B58" i="15" s="1"/>
  <c r="C35" i="14"/>
  <c r="AP9" i="14"/>
  <c r="AZ9" i="14" s="1"/>
  <c r="CJ8" i="14" s="1"/>
  <c r="AZ28" i="14"/>
  <c r="CJ27" i="14" s="1"/>
  <c r="AP35" i="14"/>
  <c r="AZ35" i="14" s="1"/>
  <c r="CJ34" i="14" s="1"/>
  <c r="F109" i="15"/>
  <c r="U28" i="14"/>
  <c r="AP32" i="14" s="1"/>
  <c r="AZ32" i="14" s="1"/>
  <c r="CJ31" i="14" s="1"/>
  <c r="S28" i="14"/>
  <c r="T28" i="14" s="1"/>
  <c r="AP38" i="14"/>
  <c r="AZ38" i="14" s="1"/>
  <c r="CJ37" i="14" s="1"/>
  <c r="R28" i="14"/>
  <c r="J109" i="15" s="1"/>
  <c r="AP27" i="14"/>
  <c r="AP55" i="14" s="1"/>
  <c r="J33" i="19"/>
  <c r="J108" i="19"/>
  <c r="B121" i="19" s="1"/>
  <c r="T26" i="14"/>
  <c r="G245" i="19"/>
  <c r="G245" i="18"/>
  <c r="G245" i="15"/>
  <c r="G245" i="12"/>
  <c r="G164" i="19"/>
  <c r="G164" i="18"/>
  <c r="G164" i="15"/>
  <c r="G164" i="12"/>
  <c r="P17" i="1"/>
  <c r="Q17" i="1" s="1"/>
  <c r="AP40" i="6"/>
  <c r="DF73" i="6" s="1"/>
  <c r="O40" i="17"/>
  <c r="T6" i="17"/>
  <c r="AP23" i="17"/>
  <c r="AP4" i="14"/>
  <c r="H12" i="15"/>
  <c r="O35" i="14"/>
  <c r="DC38" i="14"/>
  <c r="AP19" i="14"/>
  <c r="AZ19" i="14" s="1"/>
  <c r="CJ18" i="14" s="1"/>
  <c r="C35" i="17"/>
  <c r="C58" i="17"/>
  <c r="D58" i="17" s="1"/>
  <c r="AP9" i="17"/>
  <c r="B51" i="19"/>
  <c r="B58" i="19" s="1"/>
  <c r="H35" i="14"/>
  <c r="B133" i="15" s="1"/>
  <c r="B145" i="15" s="1"/>
  <c r="B147" i="15" s="1"/>
  <c r="B146" i="15" s="1"/>
  <c r="G24" i="14"/>
  <c r="AP31" i="14"/>
  <c r="AZ31" i="14" s="1"/>
  <c r="CJ30" i="14" s="1"/>
  <c r="C60" i="17"/>
  <c r="T26" i="17"/>
  <c r="O41" i="17"/>
  <c r="AP50" i="17"/>
  <c r="DF77" i="17"/>
  <c r="AZ48" i="17"/>
  <c r="CJ47" i="17" s="1"/>
  <c r="AP45" i="14"/>
  <c r="AZ45" i="14" s="1"/>
  <c r="CJ44" i="14" s="1"/>
  <c r="AP44" i="14"/>
  <c r="AZ44" i="14" s="1"/>
  <c r="CJ43" i="14" s="1"/>
  <c r="O37" i="17"/>
  <c r="O37" i="16"/>
  <c r="O37" i="14"/>
  <c r="O37" i="11"/>
  <c r="N37" i="1"/>
  <c r="O40" i="16"/>
  <c r="T6" i="16"/>
  <c r="O27" i="16"/>
  <c r="E14" i="18"/>
  <c r="U8" i="16"/>
  <c r="AP10" i="16" s="1"/>
  <c r="S8" i="16"/>
  <c r="T8" i="16" s="1"/>
  <c r="R8" i="16"/>
  <c r="H14" i="18" s="1"/>
  <c r="AP43" i="17"/>
  <c r="AP26" i="17"/>
  <c r="AP27" i="17"/>
  <c r="AP28" i="17"/>
  <c r="F109" i="19"/>
  <c r="AP38" i="17"/>
  <c r="R28" i="17"/>
  <c r="J109" i="19" s="1"/>
  <c r="U28" i="17"/>
  <c r="AP32" i="17" s="1"/>
  <c r="S28" i="17"/>
  <c r="T28" i="17" s="1"/>
  <c r="DF70" i="16"/>
  <c r="AZ37" i="16"/>
  <c r="CJ36" i="16" s="1"/>
  <c r="AP6" i="11"/>
  <c r="AP19" i="11"/>
  <c r="AZ19" i="11" s="1"/>
  <c r="CJ18" i="11" s="1"/>
  <c r="AZ26" i="11"/>
  <c r="CJ25" i="11" s="1"/>
  <c r="AP33" i="11"/>
  <c r="AZ33" i="11" s="1"/>
  <c r="CJ32" i="11" s="1"/>
  <c r="AP50" i="16"/>
  <c r="DF77" i="16"/>
  <c r="AZ48" i="16"/>
  <c r="CJ47" i="16" s="1"/>
  <c r="D59" i="16"/>
  <c r="C59" i="16"/>
  <c r="R9" i="2"/>
  <c r="S9" i="2" s="1"/>
  <c r="AP20" i="16"/>
  <c r="AP24" i="16"/>
  <c r="E28" i="18"/>
  <c r="I28" i="18"/>
  <c r="J28" i="18" s="1"/>
  <c r="L28" i="18" s="1"/>
  <c r="N28" i="18" s="1"/>
  <c r="H28" i="18" s="1"/>
  <c r="R14" i="16"/>
  <c r="U14" i="16"/>
  <c r="S14" i="16"/>
  <c r="AP42" i="11"/>
  <c r="J33" i="12"/>
  <c r="J108" i="12"/>
  <c r="AP50" i="6"/>
  <c r="DF77" i="6"/>
  <c r="C34" i="6"/>
  <c r="C58" i="6" s="1"/>
  <c r="D58" i="6" s="1"/>
  <c r="C8" i="6"/>
  <c r="AP37" i="6"/>
  <c r="DF70" i="6" s="1"/>
  <c r="DK70" i="6" s="1"/>
  <c r="AP19" i="6"/>
  <c r="DF32" i="6" s="1"/>
  <c r="C24" i="6"/>
  <c r="I33" i="7"/>
  <c r="Q17" i="6"/>
  <c r="G84" i="7" s="1"/>
  <c r="AZ40" i="6"/>
  <c r="CJ39" i="6" s="1"/>
  <c r="U20" i="6"/>
  <c r="S20" i="6"/>
  <c r="T20" i="6" s="1"/>
  <c r="U9" i="6"/>
  <c r="Q9" i="6"/>
  <c r="R9" i="6" s="1"/>
  <c r="H15" i="7" s="1"/>
  <c r="Q20" i="6"/>
  <c r="G87" i="7" s="1"/>
  <c r="O8" i="6"/>
  <c r="Q8" i="6"/>
  <c r="G14" i="7" s="1"/>
  <c r="Q19" i="6"/>
  <c r="G86" i="7" s="1"/>
  <c r="R26" i="6"/>
  <c r="J108" i="7" s="1"/>
  <c r="Q27" i="6"/>
  <c r="I34" i="7" s="1"/>
  <c r="Q18" i="6"/>
  <c r="G85" i="7" s="1"/>
  <c r="AZ48" i="6"/>
  <c r="CJ47" i="6" s="1"/>
  <c r="D33" i="8"/>
  <c r="S9" i="6"/>
  <c r="T9" i="6" s="1"/>
  <c r="S25" i="6"/>
  <c r="T25" i="6" s="1"/>
  <c r="G21" i="7"/>
  <c r="N28" i="5"/>
  <c r="H28" i="5" s="1"/>
  <c r="R10" i="6"/>
  <c r="T9" i="1"/>
  <c r="P40" i="1" s="1"/>
  <c r="R9" i="1"/>
  <c r="S9" i="1" s="1"/>
  <c r="N27" i="1"/>
  <c r="T27" i="1" s="1"/>
  <c r="P41" i="1" s="1"/>
  <c r="D4" i="3"/>
  <c r="B25" i="2"/>
  <c r="B33" i="3"/>
  <c r="F21" i="2"/>
  <c r="H16" i="7"/>
  <c r="O21" i="6"/>
  <c r="G245" i="7"/>
  <c r="G245" i="4"/>
  <c r="G245" i="5"/>
  <c r="Q19" i="2"/>
  <c r="H86" i="5"/>
  <c r="G28" i="4"/>
  <c r="H86" i="4"/>
  <c r="B359" i="5"/>
  <c r="G400" i="7"/>
  <c r="G400" i="4"/>
  <c r="G400" i="5"/>
  <c r="Q25" i="2"/>
  <c r="G478" i="7"/>
  <c r="G479" i="7"/>
  <c r="G478" i="5"/>
  <c r="G479" i="5"/>
  <c r="G478" i="4"/>
  <c r="G479" i="4"/>
  <c r="Q28" i="2"/>
  <c r="G137" i="4"/>
  <c r="B359" i="7"/>
  <c r="B44" i="3"/>
  <c r="D24" i="3"/>
  <c r="E86" i="7"/>
  <c r="S19" i="6"/>
  <c r="T19" i="6" s="1"/>
  <c r="U19" i="6"/>
  <c r="O13" i="6"/>
  <c r="B35" i="3"/>
  <c r="F17" i="2"/>
  <c r="D6" i="3"/>
  <c r="F19" i="2"/>
  <c r="F18" i="2"/>
  <c r="N42" i="1"/>
  <c r="S14" i="1"/>
  <c r="G243" i="7"/>
  <c r="G243" i="4"/>
  <c r="G243" i="5"/>
  <c r="Q17" i="2"/>
  <c r="B66" i="7"/>
  <c r="B68" i="7" s="1"/>
  <c r="B67" i="7" s="1"/>
  <c r="H34" i="6"/>
  <c r="B54" i="7" s="1"/>
  <c r="O14" i="6"/>
  <c r="H85" i="5"/>
  <c r="H85" i="4"/>
  <c r="G164" i="7"/>
  <c r="G164" i="4"/>
  <c r="G164" i="5"/>
  <c r="Q15" i="2"/>
  <c r="G402" i="7"/>
  <c r="G402" i="5"/>
  <c r="G402" i="4"/>
  <c r="Q27" i="2"/>
  <c r="G14" i="5"/>
  <c r="Q8" i="1"/>
  <c r="H14" i="5" s="1"/>
  <c r="H246" i="7"/>
  <c r="H246" i="5"/>
  <c r="H246" i="4"/>
  <c r="O11" i="6"/>
  <c r="H4" i="6"/>
  <c r="E91" i="7"/>
  <c r="U24" i="6"/>
  <c r="R24" i="6"/>
  <c r="H91" i="7" s="1"/>
  <c r="S24" i="6"/>
  <c r="T24" i="6" s="1"/>
  <c r="G24" i="6"/>
  <c r="H35" i="6"/>
  <c r="B133" i="7" s="1"/>
  <c r="B145" i="7" s="1"/>
  <c r="B147" i="7" s="1"/>
  <c r="B146" i="7" s="1"/>
  <c r="B121" i="4"/>
  <c r="G21" i="5"/>
  <c r="Q15" i="1"/>
  <c r="H21" i="5" s="1"/>
  <c r="O22" i="6"/>
  <c r="O12" i="6"/>
  <c r="S10" i="6"/>
  <c r="T10" i="6" s="1"/>
  <c r="U10" i="6"/>
  <c r="E16" i="7"/>
  <c r="B121" i="5"/>
  <c r="S6" i="1"/>
  <c r="G15" i="5"/>
  <c r="Q9" i="1"/>
  <c r="H15" i="5" s="1"/>
  <c r="B753" i="7"/>
  <c r="B783" i="7" s="1"/>
  <c r="B782" i="7"/>
  <c r="O23" i="6"/>
  <c r="I109" i="7"/>
  <c r="G92" i="7"/>
  <c r="R25" i="6"/>
  <c r="B60" i="4"/>
  <c r="B61" i="4" s="1"/>
  <c r="B8" i="2"/>
  <c r="G35" i="2" s="1"/>
  <c r="B38" i="3"/>
  <c r="F108" i="7"/>
  <c r="S26" i="6"/>
  <c r="F33" i="7"/>
  <c r="U26" i="6"/>
  <c r="B359" i="4"/>
  <c r="H401" i="7"/>
  <c r="H401" i="5"/>
  <c r="H401" i="4"/>
  <c r="F22" i="2"/>
  <c r="G13" i="5"/>
  <c r="Q7" i="1"/>
  <c r="H13" i="5" s="1"/>
  <c r="B360" i="15" l="1"/>
  <c r="B390" i="15" s="1"/>
  <c r="B389" i="15"/>
  <c r="B389" i="19"/>
  <c r="B360" i="19"/>
  <c r="B390" i="19" s="1"/>
  <c r="AZ10" i="17"/>
  <c r="CJ9" i="17" s="1"/>
  <c r="DF29" i="17"/>
  <c r="B122" i="19"/>
  <c r="B360" i="18"/>
  <c r="B390" i="18" s="1"/>
  <c r="B389" i="18"/>
  <c r="B389" i="12"/>
  <c r="B360" i="12"/>
  <c r="B390" i="12" s="1"/>
  <c r="AP46" i="11"/>
  <c r="AZ42" i="11"/>
  <c r="CJ41" i="11" s="1"/>
  <c r="AP47" i="17"/>
  <c r="DF56" i="17"/>
  <c r="DF59" i="17"/>
  <c r="AZ43" i="17"/>
  <c r="CJ42" i="17" s="1"/>
  <c r="DF57" i="17"/>
  <c r="AP55" i="17"/>
  <c r="DF58" i="17"/>
  <c r="G58" i="15"/>
  <c r="B60" i="15"/>
  <c r="AP12" i="11"/>
  <c r="AZ12" i="11" s="1"/>
  <c r="CJ11" i="11" s="1"/>
  <c r="Q42" i="11"/>
  <c r="T14" i="16"/>
  <c r="O42" i="16"/>
  <c r="AP16" i="11"/>
  <c r="AZ6" i="11"/>
  <c r="AP35" i="17"/>
  <c r="DF53" i="17"/>
  <c r="DF54" i="17"/>
  <c r="DF55" i="17"/>
  <c r="DF52" i="17"/>
  <c r="AZ28" i="17"/>
  <c r="CJ27" i="17" s="1"/>
  <c r="B60" i="19"/>
  <c r="B61" i="19" s="1"/>
  <c r="AZ4" i="14"/>
  <c r="AP14" i="14"/>
  <c r="F34" i="15"/>
  <c r="AP21" i="14"/>
  <c r="AZ21" i="14" s="1"/>
  <c r="CJ20" i="14" s="1"/>
  <c r="S27" i="14"/>
  <c r="U27" i="14"/>
  <c r="R27" i="14"/>
  <c r="J34" i="15" s="1"/>
  <c r="AP5" i="14"/>
  <c r="AP55" i="11"/>
  <c r="AZ43" i="11"/>
  <c r="CJ42" i="11" s="1"/>
  <c r="AP47" i="11"/>
  <c r="O42" i="11"/>
  <c r="T14" i="11"/>
  <c r="AP34" i="11"/>
  <c r="AZ34" i="11" s="1"/>
  <c r="CJ33" i="11" s="1"/>
  <c r="AZ27" i="11"/>
  <c r="CJ26" i="11" s="1"/>
  <c r="DF63" i="16"/>
  <c r="AZ32" i="16"/>
  <c r="CJ31" i="16" s="1"/>
  <c r="AP33" i="16"/>
  <c r="DF46" i="16"/>
  <c r="DF45" i="16"/>
  <c r="DF47" i="16"/>
  <c r="DF44" i="16"/>
  <c r="AZ26" i="16"/>
  <c r="CJ25" i="16" s="1"/>
  <c r="B60" i="12"/>
  <c r="B61" i="12" s="1"/>
  <c r="AP14" i="11"/>
  <c r="AZ4" i="11"/>
  <c r="DF75" i="16"/>
  <c r="AZ44" i="16"/>
  <c r="CJ43" i="16" s="1"/>
  <c r="AZ50" i="14"/>
  <c r="CJ49" i="14" s="1"/>
  <c r="AP49" i="14"/>
  <c r="AZ49" i="14" s="1"/>
  <c r="CJ48" i="14" s="1"/>
  <c r="T14" i="17"/>
  <c r="O42" i="17"/>
  <c r="DF36" i="17"/>
  <c r="AZ24" i="17"/>
  <c r="CJ23" i="17" s="1"/>
  <c r="AP14" i="17"/>
  <c r="DF38" i="17" s="1"/>
  <c r="AZ4" i="17"/>
  <c r="DF8" i="17"/>
  <c r="DF6" i="17"/>
  <c r="DF7" i="17"/>
  <c r="DF5" i="17"/>
  <c r="AZ10" i="16"/>
  <c r="CJ9" i="16" s="1"/>
  <c r="DF29" i="16"/>
  <c r="H400" i="18"/>
  <c r="H400" i="19"/>
  <c r="H400" i="15"/>
  <c r="B437" i="15" s="1"/>
  <c r="H400" i="12"/>
  <c r="H245" i="19"/>
  <c r="H245" i="18"/>
  <c r="H245" i="15"/>
  <c r="H245" i="12"/>
  <c r="AP49" i="17"/>
  <c r="DF79" i="17"/>
  <c r="AZ50" i="17"/>
  <c r="CJ49" i="17" s="1"/>
  <c r="B60" i="17"/>
  <c r="AP12" i="16"/>
  <c r="Q42" i="16"/>
  <c r="AP4" i="16"/>
  <c r="AP5" i="16"/>
  <c r="AP7" i="16"/>
  <c r="AP42" i="16"/>
  <c r="AP6" i="16"/>
  <c r="F34" i="18"/>
  <c r="AP21" i="16"/>
  <c r="U27" i="16"/>
  <c r="S27" i="16"/>
  <c r="R27" i="16"/>
  <c r="J34" i="18" s="1"/>
  <c r="DF28" i="17"/>
  <c r="AZ9" i="17"/>
  <c r="CJ8" i="17" s="1"/>
  <c r="AZ23" i="17"/>
  <c r="CJ22" i="17" s="1"/>
  <c r="DF37" i="17"/>
  <c r="AZ27" i="14"/>
  <c r="CJ26" i="14" s="1"/>
  <c r="AP34" i="14"/>
  <c r="AZ34" i="14" s="1"/>
  <c r="CJ33" i="14" s="1"/>
  <c r="AP6" i="14"/>
  <c r="AP17" i="11"/>
  <c r="AZ7" i="11"/>
  <c r="AP35" i="16"/>
  <c r="DF52" i="16"/>
  <c r="DF53" i="16"/>
  <c r="AZ28" i="16"/>
  <c r="CJ27" i="16" s="1"/>
  <c r="DF54" i="16"/>
  <c r="DF55" i="16"/>
  <c r="AP49" i="11"/>
  <c r="AZ49" i="11" s="1"/>
  <c r="CJ48" i="11" s="1"/>
  <c r="AZ50" i="11"/>
  <c r="CJ49" i="11" s="1"/>
  <c r="AP30" i="16"/>
  <c r="B130" i="18"/>
  <c r="B121" i="12"/>
  <c r="DF62" i="16"/>
  <c r="AZ31" i="16"/>
  <c r="CJ30" i="16" s="1"/>
  <c r="G217" i="18"/>
  <c r="G217" i="19"/>
  <c r="G217" i="15"/>
  <c r="G217" i="12"/>
  <c r="G217" i="4"/>
  <c r="G217" i="7"/>
  <c r="G217" i="5"/>
  <c r="AP42" i="14"/>
  <c r="B121" i="15"/>
  <c r="AP17" i="17"/>
  <c r="DF41" i="17" s="1"/>
  <c r="DF18" i="17"/>
  <c r="AZ7" i="17"/>
  <c r="DF19" i="17"/>
  <c r="DF20" i="17"/>
  <c r="DF17" i="17"/>
  <c r="AP46" i="17"/>
  <c r="DF21" i="17"/>
  <c r="DF24" i="17"/>
  <c r="DF22" i="17"/>
  <c r="AZ42" i="17"/>
  <c r="CJ41" i="17" s="1"/>
  <c r="DF23" i="17"/>
  <c r="AP54" i="17"/>
  <c r="AP30" i="17"/>
  <c r="B130" i="19"/>
  <c r="B137" i="19" s="1"/>
  <c r="AP49" i="16"/>
  <c r="DF79" i="16"/>
  <c r="AZ50" i="16"/>
  <c r="CJ49" i="16" s="1"/>
  <c r="AZ32" i="17"/>
  <c r="CJ31" i="17" s="1"/>
  <c r="DF63" i="17"/>
  <c r="D60" i="17"/>
  <c r="Q42" i="14"/>
  <c r="AP12" i="14"/>
  <c r="AZ12" i="14" s="1"/>
  <c r="CJ11" i="14" s="1"/>
  <c r="H402" i="18"/>
  <c r="H402" i="19"/>
  <c r="H402" i="15"/>
  <c r="H402" i="12"/>
  <c r="H164" i="19"/>
  <c r="B201" i="19" s="1"/>
  <c r="H164" i="18"/>
  <c r="B201" i="18" s="1"/>
  <c r="H164" i="15"/>
  <c r="B201" i="15" s="1"/>
  <c r="H164" i="12"/>
  <c r="B201" i="12" s="1"/>
  <c r="H478" i="19"/>
  <c r="H478" i="18"/>
  <c r="B515" i="18" s="1"/>
  <c r="H479" i="19"/>
  <c r="H479" i="18"/>
  <c r="H479" i="15"/>
  <c r="H478" i="15"/>
  <c r="H478" i="12"/>
  <c r="H479" i="12"/>
  <c r="B515" i="12" s="1"/>
  <c r="AZ24" i="16"/>
  <c r="CJ23" i="16" s="1"/>
  <c r="DF36" i="16"/>
  <c r="AP34" i="17"/>
  <c r="DF50" i="17"/>
  <c r="DF51" i="17"/>
  <c r="DF49" i="17"/>
  <c r="AZ27" i="17"/>
  <c r="CJ26" i="17" s="1"/>
  <c r="DF48" i="17"/>
  <c r="AP7" i="14"/>
  <c r="G28" i="15"/>
  <c r="B42" i="15" s="1"/>
  <c r="R31" i="14"/>
  <c r="H243" i="19"/>
  <c r="H243" i="18"/>
  <c r="B280" i="18" s="1"/>
  <c r="H243" i="15"/>
  <c r="H243" i="12"/>
  <c r="G28" i="18"/>
  <c r="B42" i="18" s="1"/>
  <c r="R31" i="16"/>
  <c r="DF33" i="16"/>
  <c r="AZ20" i="16"/>
  <c r="CJ19" i="16" s="1"/>
  <c r="DF71" i="17"/>
  <c r="AZ38" i="17"/>
  <c r="CJ37" i="17" s="1"/>
  <c r="AP33" i="17"/>
  <c r="DF45" i="17"/>
  <c r="DF46" i="17"/>
  <c r="DF47" i="17"/>
  <c r="DF44" i="17"/>
  <c r="AZ26" i="17"/>
  <c r="CJ25" i="17" s="1"/>
  <c r="D60" i="14"/>
  <c r="AP30" i="14"/>
  <c r="AZ30" i="14" s="1"/>
  <c r="CJ29" i="14" s="1"/>
  <c r="B130" i="15"/>
  <c r="B137" i="15" s="1"/>
  <c r="G137" i="15" s="1"/>
  <c r="T14" i="14"/>
  <c r="O42" i="14"/>
  <c r="DF71" i="16"/>
  <c r="AZ38" i="16"/>
  <c r="CJ37" i="16" s="1"/>
  <c r="AP47" i="16"/>
  <c r="AZ43" i="16"/>
  <c r="CJ42" i="16" s="1"/>
  <c r="DF56" i="16"/>
  <c r="AP55" i="16"/>
  <c r="DF58" i="16"/>
  <c r="DF59" i="16"/>
  <c r="DF57" i="16"/>
  <c r="Q40" i="16"/>
  <c r="B60" i="18"/>
  <c r="B61" i="18" s="1"/>
  <c r="D60" i="16"/>
  <c r="AP10" i="11"/>
  <c r="AZ10" i="11" s="1"/>
  <c r="CJ9" i="11" s="1"/>
  <c r="O35" i="16"/>
  <c r="Q6" i="1"/>
  <c r="H12" i="5" s="1"/>
  <c r="G12" i="5"/>
  <c r="H244" i="19"/>
  <c r="H244" i="18"/>
  <c r="H244" i="15"/>
  <c r="H244" i="12"/>
  <c r="H244" i="5"/>
  <c r="H244" i="4"/>
  <c r="H244" i="7"/>
  <c r="AZ45" i="17"/>
  <c r="CJ44" i="17" s="1"/>
  <c r="DF76" i="17"/>
  <c r="G28" i="19"/>
  <c r="B42" i="19" s="1"/>
  <c r="R31" i="17"/>
  <c r="AZ11" i="17"/>
  <c r="CJ10" i="17" s="1"/>
  <c r="DF30" i="17"/>
  <c r="AP16" i="17"/>
  <c r="DF40" i="17" s="1"/>
  <c r="AZ6" i="17"/>
  <c r="DF13" i="17"/>
  <c r="DF16" i="17"/>
  <c r="DF14" i="17"/>
  <c r="DF15" i="17"/>
  <c r="G28" i="12"/>
  <c r="B42" i="12" s="1"/>
  <c r="R31" i="11"/>
  <c r="B122" i="18"/>
  <c r="AP34" i="16"/>
  <c r="AZ27" i="16"/>
  <c r="CJ26" i="16" s="1"/>
  <c r="DF49" i="16"/>
  <c r="DF51" i="16"/>
  <c r="DF48" i="16"/>
  <c r="DF50" i="16"/>
  <c r="AZ9" i="16"/>
  <c r="CJ8" i="16" s="1"/>
  <c r="DF28" i="16"/>
  <c r="B130" i="12"/>
  <c r="B137" i="12" s="1"/>
  <c r="B134" i="12"/>
  <c r="AP30" i="11"/>
  <c r="AZ30" i="11" s="1"/>
  <c r="CJ29" i="11" s="1"/>
  <c r="C60" i="16"/>
  <c r="F34" i="12"/>
  <c r="AP21" i="11"/>
  <c r="AZ21" i="11" s="1"/>
  <c r="CJ20" i="11" s="1"/>
  <c r="S27" i="11"/>
  <c r="R27" i="11"/>
  <c r="J34" i="12" s="1"/>
  <c r="AP5" i="11"/>
  <c r="AP54" i="11" s="1"/>
  <c r="U27" i="11"/>
  <c r="DF76" i="16"/>
  <c r="AZ45" i="16"/>
  <c r="CJ44" i="16" s="1"/>
  <c r="AP57" i="14"/>
  <c r="AZ47" i="14"/>
  <c r="CJ46" i="14" s="1"/>
  <c r="DF75" i="17"/>
  <c r="AZ44" i="17"/>
  <c r="CJ43" i="17" s="1"/>
  <c r="AP12" i="17"/>
  <c r="Q42" i="17"/>
  <c r="DF33" i="17"/>
  <c r="AZ20" i="17"/>
  <c r="CJ19" i="17" s="1"/>
  <c r="AP60" i="17"/>
  <c r="AZ21" i="17"/>
  <c r="CJ20" i="17" s="1"/>
  <c r="DF34" i="17"/>
  <c r="AP15" i="17"/>
  <c r="DF39" i="17" s="1"/>
  <c r="DF12" i="17"/>
  <c r="DF9" i="17"/>
  <c r="DF10" i="17"/>
  <c r="AZ5" i="17"/>
  <c r="DF11" i="17"/>
  <c r="AP24" i="6"/>
  <c r="DF36" i="6" s="1"/>
  <c r="AP20" i="6"/>
  <c r="DF33" i="6" s="1"/>
  <c r="B25" i="8"/>
  <c r="AP49" i="6"/>
  <c r="DF78" i="6" s="1"/>
  <c r="DF79" i="6"/>
  <c r="AZ19" i="6"/>
  <c r="CJ18" i="6" s="1"/>
  <c r="AP45" i="6"/>
  <c r="DF76" i="6" s="1"/>
  <c r="AP44" i="6"/>
  <c r="DF75" i="6" s="1"/>
  <c r="AZ37" i="6"/>
  <c r="CJ36" i="6" s="1"/>
  <c r="AP23" i="6"/>
  <c r="DF37" i="6" s="1"/>
  <c r="DK33" i="6" s="1"/>
  <c r="AP9" i="6"/>
  <c r="DF28" i="6" s="1"/>
  <c r="C51" i="6"/>
  <c r="D51" i="6" s="1"/>
  <c r="G11" i="6"/>
  <c r="R32" i="6"/>
  <c r="R18" i="6"/>
  <c r="H85" i="7" s="1"/>
  <c r="R19" i="6"/>
  <c r="H86" i="7" s="1"/>
  <c r="R20" i="6"/>
  <c r="H87" i="7" s="1"/>
  <c r="G15" i="7"/>
  <c r="B19" i="8"/>
  <c r="J33" i="7"/>
  <c r="AZ24" i="6"/>
  <c r="CJ23" i="6" s="1"/>
  <c r="B51" i="7"/>
  <c r="AZ50" i="6"/>
  <c r="CJ49" i="6" s="1"/>
  <c r="AZ44" i="6"/>
  <c r="CJ43" i="6" s="1"/>
  <c r="B33" i="8"/>
  <c r="G8" i="6"/>
  <c r="G10" i="6"/>
  <c r="B32" i="8"/>
  <c r="D32" i="8" s="1"/>
  <c r="B13" i="8"/>
  <c r="D13" i="8" s="1"/>
  <c r="U6" i="6"/>
  <c r="B6" i="8"/>
  <c r="S6" i="6"/>
  <c r="E12" i="7"/>
  <c r="E84" i="7"/>
  <c r="S17" i="6"/>
  <c r="T17" i="6" s="1"/>
  <c r="O28" i="6"/>
  <c r="U17" i="6"/>
  <c r="N40" i="1"/>
  <c r="R17" i="6"/>
  <c r="R6" i="6"/>
  <c r="E85" i="7"/>
  <c r="S18" i="6"/>
  <c r="T18" i="6" s="1"/>
  <c r="U18" i="6"/>
  <c r="E13" i="7"/>
  <c r="U7" i="6"/>
  <c r="S7" i="6"/>
  <c r="T7" i="6" s="1"/>
  <c r="R7" i="6"/>
  <c r="H13" i="7" s="1"/>
  <c r="R27" i="1"/>
  <c r="S27" i="1" s="1"/>
  <c r="Q27" i="1"/>
  <c r="Q31" i="1" s="1"/>
  <c r="B42" i="5"/>
  <c r="B43" i="5" s="1"/>
  <c r="B73" i="5" s="1"/>
  <c r="W7" i="5" s="1"/>
  <c r="D20" i="8"/>
  <c r="E89" i="7"/>
  <c r="U22" i="6"/>
  <c r="S22" i="6"/>
  <c r="T22" i="6" s="1"/>
  <c r="R22" i="6"/>
  <c r="H89" i="7" s="1"/>
  <c r="H243" i="7"/>
  <c r="H243" i="4"/>
  <c r="H243" i="5"/>
  <c r="B42" i="4"/>
  <c r="B54" i="4"/>
  <c r="B35" i="2"/>
  <c r="G58" i="19" s="1"/>
  <c r="H402" i="7"/>
  <c r="H402" i="5"/>
  <c r="H402" i="4"/>
  <c r="H164" i="5"/>
  <c r="B201" i="5" s="1"/>
  <c r="H164" i="7"/>
  <c r="B201" i="7" s="1"/>
  <c r="H164" i="4"/>
  <c r="B201" i="4" s="1"/>
  <c r="H21" i="4"/>
  <c r="B360" i="7"/>
  <c r="B390" i="7" s="1"/>
  <c r="B389" i="7"/>
  <c r="B46" i="3"/>
  <c r="D26" i="3"/>
  <c r="B389" i="4"/>
  <c r="B360" i="4"/>
  <c r="B390" i="4" s="1"/>
  <c r="W11" i="4" s="1"/>
  <c r="S23" i="6"/>
  <c r="T23" i="6" s="1"/>
  <c r="U23" i="6"/>
  <c r="E90" i="7"/>
  <c r="R23" i="6"/>
  <c r="H90" i="7" s="1"/>
  <c r="Q31" i="2"/>
  <c r="U11" i="6"/>
  <c r="S11" i="6"/>
  <c r="T11" i="6" s="1"/>
  <c r="R11" i="6"/>
  <c r="E17" i="7"/>
  <c r="D23" i="3"/>
  <c r="B43" i="3"/>
  <c r="U13" i="6"/>
  <c r="S13" i="6"/>
  <c r="T13" i="6" s="1"/>
  <c r="R13" i="6"/>
  <c r="H19" i="7" s="1"/>
  <c r="E19" i="7"/>
  <c r="H479" i="7"/>
  <c r="H478" i="7"/>
  <c r="B515" i="7" s="1"/>
  <c r="H479" i="5"/>
  <c r="H478" i="4"/>
  <c r="H478" i="5"/>
  <c r="H479" i="4"/>
  <c r="D25" i="3"/>
  <c r="B45" i="3"/>
  <c r="H92" i="7"/>
  <c r="B26" i="8"/>
  <c r="B122" i="5"/>
  <c r="B152" i="5" s="1"/>
  <c r="W8" i="5" s="1"/>
  <c r="B151" i="5"/>
  <c r="E28" i="7"/>
  <c r="U14" i="6"/>
  <c r="I28" i="7"/>
  <c r="S14" i="6"/>
  <c r="R14" i="6"/>
  <c r="B122" i="4"/>
  <c r="B152" i="4" s="1"/>
  <c r="W8" i="4" s="1"/>
  <c r="B151" i="4"/>
  <c r="G20" i="6"/>
  <c r="G21" i="6"/>
  <c r="G22" i="6"/>
  <c r="G13" i="6"/>
  <c r="G6" i="6"/>
  <c r="B12" i="8"/>
  <c r="D12" i="8" s="1"/>
  <c r="C35" i="6"/>
  <c r="D21" i="3"/>
  <c r="B41" i="3"/>
  <c r="E88" i="7"/>
  <c r="S21" i="6"/>
  <c r="T21" i="6" s="1"/>
  <c r="U21" i="6"/>
  <c r="R21" i="6"/>
  <c r="B20" i="8"/>
  <c r="T26" i="6"/>
  <c r="G12" i="6"/>
  <c r="U12" i="6"/>
  <c r="E18" i="7"/>
  <c r="S12" i="6"/>
  <c r="T12" i="6" s="1"/>
  <c r="R12" i="6"/>
  <c r="H18" i="7" s="1"/>
  <c r="N35" i="1"/>
  <c r="G7" i="6"/>
  <c r="B42" i="3"/>
  <c r="D22" i="3"/>
  <c r="G9" i="6"/>
  <c r="H400" i="7"/>
  <c r="H400" i="5"/>
  <c r="H400" i="4"/>
  <c r="B437" i="4" s="1"/>
  <c r="B389" i="5"/>
  <c r="B360" i="5"/>
  <c r="B390" i="5" s="1"/>
  <c r="W11" i="5" s="1"/>
  <c r="H245" i="7"/>
  <c r="H245" i="4"/>
  <c r="H245" i="5"/>
  <c r="AP17" i="14" l="1"/>
  <c r="AZ7" i="14"/>
  <c r="DF78" i="16"/>
  <c r="AZ49" i="16"/>
  <c r="CJ48" i="16" s="1"/>
  <c r="B438" i="15"/>
  <c r="B468" i="15" s="1"/>
  <c r="B467" i="15"/>
  <c r="DF65" i="16"/>
  <c r="AZ33" i="16"/>
  <c r="CJ32" i="16" s="1"/>
  <c r="AP11" i="14"/>
  <c r="AZ11" i="14" s="1"/>
  <c r="CJ10" i="14" s="1"/>
  <c r="Q41" i="14"/>
  <c r="AZ49" i="6"/>
  <c r="CJ48" i="6" s="1"/>
  <c r="T27" i="11"/>
  <c r="O41" i="11"/>
  <c r="AZ16" i="17"/>
  <c r="CJ15" i="17" s="1"/>
  <c r="CJ5" i="17"/>
  <c r="G58" i="18"/>
  <c r="B72" i="18"/>
  <c r="C64" i="16"/>
  <c r="B43" i="18"/>
  <c r="B73" i="18" s="1"/>
  <c r="W7" i="18" s="1"/>
  <c r="B280" i="19"/>
  <c r="B545" i="12"/>
  <c r="B516" i="12"/>
  <c r="B546" i="12" s="1"/>
  <c r="B202" i="12"/>
  <c r="B232" i="12" s="1"/>
  <c r="B231" i="12"/>
  <c r="B139" i="19"/>
  <c r="G137" i="19"/>
  <c r="DF42" i="17"/>
  <c r="AZ46" i="17"/>
  <c r="CJ45" i="17" s="1"/>
  <c r="AP56" i="17"/>
  <c r="CJ6" i="17"/>
  <c r="AZ17" i="17"/>
  <c r="CJ16" i="17" s="1"/>
  <c r="AZ42" i="14"/>
  <c r="CJ41" i="14" s="1"/>
  <c r="AP46" i="14"/>
  <c r="AP54" i="14"/>
  <c r="DF61" i="16"/>
  <c r="AZ30" i="16"/>
  <c r="CJ29" i="16" s="1"/>
  <c r="DF67" i="16"/>
  <c r="AZ35" i="16"/>
  <c r="CJ34" i="16" s="1"/>
  <c r="AP11" i="16"/>
  <c r="Q41" i="16"/>
  <c r="AP46" i="16"/>
  <c r="DF22" i="16"/>
  <c r="DF24" i="16"/>
  <c r="DF21" i="16"/>
  <c r="AZ42" i="16"/>
  <c r="CJ41" i="16" s="1"/>
  <c r="AP54" i="16"/>
  <c r="DF23" i="16"/>
  <c r="B437" i="19"/>
  <c r="CJ3" i="17"/>
  <c r="AZ14" i="17"/>
  <c r="CJ13" i="17" s="1"/>
  <c r="T27" i="14"/>
  <c r="O41" i="14"/>
  <c r="B60" i="14"/>
  <c r="C60" i="14"/>
  <c r="CJ3" i="14"/>
  <c r="AZ14" i="14"/>
  <c r="CJ13" i="14" s="1"/>
  <c r="B43" i="12"/>
  <c r="B73" i="12" s="1"/>
  <c r="W7" i="12" s="1"/>
  <c r="W21" i="12" s="1"/>
  <c r="B72" i="12"/>
  <c r="B310" i="18"/>
  <c r="B281" i="18"/>
  <c r="B311" i="18" s="1"/>
  <c r="B122" i="15"/>
  <c r="B152" i="15" s="1"/>
  <c r="W8" i="15" s="1"/>
  <c r="B151" i="15"/>
  <c r="D64" i="14"/>
  <c r="D65" i="14" s="1"/>
  <c r="B139" i="18"/>
  <c r="B137" i="18"/>
  <c r="G137" i="18" s="1"/>
  <c r="AZ6" i="14"/>
  <c r="AP16" i="14"/>
  <c r="T27" i="16"/>
  <c r="O41" i="16"/>
  <c r="AP16" i="16"/>
  <c r="DF40" i="16" s="1"/>
  <c r="DF14" i="16"/>
  <c r="DF16" i="16"/>
  <c r="DF13" i="16"/>
  <c r="DF15" i="16"/>
  <c r="AZ6" i="16"/>
  <c r="AP14" i="16"/>
  <c r="DF38" i="16" s="1"/>
  <c r="DF6" i="16"/>
  <c r="AZ4" i="16"/>
  <c r="DF8" i="16"/>
  <c r="DF7" i="16"/>
  <c r="DF5" i="16"/>
  <c r="B60" i="16"/>
  <c r="AP31" i="6"/>
  <c r="DF62" i="6" s="1"/>
  <c r="AZ20" i="6"/>
  <c r="CJ19" i="6" s="1"/>
  <c r="AP11" i="11"/>
  <c r="AZ11" i="11" s="1"/>
  <c r="CJ10" i="11" s="1"/>
  <c r="Q41" i="11"/>
  <c r="B72" i="19"/>
  <c r="C64" i="17"/>
  <c r="B43" i="19"/>
  <c r="B73" i="19" s="1"/>
  <c r="W7" i="19" s="1"/>
  <c r="DF68" i="16"/>
  <c r="AP57" i="16"/>
  <c r="AZ47" i="16"/>
  <c r="CJ46" i="16" s="1"/>
  <c r="B280" i="12"/>
  <c r="DF66" i="17"/>
  <c r="AZ34" i="17"/>
  <c r="CJ33" i="17" s="1"/>
  <c r="B515" i="19"/>
  <c r="B202" i="15"/>
  <c r="B232" i="15" s="1"/>
  <c r="B231" i="15"/>
  <c r="DF61" i="17"/>
  <c r="AZ30" i="17"/>
  <c r="CJ29" i="17" s="1"/>
  <c r="AZ17" i="11"/>
  <c r="CJ16" i="11" s="1"/>
  <c r="CJ6" i="11"/>
  <c r="AZ21" i="16"/>
  <c r="CJ20" i="16" s="1"/>
  <c r="DF34" i="16"/>
  <c r="AP17" i="16"/>
  <c r="DF41" i="16" s="1"/>
  <c r="DF18" i="16"/>
  <c r="DF19" i="16"/>
  <c r="AZ7" i="16"/>
  <c r="DF20" i="16"/>
  <c r="DF17" i="16"/>
  <c r="DF27" i="16"/>
  <c r="AZ12" i="16"/>
  <c r="CJ11" i="16" s="1"/>
  <c r="DF78" i="17"/>
  <c r="AZ49" i="17"/>
  <c r="CJ48" i="17" s="1"/>
  <c r="B437" i="18"/>
  <c r="G58" i="12"/>
  <c r="AP15" i="14"/>
  <c r="AZ5" i="14"/>
  <c r="DF67" i="17"/>
  <c r="AZ35" i="17"/>
  <c r="CJ34" i="17" s="1"/>
  <c r="AZ46" i="11"/>
  <c r="CJ45" i="11" s="1"/>
  <c r="CJ4" i="17"/>
  <c r="AZ15" i="17"/>
  <c r="CJ14" i="17" s="1"/>
  <c r="B231" i="19"/>
  <c r="B202" i="19"/>
  <c r="B232" i="19" s="1"/>
  <c r="B280" i="7"/>
  <c r="T6" i="6"/>
  <c r="AZ45" i="6"/>
  <c r="CJ44" i="6" s="1"/>
  <c r="AZ9" i="6"/>
  <c r="CJ8" i="6" s="1"/>
  <c r="DF27" i="17"/>
  <c r="AZ12" i="17"/>
  <c r="CJ11" i="17" s="1"/>
  <c r="AP15" i="11"/>
  <c r="AP56" i="11" s="1"/>
  <c r="AZ5" i="11"/>
  <c r="B139" i="12"/>
  <c r="B140" i="12" s="1"/>
  <c r="G137" i="12"/>
  <c r="DF66" i="16"/>
  <c r="AZ34" i="16"/>
  <c r="CJ33" i="16" s="1"/>
  <c r="DF65" i="17"/>
  <c r="AZ33" i="17"/>
  <c r="CJ32" i="17" s="1"/>
  <c r="B280" i="15"/>
  <c r="B43" i="15"/>
  <c r="B72" i="15"/>
  <c r="C64" i="14"/>
  <c r="B515" i="15"/>
  <c r="B545" i="18"/>
  <c r="B516" i="18"/>
  <c r="B546" i="18" s="1"/>
  <c r="B231" i="18"/>
  <c r="B202" i="18"/>
  <c r="B232" i="18" s="1"/>
  <c r="B122" i="12"/>
  <c r="B151" i="12"/>
  <c r="AP15" i="16"/>
  <c r="DF39" i="16" s="1"/>
  <c r="DF10" i="16"/>
  <c r="DF9" i="16"/>
  <c r="AZ5" i="16"/>
  <c r="DF12" i="16"/>
  <c r="DF11" i="16"/>
  <c r="B437" i="12"/>
  <c r="AZ14" i="11"/>
  <c r="CJ13" i="11" s="1"/>
  <c r="CJ3" i="11"/>
  <c r="AZ47" i="11"/>
  <c r="CJ46" i="11" s="1"/>
  <c r="AP57" i="11"/>
  <c r="AZ16" i="11"/>
  <c r="CJ15" i="11" s="1"/>
  <c r="CJ5" i="11"/>
  <c r="B61" i="15"/>
  <c r="AP22" i="16"/>
  <c r="AP22" i="17"/>
  <c r="DF68" i="17"/>
  <c r="AZ47" i="17"/>
  <c r="CJ46" i="17" s="1"/>
  <c r="AP57" i="17"/>
  <c r="AP28" i="6"/>
  <c r="AP43" i="6"/>
  <c r="AP27" i="6"/>
  <c r="AP26" i="6"/>
  <c r="AP38" i="6"/>
  <c r="DF71" i="6" s="1"/>
  <c r="AZ23" i="6"/>
  <c r="CJ22" i="6" s="1"/>
  <c r="AP30" i="6"/>
  <c r="DF61" i="6" s="1"/>
  <c r="C52" i="6"/>
  <c r="D52" i="6" s="1"/>
  <c r="AP12" i="6"/>
  <c r="DF27" i="6" s="1"/>
  <c r="DJ70" i="6"/>
  <c r="B23" i="8"/>
  <c r="AZ31" i="6"/>
  <c r="CJ30" i="6" s="1"/>
  <c r="H84" i="7"/>
  <c r="D30" i="8"/>
  <c r="D35" i="8" s="1"/>
  <c r="H12" i="7"/>
  <c r="U28" i="6"/>
  <c r="F109" i="7"/>
  <c r="R28" i="6"/>
  <c r="J109" i="7" s="1"/>
  <c r="S28" i="6"/>
  <c r="T28" i="6" s="1"/>
  <c r="S8" i="6"/>
  <c r="T8" i="6" s="1"/>
  <c r="U8" i="6"/>
  <c r="R8" i="6"/>
  <c r="H14" i="7" s="1"/>
  <c r="E14" i="7"/>
  <c r="C27" i="6"/>
  <c r="N41" i="1"/>
  <c r="B58" i="7"/>
  <c r="G58" i="7" s="1"/>
  <c r="B30" i="8"/>
  <c r="B35" i="8" s="1"/>
  <c r="O27" i="6"/>
  <c r="B72" i="5"/>
  <c r="B281" i="7"/>
  <c r="B311" i="7" s="1"/>
  <c r="B310" i="7"/>
  <c r="B437" i="5"/>
  <c r="B7" i="8"/>
  <c r="G28" i="7"/>
  <c r="H17" i="7"/>
  <c r="I5" i="8"/>
  <c r="O36" i="6"/>
  <c r="B437" i="7"/>
  <c r="B31" i="8"/>
  <c r="B130" i="7"/>
  <c r="B139" i="7" s="1"/>
  <c r="H88" i="7"/>
  <c r="I24" i="8"/>
  <c r="J28" i="7"/>
  <c r="L28" i="7" s="1"/>
  <c r="N28" i="7" s="1"/>
  <c r="H28" i="7" s="1"/>
  <c r="B515" i="4"/>
  <c r="G58" i="5"/>
  <c r="G58" i="4"/>
  <c r="B280" i="4"/>
  <c r="B438" i="4"/>
  <c r="B468" i="4" s="1"/>
  <c r="W12" i="4" s="1"/>
  <c r="B467" i="4"/>
  <c r="D14" i="8"/>
  <c r="Q42" i="6"/>
  <c r="B231" i="4"/>
  <c r="B202" i="4"/>
  <c r="B232" i="4" s="1"/>
  <c r="W9" i="4" s="1"/>
  <c r="W18" i="5"/>
  <c r="V31" i="5" s="1"/>
  <c r="W21" i="5"/>
  <c r="B516" i="7"/>
  <c r="B546" i="7" s="1"/>
  <c r="B545" i="7"/>
  <c r="B202" i="7"/>
  <c r="B232" i="7" s="1"/>
  <c r="B231" i="7"/>
  <c r="B72" i="4"/>
  <c r="B43" i="4"/>
  <c r="B73" i="4" s="1"/>
  <c r="W7" i="4" s="1"/>
  <c r="W18" i="4" s="1"/>
  <c r="V31" i="4" s="1"/>
  <c r="B14" i="8"/>
  <c r="O42" i="6"/>
  <c r="T14" i="6"/>
  <c r="B515" i="5"/>
  <c r="B231" i="5"/>
  <c r="B202" i="5"/>
  <c r="B232" i="5" s="1"/>
  <c r="W9" i="5" s="1"/>
  <c r="B280" i="5"/>
  <c r="DJ33" i="6" l="1"/>
  <c r="C65" i="14"/>
  <c r="B64" i="14"/>
  <c r="B65" i="14" s="1"/>
  <c r="CJ5" i="14"/>
  <c r="AZ16" i="14"/>
  <c r="CJ15" i="14" s="1"/>
  <c r="DF35" i="16"/>
  <c r="AZ22" i="16"/>
  <c r="CJ21" i="16" s="1"/>
  <c r="AZ15" i="16"/>
  <c r="CJ14" i="16" s="1"/>
  <c r="CJ4" i="16"/>
  <c r="AZ17" i="16"/>
  <c r="CJ16" i="16" s="1"/>
  <c r="CJ6" i="16"/>
  <c r="B545" i="19"/>
  <c r="B516" i="19"/>
  <c r="B546" i="19" s="1"/>
  <c r="C65" i="17"/>
  <c r="C65" i="16"/>
  <c r="DF35" i="17"/>
  <c r="AZ22" i="17"/>
  <c r="CJ21" i="17" s="1"/>
  <c r="W21" i="19"/>
  <c r="W18" i="18"/>
  <c r="V31" i="18" s="1"/>
  <c r="W21" i="18"/>
  <c r="B438" i="12"/>
  <c r="B468" i="12" s="1"/>
  <c r="B467" i="12"/>
  <c r="B152" i="12"/>
  <c r="W8" i="12" s="1"/>
  <c r="W18" i="12" s="1"/>
  <c r="V31" i="12" s="1"/>
  <c r="B73" i="15"/>
  <c r="W7" i="15" s="1"/>
  <c r="W21" i="15" s="1"/>
  <c r="AZ15" i="11"/>
  <c r="CJ14" i="11" s="1"/>
  <c r="CJ4" i="11"/>
  <c r="B467" i="18"/>
  <c r="B438" i="18"/>
  <c r="B468" i="18" s="1"/>
  <c r="B140" i="18"/>
  <c r="B152" i="18" s="1"/>
  <c r="W8" i="18" s="1"/>
  <c r="D64" i="16"/>
  <c r="D65" i="16" s="1"/>
  <c r="B151" i="18"/>
  <c r="AP56" i="16"/>
  <c r="DF42" i="16"/>
  <c r="AZ46" i="16"/>
  <c r="CJ45" i="16" s="1"/>
  <c r="AZ46" i="14"/>
  <c r="CJ45" i="14" s="1"/>
  <c r="AP56" i="14"/>
  <c r="B140" i="19"/>
  <c r="B152" i="19" s="1"/>
  <c r="W8" i="19" s="1"/>
  <c r="W18" i="19" s="1"/>
  <c r="V31" i="19" s="1"/>
  <c r="D64" i="17"/>
  <c r="D65" i="17" s="1"/>
  <c r="B151" i="19"/>
  <c r="AZ17" i="14"/>
  <c r="CJ16" i="14" s="1"/>
  <c r="CJ6" i="14"/>
  <c r="B281" i="12"/>
  <c r="B311" i="12" s="1"/>
  <c r="B310" i="12"/>
  <c r="AZ14" i="16"/>
  <c r="CJ13" i="16" s="1"/>
  <c r="CJ3" i="16"/>
  <c r="DF30" i="16"/>
  <c r="AZ11" i="16"/>
  <c r="CJ10" i="16" s="1"/>
  <c r="AZ30" i="6"/>
  <c r="CJ29" i="6" s="1"/>
  <c r="AZ12" i="6"/>
  <c r="CJ11" i="6" s="1"/>
  <c r="B516" i="15"/>
  <c r="B546" i="15" s="1"/>
  <c r="B545" i="15"/>
  <c r="B310" i="15"/>
  <c r="B281" i="15"/>
  <c r="B311" i="15" s="1"/>
  <c r="AZ15" i="14"/>
  <c r="CJ14" i="14" s="1"/>
  <c r="CJ4" i="14"/>
  <c r="D60" i="6"/>
  <c r="CJ5" i="16"/>
  <c r="AZ16" i="16"/>
  <c r="CJ15" i="16" s="1"/>
  <c r="B438" i="19"/>
  <c r="B468" i="19" s="1"/>
  <c r="B467" i="19"/>
  <c r="B281" i="19"/>
  <c r="B311" i="19" s="1"/>
  <c r="B310" i="19"/>
  <c r="AZ10" i="6"/>
  <c r="CJ9" i="6" s="1"/>
  <c r="AP35" i="6"/>
  <c r="DF67" i="6" s="1"/>
  <c r="DF55" i="6"/>
  <c r="DF52" i="6"/>
  <c r="DF53" i="6"/>
  <c r="DF54" i="6"/>
  <c r="AP6" i="6"/>
  <c r="AP4" i="6"/>
  <c r="AP42" i="6"/>
  <c r="AP5" i="6"/>
  <c r="AP7" i="6"/>
  <c r="AP21" i="6"/>
  <c r="DF34" i="6" s="1"/>
  <c r="AP32" i="6"/>
  <c r="DF63" i="6" s="1"/>
  <c r="AP10" i="6"/>
  <c r="DF29" i="6" s="1"/>
  <c r="AP33" i="6"/>
  <c r="DF65" i="6" s="1"/>
  <c r="DF47" i="6"/>
  <c r="DF46" i="6"/>
  <c r="DF44" i="6"/>
  <c r="DF45" i="6"/>
  <c r="AP34" i="6"/>
  <c r="DF66" i="6" s="1"/>
  <c r="DF51" i="6"/>
  <c r="DF50" i="6"/>
  <c r="DF48" i="6"/>
  <c r="DF49" i="6"/>
  <c r="AZ38" i="6"/>
  <c r="CJ37" i="6" s="1"/>
  <c r="AP47" i="6"/>
  <c r="DF68" i="6" s="1"/>
  <c r="DF59" i="6"/>
  <c r="DF56" i="6"/>
  <c r="DF57" i="6"/>
  <c r="DF58" i="6"/>
  <c r="B137" i="7"/>
  <c r="AP55" i="6"/>
  <c r="AZ43" i="6"/>
  <c r="CJ42" i="6" s="1"/>
  <c r="AZ26" i="6"/>
  <c r="CJ25" i="6" s="1"/>
  <c r="AZ35" i="6"/>
  <c r="CJ34" i="6" s="1"/>
  <c r="AZ28" i="6"/>
  <c r="CJ27" i="6" s="1"/>
  <c r="AZ27" i="6"/>
  <c r="CJ26" i="6" s="1"/>
  <c r="R31" i="6"/>
  <c r="B60" i="7"/>
  <c r="O40" i="6"/>
  <c r="B11" i="8"/>
  <c r="B16" i="8" s="1"/>
  <c r="O35" i="6"/>
  <c r="B4" i="8"/>
  <c r="B121" i="7"/>
  <c r="Q40" i="6"/>
  <c r="D11" i="8"/>
  <c r="D16" i="8" s="1"/>
  <c r="F34" i="7"/>
  <c r="U27" i="6"/>
  <c r="AP11" i="6" s="1"/>
  <c r="DF30" i="6" s="1"/>
  <c r="R27" i="6"/>
  <c r="S27" i="6"/>
  <c r="B60" i="6" s="1"/>
  <c r="B516" i="5"/>
  <c r="B546" i="5" s="1"/>
  <c r="W13" i="5" s="1"/>
  <c r="B545" i="5"/>
  <c r="B516" i="4"/>
  <c r="B546" i="4" s="1"/>
  <c r="W13" i="4" s="1"/>
  <c r="B545" i="4"/>
  <c r="B438" i="7"/>
  <c r="B468" i="7" s="1"/>
  <c r="B467" i="7"/>
  <c r="B438" i="5"/>
  <c r="B468" i="5" s="1"/>
  <c r="W12" i="5" s="1"/>
  <c r="B467" i="5"/>
  <c r="D31" i="8"/>
  <c r="D36" i="8" s="1"/>
  <c r="B36" i="8"/>
  <c r="B281" i="4"/>
  <c r="B311" i="4" s="1"/>
  <c r="W10" i="4" s="1"/>
  <c r="B310" i="4"/>
  <c r="B310" i="5"/>
  <c r="B281" i="5"/>
  <c r="B311" i="5" s="1"/>
  <c r="W10" i="5" s="1"/>
  <c r="W18" i="15" l="1"/>
  <c r="V31" i="15" s="1"/>
  <c r="AZ34" i="6"/>
  <c r="CJ33" i="6" s="1"/>
  <c r="AZ21" i="6"/>
  <c r="CJ20" i="6" s="1"/>
  <c r="C60" i="6"/>
  <c r="B64" i="16"/>
  <c r="B65" i="16" s="1"/>
  <c r="B64" i="17"/>
  <c r="B65" i="17" s="1"/>
  <c r="B122" i="7"/>
  <c r="D64" i="6"/>
  <c r="D65" i="6" s="1"/>
  <c r="AP15" i="6"/>
  <c r="DF39" i="6" s="1"/>
  <c r="DF10" i="6"/>
  <c r="DF11" i="6"/>
  <c r="DF9" i="6"/>
  <c r="DF12" i="6"/>
  <c r="AZ32" i="6"/>
  <c r="CJ31" i="6" s="1"/>
  <c r="AP46" i="6"/>
  <c r="DF42" i="6" s="1"/>
  <c r="DF22" i="6"/>
  <c r="DF24" i="6"/>
  <c r="DF23" i="6"/>
  <c r="DF21" i="6"/>
  <c r="AP14" i="6"/>
  <c r="DF38" i="6" s="1"/>
  <c r="DF6" i="6"/>
  <c r="DF7" i="6"/>
  <c r="DF8" i="6"/>
  <c r="DF5" i="6"/>
  <c r="AZ33" i="6"/>
  <c r="CJ32" i="6" s="1"/>
  <c r="AP17" i="6"/>
  <c r="DF41" i="6" s="1"/>
  <c r="DF18" i="6"/>
  <c r="DF17" i="6"/>
  <c r="DF20" i="6"/>
  <c r="DF19" i="6"/>
  <c r="AP16" i="6"/>
  <c r="DF40" i="6" s="1"/>
  <c r="DF14" i="6"/>
  <c r="DF15" i="6"/>
  <c r="DF13" i="6"/>
  <c r="DF16" i="6"/>
  <c r="AP22" i="6"/>
  <c r="AZ22" i="6" s="1"/>
  <c r="CJ21" i="6" s="1"/>
  <c r="AP39" i="14"/>
  <c r="AZ39" i="14" s="1"/>
  <c r="CJ38" i="14" s="1"/>
  <c r="AP39" i="6"/>
  <c r="DF72" i="6" s="1"/>
  <c r="AP22" i="11"/>
  <c r="AZ22" i="11" s="1"/>
  <c r="CJ21" i="11" s="1"/>
  <c r="AP22" i="14"/>
  <c r="AZ22" i="14" s="1"/>
  <c r="CJ21" i="14" s="1"/>
  <c r="AP39" i="11"/>
  <c r="AZ39" i="11" s="1"/>
  <c r="CJ38" i="11" s="1"/>
  <c r="AZ42" i="6"/>
  <c r="CJ41" i="6" s="1"/>
  <c r="AP54" i="6"/>
  <c r="AZ7" i="6"/>
  <c r="AZ4" i="6"/>
  <c r="AZ5" i="6"/>
  <c r="AP57" i="6"/>
  <c r="AZ47" i="6"/>
  <c r="CJ46" i="6" s="1"/>
  <c r="F5" i="8"/>
  <c r="B5" i="8" s="1"/>
  <c r="B8" i="8" s="1"/>
  <c r="AZ6" i="6"/>
  <c r="Q41" i="6"/>
  <c r="AZ11" i="6"/>
  <c r="CJ10" i="6" s="1"/>
  <c r="B61" i="7"/>
  <c r="B17" i="8"/>
  <c r="G137" i="7"/>
  <c r="T27" i="6"/>
  <c r="O41" i="6"/>
  <c r="J34" i="7"/>
  <c r="D17" i="8"/>
  <c r="F24" i="8"/>
  <c r="B24" i="8" s="1"/>
  <c r="B27" i="8" s="1"/>
  <c r="B140" i="7"/>
  <c r="B152" i="7" s="1"/>
  <c r="W8" i="7" s="1"/>
  <c r="B151" i="7"/>
  <c r="DF35" i="6" l="1"/>
  <c r="AZ39" i="6"/>
  <c r="CJ38" i="6" s="1"/>
  <c r="AZ15" i="6"/>
  <c r="CJ14" i="6" s="1"/>
  <c r="CJ4" i="6"/>
  <c r="AZ17" i="6"/>
  <c r="CJ16" i="6" s="1"/>
  <c r="CJ6" i="6"/>
  <c r="AZ16" i="6"/>
  <c r="CJ15" i="6" s="1"/>
  <c r="CJ5" i="6"/>
  <c r="AZ14" i="6"/>
  <c r="CJ13" i="6" s="1"/>
  <c r="CJ3" i="6"/>
  <c r="AZ46" i="6"/>
  <c r="CJ45" i="6" s="1"/>
  <c r="AP56" i="6"/>
  <c r="B42" i="7"/>
  <c r="B43" i="7" l="1"/>
  <c r="B73" i="7" s="1"/>
  <c r="W7" i="7" s="1"/>
  <c r="W21" i="7" s="1"/>
  <c r="C64" i="6"/>
  <c r="W18" i="7"/>
  <c r="V31" i="7" s="1"/>
  <c r="B72" i="7"/>
  <c r="B64" i="6" l="1"/>
  <c r="B65" i="6" s="1"/>
  <c r="C65" i="6"/>
</calcChain>
</file>

<file path=xl/comments1.xml><?xml version="1.0" encoding="utf-8"?>
<comments xmlns="http://schemas.openxmlformats.org/spreadsheetml/2006/main">
  <authors>
    <author/>
  </authors>
  <commentList>
    <comment ref="W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W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N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 </t>
        </r>
        <r>
          <rPr>
            <sz val="9"/>
            <color rgb="FF000000"/>
            <rFont val="Tahoma"/>
            <family val="2"/>
            <charset val="1"/>
          </rPr>
          <t>Volgens karen 76 m² (= horizontaal oppervlak)
dit is schuin oppervlak</t>
        </r>
      </text>
    </comment>
    <comment ref="W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Z3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B3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E4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b_u INSULATED ROOF Tabel D.4 = 0.7
</t>
        </r>
      </text>
    </comment>
    <comment ref="Z4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D4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X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C3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X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C3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5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5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X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C3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3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A5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5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X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C3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4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4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X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geen gegevens
</t>
        </r>
      </text>
    </comment>
    <comment ref="X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geen gegevens aanname = hout</t>
        </r>
      </text>
    </comment>
    <comment ref="AA3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C3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 xml:space="preserve">tegoei doen!
</t>
        </r>
      </text>
    </comment>
    <comment ref="AA5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REYNDERG:
</t>
        </r>
        <r>
          <rPr>
            <sz val="8"/>
            <color rgb="FF000000"/>
            <rFont val="Tahoma"/>
            <family val="2"/>
            <charset val="1"/>
          </rPr>
          <t xml:space="preserve">verschilt van Dymola-waarde, maar bekomen via matlab: Window_layMul_a/Awin/(Te-Ti)
echte waarde zal dan nog iets hoger liggen want frame zit hier niet in!
</t>
        </r>
      </text>
    </comment>
    <comment ref="AE5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Glenn Reynders:
</t>
        </r>
        <r>
          <rPr>
            <sz val="9"/>
            <color rgb="FF000000"/>
            <rFont val="Tahoma"/>
            <family val="2"/>
            <charset val="1"/>
          </rPr>
          <t>timber IDEAS</t>
        </r>
      </text>
    </comment>
  </commentList>
</comments>
</file>

<file path=xl/sharedStrings.xml><?xml version="1.0" encoding="utf-8"?>
<sst xmlns="http://schemas.openxmlformats.org/spreadsheetml/2006/main" count="19854" uniqueCount="526">
  <si>
    <t>Thermal properties: Detached Single Family House before1945</t>
  </si>
  <si>
    <t>Global geometrical data</t>
  </si>
  <si>
    <t>Surface properties</t>
  </si>
  <si>
    <t>Component properties</t>
  </si>
  <si>
    <t>Tabula</t>
  </si>
  <si>
    <t>W/m²K</t>
  </si>
  <si>
    <t>Protected volume</t>
  </si>
  <si>
    <t>m³</t>
  </si>
  <si>
    <t>Window area</t>
  </si>
  <si>
    <t>m²</t>
  </si>
  <si>
    <t>ID</t>
  </si>
  <si>
    <t>From Zone</t>
  </si>
  <si>
    <t>To Zone</t>
  </si>
  <si>
    <t>Construction type</t>
  </si>
  <si>
    <t>Area [m²]</t>
  </si>
  <si>
    <t>Orientation</t>
  </si>
  <si>
    <t>U-waarde</t>
  </si>
  <si>
    <t>U*A</t>
  </si>
  <si>
    <t>Cth</t>
  </si>
  <si>
    <t>Cth2</t>
  </si>
  <si>
    <t>Roof</t>
  </si>
  <si>
    <t>U=</t>
  </si>
  <si>
    <t>C=</t>
  </si>
  <si>
    <t>C2=</t>
  </si>
  <si>
    <t>W1</t>
  </si>
  <si>
    <t>Wall External</t>
  </si>
  <si>
    <t>front</t>
  </si>
  <si>
    <t>layers</t>
  </si>
  <si>
    <t>thickness [m]</t>
  </si>
  <si>
    <t>lambda [W/mK]</t>
  </si>
  <si>
    <t>rho [kg/m³]</t>
  </si>
  <si>
    <t>c [J/kgK]</t>
  </si>
  <si>
    <t>R [m²K/W]</t>
  </si>
  <si>
    <t>C [J/m²K]</t>
  </si>
  <si>
    <t>Usable floor area</t>
  </si>
  <si>
    <t>Front</t>
  </si>
  <si>
    <t>Gf</t>
  </si>
  <si>
    <t>(%)</t>
  </si>
  <si>
    <t>W2</t>
  </si>
  <si>
    <t>right</t>
  </si>
  <si>
    <t>tiled roof</t>
  </si>
  <si>
    <t>*voegen niet ingerekend</t>
  </si>
  <si>
    <t>Day zone</t>
  </si>
  <si>
    <t>Right</t>
  </si>
  <si>
    <t>W3</t>
  </si>
  <si>
    <t>back</t>
  </si>
  <si>
    <t>air gap</t>
  </si>
  <si>
    <t>Night zone</t>
  </si>
  <si>
    <t>Back</t>
  </si>
  <si>
    <t>W4</t>
  </si>
  <si>
    <t>left</t>
  </si>
  <si>
    <t>insulation</t>
  </si>
  <si>
    <t>Left</t>
  </si>
  <si>
    <t>W5</t>
  </si>
  <si>
    <t>Window</t>
  </si>
  <si>
    <t>woodboard</t>
  </si>
  <si>
    <t>Ff</t>
  </si>
  <si>
    <t>W6</t>
  </si>
  <si>
    <t>gipspleister</t>
  </si>
  <si>
    <t>W7</t>
  </si>
  <si>
    <t>W8</t>
  </si>
  <si>
    <t>W9</t>
  </si>
  <si>
    <t>ground</t>
  </si>
  <si>
    <t>Floor</t>
  </si>
  <si>
    <t>Wall external</t>
  </si>
  <si>
    <t>Summarizing ratios</t>
  </si>
  <si>
    <t>W10</t>
  </si>
  <si>
    <t>W11</t>
  </si>
  <si>
    <t>Door</t>
  </si>
  <si>
    <t>compactness</t>
  </si>
  <si>
    <t>m</t>
  </si>
  <si>
    <t>W12</t>
  </si>
  <si>
    <t>Cement plaster</t>
  </si>
  <si>
    <t>Unusable floor area</t>
  </si>
  <si>
    <t>envelope surface/ total floor</t>
  </si>
  <si>
    <t>W13</t>
  </si>
  <si>
    <t>BrickHe</t>
  </si>
  <si>
    <t>Attic (h&gt;1.8m)</t>
  </si>
  <si>
    <t>envelope surface/ usable floor area</t>
  </si>
  <si>
    <t>W14</t>
  </si>
  <si>
    <t>gypsum</t>
  </si>
  <si>
    <t>Attic (h&lt;1.8m)</t>
  </si>
  <si>
    <t>W15</t>
  </si>
  <si>
    <t>Window area/ total floor area</t>
  </si>
  <si>
    <t>W16</t>
  </si>
  <si>
    <t>Wall internal</t>
  </si>
  <si>
    <t>Window area/ usable floor area</t>
  </si>
  <si>
    <t>W17</t>
  </si>
  <si>
    <t>Window area/envelope area</t>
  </si>
  <si>
    <t>W18</t>
  </si>
  <si>
    <t>pleister</t>
  </si>
  <si>
    <t>Total floor surface</t>
  </si>
  <si>
    <t>W19</t>
  </si>
  <si>
    <t>metselwerk</t>
  </si>
  <si>
    <t>= usable area x</t>
  </si>
  <si>
    <t>Nightzone/usable floor area</t>
  </si>
  <si>
    <t>W20</t>
  </si>
  <si>
    <t>front/back</t>
  </si>
  <si>
    <t>W21</t>
  </si>
  <si>
    <t>Floor internal</t>
  </si>
  <si>
    <t>envelope surface area</t>
  </si>
  <si>
    <t>W22</t>
  </si>
  <si>
    <t>W23</t>
  </si>
  <si>
    <t>wooden floor</t>
  </si>
  <si>
    <t>*klopt niet -&gt; hout is lichter dan water slimme!</t>
  </si>
  <si>
    <t>cavity</t>
  </si>
  <si>
    <t>Total UA</t>
  </si>
  <si>
    <t>W/K</t>
  </si>
  <si>
    <t>wooden ceiling</t>
  </si>
  <si>
    <t>Zone number</t>
  </si>
  <si>
    <t>Volume [m³]</t>
  </si>
  <si>
    <t>type</t>
  </si>
  <si>
    <t>Set temperature</t>
  </si>
  <si>
    <t>A_g</t>
  </si>
  <si>
    <t>UA_walls+roof</t>
  </si>
  <si>
    <t>window</t>
  </si>
  <si>
    <t>Night Zone</t>
  </si>
  <si>
    <t>UA_windows</t>
  </si>
  <si>
    <t>Attic</t>
  </si>
  <si>
    <t>unheated</t>
  </si>
  <si>
    <t>inf</t>
  </si>
  <si>
    <t>g-waarde</t>
  </si>
  <si>
    <t>Cair</t>
  </si>
  <si>
    <t>MJ</t>
  </si>
  <si>
    <t>C_walls+roof</t>
  </si>
  <si>
    <t>MJ/K</t>
  </si>
  <si>
    <t>C_int</t>
  </si>
  <si>
    <t>C_floor</t>
  </si>
  <si>
    <t>tiles</t>
  </si>
  <si>
    <t>screed</t>
  </si>
  <si>
    <t>PUR</t>
  </si>
  <si>
    <t>Concrete</t>
  </si>
  <si>
    <t>Isolatie</t>
  </si>
  <si>
    <t>infiltration rate (n_{50})</t>
  </si>
  <si>
    <t>Tabula data</t>
  </si>
  <si>
    <t>Type</t>
  </si>
  <si>
    <t>Allacker</t>
  </si>
  <si>
    <t>Total floor surface area</t>
  </si>
  <si>
    <t>Total envelope area</t>
  </si>
  <si>
    <t>Exterior wall</t>
  </si>
  <si>
    <t>Exterior wall to unheated spaces</t>
  </si>
  <si>
    <t>Total exterior wall</t>
  </si>
  <si>
    <t>Floor on soil</t>
  </si>
  <si>
    <t>Floor bordering unheated spaces</t>
  </si>
  <si>
    <t>Floor bordering outdoor spaces</t>
  </si>
  <si>
    <t>Total Floor on ground</t>
  </si>
  <si>
    <t>Doors</t>
  </si>
  <si>
    <t>Windows N</t>
  </si>
  <si>
    <t>Windows E</t>
  </si>
  <si>
    <t>Windows S</t>
  </si>
  <si>
    <t>Windows W</t>
  </si>
  <si>
    <t>Total windows</t>
  </si>
  <si>
    <t>Compactness</t>
  </si>
  <si>
    <t>Total envelope area/Total floor</t>
  </si>
  <si>
    <t>Total envelope area/Usable floor</t>
  </si>
  <si>
    <t>Window/total envelope</t>
  </si>
  <si>
    <t>Window/total floor</t>
  </si>
  <si>
    <t>Window/usable floor</t>
  </si>
  <si>
    <t>n50</t>
  </si>
  <si>
    <t>1/h</t>
  </si>
  <si>
    <t>N53</t>
  </si>
  <si>
    <t>Ratio: Tabula/Allacker</t>
  </si>
  <si>
    <t>Total ground Floor</t>
  </si>
  <si>
    <t>Windows</t>
  </si>
  <si>
    <t>Berekening verwarming voor multizone EL²EP detached house</t>
  </si>
  <si>
    <t>Berekening volgens EN12381-2003</t>
  </si>
  <si>
    <t>T_e,d</t>
  </si>
  <si>
    <t>°C</t>
  </si>
  <si>
    <t>Samenvatting</t>
  </si>
  <si>
    <t>Zone</t>
  </si>
  <si>
    <t>Q</t>
  </si>
  <si>
    <t>Transmissieverliezen</t>
  </si>
  <si>
    <t>W</t>
  </si>
  <si>
    <t>Buitenwanden + Ramen</t>
  </si>
  <si>
    <t>Naar zone</t>
  </si>
  <si>
    <t>wandtype</t>
  </si>
  <si>
    <t>Oppervlakte [m²]</t>
  </si>
  <si>
    <t>Orientatie</t>
  </si>
  <si>
    <t>f_k</t>
  </si>
  <si>
    <t>Totaal</t>
  </si>
  <si>
    <t>Vloeren boven grond/nietverwarmde ruimte</t>
  </si>
  <si>
    <t>Naar Zone</t>
  </si>
  <si>
    <t>Oppervlakte</t>
  </si>
  <si>
    <t>Ag</t>
  </si>
  <si>
    <t>P</t>
  </si>
  <si>
    <t>dw</t>
  </si>
  <si>
    <t>B</t>
  </si>
  <si>
    <t>dt</t>
  </si>
  <si>
    <t>U'</t>
  </si>
  <si>
    <t>Binnenwanden/Binnenvloeren</t>
  </si>
  <si>
    <t>Van</t>
  </si>
  <si>
    <t>Naar</t>
  </si>
  <si>
    <t>Opp</t>
  </si>
  <si>
    <t>Ti1</t>
  </si>
  <si>
    <t>Ti2</t>
  </si>
  <si>
    <t>Totaal transmissie:</t>
  </si>
  <si>
    <t>HT</t>
  </si>
  <si>
    <t>Ventilatieverliezen</t>
  </si>
  <si>
    <t>infiltratie</t>
  </si>
  <si>
    <t>n50=</t>
  </si>
  <si>
    <t>tab D.7</t>
  </si>
  <si>
    <t>e_i=</t>
  </si>
  <si>
    <t>tab D.8</t>
  </si>
  <si>
    <t>eps=</t>
  </si>
  <si>
    <t>tab D.9</t>
  </si>
  <si>
    <t>V_inf</t>
  </si>
  <si>
    <t>m³/h</t>
  </si>
  <si>
    <t>Hygienische vent</t>
  </si>
  <si>
    <t>V_min</t>
  </si>
  <si>
    <t>eff</t>
  </si>
  <si>
    <t>V_i=</t>
  </si>
  <si>
    <t>n=</t>
  </si>
  <si>
    <t>H_V</t>
  </si>
  <si>
    <t>Intermitterend verwarmen</t>
  </si>
  <si>
    <t>f_R,H</t>
  </si>
  <si>
    <t>Tab D10b: 3K,1h</t>
  </si>
  <si>
    <t>H_RH</t>
  </si>
  <si>
    <t>TOTAAL</t>
  </si>
  <si>
    <t>H</t>
  </si>
  <si>
    <t>W45</t>
  </si>
  <si>
    <t>W50</t>
  </si>
  <si>
    <t>W51</t>
  </si>
  <si>
    <t>W54</t>
  </si>
  <si>
    <t>W55</t>
  </si>
  <si>
    <t>W69</t>
  </si>
  <si>
    <t>geen ontworpen ventilatiesysteem!</t>
  </si>
  <si>
    <t>W46</t>
  </si>
  <si>
    <t>W56</t>
  </si>
  <si>
    <t>W57</t>
  </si>
  <si>
    <t>W70</t>
  </si>
  <si>
    <t>constante temp</t>
  </si>
  <si>
    <t>W58</t>
  </si>
  <si>
    <t>W59</t>
  </si>
  <si>
    <t>W71</t>
  </si>
  <si>
    <t>W76</t>
  </si>
  <si>
    <t>Tab D10b: 3K,2h</t>
  </si>
  <si>
    <t>W60</t>
  </si>
  <si>
    <t>W61</t>
  </si>
  <si>
    <t>W67</t>
  </si>
  <si>
    <t>W74</t>
  </si>
  <si>
    <t>W62</t>
  </si>
  <si>
    <t>W63</t>
  </si>
  <si>
    <t>W68</t>
  </si>
  <si>
    <t>W75</t>
  </si>
  <si>
    <t>W25</t>
  </si>
  <si>
    <t>W26</t>
  </si>
  <si>
    <t>W27</t>
  </si>
  <si>
    <t>W28</t>
  </si>
  <si>
    <t>W78</t>
  </si>
  <si>
    <t>W29</t>
  </si>
  <si>
    <t>W30</t>
  </si>
  <si>
    <t>W31</t>
  </si>
  <si>
    <t>W47</t>
  </si>
  <si>
    <t>W52</t>
  </si>
  <si>
    <t>W32</t>
  </si>
  <si>
    <t>W33</t>
  </si>
  <si>
    <t>W48</t>
  </si>
  <si>
    <t>W72</t>
  </si>
  <si>
    <t>aanname dat berging dient als wasplaats! Anders V_min=0</t>
  </si>
  <si>
    <t>W34</t>
  </si>
  <si>
    <t>W35</t>
  </si>
  <si>
    <t>W36</t>
  </si>
  <si>
    <t>W49</t>
  </si>
  <si>
    <t>W53</t>
  </si>
  <si>
    <t>W64</t>
  </si>
  <si>
    <t>W65</t>
  </si>
  <si>
    <t>W66</t>
  </si>
  <si>
    <t>W73</t>
  </si>
  <si>
    <t>W77</t>
  </si>
  <si>
    <t>Qnom</t>
  </si>
  <si>
    <t>Everything outside insulation layer is ignored (ventilated cavity)</t>
  </si>
  <si>
    <t>1 cm isolatie om Uwaarde te halen. In specificatie : geen isolatie?</t>
  </si>
  <si>
    <t>EPS: wij hebben dat thuis en ons huis is van die periode</t>
  </si>
  <si>
    <t>Plaster</t>
  </si>
  <si>
    <t>double glazing</t>
  </si>
  <si>
    <t>Assuptions</t>
  </si>
  <si>
    <t>A_wall</t>
  </si>
  <si>
    <t>(Front and back / Total)</t>
  </si>
  <si>
    <t>GF_frontBack/ Total_frontBack</t>
  </si>
  <si>
    <t>(pitched roof front back oriented)</t>
  </si>
  <si>
    <t>EPS</t>
  </si>
  <si>
    <t>3 cm isolatie to reach tabula value!</t>
  </si>
  <si>
    <t>GF_leftRight/Total_leftRight</t>
  </si>
  <si>
    <t>Gf_windows/Total_Windows</t>
  </si>
  <si>
    <t>Physical parameters</t>
  </si>
  <si>
    <t>DayZone</t>
  </si>
  <si>
    <t>UA</t>
  </si>
  <si>
    <t>vent</t>
  </si>
  <si>
    <t>vent+inf</t>
  </si>
  <si>
    <t>Uawin</t>
  </si>
  <si>
    <t>hwi</t>
  </si>
  <si>
    <t>Uafl</t>
  </si>
  <si>
    <t>(niet gereduceerde!)</t>
  </si>
  <si>
    <t>Losstot</t>
  </si>
  <si>
    <t>Total</t>
  </si>
  <si>
    <t>Inside insul.</t>
  </si>
  <si>
    <t>Cw</t>
  </si>
  <si>
    <t>J/K</t>
  </si>
  <si>
    <t>Cwi</t>
  </si>
  <si>
    <t>Cfl</t>
  </si>
  <si>
    <t>Cwalls</t>
  </si>
  <si>
    <t>Ctotal</t>
  </si>
  <si>
    <t>Uafi</t>
  </si>
  <si>
    <t>Cfi</t>
  </si>
  <si>
    <t>NightZone</t>
  </si>
  <si>
    <t>Uar</t>
  </si>
  <si>
    <t>Cr</t>
  </si>
  <si>
    <t>Thermal properties: Detached Single Family House 71-90</t>
  </si>
  <si>
    <t>d=</t>
  </si>
  <si>
    <t>Parameters greybox: 4state day zone, 4 state night zone, 1 state interior floor</t>
  </si>
  <si>
    <t>(Models DayZone_5state_B, NightZone_4state_A)</t>
  </si>
  <si>
    <t>Parameter</t>
  </si>
  <si>
    <t>Theoretical</t>
  </si>
  <si>
    <t>TO paste in dymola</t>
  </si>
  <si>
    <t>parameter</t>
  </si>
  <si>
    <t>Real</t>
  </si>
  <si>
    <t>abs1D</t>
  </si>
  <si>
    <t>;</t>
  </si>
  <si>
    <t>=</t>
  </si>
  <si>
    <t>abs2D</t>
  </si>
  <si>
    <t>abs3D</t>
  </si>
  <si>
    <t>abs4D</t>
  </si>
  <si>
    <t>CiD</t>
  </si>
  <si>
    <t>CwD</t>
  </si>
  <si>
    <t>CwiD</t>
  </si>
  <si>
    <t>CflD</t>
  </si>
  <si>
    <t>f1D</t>
  </si>
  <si>
    <t>f2D</t>
  </si>
  <si>
    <t>f3D</t>
  </si>
  <si>
    <t>f4D</t>
  </si>
  <si>
    <t>hwD</t>
  </si>
  <si>
    <t>hflD</t>
  </si>
  <si>
    <t>hwiD</t>
  </si>
  <si>
    <t>infD</t>
  </si>
  <si>
    <t>UwD</t>
  </si>
  <si>
    <t>UflD</t>
  </si>
  <si>
    <t>abs1N</t>
  </si>
  <si>
    <t>abs2N</t>
  </si>
  <si>
    <t>abs3N</t>
  </si>
  <si>
    <t>CiN</t>
  </si>
  <si>
    <t>CwN</t>
  </si>
  <si>
    <t>CwiN</t>
  </si>
  <si>
    <t>f1N</t>
  </si>
  <si>
    <t>f2N</t>
  </si>
  <si>
    <t> 5.339205e-02</t>
  </si>
  <si>
    <t>f3N</t>
  </si>
  <si>
    <t> 6.711553e-01</t>
  </si>
  <si>
    <t>hwN</t>
  </si>
  <si>
    <t> 4.631922e+02</t>
  </si>
  <si>
    <t>hwiN</t>
  </si>
  <si>
    <t>infN</t>
  </si>
  <si>
    <t> 3.735657e+01</t>
  </si>
  <si>
    <t>UwN</t>
  </si>
  <si>
    <t>abs5D</t>
  </si>
  <si>
    <t> 1.693800e-01</t>
  </si>
  <si>
    <t>abs5N</t>
  </si>
  <si>
    <t> 3.395373e-01</t>
  </si>
  <si>
    <t>CfiD </t>
  </si>
  <si>
    <t> 1.385834e+07</t>
  </si>
  <si>
    <t>CfiN</t>
  </si>
  <si>
    <t> 4.368417e+07</t>
  </si>
  <si>
    <t>f5D </t>
  </si>
  <si>
    <t> 6.941760e-02</t>
  </si>
  <si>
    <t>f5N </t>
  </si>
  <si>
    <t> 1.291481e-01</t>
  </si>
  <si>
    <t>UfDN</t>
  </si>
  <si>
    <t> 2.955246e+02</t>
  </si>
  <si>
    <t>Ufi</t>
  </si>
  <si>
    <t> 4.609140e+02</t>
  </si>
  <si>
    <t>UfND</t>
  </si>
  <si>
    <t> 3.468365e+02</t>
  </si>
  <si>
    <t>Check absD</t>
  </si>
  <si>
    <t>Check fi</t>
  </si>
  <si>
    <t>##</t>
  </si>
  <si>
    <t>[1]</t>
  </si>
  <si>
    <t>DayZone_5state_B</t>
  </si>
  <si>
    <t>Coefficients:</t>
  </si>
  <si>
    <t>Estimate</t>
  </si>
  <si>
    <t>Std.</t>
  </si>
  <si>
    <t>Error</t>
  </si>
  <si>
    <t>t</t>
  </si>
  <si>
    <t>value</t>
  </si>
  <si>
    <t>Pr(&gt;|t|)</t>
  </si>
  <si>
    <t>Ti0</t>
  </si>
  <si>
    <t>&lt;2e-16</t>
  </si>
  <si>
    <t>***</t>
  </si>
  <si>
    <t>Tw0</t>
  </si>
  <si>
    <t>Twi0</t>
  </si>
  <si>
    <t>Tfi0</t>
  </si>
  <si>
    <t>Tfl0</t>
  </si>
  <si>
    <t>abs1</t>
  </si>
  <si>
    <t>abs2</t>
  </si>
  <si>
    <t>abs3</t>
  </si>
  <si>
    <t>abs4</t>
  </si>
  <si>
    <t>abs5</t>
  </si>
  <si>
    <t>Ci</t>
  </si>
  <si>
    <t>e11</t>
  </si>
  <si>
    <t>e22</t>
  </si>
  <si>
    <t>**</t>
  </si>
  <si>
    <t>e33</t>
  </si>
  <si>
    <t>e44</t>
  </si>
  <si>
    <t>e55</t>
  </si>
  <si>
    <t>f1</t>
  </si>
  <si>
    <t>f2</t>
  </si>
  <si>
    <t>f3</t>
  </si>
  <si>
    <t>f4</t>
  </si>
  <si>
    <t>f5</t>
  </si>
  <si>
    <t>hcAw</t>
  </si>
  <si>
    <t>hfl</t>
  </si>
  <si>
    <t>p11</t>
  </si>
  <si>
    <t>p22</t>
  </si>
  <si>
    <t>p33</t>
  </si>
  <si>
    <t>p44</t>
  </si>
  <si>
    <t>p55</t>
  </si>
  <si>
    <t>Re</t>
  </si>
  <si>
    <t>UfiA</t>
  </si>
  <si>
    <t>UfiB</t>
  </si>
  <si>
    <t>Ufl</t>
  </si>
  <si>
    <t>*</t>
  </si>
  <si>
    <t>NightZone_4state_B</t>
  </si>
  <si>
    <t>&lt;</t>
  </si>
  <si>
    <t>MultiZoneWall_2state_A</t>
  </si>
  <si>
    <t>TfiD0</t>
  </si>
  <si>
    <t>TfiN0</t>
  </si>
  <si>
    <t>CfiD</t>
  </si>
  <si>
    <t>e66</t>
  </si>
  <si>
    <t>p99</t>
  </si>
  <si>
    <t>IN USE</t>
  </si>
  <si>
    <t>.</t>
  </si>
  <si>
    <t>MultiZoneWall_2state_B</t>
  </si>
  <si>
    <t>f5D</t>
  </si>
  <si>
    <t>f5N</t>
  </si>
  <si>
    <t>Surface proporties</t>
  </si>
  <si>
    <t>plaster</t>
  </si>
  <si>
    <t>BrickMi</t>
  </si>
  <si>
    <t>U-value</t>
  </si>
  <si>
    <t>g-value</t>
  </si>
  <si>
    <t>RC</t>
  </si>
  <si>
    <t>GBPRBS</t>
  </si>
  <si>
    <t>GBINUSE</t>
  </si>
  <si>
    <t>SOLNESW IN-USE</t>
  </si>
  <si>
    <t>DayZone_5state_E</t>
  </si>
  <si>
    <t>abs1E</t>
  </si>
  <si>
    <t>abs1S</t>
  </si>
  <si>
    <t>abs1W</t>
  </si>
  <si>
    <t>abs2E</t>
  </si>
  <si>
    <t>abs2S</t>
  </si>
  <si>
    <t>abs2W</t>
  </si>
  <si>
    <t>abs3E</t>
  </si>
  <si>
    <t>abs3S</t>
  </si>
  <si>
    <t>abs3W</t>
  </si>
  <si>
    <t>abs4E</t>
  </si>
  <si>
    <t>abs4N</t>
  </si>
  <si>
    <t>abs4S</t>
  </si>
  <si>
    <t>abs4W</t>
  </si>
  <si>
    <t>abs5E</t>
  </si>
  <si>
    <t>abs5S</t>
  </si>
  <si>
    <t>abs5W</t>
  </si>
  <si>
    <t>NightZone_4state_E</t>
  </si>
  <si>
    <t>SolNESW INUSE</t>
  </si>
  <si>
    <t>parameter Real</t>
  </si>
  <si>
    <t>abs1ED</t>
  </si>
  <si>
    <t>abs1ND</t>
  </si>
  <si>
    <t>abs1SD</t>
  </si>
  <si>
    <t>abs1WD</t>
  </si>
  <si>
    <t>abs2ED</t>
  </si>
  <si>
    <t>abs2ND</t>
  </si>
  <si>
    <t>abs2SD</t>
  </si>
  <si>
    <t>abs2WD</t>
  </si>
  <si>
    <t>abs3ED</t>
  </si>
  <si>
    <t>abs3ND</t>
  </si>
  <si>
    <t>abs3SD</t>
  </si>
  <si>
    <t>abs3WD</t>
  </si>
  <si>
    <t>abs4ED</t>
  </si>
  <si>
    <t>abs4ND</t>
  </si>
  <si>
    <t>abs4SD</t>
  </si>
  <si>
    <t>abs4WD</t>
  </si>
  <si>
    <t>abs5ED</t>
  </si>
  <si>
    <t>abs5ND</t>
  </si>
  <si>
    <t>abs5SD</t>
  </si>
  <si>
    <t>abs5WD</t>
  </si>
  <si>
    <t>hcAwD</t>
  </si>
  <si>
    <t>abs1EN</t>
  </si>
  <si>
    <t>abs1NN</t>
  </si>
  <si>
    <t>abs1SN</t>
  </si>
  <si>
    <t>abs1WN</t>
  </si>
  <si>
    <t>abs2EN</t>
  </si>
  <si>
    <t>abs2NN</t>
  </si>
  <si>
    <t>abs2SN</t>
  </si>
  <si>
    <t>abs2WN</t>
  </si>
  <si>
    <t>abs3EN</t>
  </si>
  <si>
    <t>abs3NN</t>
  </si>
  <si>
    <t>abs3SN</t>
  </si>
  <si>
    <t>abs3WN</t>
  </si>
  <si>
    <t>abs5EN</t>
  </si>
  <si>
    <t>abs5NN</t>
  </si>
  <si>
    <t>abs5SN</t>
  </si>
  <si>
    <t>abs5WN</t>
  </si>
  <si>
    <t>hcAwN</t>
  </si>
  <si>
    <t>Insulation</t>
  </si>
  <si>
    <t>Ug</t>
  </si>
  <si>
    <t>Uf</t>
  </si>
  <si>
    <t>f_frame</t>
  </si>
  <si>
    <t>v50</t>
  </si>
  <si>
    <t>Tab D10b: 2K,2h</t>
  </si>
  <si>
    <t>Ref 1</t>
  </si>
  <si>
    <t>Ref 2</t>
  </si>
  <si>
    <t>Floor 2stateB</t>
  </si>
  <si>
    <t>SolNESW THEO</t>
  </si>
  <si>
    <t>UAN</t>
  </si>
  <si>
    <t>GBT</t>
  </si>
  <si>
    <t>Theo</t>
  </si>
  <si>
    <t>UAD</t>
  </si>
  <si>
    <t>theo</t>
  </si>
  <si>
    <t>gbT</t>
  </si>
  <si>
    <t>Uawall</t>
  </si>
  <si>
    <t>hAw</t>
  </si>
  <si>
    <t>Vdedic (EPB bijlage 1)</t>
  </si>
  <si>
    <t>PARAMETERS ADR EFF</t>
  </si>
  <si>
    <t>CTOT</t>
  </si>
  <si>
    <t>dBrickInner</t>
  </si>
  <si>
    <t>dInnerWall</t>
  </si>
  <si>
    <t>fracOversize</t>
  </si>
  <si>
    <t>HLC</t>
  </si>
  <si>
    <t>HLC/CTOT</t>
  </si>
  <si>
    <t>intWallratio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</si>
</sst>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_ * #,##0.00_ ;_ * \-#,##0.00_ ;_ * \-??_ ;_ @_ "/>
    <numFmt numFmtId="166" formatCode="0.000"/>
    <numFmt numFmtId="167" formatCode="0.0"/>
    <numFmt numFmtId="168" formatCode="0.0000E+00"/>
    <numFmt numFmtId="169" formatCode="0.00E+000"/>
  </numFmts>
  <fonts count="3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sz val="15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3"/>
      <color rgb="FF1F497D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i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DCE6F2"/>
        <bgColor rgb="FFF2F2F2"/>
      </patternFill>
    </fill>
    <fill>
      <patternFill patternType="solid">
        <fgColor rgb="FF95B3D7"/>
        <bgColor rgb="FFA7C0DE"/>
      </patternFill>
    </fill>
    <fill>
      <patternFill patternType="solid">
        <fgColor rgb="FFB9CDE5"/>
        <bgColor rgb="FFA7C0DE"/>
      </patternFill>
    </fill>
    <fill>
      <patternFill patternType="solid">
        <fgColor rgb="FFC0504D"/>
        <bgColor rgb="FF993366"/>
      </patternFill>
    </fill>
    <fill>
      <patternFill patternType="solid">
        <fgColor rgb="FFF2DCDB"/>
        <bgColor rgb="FFDCE6F2"/>
      </patternFill>
    </fill>
    <fill>
      <patternFill patternType="solid">
        <fgColor rgb="FF8064A2"/>
        <bgColor rgb="FF7F7F7F"/>
      </patternFill>
    </fill>
    <fill>
      <patternFill patternType="solid">
        <fgColor rgb="FFCCC1DA"/>
        <bgColor rgb="FFBFBFBF"/>
      </patternFill>
    </fill>
    <fill>
      <patternFill patternType="solid">
        <fgColor rgb="FFBFBFBF"/>
        <bgColor rgb="FFB7B7B7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2DCDB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B7B7B7"/>
      </patternFill>
    </fill>
    <fill>
      <patternFill patternType="solid">
        <fgColor rgb="FFC3D69B"/>
        <bgColor rgb="FFBFBFBF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249977111117893"/>
        <b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 style="thick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auto="1"/>
      </left>
      <right/>
      <top style="thick">
        <color auto="1"/>
      </top>
      <bottom style="thick">
        <color rgb="FF95B3D7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9" fontId="21" fillId="0" borderId="0"/>
    <xf numFmtId="0" fontId="5" fillId="0" borderId="0"/>
    <xf numFmtId="0" fontId="22" fillId="0" borderId="21" applyNumberFormat="0" applyFill="0" applyAlignment="0" applyProtection="0"/>
    <xf numFmtId="0" fontId="23" fillId="17" borderId="22" applyNumberFormat="0" applyAlignment="0" applyProtection="0"/>
    <xf numFmtId="0" fontId="24" fillId="18" borderId="23" applyNumberFormat="0" applyAlignment="0" applyProtection="0"/>
    <xf numFmtId="0" fontId="2" fillId="19" borderId="0" applyNumberFormat="0" applyBorder="0" applyAlignment="0" applyProtection="0"/>
    <xf numFmtId="0" fontId="2" fillId="0" borderId="0"/>
    <xf numFmtId="0" fontId="2" fillId="20" borderId="0" applyNumberFormat="0" applyBorder="0" applyAlignment="0" applyProtection="0"/>
    <xf numFmtId="0" fontId="26" fillId="28" borderId="0" applyNumberFormat="0" applyBorder="0" applyAlignment="0" applyProtection="0"/>
    <xf numFmtId="0" fontId="27" fillId="29" borderId="0" applyNumberFormat="0" applyBorder="0" applyAlignment="0" applyProtection="0"/>
    <xf numFmtId="0" fontId="29" fillId="32" borderId="0" applyNumberFormat="0" applyBorder="0" applyAlignment="0" applyProtection="0"/>
  </cellStyleXfs>
  <cellXfs count="287">
    <xf numFmtId="0" fontId="0" fillId="0" borderId="0" xfId="0"/>
    <xf numFmtId="0" fontId="0" fillId="1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4" fillId="10" borderId="0" xfId="2" applyFont="1" applyFill="1" applyBorder="1" applyAlignment="1" applyProtection="1">
      <alignment horizontal="center"/>
    </xf>
    <xf numFmtId="0" fontId="5" fillId="0" borderId="4" xfId="2" applyFont="1" applyFill="1" applyBorder="1" applyAlignment="1" applyProtection="1"/>
    <xf numFmtId="0" fontId="0" fillId="3" borderId="5" xfId="2" applyFont="1" applyFill="1" applyBorder="1" applyAlignment="1" applyProtection="1"/>
    <xf numFmtId="0" fontId="21" fillId="3" borderId="6" xfId="2" applyFont="1" applyFill="1" applyBorder="1" applyAlignment="1" applyProtection="1"/>
    <xf numFmtId="2" fontId="21" fillId="3" borderId="6" xfId="2" applyNumberFormat="1" applyFont="1" applyFill="1" applyBorder="1" applyAlignment="1" applyProtection="1"/>
    <xf numFmtId="0" fontId="0" fillId="3" borderId="3" xfId="2" applyFont="1" applyFill="1" applyBorder="1" applyAlignment="1" applyProtection="1"/>
    <xf numFmtId="0" fontId="0" fillId="3" borderId="7" xfId="2" applyFont="1" applyFill="1" applyBorder="1" applyAlignment="1" applyProtection="1">
      <alignment horizontal="center"/>
    </xf>
    <xf numFmtId="0" fontId="0" fillId="3" borderId="4" xfId="2" applyFont="1" applyFill="1" applyBorder="1" applyAlignment="1" applyProtection="1">
      <alignment horizontal="center"/>
    </xf>
    <xf numFmtId="0" fontId="0" fillId="3" borderId="8" xfId="2" applyFont="1" applyFill="1" applyBorder="1" applyAlignment="1" applyProtection="1">
      <alignment horizontal="center"/>
    </xf>
    <xf numFmtId="2" fontId="5" fillId="0" borderId="0" xfId="2" applyNumberFormat="1" applyFont="1" applyFill="1" applyBorder="1" applyAlignment="1" applyProtection="1">
      <alignment horizontal="center"/>
    </xf>
    <xf numFmtId="0" fontId="5" fillId="0" borderId="0" xfId="2" applyFont="1" applyFill="1" applyBorder="1" applyAlignment="1" applyProtection="1"/>
    <xf numFmtId="0" fontId="5" fillId="10" borderId="0" xfId="2" applyFont="1" applyFill="1" applyBorder="1" applyAlignment="1" applyProtection="1"/>
    <xf numFmtId="0" fontId="0" fillId="3" borderId="7" xfId="2" applyFont="1" applyFill="1" applyBorder="1" applyAlignment="1" applyProtection="1"/>
    <xf numFmtId="0" fontId="21" fillId="3" borderId="4" xfId="2" applyFont="1" applyFill="1" applyBorder="1" applyAlignment="1" applyProtection="1"/>
    <xf numFmtId="0" fontId="0" fillId="3" borderId="4" xfId="2" applyFont="1" applyFill="1" applyBorder="1" applyAlignment="1" applyProtection="1">
      <alignment horizontal="right"/>
    </xf>
    <xf numFmtId="166" fontId="21" fillId="3" borderId="4" xfId="2" applyNumberFormat="1" applyFont="1" applyFill="1" applyBorder="1" applyAlignment="1" applyProtection="1">
      <alignment horizontal="center"/>
    </xf>
    <xf numFmtId="0" fontId="21" fillId="3" borderId="8" xfId="2" applyFont="1" applyFill="1" applyBorder="1" applyAlignment="1" applyProtection="1"/>
    <xf numFmtId="0" fontId="6" fillId="0" borderId="9" xfId="0" applyFont="1" applyBorder="1"/>
    <xf numFmtId="0" fontId="0" fillId="0" borderId="10" xfId="0" applyBorder="1"/>
    <xf numFmtId="0" fontId="0" fillId="0" borderId="2" xfId="0" applyBorder="1"/>
    <xf numFmtId="0" fontId="0" fillId="0" borderId="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2" fontId="5" fillId="0" borderId="0" xfId="2" applyNumberFormat="1" applyFont="1" applyFill="1" applyBorder="1" applyAlignment="1" applyProtection="1"/>
    <xf numFmtId="2" fontId="5" fillId="10" borderId="0" xfId="2" applyNumberFormat="1" applyFont="1" applyFill="1" applyBorder="1" applyAlignment="1" applyProtection="1"/>
    <xf numFmtId="0" fontId="0" fillId="0" borderId="7" xfId="0" applyBorder="1"/>
    <xf numFmtId="0" fontId="7" fillId="0" borderId="4" xfId="0" applyFont="1" applyBorder="1"/>
    <xf numFmtId="0" fontId="7" fillId="0" borderId="8" xfId="0" applyFont="1" applyBorder="1"/>
    <xf numFmtId="1" fontId="21" fillId="3" borderId="0" xfId="2" applyNumberFormat="1" applyFont="1" applyFill="1" applyBorder="1" applyAlignment="1" applyProtection="1"/>
    <xf numFmtId="0" fontId="0" fillId="3" borderId="0" xfId="2" applyFont="1" applyFill="1" applyBorder="1" applyAlignment="1" applyProtection="1"/>
    <xf numFmtId="0" fontId="0" fillId="0" borderId="2" xfId="0" applyFont="1" applyBorder="1"/>
    <xf numFmtId="10" fontId="0" fillId="0" borderId="0" xfId="0" applyNumberFormat="1" applyBorder="1"/>
    <xf numFmtId="2" fontId="0" fillId="0" borderId="1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166" fontId="0" fillId="0" borderId="0" xfId="0" applyNumberFormat="1" applyBorder="1"/>
    <xf numFmtId="0" fontId="0" fillId="0" borderId="5" xfId="0" applyFont="1" applyBorder="1"/>
    <xf numFmtId="167" fontId="0" fillId="0" borderId="6" xfId="0" applyNumberFormat="1" applyBorder="1"/>
    <xf numFmtId="0" fontId="0" fillId="0" borderId="6" xfId="0" applyFont="1" applyBorder="1"/>
    <xf numFmtId="0" fontId="0" fillId="0" borderId="2" xfId="0" applyFont="1" applyBorder="1"/>
    <xf numFmtId="167" fontId="0" fillId="0" borderId="0" xfId="0" applyNumberFormat="1" applyBorder="1"/>
    <xf numFmtId="0" fontId="0" fillId="0" borderId="0" xfId="0" applyFont="1" applyBorder="1"/>
    <xf numFmtId="10" fontId="0" fillId="0" borderId="0" xfId="0" applyNumberFormat="1" applyBorder="1"/>
    <xf numFmtId="2" fontId="0" fillId="0" borderId="11" xfId="0" applyNumberFormat="1" applyFont="1" applyBorder="1"/>
    <xf numFmtId="0" fontId="0" fillId="0" borderId="9" xfId="0" applyBorder="1"/>
    <xf numFmtId="166" fontId="0" fillId="0" borderId="10" xfId="0" applyNumberFormat="1" applyBorder="1"/>
    <xf numFmtId="0" fontId="0" fillId="0" borderId="12" xfId="0" applyBorder="1"/>
    <xf numFmtId="0" fontId="0" fillId="3" borderId="5" xfId="2" applyFont="1" applyFill="1" applyBorder="1" applyAlignment="1" applyProtection="1">
      <alignment horizontal="right"/>
    </xf>
    <xf numFmtId="0" fontId="0" fillId="0" borderId="2" xfId="0" applyFont="1" applyBorder="1" applyAlignment="1">
      <alignment horizontal="right"/>
    </xf>
    <xf numFmtId="2" fontId="0" fillId="0" borderId="0" xfId="0" applyNumberFormat="1" applyFont="1" applyBorder="1"/>
    <xf numFmtId="0" fontId="0" fillId="0" borderId="0" xfId="0" applyFont="1" applyBorder="1"/>
    <xf numFmtId="1" fontId="21" fillId="3" borderId="6" xfId="2" applyNumberFormat="1" applyFont="1" applyFill="1" applyBorder="1" applyAlignment="1" applyProtection="1"/>
    <xf numFmtId="0" fontId="0" fillId="0" borderId="11" xfId="0" applyFont="1" applyBorder="1"/>
    <xf numFmtId="9" fontId="0" fillId="0" borderId="0" xfId="1" applyFont="1" applyBorder="1" applyAlignment="1" applyProtection="1"/>
    <xf numFmtId="2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2" xfId="0" applyNumberFormat="1" applyFont="1" applyBorder="1"/>
    <xf numFmtId="166" fontId="0" fillId="0" borderId="6" xfId="0" applyNumberFormat="1" applyBorder="1"/>
    <xf numFmtId="0" fontId="0" fillId="0" borderId="3" xfId="0" applyBorder="1"/>
    <xf numFmtId="0" fontId="4" fillId="4" borderId="0" xfId="2" applyFont="1" applyFill="1" applyBorder="1" applyAlignment="1" applyProtection="1"/>
    <xf numFmtId="2" fontId="4" fillId="4" borderId="0" xfId="2" applyNumberFormat="1" applyFont="1" applyFill="1" applyBorder="1" applyAlignment="1" applyProtection="1"/>
    <xf numFmtId="0" fontId="0" fillId="0" borderId="10" xfId="0" applyBorder="1"/>
    <xf numFmtId="0" fontId="4" fillId="2" borderId="0" xfId="2" applyFont="1" applyFill="1" applyBorder="1" applyAlignment="1" applyProtection="1">
      <alignment horizontal="center"/>
    </xf>
    <xf numFmtId="0" fontId="21" fillId="5" borderId="0" xfId="2" applyFont="1" applyFill="1" applyBorder="1" applyAlignment="1" applyProtection="1">
      <alignment horizontal="center"/>
    </xf>
    <xf numFmtId="1" fontId="21" fillId="5" borderId="0" xfId="2" applyNumberFormat="1" applyFont="1" applyFill="1" applyBorder="1" applyAlignment="1" applyProtection="1">
      <alignment horizontal="center"/>
    </xf>
    <xf numFmtId="2" fontId="0" fillId="11" borderId="6" xfId="0" applyNumberFormat="1" applyFill="1" applyBorder="1"/>
    <xf numFmtId="167" fontId="21" fillId="5" borderId="0" xfId="2" applyNumberFormat="1" applyFont="1" applyFill="1" applyBorder="1" applyAlignment="1" applyProtection="1">
      <alignment horizontal="center"/>
    </xf>
    <xf numFmtId="0" fontId="21" fillId="5" borderId="0" xfId="2" applyFont="1" applyFill="1" applyBorder="1" applyAlignment="1" applyProtection="1"/>
    <xf numFmtId="0" fontId="0" fillId="0" borderId="3" xfId="0" applyFont="1" applyBorder="1"/>
    <xf numFmtId="0" fontId="0" fillId="0" borderId="0" xfId="0" applyAlignment="1">
      <alignment horizontal="right"/>
    </xf>
    <xf numFmtId="0" fontId="0" fillId="12" borderId="0" xfId="0" applyFill="1"/>
    <xf numFmtId="0" fontId="0" fillId="0" borderId="0" xfId="0"/>
    <xf numFmtId="0" fontId="12" fillId="0" borderId="1" xfId="2" applyFont="1" applyFill="1" applyBorder="1" applyAlignment="1" applyProtection="1"/>
    <xf numFmtId="0" fontId="4" fillId="6" borderId="0" xfId="2" applyFont="1" applyFill="1" applyBorder="1" applyAlignment="1" applyProtection="1"/>
    <xf numFmtId="0" fontId="0" fillId="7" borderId="0" xfId="2" applyFont="1" applyFill="1" applyBorder="1" applyAlignment="1" applyProtection="1"/>
    <xf numFmtId="1" fontId="0" fillId="0" borderId="0" xfId="0" applyNumberFormat="1"/>
    <xf numFmtId="2" fontId="21" fillId="7" borderId="0" xfId="2" applyNumberFormat="1" applyFont="1" applyFill="1" applyBorder="1" applyAlignment="1" applyProtection="1"/>
    <xf numFmtId="167" fontId="21" fillId="7" borderId="0" xfId="2" applyNumberFormat="1" applyFont="1" applyFill="1" applyBorder="1" applyAlignment="1" applyProtection="1"/>
    <xf numFmtId="9" fontId="21" fillId="7" borderId="0" xfId="2" applyNumberFormat="1" applyFont="1" applyFill="1" applyBorder="1" applyAlignment="1" applyProtection="1"/>
    <xf numFmtId="10" fontId="21" fillId="7" borderId="0" xfId="2" applyNumberFormat="1" applyFont="1" applyFill="1" applyBorder="1" applyAlignment="1" applyProtection="1"/>
    <xf numFmtId="0" fontId="4" fillId="8" borderId="0" xfId="2" applyFont="1" applyFill="1" applyBorder="1" applyAlignment="1" applyProtection="1"/>
    <xf numFmtId="0" fontId="0" fillId="9" borderId="0" xfId="2" applyFont="1" applyFill="1" applyBorder="1" applyAlignment="1" applyProtection="1"/>
    <xf numFmtId="2" fontId="0" fillId="11" borderId="0" xfId="0" applyNumberFormat="1" applyFill="1"/>
    <xf numFmtId="2" fontId="13" fillId="13" borderId="13" xfId="2" applyNumberFormat="1" applyFont="1" applyFill="1" applyBorder="1" applyAlignment="1" applyProtection="1"/>
    <xf numFmtId="2" fontId="0" fillId="11" borderId="5" xfId="0" applyNumberFormat="1" applyFill="1" applyBorder="1"/>
    <xf numFmtId="2" fontId="0" fillId="11" borderId="3" xfId="0" applyNumberFormat="1" applyFill="1" applyBorder="1"/>
    <xf numFmtId="2" fontId="0" fillId="11" borderId="2" xfId="0" applyNumberFormat="1" applyFill="1" applyBorder="1"/>
    <xf numFmtId="2" fontId="0" fillId="11" borderId="11" xfId="0" applyNumberFormat="1" applyFill="1" applyBorder="1"/>
    <xf numFmtId="2" fontId="14" fillId="0" borderId="2" xfId="2" applyNumberFormat="1" applyFont="1" applyBorder="1" applyAlignment="1" applyProtection="1"/>
    <xf numFmtId="2" fontId="0" fillId="11" borderId="0" xfId="0" applyNumberFormat="1" applyFill="1" applyBorder="1"/>
    <xf numFmtId="2" fontId="0" fillId="11" borderId="6" xfId="0" applyNumberFormat="1" applyFont="1" applyFill="1" applyBorder="1" applyAlignment="1">
      <alignment horizontal="left"/>
    </xf>
    <xf numFmtId="2" fontId="0" fillId="11" borderId="6" xfId="0" applyNumberFormat="1" applyFont="1" applyFill="1" applyBorder="1" applyAlignment="1">
      <alignment horizontal="right"/>
    </xf>
    <xf numFmtId="2" fontId="0" fillId="11" borderId="0" xfId="0" applyNumberFormat="1" applyFill="1" applyBorder="1" applyAlignment="1">
      <alignment horizontal="left"/>
    </xf>
    <xf numFmtId="2" fontId="0" fillId="11" borderId="0" xfId="0" applyNumberFormat="1" applyFill="1" applyBorder="1" applyAlignment="1">
      <alignment horizontal="right"/>
    </xf>
    <xf numFmtId="2" fontId="15" fillId="11" borderId="2" xfId="2" applyNumberFormat="1" applyFont="1" applyFill="1" applyBorder="1" applyAlignment="1" applyProtection="1"/>
    <xf numFmtId="2" fontId="0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13" fillId="13" borderId="14" xfId="2" applyNumberFormat="1" applyFont="1" applyFill="1" applyBorder="1" applyAlignment="1" applyProtection="1">
      <alignment horizontal="right"/>
    </xf>
    <xf numFmtId="2" fontId="16" fillId="14" borderId="14" xfId="2" applyNumberFormat="1" applyFont="1" applyFill="1" applyBorder="1" applyAlignment="1" applyProtection="1">
      <alignment horizontal="right"/>
    </xf>
    <xf numFmtId="2" fontId="17" fillId="15" borderId="0" xfId="0" applyNumberFormat="1" applyFont="1" applyFill="1" applyBorder="1" applyAlignment="1" applyProtection="1">
      <alignment horizontal="right"/>
    </xf>
    <xf numFmtId="2" fontId="0" fillId="11" borderId="9" xfId="0" applyNumberFormat="1" applyFill="1" applyBorder="1"/>
    <xf numFmtId="2" fontId="0" fillId="11" borderId="10" xfId="0" applyNumberFormat="1" applyFill="1" applyBorder="1"/>
    <xf numFmtId="2" fontId="0" fillId="11" borderId="12" xfId="0" applyNumberFormat="1" applyFill="1" applyBorder="1"/>
    <xf numFmtId="2" fontId="13" fillId="13" borderId="0" xfId="2" applyNumberFormat="1" applyFont="1" applyFill="1" applyBorder="1" applyAlignment="1" applyProtection="1">
      <alignment horizontal="right"/>
    </xf>
    <xf numFmtId="2" fontId="16" fillId="14" borderId="0" xfId="2" applyNumberFormat="1" applyFont="1" applyFill="1" applyBorder="1" applyAlignment="1" applyProtection="1">
      <alignment horizontal="right"/>
    </xf>
    <xf numFmtId="2" fontId="6" fillId="0" borderId="0" xfId="0" applyNumberFormat="1" applyFont="1" applyBorder="1"/>
    <xf numFmtId="2" fontId="7" fillId="0" borderId="0" xfId="0" applyNumberFormat="1" applyFont="1" applyBorder="1"/>
    <xf numFmtId="2" fontId="13" fillId="13" borderId="15" xfId="2" applyNumberFormat="1" applyFont="1" applyFill="1" applyBorder="1" applyAlignment="1" applyProtection="1"/>
    <xf numFmtId="2" fontId="16" fillId="14" borderId="15" xfId="2" applyNumberFormat="1" applyFont="1" applyFill="1" applyBorder="1" applyAlignment="1" applyProtection="1"/>
    <xf numFmtId="2" fontId="17" fillId="15" borderId="0" xfId="0" applyNumberFormat="1" applyFont="1" applyFill="1" applyBorder="1" applyAlignment="1" applyProtection="1"/>
    <xf numFmtId="2" fontId="5" fillId="0" borderId="0" xfId="0" applyNumberFormat="1" applyFont="1" applyBorder="1" applyAlignment="1" applyProtection="1">
      <alignment horizontal="left"/>
    </xf>
    <xf numFmtId="2" fontId="5" fillId="0" borderId="0" xfId="0" applyNumberFormat="1" applyFont="1" applyBorder="1" applyAlignment="1" applyProtection="1"/>
    <xf numFmtId="2" fontId="13" fillId="13" borderId="14" xfId="2" applyNumberFormat="1" applyFont="1" applyFill="1" applyBorder="1" applyAlignment="1" applyProtection="1"/>
    <xf numFmtId="2" fontId="16" fillId="14" borderId="14" xfId="2" applyNumberFormat="1" applyFont="1" applyFill="1" applyBorder="1" applyAlignment="1" applyProtection="1"/>
    <xf numFmtId="2" fontId="13" fillId="13" borderId="16" xfId="2" applyNumberFormat="1" applyFont="1" applyFill="1" applyBorder="1" applyAlignment="1" applyProtection="1"/>
    <xf numFmtId="2" fontId="17" fillId="15" borderId="2" xfId="0" applyNumberFormat="1" applyFont="1" applyFill="1" applyBorder="1" applyAlignment="1" applyProtection="1"/>
    <xf numFmtId="2" fontId="5" fillId="11" borderId="6" xfId="0" applyNumberFormat="1" applyFont="1" applyFill="1" applyBorder="1" applyAlignment="1" applyProtection="1"/>
    <xf numFmtId="2" fontId="6" fillId="11" borderId="2" xfId="0" applyNumberFormat="1" applyFont="1" applyFill="1" applyBorder="1"/>
    <xf numFmtId="2" fontId="13" fillId="13" borderId="17" xfId="2" applyNumberFormat="1" applyFont="1" applyFill="1" applyBorder="1" applyAlignment="1" applyProtection="1"/>
    <xf numFmtId="2" fontId="18" fillId="15" borderId="0" xfId="0" applyNumberFormat="1" applyFont="1" applyFill="1" applyBorder="1" applyAlignment="1" applyProtection="1"/>
    <xf numFmtId="2" fontId="15" fillId="16" borderId="18" xfId="2" applyNumberFormat="1" applyFont="1" applyFill="1" applyBorder="1" applyAlignment="1" applyProtection="1"/>
    <xf numFmtId="2" fontId="0" fillId="16" borderId="6" xfId="0" applyNumberFormat="1" applyFill="1" applyBorder="1"/>
    <xf numFmtId="2" fontId="0" fillId="16" borderId="3" xfId="0" applyNumberFormat="1" applyFill="1" applyBorder="1"/>
    <xf numFmtId="2" fontId="0" fillId="16" borderId="0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0" fillId="16" borderId="10" xfId="0" applyNumberFormat="1" applyFill="1" applyBorder="1"/>
    <xf numFmtId="2" fontId="0" fillId="16" borderId="12" xfId="0" applyNumberFormat="1" applyFill="1" applyBorder="1"/>
    <xf numFmtId="2" fontId="4" fillId="2" borderId="0" xfId="0" applyNumberFormat="1" applyFont="1" applyFill="1" applyBorder="1" applyAlignment="1" applyProtection="1"/>
    <xf numFmtId="2" fontId="0" fillId="0" borderId="2" xfId="0" applyNumberFormat="1" applyBorder="1"/>
    <xf numFmtId="2" fontId="16" fillId="14" borderId="19" xfId="2" applyNumberFormat="1" applyFont="1" applyFill="1" applyBorder="1" applyAlignment="1" applyProtection="1"/>
    <xf numFmtId="2" fontId="0" fillId="0" borderId="9" xfId="0" applyNumberFormat="1" applyBorder="1"/>
    <xf numFmtId="2" fontId="0" fillId="0" borderId="10" xfId="0" applyNumberFormat="1" applyBorder="1"/>
    <xf numFmtId="2" fontId="13" fillId="13" borderId="13" xfId="2" applyNumberFormat="1" applyFont="1" applyFill="1" applyBorder="1" applyAlignment="1" applyProtection="1">
      <alignment horizontal="right"/>
    </xf>
    <xf numFmtId="2" fontId="13" fillId="13" borderId="16" xfId="2" applyNumberFormat="1" applyFont="1" applyFill="1" applyBorder="1" applyAlignment="1" applyProtection="1">
      <alignment horizontal="right"/>
    </xf>
    <xf numFmtId="2" fontId="16" fillId="14" borderId="19" xfId="2" applyNumberFormat="1" applyFont="1" applyFill="1" applyBorder="1" applyAlignment="1" applyProtection="1">
      <alignment horizontal="right"/>
    </xf>
    <xf numFmtId="2" fontId="13" fillId="13" borderId="20" xfId="2" applyNumberFormat="1" applyFont="1" applyFill="1" applyBorder="1" applyAlignment="1" applyProtection="1"/>
    <xf numFmtId="2" fontId="6" fillId="0" borderId="2" xfId="0" applyNumberFormat="1" applyFont="1" applyBorder="1"/>
    <xf numFmtId="2" fontId="5" fillId="11" borderId="0" xfId="0" applyNumberFormat="1" applyFont="1" applyFill="1" applyBorder="1" applyAlignment="1" applyProtection="1"/>
    <xf numFmtId="0" fontId="6" fillId="0" borderId="0" xfId="0" applyFont="1"/>
    <xf numFmtId="0" fontId="19" fillId="0" borderId="0" xfId="0" applyFont="1"/>
    <xf numFmtId="0" fontId="20" fillId="0" borderId="0" xfId="0" applyFont="1"/>
    <xf numFmtId="2" fontId="0" fillId="0" borderId="0" xfId="0" applyNumberFormat="1"/>
    <xf numFmtId="0" fontId="5" fillId="0" borderId="0" xfId="2" applyFont="1" applyBorder="1" applyAlignment="1" applyProtection="1"/>
    <xf numFmtId="2" fontId="5" fillId="0" borderId="0" xfId="2" applyNumberFormat="1" applyBorder="1" applyAlignment="1" applyProtection="1"/>
    <xf numFmtId="168" fontId="0" fillId="0" borderId="0" xfId="0" applyNumberFormat="1"/>
    <xf numFmtId="169" fontId="0" fillId="0" borderId="0" xfId="0" applyNumberFormat="1"/>
    <xf numFmtId="0" fontId="24" fillId="18" borderId="23" xfId="5"/>
    <xf numFmtId="0" fontId="2" fillId="0" borderId="0" xfId="7"/>
    <xf numFmtId="0" fontId="22" fillId="0" borderId="21" xfId="3"/>
    <xf numFmtId="0" fontId="2" fillId="19" borderId="0" xfId="6"/>
    <xf numFmtId="166" fontId="2" fillId="19" borderId="0" xfId="6" applyNumberFormat="1"/>
    <xf numFmtId="0" fontId="2" fillId="20" borderId="0" xfId="8" quotePrefix="1"/>
    <xf numFmtId="0" fontId="2" fillId="20" borderId="0" xfId="8" applyFont="1"/>
    <xf numFmtId="0" fontId="2" fillId="20" borderId="0" xfId="8"/>
    <xf numFmtId="0" fontId="2" fillId="19" borderId="0" xfId="6" applyFont="1"/>
    <xf numFmtId="11" fontId="0" fillId="0" borderId="0" xfId="0" applyNumberFormat="1"/>
    <xf numFmtId="164" fontId="2" fillId="19" borderId="0" xfId="6" applyNumberFormat="1"/>
    <xf numFmtId="164" fontId="2" fillId="19" borderId="0" xfId="6" applyNumberFormat="1" applyFont="1"/>
    <xf numFmtId="0" fontId="23" fillId="17" borderId="22" xfId="4"/>
    <xf numFmtId="0" fontId="0" fillId="21" borderId="0" xfId="0" applyFill="1"/>
    <xf numFmtId="164" fontId="1" fillId="19" borderId="0" xfId="6" applyNumberFormat="1" applyFont="1"/>
    <xf numFmtId="0" fontId="0" fillId="23" borderId="0" xfId="0" applyFill="1"/>
    <xf numFmtId="0" fontId="6" fillId="23" borderId="9" xfId="0" applyFont="1" applyFill="1" applyBorder="1"/>
    <xf numFmtId="0" fontId="0" fillId="23" borderId="10" xfId="0" applyFill="1" applyBorder="1"/>
    <xf numFmtId="0" fontId="0" fillId="23" borderId="2" xfId="0" applyFill="1" applyBorder="1"/>
    <xf numFmtId="0" fontId="0" fillId="23" borderId="0" xfId="0" applyFill="1" applyBorder="1"/>
    <xf numFmtId="0" fontId="0" fillId="23" borderId="11" xfId="0" applyFill="1" applyBorder="1"/>
    <xf numFmtId="0" fontId="0" fillId="23" borderId="2" xfId="0" applyFont="1" applyFill="1" applyBorder="1"/>
    <xf numFmtId="10" fontId="0" fillId="23" borderId="0" xfId="0" applyNumberFormat="1" applyFill="1" applyBorder="1"/>
    <xf numFmtId="2" fontId="0" fillId="23" borderId="11" xfId="0" applyNumberFormat="1" applyFill="1" applyBorder="1"/>
    <xf numFmtId="0" fontId="0" fillId="23" borderId="5" xfId="0" applyFont="1" applyFill="1" applyBorder="1"/>
    <xf numFmtId="0" fontId="0" fillId="23" borderId="6" xfId="0" applyFont="1" applyFill="1" applyBorder="1"/>
    <xf numFmtId="167" fontId="0" fillId="23" borderId="0" xfId="0" applyNumberFormat="1" applyFill="1" applyBorder="1"/>
    <xf numFmtId="0" fontId="0" fillId="23" borderId="0" xfId="0" applyFont="1" applyFill="1" applyBorder="1"/>
    <xf numFmtId="2" fontId="0" fillId="23" borderId="11" xfId="0" applyNumberFormat="1" applyFont="1" applyFill="1" applyBorder="1"/>
    <xf numFmtId="0" fontId="0" fillId="23" borderId="2" xfId="0" applyFont="1" applyFill="1" applyBorder="1" applyAlignment="1">
      <alignment horizontal="right"/>
    </xf>
    <xf numFmtId="0" fontId="0" fillId="23" borderId="9" xfId="0" applyFill="1" applyBorder="1"/>
    <xf numFmtId="2" fontId="0" fillId="23" borderId="0" xfId="0" applyNumberFormat="1" applyFont="1" applyFill="1" applyBorder="1"/>
    <xf numFmtId="0" fontId="0" fillId="23" borderId="11" xfId="0" applyFont="1" applyFill="1" applyBorder="1"/>
    <xf numFmtId="9" fontId="0" fillId="23" borderId="0" xfId="1" applyFont="1" applyFill="1" applyBorder="1" applyAlignment="1" applyProtection="1"/>
    <xf numFmtId="2" fontId="0" fillId="23" borderId="0" xfId="0" applyNumberFormat="1" applyFill="1" applyBorder="1"/>
    <xf numFmtId="0" fontId="0" fillId="23" borderId="12" xfId="0" applyFill="1" applyBorder="1"/>
    <xf numFmtId="0" fontId="0" fillId="24" borderId="5" xfId="2" applyFont="1" applyFill="1" applyBorder="1" applyAlignment="1" applyProtection="1"/>
    <xf numFmtId="0" fontId="21" fillId="24" borderId="6" xfId="2" applyFont="1" applyFill="1" applyBorder="1" applyAlignment="1" applyProtection="1"/>
    <xf numFmtId="1" fontId="21" fillId="24" borderId="6" xfId="2" applyNumberFormat="1" applyFont="1" applyFill="1" applyBorder="1" applyAlignment="1" applyProtection="1"/>
    <xf numFmtId="0" fontId="0" fillId="24" borderId="0" xfId="2" applyFont="1" applyFill="1" applyBorder="1" applyAlignment="1" applyProtection="1"/>
    <xf numFmtId="0" fontId="0" fillId="24" borderId="5" xfId="2" applyFont="1" applyFill="1" applyBorder="1" applyAlignment="1" applyProtection="1">
      <alignment horizontal="right"/>
    </xf>
    <xf numFmtId="0" fontId="0" fillId="24" borderId="3" xfId="2" applyFont="1" applyFill="1" applyBorder="1" applyAlignment="1" applyProtection="1"/>
    <xf numFmtId="2" fontId="21" fillId="24" borderId="6" xfId="2" applyNumberFormat="1" applyFont="1" applyFill="1" applyBorder="1" applyAlignment="1" applyProtection="1"/>
    <xf numFmtId="0" fontId="0" fillId="24" borderId="4" xfId="2" applyFont="1" applyFill="1" applyBorder="1" applyAlignment="1" applyProtection="1">
      <alignment horizontal="center"/>
    </xf>
    <xf numFmtId="0" fontId="0" fillId="24" borderId="9" xfId="2" applyFont="1" applyFill="1" applyBorder="1" applyAlignment="1" applyProtection="1">
      <alignment horizontal="center"/>
    </xf>
    <xf numFmtId="0" fontId="0" fillId="24" borderId="10" xfId="2" applyFont="1" applyFill="1" applyBorder="1" applyAlignment="1" applyProtection="1">
      <alignment horizontal="center"/>
    </xf>
    <xf numFmtId="0" fontId="0" fillId="24" borderId="12" xfId="2" applyFont="1" applyFill="1" applyBorder="1" applyAlignment="1" applyProtection="1">
      <alignment horizontal="center"/>
    </xf>
    <xf numFmtId="0" fontId="0" fillId="23" borderId="5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2" fontId="0" fillId="23" borderId="6" xfId="0" applyNumberFormat="1" applyFill="1" applyBorder="1" applyAlignment="1">
      <alignment horizontal="center"/>
    </xf>
    <xf numFmtId="49" fontId="0" fillId="23" borderId="3" xfId="0" applyNumberFormat="1" applyFont="1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2" fontId="0" fillId="23" borderId="0" xfId="0" applyNumberFormat="1" applyFill="1" applyBorder="1" applyAlignment="1">
      <alignment horizontal="center"/>
    </xf>
    <xf numFmtId="49" fontId="0" fillId="23" borderId="11" xfId="0" applyNumberFormat="1" applyFont="1" applyFill="1" applyBorder="1" applyAlignment="1">
      <alignment horizontal="center"/>
    </xf>
    <xf numFmtId="165" fontId="3" fillId="23" borderId="0" xfId="2" applyNumberFormat="1" applyFont="1" applyFill="1" applyBorder="1" applyAlignment="1" applyProtection="1">
      <alignment vertical="center"/>
    </xf>
    <xf numFmtId="0" fontId="0" fillId="23" borderId="9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49" fontId="0" fillId="23" borderId="12" xfId="0" applyNumberFormat="1" applyFont="1" applyFill="1" applyBorder="1"/>
    <xf numFmtId="0" fontId="0" fillId="24" borderId="7" xfId="2" applyFont="1" applyFill="1" applyBorder="1" applyAlignment="1" applyProtection="1"/>
    <xf numFmtId="0" fontId="21" fillId="24" borderId="4" xfId="2" applyFont="1" applyFill="1" applyBorder="1" applyAlignment="1" applyProtection="1"/>
    <xf numFmtId="0" fontId="0" fillId="24" borderId="4" xfId="2" applyFont="1" applyFill="1" applyBorder="1" applyAlignment="1" applyProtection="1">
      <alignment horizontal="right"/>
    </xf>
    <xf numFmtId="166" fontId="21" fillId="24" borderId="4" xfId="2" applyNumberFormat="1" applyFont="1" applyFill="1" applyBorder="1" applyAlignment="1" applyProtection="1">
      <alignment horizontal="center"/>
    </xf>
    <xf numFmtId="0" fontId="21" fillId="24" borderId="8" xfId="2" applyFont="1" applyFill="1" applyBorder="1" applyAlignment="1" applyProtection="1"/>
    <xf numFmtId="0" fontId="5" fillId="23" borderId="10" xfId="2" applyFont="1" applyFill="1" applyBorder="1" applyAlignment="1" applyProtection="1"/>
    <xf numFmtId="0" fontId="5" fillId="23" borderId="0" xfId="2" applyFont="1" applyFill="1" applyBorder="1" applyAlignment="1" applyProtection="1"/>
    <xf numFmtId="2" fontId="0" fillId="23" borderId="0" xfId="0" applyNumberFormat="1" applyFill="1"/>
    <xf numFmtId="0" fontId="0" fillId="23" borderId="7" xfId="0" applyFill="1" applyBorder="1"/>
    <xf numFmtId="0" fontId="7" fillId="23" borderId="4" xfId="0" applyFont="1" applyFill="1" applyBorder="1"/>
    <xf numFmtId="0" fontId="7" fillId="23" borderId="8" xfId="0" applyFont="1" applyFill="1" applyBorder="1"/>
    <xf numFmtId="166" fontId="0" fillId="23" borderId="0" xfId="0" applyNumberFormat="1" applyFill="1" applyBorder="1"/>
    <xf numFmtId="0" fontId="5" fillId="27" borderId="0" xfId="2" applyFont="1" applyFill="1" applyBorder="1" applyAlignment="1" applyProtection="1"/>
    <xf numFmtId="166" fontId="0" fillId="23" borderId="10" xfId="0" applyNumberFormat="1" applyFill="1" applyBorder="1"/>
    <xf numFmtId="0" fontId="0" fillId="23" borderId="6" xfId="0" applyFill="1" applyBorder="1"/>
    <xf numFmtId="166" fontId="0" fillId="23" borderId="6" xfId="0" applyNumberFormat="1" applyFill="1" applyBorder="1"/>
    <xf numFmtId="0" fontId="0" fillId="23" borderId="3" xfId="0" applyFill="1" applyBorder="1"/>
    <xf numFmtId="0" fontId="0" fillId="23" borderId="3" xfId="0" applyFont="1" applyFill="1" applyBorder="1"/>
    <xf numFmtId="0" fontId="0" fillId="24" borderId="2" xfId="2" applyFont="1" applyFill="1" applyBorder="1" applyAlignment="1" applyProtection="1"/>
    <xf numFmtId="0" fontId="21" fillId="24" borderId="0" xfId="2" applyFont="1" applyFill="1" applyBorder="1" applyAlignment="1" applyProtection="1"/>
    <xf numFmtId="2" fontId="21" fillId="24" borderId="0" xfId="2" applyNumberFormat="1" applyFont="1" applyFill="1" applyBorder="1" applyAlignment="1" applyProtection="1"/>
    <xf numFmtId="0" fontId="0" fillId="24" borderId="11" xfId="2" applyFont="1" applyFill="1" applyBorder="1" applyAlignment="1" applyProtection="1"/>
    <xf numFmtId="0" fontId="26" fillId="28" borderId="0" xfId="9"/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30" borderId="0" xfId="0" applyFill="1"/>
    <xf numFmtId="11" fontId="0" fillId="30" borderId="0" xfId="0" applyNumberFormat="1" applyFill="1"/>
    <xf numFmtId="0" fontId="27" fillId="29" borderId="0" xfId="10"/>
    <xf numFmtId="11" fontId="27" fillId="29" borderId="0" xfId="10" applyNumberFormat="1" applyAlignment="1">
      <alignment horizontal="right"/>
    </xf>
    <xf numFmtId="11" fontId="27" fillId="29" borderId="0" xfId="10" applyNumberFormat="1"/>
    <xf numFmtId="166" fontId="27" fillId="29" borderId="0" xfId="10" applyNumberFormat="1" applyAlignment="1">
      <alignment horizontal="right"/>
    </xf>
    <xf numFmtId="2" fontId="27" fillId="29" borderId="0" xfId="10" applyNumberFormat="1" applyAlignment="1">
      <alignment horizontal="right"/>
    </xf>
    <xf numFmtId="1" fontId="27" fillId="29" borderId="0" xfId="10" applyNumberFormat="1" applyAlignment="1">
      <alignment horizontal="right"/>
    </xf>
    <xf numFmtId="0" fontId="27" fillId="29" borderId="0" xfId="10" applyAlignment="1">
      <alignment horizontal="right"/>
    </xf>
    <xf numFmtId="2" fontId="0" fillId="11" borderId="6" xfId="0" applyNumberFormat="1" applyFill="1" applyBorder="1"/>
    <xf numFmtId="167" fontId="0" fillId="23" borderId="6" xfId="0" applyNumberFormat="1" applyFont="1" applyFill="1" applyBorder="1"/>
    <xf numFmtId="2" fontId="0" fillId="11" borderId="6" xfId="0" applyNumberFormat="1" applyFill="1" applyBorder="1"/>
    <xf numFmtId="0" fontId="0" fillId="30" borderId="0" xfId="0" applyFill="1" applyBorder="1"/>
    <xf numFmtId="11" fontId="2" fillId="19" borderId="0" xfId="6" applyNumberFormat="1"/>
    <xf numFmtId="2" fontId="0" fillId="11" borderId="6" xfId="0" applyNumberFormat="1" applyFill="1" applyBorder="1"/>
    <xf numFmtId="11" fontId="23" fillId="17" borderId="22" xfId="4" applyNumberFormat="1" applyAlignment="1">
      <alignment horizontal="right"/>
    </xf>
    <xf numFmtId="166" fontId="23" fillId="17" borderId="22" xfId="4" applyNumberFormat="1" applyAlignment="1">
      <alignment horizontal="right"/>
    </xf>
    <xf numFmtId="2" fontId="23" fillId="17" borderId="22" xfId="4" applyNumberFormat="1" applyAlignment="1">
      <alignment horizontal="right"/>
    </xf>
    <xf numFmtId="1" fontId="23" fillId="17" borderId="22" xfId="4" applyNumberFormat="1" applyAlignment="1">
      <alignment horizontal="right"/>
    </xf>
    <xf numFmtId="11" fontId="23" fillId="17" borderId="22" xfId="4" applyNumberFormat="1"/>
    <xf numFmtId="2" fontId="23" fillId="17" borderId="22" xfId="4" applyNumberFormat="1"/>
    <xf numFmtId="0" fontId="23" fillId="17" borderId="22" xfId="4" applyAlignment="1">
      <alignment horizontal="right"/>
    </xf>
    <xf numFmtId="11" fontId="28" fillId="29" borderId="0" xfId="10" applyNumberFormat="1" applyFont="1"/>
    <xf numFmtId="0" fontId="23" fillId="17" borderId="0" xfId="4" applyBorder="1"/>
    <xf numFmtId="2" fontId="23" fillId="17" borderId="0" xfId="4" applyNumberFormat="1" applyBorder="1"/>
    <xf numFmtId="0" fontId="0" fillId="31" borderId="0" xfId="0" applyFill="1"/>
    <xf numFmtId="0" fontId="29" fillId="32" borderId="0" xfId="11"/>
    <xf numFmtId="0" fontId="29" fillId="32" borderId="27" xfId="11" applyBorder="1"/>
    <xf numFmtId="0" fontId="24" fillId="32" borderId="27" xfId="11" applyFont="1" applyBorder="1"/>
    <xf numFmtId="2" fontId="29" fillId="32" borderId="27" xfId="11" applyNumberFormat="1" applyBorder="1"/>
    <xf numFmtId="11" fontId="29" fillId="32" borderId="27" xfId="11" applyNumberFormat="1" applyBorder="1"/>
    <xf numFmtId="2" fontId="0" fillId="11" borderId="3" xfId="0" applyNumberFormat="1" applyFont="1" applyFill="1" applyBorder="1"/>
    <xf numFmtId="2" fontId="0" fillId="11" borderId="6" xfId="0" applyNumberFormat="1" applyFill="1" applyBorder="1"/>
    <xf numFmtId="2" fontId="0" fillId="11" borderId="11" xfId="0" applyNumberFormat="1" applyFont="1" applyFill="1" applyBorder="1"/>
    <xf numFmtId="2" fontId="0" fillId="11" borderId="2" xfId="0" applyNumberFormat="1" applyFont="1" applyFill="1" applyBorder="1"/>
    <xf numFmtId="0" fontId="4" fillId="6" borderId="0" xfId="2" applyFont="1" applyFill="1" applyBorder="1" applyAlignment="1" applyProtection="1">
      <alignment horizontal="center"/>
    </xf>
    <xf numFmtId="2" fontId="0" fillId="11" borderId="6" xfId="0" applyNumberFormat="1" applyFont="1" applyFill="1" applyBorder="1"/>
    <xf numFmtId="2" fontId="0" fillId="22" borderId="3" xfId="0" applyNumberFormat="1" applyFont="1" applyFill="1" applyBorder="1"/>
    <xf numFmtId="2" fontId="25" fillId="25" borderId="24" xfId="0" applyNumberFormat="1" applyFont="1" applyFill="1" applyBorder="1" applyAlignment="1">
      <alignment horizontal="center"/>
    </xf>
    <xf numFmtId="2" fontId="25" fillId="25" borderId="25" xfId="0" applyNumberFormat="1" applyFont="1" applyFill="1" applyBorder="1" applyAlignment="1">
      <alignment horizontal="center"/>
    </xf>
    <xf numFmtId="2" fontId="25" fillId="25" borderId="26" xfId="0" applyNumberFormat="1" applyFont="1" applyFill="1" applyBorder="1" applyAlignment="1">
      <alignment horizontal="center"/>
    </xf>
    <xf numFmtId="0" fontId="0" fillId="26" borderId="24" xfId="0" applyFill="1" applyBorder="1" applyAlignment="1">
      <alignment horizontal="center"/>
    </xf>
    <xf numFmtId="0" fontId="0" fillId="26" borderId="25" xfId="0" applyFill="1" applyBorder="1" applyAlignment="1">
      <alignment horizontal="center"/>
    </xf>
    <xf numFmtId="0" fontId="0" fillId="26" borderId="26" xfId="0" applyFill="1" applyBorder="1" applyAlignment="1">
      <alignment horizontal="center"/>
    </xf>
  </cellXfs>
  <cellStyles count="12">
    <cellStyle name="20% - Accent1" xfId="6" builtinId="30"/>
    <cellStyle name="40% - Accent1 2" xfId="8"/>
    <cellStyle name="Accent4" xfId="11" builtinId="41"/>
    <cellStyle name="Calculation" xfId="4" builtinId="22"/>
    <cellStyle name="Check Cell" xfId="5" builtinId="23"/>
    <cellStyle name="Good" xfId="9" builtinId="26"/>
    <cellStyle name="Heading 1" xfId="3" builtinId="16"/>
    <cellStyle name="Neutral" xfId="10" builtinId="28"/>
    <cellStyle name="Normal" xfId="0" builtinId="0"/>
    <cellStyle name="Normal 2" xfId="7"/>
    <cellStyle name="Percent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5B3D7"/>
      <rgbColor rgb="FFC0504D"/>
      <rgbColor rgb="FFF2F2F2"/>
      <rgbColor rgb="FFDCE6F2"/>
      <rgbColor rgb="FF660066"/>
      <rgbColor rgb="FFA5A5A5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C3D69B"/>
      <rgbColor rgb="FFA7C0DE"/>
      <rgbColor rgb="FFB7B7B7"/>
      <rgbColor rgb="FFCCC1DA"/>
      <rgbColor rgb="FFFFCC99"/>
      <rgbColor rgb="FF4F81BD"/>
      <rgbColor rgb="FF33CCCC"/>
      <rgbColor rgb="FF9BBB59"/>
      <rgbColor rgb="FFFFCC00"/>
      <rgbColor rgb="FFFF9900"/>
      <rgbColor rgb="FFFA7D00"/>
      <rgbColor rgb="FF8064A2"/>
      <rgbColor rgb="FF878787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nl-BE" b="1">
                <a:solidFill>
                  <a:srgbClr val="000000"/>
                </a:solidFill>
                <a:latin typeface="Calibri"/>
              </a:rPr>
              <a:t>Chart Title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'Tabula data'!$B$3</c:f>
              <c:strCache>
                <c:ptCount val="1"/>
                <c:pt idx="0">
                  <c:v>Tabula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('Tabula data'!$A$4:$A$7,'Tabula data'!$A$10,'Tabula data'!$A$14:$A$15,'Tabula data'!$A$20)</c:f>
              <c:strCache>
                <c:ptCount val="8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Doors</c:v>
                </c:pt>
                <c:pt idx="7">
                  <c:v>Total windows</c:v>
                </c:pt>
              </c:strCache>
            </c:strRef>
          </c:cat>
          <c:val>
            <c:numRef>
              <c:f>('Tabula data'!$B$4:$B$7,'Tabula data'!$B$10,'Tabula data'!$B$14:$B$15,'Tabula data'!$B$20)</c:f>
              <c:numCache>
                <c:formatCode>General</c:formatCode>
                <c:ptCount val="8"/>
                <c:pt idx="0">
                  <c:v>279</c:v>
                </c:pt>
                <c:pt idx="1">
                  <c:v>766</c:v>
                </c:pt>
                <c:pt idx="2">
                  <c:v>599.20000000000005</c:v>
                </c:pt>
                <c:pt idx="3">
                  <c:v>158.4</c:v>
                </c:pt>
                <c:pt idx="4" formatCode="0.0">
                  <c:v>255.8</c:v>
                </c:pt>
                <c:pt idx="5">
                  <c:v>134.30000000000001</c:v>
                </c:pt>
                <c:pt idx="6">
                  <c:v>9.5</c:v>
                </c:pt>
                <c:pt idx="7">
                  <c:v>41.199999999999996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ABE-476C-9666-1C3DC61B48B7}"/>
            </c:ext>
          </c:extLst>
        </c:ser>
        <c:ser>
          <c:idx val="1"/>
          <c:order val="1"/>
          <c:tx>
            <c:strRef>
              <c:f>'Tabula data'!$D$3</c:f>
              <c:strCache>
                <c:ptCount val="1"/>
                <c:pt idx="0">
                  <c:v>Allacker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('Tabula data'!$A$4:$A$7,'Tabula data'!$A$10,'Tabula data'!$A$14:$A$15,'Tabula data'!$A$20)</c:f>
              <c:strCache>
                <c:ptCount val="8"/>
                <c:pt idx="0">
                  <c:v>Total floor surface area</c:v>
                </c:pt>
                <c:pt idx="1">
                  <c:v>Protected volume</c:v>
                </c:pt>
                <c:pt idx="2">
                  <c:v>Total envelope area</c:v>
                </c:pt>
                <c:pt idx="3">
                  <c:v>Roof</c:v>
                </c:pt>
                <c:pt idx="4">
                  <c:v>Total exterior wall</c:v>
                </c:pt>
                <c:pt idx="5">
                  <c:v>Total Floor on ground</c:v>
                </c:pt>
                <c:pt idx="6">
                  <c:v>Doors</c:v>
                </c:pt>
                <c:pt idx="7">
                  <c:v>Total windows</c:v>
                </c:pt>
              </c:strCache>
            </c:strRef>
          </c:cat>
          <c:val>
            <c:numRef>
              <c:f>('Tabula data'!$D$4:$D$7,'Tabula data'!$D$10,'Tabula data'!$D$14:$D$15,'Tabula data'!$D$20)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ABE-476C-9666-1C3DC61B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44512"/>
        <c:axId val="175746048"/>
      </c:barChart>
      <c:catAx>
        <c:axId val="1757445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75746048"/>
        <c:crossesAt val="0"/>
        <c:auto val="1"/>
        <c:lblAlgn val="ctr"/>
        <c:lblOffset val="100"/>
        <c:noMultiLvlLbl val="1"/>
      </c:catAx>
      <c:valAx>
        <c:axId val="17574604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878787"/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crossAx val="175744512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2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2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4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5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6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7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8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09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0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1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2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3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4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5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828675</xdr:colOff>
      <xdr:row>49</xdr:row>
      <xdr:rowOff>114300</xdr:rowOff>
    </xdr:to>
    <xdr:sp macro="" textlink="">
      <xdr:nvSpPr>
        <xdr:cNvPr id="116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2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3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4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5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6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51</xdr:row>
      <xdr:rowOff>114120</xdr:rowOff>
    </xdr:to>
    <xdr:sp macro="" textlink="">
      <xdr:nvSpPr>
        <xdr:cNvPr id="27" name="CustomShape 1"/>
        <xdr:cNvSpPr/>
      </xdr:nvSpPr>
      <xdr:spPr>
        <a:xfrm>
          <a:off x="27000" y="0"/>
          <a:ext cx="12964320" cy="991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2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2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8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39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0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1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2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3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4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5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6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14</xdr:col>
      <xdr:colOff>150480</xdr:colOff>
      <xdr:row>49</xdr:row>
      <xdr:rowOff>114120</xdr:rowOff>
    </xdr:to>
    <xdr:sp macro="" textlink="">
      <xdr:nvSpPr>
        <xdr:cNvPr id="47" name="CustomShape 1"/>
        <xdr:cNvSpPr/>
      </xdr:nvSpPr>
      <xdr:spPr>
        <a:xfrm>
          <a:off x="27000" y="0"/>
          <a:ext cx="12964320" cy="95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3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7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9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1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5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7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19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49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0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1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3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5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7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59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1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63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49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3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7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5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1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6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7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8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09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0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1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2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3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0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2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4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8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4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0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2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6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8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5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0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6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8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6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2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4" name="AutoShape 2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6" name="AutoShape 1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523875</xdr:colOff>
      <xdr:row>49</xdr:row>
      <xdr:rowOff>114300</xdr:rowOff>
    </xdr:to>
    <xdr:sp macro="" textlink="">
      <xdr:nvSpPr>
        <xdr:cNvPr id="217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455760</xdr:colOff>
      <xdr:row>9</xdr:row>
      <xdr:rowOff>181440</xdr:rowOff>
    </xdr:from>
    <xdr:to>
      <xdr:col>22</xdr:col>
      <xdr:colOff>112680</xdr:colOff>
      <xdr:row>31</xdr:row>
      <xdr:rowOff>142920</xdr:rowOff>
    </xdr:to>
    <xdr:graphicFrame macro="">
      <xdr:nvGraphicFramePr>
        <xdr:cNvPr id="4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10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1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114300</xdr:rowOff>
    </xdr:to>
    <xdr:sp macro="" textlink="">
      <xdr:nvSpPr>
        <xdr:cNvPr id="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2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3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9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09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0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1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2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800100</xdr:colOff>
      <xdr:row>49</xdr:row>
      <xdr:rowOff>76200</xdr:rowOff>
    </xdr:to>
    <xdr:sp macro="" textlink="">
      <xdr:nvSpPr>
        <xdr:cNvPr id="413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3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4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5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3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5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6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0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2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6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8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7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8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8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82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8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84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8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86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8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88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8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90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19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3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4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9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1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5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7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1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2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3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5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5131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5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5129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5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5127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3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4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9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1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5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7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19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1" name="AutoShape 11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2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3" name="AutoShape 9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381000</xdr:colOff>
      <xdr:row>49</xdr:row>
      <xdr:rowOff>76200</xdr:rowOff>
    </xdr:to>
    <xdr:sp macro="" textlink="">
      <xdr:nvSpPr>
        <xdr:cNvPr id="2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6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8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2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4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0" name="AutoShape 1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2" name="AutoShape 1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4" name="AutoShape 1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" name="AutoShape 17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4" name="AutoShape 15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6" name="AutoShape 13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7" name="AutoShape 12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8" name="AutoShape 17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9" name="AutoShape 16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0" name="AutoShape 15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2" name="AutoShape 13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3" name="AutoShape 12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4" name="AutoShape 17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5" name="AutoShape 16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6" name="AutoShape 15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7" name="AutoShape 14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19" name="AutoShape 12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0" name="AutoShape 17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1" name="AutoShape 16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2" name="AutoShape 15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3" name="AutoShape 14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4" name="AutoShape 13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190500</xdr:colOff>
      <xdr:row>49</xdr:row>
      <xdr:rowOff>76200</xdr:rowOff>
    </xdr:to>
    <xdr:sp macro="" textlink="">
      <xdr:nvSpPr>
        <xdr:cNvPr id="25" name="AutoShape 12"/>
        <xdr:cNvSpPr>
          <a:spLocks noChangeArrowheads="1"/>
        </xdr:cNvSpPr>
      </xdr:nvSpPr>
      <xdr:spPr bwMode="auto">
        <a:xfrm>
          <a:off x="0" y="0"/>
          <a:ext cx="8115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51"/>
  <sheetViews>
    <sheetView zoomScale="90" zoomScaleNormal="90" workbookViewId="0">
      <selection activeCell="B7" sqref="B7"/>
    </sheetView>
  </sheetViews>
  <sheetFormatPr defaultRowHeight="15" x14ac:dyDescent="0.25"/>
  <cols>
    <col min="1" max="1" width="20.5703125"/>
    <col min="2" max="2" width="12.28515625"/>
    <col min="4" max="4" width="22.140625"/>
    <col min="6" max="6" width="7.140625"/>
    <col min="7" max="7" width="5.5703125"/>
    <col min="8" max="8" width="7.7109375"/>
    <col min="9" max="9" width="9.140625" style="1"/>
    <col min="11" max="11" width="10.42578125" style="2"/>
    <col min="12" max="12" width="8" style="2"/>
    <col min="13" max="13" width="16.85546875" style="2"/>
    <col min="14" max="14" width="12.5703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</cols>
  <sheetData>
    <row r="1" spans="1:33" ht="20.25" customHeight="1" x14ac:dyDescent="0.25">
      <c r="A1" s="277" t="s">
        <v>0</v>
      </c>
      <c r="B1" s="277"/>
      <c r="C1" s="277"/>
      <c r="D1" s="277"/>
      <c r="E1" s="277"/>
      <c r="F1" s="277"/>
      <c r="G1" s="277"/>
    </row>
    <row r="3" spans="1:33" x14ac:dyDescent="0.25">
      <c r="A3" s="274" t="s">
        <v>1</v>
      </c>
      <c r="B3" s="274"/>
      <c r="C3" s="274"/>
      <c r="D3" s="274"/>
      <c r="E3" s="274"/>
      <c r="F3" s="274"/>
      <c r="G3" s="274"/>
      <c r="H3" s="274"/>
      <c r="J3" s="274" t="s">
        <v>2</v>
      </c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4"/>
      <c r="V3" s="274" t="s">
        <v>3</v>
      </c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</row>
    <row r="4" spans="1:33" ht="15.75" customHeight="1" x14ac:dyDescent="0.25">
      <c r="Y4" s="5" t="s">
        <v>4</v>
      </c>
      <c r="Z4" s="5">
        <v>1.7</v>
      </c>
      <c r="AA4" s="5" t="s">
        <v>5</v>
      </c>
    </row>
    <row r="5" spans="1:33" ht="15" customHeight="1" x14ac:dyDescent="0.25">
      <c r="A5" s="6" t="s">
        <v>6</v>
      </c>
      <c r="B5" s="7">
        <v>766</v>
      </c>
      <c r="C5" s="7" t="s">
        <v>7</v>
      </c>
      <c r="D5" s="6" t="s">
        <v>8</v>
      </c>
      <c r="E5" s="7"/>
      <c r="F5" s="7"/>
      <c r="G5" s="8">
        <f>SUM(H7:H14)</f>
        <v>41.199999999999996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33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'Tabula data'!B10*0.55/2</f>
        <v>70.345000000000013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154.91616132308141</v>
      </c>
      <c r="R6" s="30">
        <f t="shared" ref="R6:R28" si="2">VLOOKUP(M6,$W$5:$AD$391,8,0)*N6</f>
        <v>31646808.600000005</v>
      </c>
      <c r="S6" s="30">
        <f t="shared" ref="S6:S28" si="3">R6/N6</f>
        <v>449880</v>
      </c>
      <c r="T6" s="30">
        <f t="shared" ref="T6:T28" si="4">VLOOKUP(M6,$W$5:$AF$391,10,0)*N6</f>
        <v>31646808.600000005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</row>
    <row r="7" spans="1:33" ht="15" customHeight="1" x14ac:dyDescent="0.25">
      <c r="A7" s="6" t="s">
        <v>34</v>
      </c>
      <c r="B7" s="35">
        <v>279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0.26213592233009714</v>
      </c>
      <c r="G7" s="24" t="s">
        <v>37</v>
      </c>
      <c r="H7" s="39">
        <v>10.8</v>
      </c>
      <c r="J7" t="s">
        <v>38</v>
      </c>
      <c r="K7" s="40">
        <v>0</v>
      </c>
      <c r="L7" s="41">
        <v>1</v>
      </c>
      <c r="M7" s="41" t="s">
        <v>25</v>
      </c>
      <c r="N7" s="42">
        <f>'Tabula data'!B10*0.45*0.5</f>
        <v>57.555000000000007</v>
      </c>
      <c r="O7" s="43" t="s">
        <v>39</v>
      </c>
      <c r="P7" s="30">
        <f t="shared" si="0"/>
        <v>2.2022341505875525</v>
      </c>
      <c r="Q7" s="30">
        <f t="shared" si="1"/>
        <v>126.74958653706659</v>
      </c>
      <c r="R7" s="30">
        <f t="shared" si="2"/>
        <v>25892843.400000002</v>
      </c>
      <c r="S7" s="30">
        <f t="shared" si="3"/>
        <v>449880</v>
      </c>
      <c r="T7" s="30">
        <f t="shared" si="4"/>
        <v>25892843.400000002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</row>
    <row r="8" spans="1:33" ht="15" customHeight="1" x14ac:dyDescent="0.25">
      <c r="A8" s="45" t="s">
        <v>42</v>
      </c>
      <c r="B8" s="46">
        <f>B7-B9</f>
        <v>167.39999999999998</v>
      </c>
      <c r="C8" s="47" t="s">
        <v>9</v>
      </c>
      <c r="D8" s="37" t="s">
        <v>43</v>
      </c>
      <c r="E8" s="24" t="s">
        <v>36</v>
      </c>
      <c r="F8" s="38">
        <f t="shared" si="5"/>
        <v>0.22572815533980586</v>
      </c>
      <c r="G8" s="24" t="s">
        <v>37</v>
      </c>
      <c r="H8" s="39">
        <v>9.3000000000000007</v>
      </c>
      <c r="J8" t="s">
        <v>44</v>
      </c>
      <c r="K8" s="40">
        <v>0</v>
      </c>
      <c r="L8" s="41">
        <v>1</v>
      </c>
      <c r="M8" s="41" t="s">
        <v>25</v>
      </c>
      <c r="N8" s="42">
        <f>N6</f>
        <v>70.345000000000013</v>
      </c>
      <c r="O8" s="43" t="s">
        <v>45</v>
      </c>
      <c r="P8" s="30">
        <f t="shared" si="0"/>
        <v>2.2022341505875525</v>
      </c>
      <c r="Q8" s="30">
        <f t="shared" si="1"/>
        <v>154.91616132308141</v>
      </c>
      <c r="R8" s="30">
        <f t="shared" si="2"/>
        <v>31646808.600000005</v>
      </c>
      <c r="S8" s="30">
        <f t="shared" si="3"/>
        <v>449880</v>
      </c>
      <c r="T8" s="30">
        <f t="shared" si="4"/>
        <v>31646808.600000005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33" ht="15" customHeight="1" x14ac:dyDescent="0.25">
      <c r="A9" s="48" t="s">
        <v>47</v>
      </c>
      <c r="B9" s="49">
        <f>0.4*B7</f>
        <v>111.60000000000001</v>
      </c>
      <c r="C9" s="24"/>
      <c r="D9" s="37" t="s">
        <v>48</v>
      </c>
      <c r="E9" s="24" t="s">
        <v>36</v>
      </c>
      <c r="F9" s="38">
        <f t="shared" si="5"/>
        <v>0.29611650485436897</v>
      </c>
      <c r="G9" s="24" t="s">
        <v>37</v>
      </c>
      <c r="H9" s="39">
        <v>12.2</v>
      </c>
      <c r="J9" t="s">
        <v>49</v>
      </c>
      <c r="K9" s="40">
        <v>0</v>
      </c>
      <c r="L9" s="41">
        <v>1</v>
      </c>
      <c r="M9" s="41" t="s">
        <v>25</v>
      </c>
      <c r="N9" s="42">
        <f>N7</f>
        <v>57.555000000000007</v>
      </c>
      <c r="O9" s="43" t="s">
        <v>50</v>
      </c>
      <c r="P9" s="30">
        <f t="shared" si="0"/>
        <v>2.2022341505875525</v>
      </c>
      <c r="Q9" s="30">
        <f t="shared" si="1"/>
        <v>126.74958653706659</v>
      </c>
      <c r="R9" s="30">
        <f t="shared" si="2"/>
        <v>25892843.400000002</v>
      </c>
      <c r="S9" s="30">
        <f t="shared" si="3"/>
        <v>449880</v>
      </c>
      <c r="T9" s="30">
        <f t="shared" si="4"/>
        <v>25892843.400000002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33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0.2160194174757282</v>
      </c>
      <c r="G10" s="24" t="s">
        <v>37</v>
      </c>
      <c r="H10" s="39">
        <v>8.9</v>
      </c>
      <c r="J10" t="s">
        <v>53</v>
      </c>
      <c r="K10" s="40">
        <v>0</v>
      </c>
      <c r="L10" s="41">
        <v>1</v>
      </c>
      <c r="M10" s="41" t="s">
        <v>54</v>
      </c>
      <c r="N10" s="42">
        <f>H7</f>
        <v>10.8</v>
      </c>
      <c r="O10" s="43" t="s">
        <v>26</v>
      </c>
      <c r="P10" s="30">
        <f t="shared" si="0"/>
        <v>5</v>
      </c>
      <c r="Q10" s="30">
        <f t="shared" si="1"/>
        <v>54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33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9.3000000000000007</v>
      </c>
      <c r="O11" s="43" t="s">
        <v>39</v>
      </c>
      <c r="P11" s="30">
        <f t="shared" si="0"/>
        <v>5</v>
      </c>
      <c r="Q11" s="30">
        <f t="shared" si="1"/>
        <v>46.5</v>
      </c>
      <c r="R11" s="30">
        <f t="shared" si="2"/>
        <v>0</v>
      </c>
      <c r="S11" s="30">
        <f t="shared" si="3"/>
        <v>0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33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</v>
      </c>
      <c r="G12" s="24"/>
      <c r="H12" s="52">
        <v>0</v>
      </c>
      <c r="J12" t="s">
        <v>59</v>
      </c>
      <c r="K12" s="40">
        <v>0</v>
      </c>
      <c r="L12" s="41">
        <v>1</v>
      </c>
      <c r="M12" s="41" t="s">
        <v>54</v>
      </c>
      <c r="N12" s="42">
        <f>H9</f>
        <v>12.2</v>
      </c>
      <c r="O12" s="43" t="s">
        <v>45</v>
      </c>
      <c r="P12" s="30">
        <f t="shared" si="0"/>
        <v>5</v>
      </c>
      <c r="Q12" s="30">
        <f t="shared" si="1"/>
        <v>61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33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f>H10</f>
        <v>8.9</v>
      </c>
      <c r="O13" s="43" t="s">
        <v>50</v>
      </c>
      <c r="P13" s="30">
        <f t="shared" si="0"/>
        <v>5</v>
      </c>
      <c r="Q13" s="30">
        <f t="shared" si="1"/>
        <v>44.5</v>
      </c>
      <c r="R13" s="30">
        <f t="shared" si="2"/>
        <v>0</v>
      </c>
      <c r="S13" s="30">
        <f t="shared" si="3"/>
        <v>0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33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'Tabula data'!B14</f>
        <v>134.30000000000001</v>
      </c>
      <c r="O14" s="43"/>
      <c r="P14" s="30">
        <f t="shared" si="0"/>
        <v>2.5990099009900991</v>
      </c>
      <c r="Q14" s="30">
        <f t="shared" si="1"/>
        <v>349.04702970297035</v>
      </c>
      <c r="R14" s="30">
        <f t="shared" si="2"/>
        <v>60387726.400000006</v>
      </c>
      <c r="S14" s="30">
        <f t="shared" si="3"/>
        <v>449648</v>
      </c>
      <c r="T14" s="30">
        <f t="shared" si="4"/>
        <v>60387726.400000006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SUM(AD17:AD19)</f>
        <v>449880</v>
      </c>
      <c r="AG14" s="14"/>
    </row>
    <row r="15" spans="1:33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f>'Tabula data'!B7</f>
        <v>158.4</v>
      </c>
      <c r="O15" s="43"/>
      <c r="P15" s="30">
        <f t="shared" si="0"/>
        <v>1.6975498473547073</v>
      </c>
      <c r="Q15" s="30">
        <f t="shared" si="1"/>
        <v>268.89189582098567</v>
      </c>
      <c r="R15" s="30">
        <f t="shared" si="2"/>
        <v>12344112</v>
      </c>
      <c r="S15" s="30">
        <f t="shared" si="3"/>
        <v>77930</v>
      </c>
      <c r="T15" s="30">
        <f t="shared" si="4"/>
        <v>6689232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33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'Tabula data'!B15</f>
        <v>9.5</v>
      </c>
      <c r="O16" s="43"/>
      <c r="P16" s="30">
        <f t="shared" si="0"/>
        <v>4</v>
      </c>
      <c r="Q16" s="30">
        <f t="shared" si="1"/>
        <v>38</v>
      </c>
      <c r="R16" s="30">
        <f t="shared" si="2"/>
        <v>346940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1.2783711615487316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v>0</v>
      </c>
      <c r="C18" s="7" t="s">
        <v>9</v>
      </c>
      <c r="D18" s="37" t="s">
        <v>74</v>
      </c>
      <c r="E18" s="24"/>
      <c r="F18" s="58">
        <f>B27/B24</f>
        <v>2.1476702508960575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v>0</v>
      </c>
      <c r="O18" s="43" t="s">
        <v>39</v>
      </c>
      <c r="P18" s="30">
        <f t="shared" si="0"/>
        <v>2.2022341505875525</v>
      </c>
      <c r="Q18" s="30">
        <f t="shared" si="1"/>
        <v>0</v>
      </c>
      <c r="R18" s="30">
        <f t="shared" si="2"/>
        <v>0</v>
      </c>
      <c r="S18" s="30" t="e">
        <f t="shared" si="3"/>
        <v>#DIV/0!</v>
      </c>
      <c r="T18" s="30">
        <f t="shared" si="4"/>
        <v>0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v>0</v>
      </c>
      <c r="C19" s="24"/>
      <c r="D19" s="37" t="s">
        <v>78</v>
      </c>
      <c r="E19" s="24"/>
      <c r="F19" s="58">
        <f>B27/B7</f>
        <v>2.1476702508960575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0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v>0</v>
      </c>
      <c r="O20" s="43" t="s">
        <v>50</v>
      </c>
      <c r="P20" s="30">
        <f t="shared" si="0"/>
        <v>2.2022341505875525</v>
      </c>
      <c r="Q20" s="30">
        <f t="shared" si="1"/>
        <v>0</v>
      </c>
      <c r="R20" s="30">
        <f t="shared" si="2"/>
        <v>0</v>
      </c>
      <c r="S20" s="30" t="e">
        <f t="shared" si="3"/>
        <v>#DIV/0!</v>
      </c>
      <c r="T20" s="30">
        <f t="shared" si="4"/>
        <v>0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0.14767025089605734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SUM(AD23:AD25)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0.14767025089605734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0</v>
      </c>
      <c r="O22" s="43" t="s">
        <v>39</v>
      </c>
      <c r="P22" s="30">
        <f t="shared" si="0"/>
        <v>5</v>
      </c>
      <c r="Q22" s="30">
        <f t="shared" si="1"/>
        <v>0</v>
      </c>
      <c r="R22" s="30">
        <f t="shared" si="2"/>
        <v>0</v>
      </c>
      <c r="S22" s="30" t="e">
        <f t="shared" si="3"/>
        <v>#DIV/0!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6.875834445927903E-2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279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</v>
      </c>
      <c r="C25" s="24"/>
      <c r="D25" s="23" t="s">
        <v>95</v>
      </c>
      <c r="E25" s="24"/>
      <c r="F25" s="63">
        <f>B9/B7</f>
        <v>0.4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v>0</v>
      </c>
      <c r="O25" s="43" t="s">
        <v>97</v>
      </c>
      <c r="P25" s="30">
        <f t="shared" si="0"/>
        <v>1.6975498473547073</v>
      </c>
      <c r="Q25" s="30">
        <f t="shared" si="1"/>
        <v>0</v>
      </c>
      <c r="R25" s="30">
        <f t="shared" si="2"/>
        <v>0</v>
      </c>
      <c r="S25" s="30" t="e">
        <f t="shared" si="3"/>
        <v>#DIV/0!</v>
      </c>
      <c r="T25" s="30">
        <f t="shared" si="4"/>
        <v>0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'Tabula data'!B4-'Tabula data'!B14</f>
        <v>144.69999999999999</v>
      </c>
      <c r="O26" s="43"/>
      <c r="P26" s="30">
        <f t="shared" si="0"/>
        <v>2.0224719101123596</v>
      </c>
      <c r="Q26" s="30">
        <f t="shared" si="1"/>
        <v>292.65168539325839</v>
      </c>
      <c r="R26" s="30">
        <f t="shared" si="2"/>
        <v>24354456.999999996</v>
      </c>
      <c r="S26" s="30">
        <f t="shared" si="3"/>
        <v>168310</v>
      </c>
      <c r="T26" s="30">
        <f t="shared" si="4"/>
        <v>24354456.999999996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v>599.20000000000005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SUM(N6:N9)</f>
        <v>255.80000000000004</v>
      </c>
      <c r="O27" s="43"/>
      <c r="P27" s="30">
        <f t="shared" si="0"/>
        <v>1.9926199261992623</v>
      </c>
      <c r="Q27" s="30">
        <f t="shared" si="1"/>
        <v>509.71217712177139</v>
      </c>
      <c r="R27" s="30">
        <f t="shared" si="2"/>
        <v>38462088.000000007</v>
      </c>
      <c r="S27" s="30">
        <f t="shared" si="3"/>
        <v>150360</v>
      </c>
      <c r="T27" s="30">
        <f t="shared" si="4"/>
        <v>38462088.000000007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2.0224719101123596</v>
      </c>
      <c r="AA27" s="17" t="s">
        <v>5</v>
      </c>
      <c r="AB27" s="17"/>
      <c r="AC27" s="17" t="s">
        <v>22</v>
      </c>
      <c r="AD27" s="20">
        <f>SUM(AD29:AD33)</f>
        <v>168310</v>
      </c>
      <c r="AE27" s="14" t="s">
        <v>23</v>
      </c>
      <c r="AF27" s="14">
        <f>SUM(AD29:AD32)</f>
        <v>168310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v>0</v>
      </c>
      <c r="O28" s="43"/>
      <c r="P28" s="30">
        <f t="shared" si="0"/>
        <v>1.9926199261992623</v>
      </c>
      <c r="Q28" s="30">
        <f t="shared" si="1"/>
        <v>0</v>
      </c>
      <c r="R28" s="30">
        <f t="shared" si="2"/>
        <v>0</v>
      </c>
      <c r="S28" s="30" t="e">
        <f t="shared" si="3"/>
        <v>#DIV/0!</v>
      </c>
      <c r="T28" s="30">
        <f t="shared" si="4"/>
        <v>0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0.9</v>
      </c>
      <c r="AA29" s="47">
        <v>1950</v>
      </c>
      <c r="AB29" s="47">
        <v>840</v>
      </c>
      <c r="AC29" s="67">
        <f>Y29/Z29</f>
        <v>2.2222222222222223E-2</v>
      </c>
      <c r="AD29" s="68">
        <f>Y29*AA29*AB29</f>
        <v>32760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70">
        <f>SUM(Q4:Q28)</f>
        <v>2227.6342837592815</v>
      </c>
      <c r="R31" s="69" t="s">
        <v>107</v>
      </c>
      <c r="W31" s="23"/>
      <c r="X31" s="24" t="s">
        <v>108</v>
      </c>
      <c r="Y31" s="24">
        <v>0.02</v>
      </c>
      <c r="Z31" s="24">
        <v>0.9</v>
      </c>
      <c r="AA31" s="24">
        <v>1950</v>
      </c>
      <c r="AB31" s="24">
        <v>840</v>
      </c>
      <c r="AC31" s="44">
        <f>Y31/Z31</f>
        <v>2.2222222222222223E-2</v>
      </c>
      <c r="AD31" s="25">
        <f>Y31*AA31*AB31</f>
        <v>32760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274" t="s">
        <v>112</v>
      </c>
      <c r="F34" s="274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3.2*G35</f>
        <v>535.67999999999995</v>
      </c>
      <c r="C35" s="73"/>
      <c r="D35" s="73" t="s">
        <v>42</v>
      </c>
      <c r="E35" s="275">
        <v>21</v>
      </c>
      <c r="F35" s="275"/>
      <c r="G35" s="76">
        <f>VLOOKUP(D35,A7:B23,2,0)</f>
        <v>167.39999999999998</v>
      </c>
      <c r="K35"/>
      <c r="L35"/>
      <c r="M35" t="s">
        <v>114</v>
      </c>
      <c r="N35" s="3">
        <f>SUM(Q6:Q9,Q15)</f>
        <v>832.22339154128167</v>
      </c>
      <c r="O35" s="3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2.2*G36</f>
        <v>245.52000000000004</v>
      </c>
      <c r="C36" s="73"/>
      <c r="D36" s="73" t="s">
        <v>116</v>
      </c>
      <c r="E36" s="77">
        <v>16</v>
      </c>
      <c r="F36" s="77"/>
      <c r="G36" s="76">
        <f>VLOOKUP(D36,A8:B24,2,0)</f>
        <v>111.60000000000001</v>
      </c>
      <c r="K36"/>
      <c r="L36"/>
      <c r="M36" t="s">
        <v>117</v>
      </c>
      <c r="N36" s="3">
        <f>SUM(Q10:Q13)</f>
        <v>206</v>
      </c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0</v>
      </c>
      <c r="C37" s="73"/>
      <c r="D37" s="73" t="s">
        <v>118</v>
      </c>
      <c r="E37" s="276" t="s">
        <v>119</v>
      </c>
      <c r="F37" s="276"/>
      <c r="G37" s="76">
        <f>B18</f>
        <v>0</v>
      </c>
      <c r="K37"/>
      <c r="L37"/>
      <c r="M37" t="s">
        <v>120</v>
      </c>
      <c r="N37" s="3">
        <f>'Verwarming Tabula'!B60</f>
        <v>138.03320000000002</v>
      </c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N38" s="3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 t="s">
        <v>122</v>
      </c>
      <c r="N39" s="3">
        <f>B5*1.204*1012*5/1000000</f>
        <v>4.6666558399999998</v>
      </c>
      <c r="O39" t="s">
        <v>123</v>
      </c>
      <c r="Q39"/>
      <c r="AE39" s="14"/>
      <c r="AF39" s="14"/>
      <c r="AG39" s="14"/>
    </row>
    <row r="40" spans="1:33" ht="15" customHeight="1" x14ac:dyDescent="0.25">
      <c r="K40"/>
      <c r="L40"/>
      <c r="M40" t="s">
        <v>124</v>
      </c>
      <c r="N40" s="3">
        <f>SUM(R6:R9,R15)/1000000</f>
        <v>127.42341600000002</v>
      </c>
      <c r="O40" t="s">
        <v>125</v>
      </c>
      <c r="P40" s="3">
        <f>SUM(T6:T9,T15)/1000000</f>
        <v>121.76853600000001</v>
      </c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SUM(AD42:AD45)</f>
        <v>449648</v>
      </c>
      <c r="AG40" s="14"/>
    </row>
    <row r="41" spans="1:33" ht="15" customHeight="1" x14ac:dyDescent="0.25">
      <c r="K41"/>
      <c r="L41"/>
      <c r="M41" t="s">
        <v>126</v>
      </c>
      <c r="N41" s="3">
        <f>SUM(R26:R27)/1000000</f>
        <v>62.816544999999998</v>
      </c>
      <c r="O41" t="s">
        <v>125</v>
      </c>
      <c r="P41" s="3">
        <f>SUM(T26:T27)/1000000</f>
        <v>62.816544999999998</v>
      </c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 t="s">
        <v>127</v>
      </c>
      <c r="N42" s="3">
        <f>R14/1000000</f>
        <v>60.387726400000005</v>
      </c>
      <c r="P42" s="3">
        <f>T14/1000000</f>
        <v>60.387726400000005</v>
      </c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22"/>
  <sheetViews>
    <sheetView zoomScale="55" zoomScaleNormal="55" workbookViewId="0">
      <selection activeCell="S16" sqref="S16"/>
    </sheetView>
  </sheetViews>
  <sheetFormatPr defaultColWidth="9.140625" defaultRowHeight="16.5" thickTop="1" thickBottom="1" x14ac:dyDescent="0.3"/>
  <cols>
    <col min="1" max="2" width="9.140625" style="81"/>
    <col min="3" max="3" width="11.7109375" style="81" customWidth="1"/>
    <col min="4" max="4" width="10.28515625" style="81" customWidth="1"/>
    <col min="5" max="5" width="11.85546875" style="81" customWidth="1"/>
    <col min="6" max="6" width="10.7109375" style="81" customWidth="1"/>
    <col min="7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2"/>
    <col min="19" max="20" width="9.140625" style="81"/>
    <col min="21" max="21" width="14.7109375" style="81" customWidth="1"/>
    <col min="22" max="22" width="9.140625" style="1"/>
    <col min="23" max="34" width="9.140625" style="172"/>
    <col min="35" max="35" width="9.140625" style="81"/>
    <col min="36" max="37" width="9.140625" style="157"/>
    <col min="38" max="38" width="9.140625" style="158"/>
    <col min="39" max="39" width="10.28515625" style="158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0"/>
    <col min="52" max="52" width="14.7109375" style="161" bestFit="1" customWidth="1"/>
    <col min="53" max="53" width="9.140625" style="160"/>
    <col min="54" max="54" width="9.140625" style="170"/>
    <col min="55" max="67" width="9.140625" style="81"/>
    <col min="68" max="68" width="15.42578125" style="81" customWidth="1"/>
    <col min="69" max="69" width="9.140625" style="81"/>
    <col min="70" max="70" width="9.140625" style="170"/>
    <col min="71" max="82" width="9.140625" style="81"/>
    <col min="83" max="83" width="15" style="81" bestFit="1" customWidth="1"/>
    <col min="84" max="85" width="9.140625" style="81"/>
    <col min="86" max="86" width="9.140625" style="238"/>
    <col min="87" max="92" width="9.140625" style="81"/>
    <col min="93" max="94" width="9.140625" style="243"/>
    <col min="95" max="95" width="12.42578125" style="243" customWidth="1"/>
    <col min="96" max="99" width="9.140625" style="243"/>
    <col min="100" max="100" width="9.140625" style="81"/>
    <col min="101" max="101" width="15.5703125" style="245" bestFit="1" customWidth="1"/>
    <col min="102" max="103" width="9.140625" style="245"/>
    <col min="104" max="104" width="10.28515625" style="245" customWidth="1"/>
    <col min="105" max="105" width="9.140625" style="245"/>
    <col min="106" max="16384" width="9.140625" style="81"/>
  </cols>
  <sheetData>
    <row r="1" spans="2:111" ht="20.25" customHeight="1" thickTop="1" thickBot="1" x14ac:dyDescent="0.35">
      <c r="B1" s="277" t="s">
        <v>307</v>
      </c>
      <c r="C1" s="277"/>
      <c r="D1" s="277"/>
      <c r="E1" s="277"/>
      <c r="F1" s="277"/>
      <c r="G1" s="277"/>
      <c r="H1" s="277"/>
      <c r="AO1" s="159" t="s">
        <v>309</v>
      </c>
      <c r="BS1" s="81" t="s">
        <v>427</v>
      </c>
      <c r="DC1" s="169"/>
      <c r="DD1" s="169"/>
      <c r="DE1" s="169"/>
      <c r="DF1" s="169"/>
      <c r="DG1" s="169"/>
    </row>
    <row r="2" spans="2:111" thickTop="1" thickBot="1" x14ac:dyDescent="0.3">
      <c r="AO2" s="81" t="s">
        <v>310</v>
      </c>
      <c r="CA2" s="165" t="s">
        <v>313</v>
      </c>
      <c r="CB2" s="160"/>
      <c r="CC2" s="160"/>
      <c r="CD2" s="160"/>
      <c r="CE2" s="161"/>
      <c r="CF2" s="160"/>
      <c r="CI2" s="81" t="s">
        <v>311</v>
      </c>
      <c r="CJ2" s="79" t="s">
        <v>437</v>
      </c>
      <c r="CK2" s="79" t="s">
        <v>438</v>
      </c>
      <c r="CL2" s="79" t="s">
        <v>439</v>
      </c>
      <c r="CO2" s="243" t="s">
        <v>440</v>
      </c>
      <c r="DC2" s="169"/>
      <c r="DD2" s="169"/>
      <c r="DE2" s="169"/>
      <c r="DF2" s="169"/>
      <c r="DG2" s="169"/>
    </row>
    <row r="3" spans="2:111" thickTop="1" thickBot="1" x14ac:dyDescent="0.3">
      <c r="B3" s="281" t="s">
        <v>1</v>
      </c>
      <c r="C3" s="282"/>
      <c r="D3" s="282"/>
      <c r="E3" s="282"/>
      <c r="F3" s="282"/>
      <c r="G3" s="282"/>
      <c r="H3" s="282"/>
      <c r="I3" s="283"/>
      <c r="K3" s="274" t="s">
        <v>2</v>
      </c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4"/>
      <c r="W3" s="280" t="s">
        <v>3</v>
      </c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O3" s="162" t="s">
        <v>311</v>
      </c>
      <c r="AP3" s="163" t="s">
        <v>312</v>
      </c>
      <c r="AQ3" s="163"/>
      <c r="AR3" s="164"/>
      <c r="AS3" s="164"/>
      <c r="AT3" s="164"/>
      <c r="AV3" s="165" t="s">
        <v>313</v>
      </c>
      <c r="BC3" s="81" t="s">
        <v>373</v>
      </c>
      <c r="BD3" s="81" t="s">
        <v>374</v>
      </c>
      <c r="BE3" s="81" t="s">
        <v>375</v>
      </c>
      <c r="BL3" s="165" t="s">
        <v>313</v>
      </c>
      <c r="BM3" s="160"/>
      <c r="BN3" s="160"/>
      <c r="BO3" s="160"/>
      <c r="BP3" s="161"/>
      <c r="BQ3" s="160"/>
      <c r="BS3" s="81" t="s">
        <v>373</v>
      </c>
      <c r="BT3" s="81" t="s">
        <v>374</v>
      </c>
      <c r="BU3" s="81" t="s">
        <v>375</v>
      </c>
      <c r="CA3" s="167" t="s">
        <v>314</v>
      </c>
      <c r="CB3" s="167" t="s">
        <v>315</v>
      </c>
      <c r="CC3" s="167" t="s">
        <v>316</v>
      </c>
      <c r="CD3" s="171" t="s">
        <v>318</v>
      </c>
      <c r="CE3" s="161">
        <f>BU11</f>
        <v>0.216</v>
      </c>
      <c r="CF3" s="167" t="s">
        <v>317</v>
      </c>
      <c r="CI3" s="81" t="s">
        <v>316</v>
      </c>
      <c r="CJ3" s="239">
        <f>AZ4</f>
        <v>0.227264302806133</v>
      </c>
      <c r="CK3" s="239">
        <f>BP4</f>
        <v>0.18</v>
      </c>
      <c r="CL3" s="239">
        <f>CE3</f>
        <v>0.216</v>
      </c>
      <c r="CO3" s="243" t="s">
        <v>373</v>
      </c>
      <c r="CP3" s="243" t="s">
        <v>374</v>
      </c>
      <c r="CQ3" s="243" t="s">
        <v>441</v>
      </c>
      <c r="CW3" s="245" t="s">
        <v>459</v>
      </c>
      <c r="DC3" s="245" t="s">
        <v>508</v>
      </c>
      <c r="DD3" s="169"/>
      <c r="DE3" s="169"/>
      <c r="DF3" s="169"/>
      <c r="DG3" s="169"/>
    </row>
    <row r="4" spans="2:111" ht="15.75" customHeight="1" thickTop="1" thickBot="1" x14ac:dyDescent="0.3">
      <c r="B4" s="234" t="s">
        <v>6</v>
      </c>
      <c r="C4" s="235">
        <f>'Tabula data'!B5</f>
        <v>766</v>
      </c>
      <c r="D4" s="235" t="s">
        <v>7</v>
      </c>
      <c r="E4" s="234" t="s">
        <v>8</v>
      </c>
      <c r="F4" s="235"/>
      <c r="G4" s="235"/>
      <c r="H4" s="236">
        <f>SUM(I6:I13)</f>
        <v>41.2</v>
      </c>
      <c r="I4" s="237" t="s">
        <v>9</v>
      </c>
      <c r="L4" s="284" t="s">
        <v>432</v>
      </c>
      <c r="M4" s="285"/>
      <c r="N4" s="285"/>
      <c r="O4" s="285"/>
      <c r="P4" s="286"/>
      <c r="Z4" s="221" t="s">
        <v>4</v>
      </c>
      <c r="AA4" s="221">
        <v>1.7</v>
      </c>
      <c r="AB4" s="221" t="s">
        <v>5</v>
      </c>
      <c r="AM4" s="158" t="s">
        <v>314</v>
      </c>
      <c r="AN4" s="81" t="s">
        <v>315</v>
      </c>
      <c r="AO4" s="81" t="s">
        <v>316</v>
      </c>
      <c r="AP4" s="81">
        <f>SUM(O6:O9)/SUM($O$6:$O$14,$O$26,2*$O$27)</f>
        <v>0.227264302806133</v>
      </c>
      <c r="AQ4" s="81" t="s">
        <v>317</v>
      </c>
      <c r="AR4" s="166">
        <v>0.1641929</v>
      </c>
      <c r="AV4" s="167" t="s">
        <v>314</v>
      </c>
      <c r="AW4" s="167" t="s">
        <v>315</v>
      </c>
      <c r="AX4" s="167" t="s">
        <v>316</v>
      </c>
      <c r="AY4" s="168" t="s">
        <v>318</v>
      </c>
      <c r="AZ4" s="161">
        <f>AP4</f>
        <v>0.227264302806133</v>
      </c>
      <c r="BA4" s="167" t="s">
        <v>317</v>
      </c>
      <c r="BC4" s="81" t="s">
        <v>373</v>
      </c>
      <c r="BD4" s="81" t="s">
        <v>376</v>
      </c>
      <c r="BL4" s="167" t="s">
        <v>314</v>
      </c>
      <c r="BM4" s="167" t="s">
        <v>315</v>
      </c>
      <c r="BN4" s="167" t="s">
        <v>316</v>
      </c>
      <c r="BO4" s="168" t="s">
        <v>318</v>
      </c>
      <c r="BP4" s="161">
        <f>BE11</f>
        <v>0.18</v>
      </c>
      <c r="BQ4" s="167" t="s">
        <v>317</v>
      </c>
      <c r="BS4" s="81" t="s">
        <v>373</v>
      </c>
      <c r="BT4" s="81" t="s">
        <v>376</v>
      </c>
      <c r="CA4" s="167" t="s">
        <v>314</v>
      </c>
      <c r="CB4" s="167" t="s">
        <v>315</v>
      </c>
      <c r="CC4" s="167" t="s">
        <v>319</v>
      </c>
      <c r="CD4" s="171" t="s">
        <v>318</v>
      </c>
      <c r="CE4" s="161">
        <f t="shared" ref="CE4:CE6" si="0">BU12</f>
        <v>0.439</v>
      </c>
      <c r="CF4" s="167" t="s">
        <v>317</v>
      </c>
      <c r="CI4" s="81" t="s">
        <v>319</v>
      </c>
      <c r="CJ4" s="239">
        <f t="shared" ref="CJ4:CJ49" si="1">AZ5</f>
        <v>0.45452860561226599</v>
      </c>
      <c r="CK4" s="239">
        <f t="shared" ref="CK4:CK49" si="2">BP5</f>
        <v>0.33600000000000002</v>
      </c>
      <c r="CL4" s="239">
        <f t="shared" ref="CL4:CL49" si="3">CE4</f>
        <v>0.439</v>
      </c>
      <c r="CO4" s="243" t="s">
        <v>373</v>
      </c>
      <c r="CP4" s="243" t="s">
        <v>376</v>
      </c>
      <c r="DC4" s="169"/>
      <c r="DD4" s="169"/>
      <c r="DE4" s="169"/>
      <c r="DF4" s="169"/>
      <c r="DG4" s="169"/>
    </row>
    <row r="5" spans="2:111" ht="15" customHeight="1" thickTop="1" thickBot="1" x14ac:dyDescent="0.3">
      <c r="B5" s="173"/>
      <c r="C5" s="174"/>
      <c r="D5" s="174"/>
      <c r="E5" s="175"/>
      <c r="F5" s="176"/>
      <c r="G5" s="176"/>
      <c r="H5" s="176"/>
      <c r="I5" s="177"/>
      <c r="K5" s="81" t="s">
        <v>10</v>
      </c>
      <c r="L5" s="201" t="s">
        <v>11</v>
      </c>
      <c r="M5" s="202" t="s">
        <v>12</v>
      </c>
      <c r="N5" s="202" t="s">
        <v>13</v>
      </c>
      <c r="O5" s="202" t="s">
        <v>14</v>
      </c>
      <c r="P5" s="20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16" t="s">
        <v>20</v>
      </c>
      <c r="Y5" s="217"/>
      <c r="Z5" s="218" t="s">
        <v>21</v>
      </c>
      <c r="AA5" s="219">
        <f>1/(1/10+SUM(AD7:AD11)+1/23)</f>
        <v>0.27481053799679722</v>
      </c>
      <c r="AB5" s="217" t="s">
        <v>5</v>
      </c>
      <c r="AC5" s="217"/>
      <c r="AD5" s="217" t="s">
        <v>22</v>
      </c>
      <c r="AE5" s="220">
        <f>SUM(AE7:AE11)</f>
        <v>85322</v>
      </c>
      <c r="AF5" s="222" t="s">
        <v>23</v>
      </c>
      <c r="AG5" s="222">
        <f>SUM(AE10:AE11)</f>
        <v>42230</v>
      </c>
      <c r="AH5" s="222"/>
      <c r="AM5" s="158" t="s">
        <v>314</v>
      </c>
      <c r="AN5" s="81" t="s">
        <v>315</v>
      </c>
      <c r="AO5" s="81" t="s">
        <v>319</v>
      </c>
      <c r="AP5" s="81">
        <f>SUM(2*O27)/SUM($O$6:$O$14,$O$26,2*$O$27)</f>
        <v>0.45452860561226599</v>
      </c>
      <c r="AQ5" s="81" t="s">
        <v>317</v>
      </c>
      <c r="AR5" s="166">
        <v>0.42146270000000002</v>
      </c>
      <c r="AV5" s="167" t="s">
        <v>314</v>
      </c>
      <c r="AW5" s="167" t="s">
        <v>315</v>
      </c>
      <c r="AX5" s="167" t="s">
        <v>319</v>
      </c>
      <c r="AY5" s="168" t="s">
        <v>318</v>
      </c>
      <c r="AZ5" s="161">
        <f t="shared" ref="AZ5:AZ7" si="4">AP5</f>
        <v>0.45452860561226599</v>
      </c>
      <c r="BA5" s="167" t="s">
        <v>317</v>
      </c>
      <c r="BC5" s="81" t="s">
        <v>373</v>
      </c>
      <c r="BD5" s="81" t="s">
        <v>377</v>
      </c>
      <c r="BE5" s="81" t="s">
        <v>378</v>
      </c>
      <c r="BF5" s="81" t="s">
        <v>379</v>
      </c>
      <c r="BG5" s="81" t="s">
        <v>380</v>
      </c>
      <c r="BH5" s="81" t="s">
        <v>381</v>
      </c>
      <c r="BI5" s="81" t="s">
        <v>382</v>
      </c>
      <c r="BL5" s="167" t="s">
        <v>314</v>
      </c>
      <c r="BM5" s="167" t="s">
        <v>315</v>
      </c>
      <c r="BN5" s="167" t="s">
        <v>319</v>
      </c>
      <c r="BO5" s="168" t="s">
        <v>318</v>
      </c>
      <c r="BP5" s="161">
        <f t="shared" ref="BP5:BP7" si="5">BE12</f>
        <v>0.33600000000000002</v>
      </c>
      <c r="BQ5" s="167" t="s">
        <v>317</v>
      </c>
      <c r="BS5" s="81" t="s">
        <v>373</v>
      </c>
      <c r="BT5" s="81" t="s">
        <v>377</v>
      </c>
      <c r="BU5" s="81" t="s">
        <v>378</v>
      </c>
      <c r="BV5" s="81" t="s">
        <v>379</v>
      </c>
      <c r="BW5" s="81" t="s">
        <v>380</v>
      </c>
      <c r="BX5" s="81" t="s">
        <v>381</v>
      </c>
      <c r="BY5" s="81" t="s">
        <v>382</v>
      </c>
      <c r="CA5" s="167" t="s">
        <v>314</v>
      </c>
      <c r="CB5" s="167" t="s">
        <v>315</v>
      </c>
      <c r="CC5" s="167" t="s">
        <v>320</v>
      </c>
      <c r="CD5" s="168" t="s">
        <v>318</v>
      </c>
      <c r="CE5" s="161">
        <f t="shared" si="0"/>
        <v>9.2700000000000005E-2</v>
      </c>
      <c r="CF5" s="167" t="s">
        <v>317</v>
      </c>
      <c r="CI5" s="81" t="s">
        <v>320</v>
      </c>
      <c r="CJ5" s="239">
        <f t="shared" si="1"/>
        <v>2.9811241298120371E-2</v>
      </c>
      <c r="CK5" s="239">
        <f t="shared" si="2"/>
        <v>0.33700000000000002</v>
      </c>
      <c r="CL5" s="239">
        <f t="shared" si="3"/>
        <v>9.2700000000000005E-2</v>
      </c>
      <c r="CO5" s="243" t="s">
        <v>373</v>
      </c>
      <c r="CP5" s="243" t="s">
        <v>377</v>
      </c>
      <c r="CQ5" s="243" t="s">
        <v>378</v>
      </c>
      <c r="CR5" s="243" t="s">
        <v>379</v>
      </c>
      <c r="CS5" s="243" t="s">
        <v>380</v>
      </c>
      <c r="CT5" s="243" t="s">
        <v>381</v>
      </c>
      <c r="CU5" s="243" t="s">
        <v>382</v>
      </c>
      <c r="CW5" s="245" t="s">
        <v>460</v>
      </c>
      <c r="CX5" s="246" t="s">
        <v>461</v>
      </c>
      <c r="CY5" s="246" t="s">
        <v>318</v>
      </c>
      <c r="CZ5" s="247">
        <f>CQ11</f>
        <v>0.67500000000000004</v>
      </c>
      <c r="DA5" s="245" t="s">
        <v>317</v>
      </c>
      <c r="DC5" s="169" t="s">
        <v>460</v>
      </c>
      <c r="DD5" s="258" t="s">
        <v>461</v>
      </c>
      <c r="DE5" s="258" t="s">
        <v>318</v>
      </c>
      <c r="DF5" s="169">
        <f>$O$11*$Z$37*$AP$4</f>
        <v>0.69536058729592509</v>
      </c>
      <c r="DG5" s="169" t="s">
        <v>317</v>
      </c>
    </row>
    <row r="6" spans="2:111" ht="15" customHeight="1" thickTop="1" thickBot="1" x14ac:dyDescent="0.3">
      <c r="B6" s="193" t="s">
        <v>34</v>
      </c>
      <c r="C6" s="195">
        <f>'Tabula data'!B4</f>
        <v>279</v>
      </c>
      <c r="D6" s="196" t="s">
        <v>9</v>
      </c>
      <c r="E6" s="178" t="s">
        <v>35</v>
      </c>
      <c r="F6" s="176" t="s">
        <v>36</v>
      </c>
      <c r="G6" s="179">
        <f t="shared" ref="G6:G13" si="6">I6/$H$4</f>
        <v>0.18349514563106795</v>
      </c>
      <c r="H6" s="176"/>
      <c r="I6" s="180">
        <f>'Tabula data'!B16*'Tabula RefULG2'!D45</f>
        <v>7.56</v>
      </c>
      <c r="K6" s="81" t="s">
        <v>24</v>
      </c>
      <c r="L6" s="204">
        <v>0</v>
      </c>
      <c r="M6" s="205">
        <v>1</v>
      </c>
      <c r="N6" s="205" t="s">
        <v>25</v>
      </c>
      <c r="O6" s="206">
        <f>'Tabula data'!B10*D42/2*D43</f>
        <v>69.641550000000009</v>
      </c>
      <c r="P6" s="207" t="s">
        <v>26</v>
      </c>
      <c r="Q6" s="30">
        <f t="shared" ref="Q6:Q28" si="7">VLOOKUP(N6,$X$5:$AA$392,4,0)</f>
        <v>0.29666979362101314</v>
      </c>
      <c r="R6" s="30">
        <f t="shared" ref="R6:R28" si="8">Q6*O6</f>
        <v>20.660544265947472</v>
      </c>
      <c r="S6" s="30">
        <f t="shared" ref="S6:S14" si="9">VLOOKUP(N6,$X$5:$AE$392,8,0)*O6</f>
        <v>31516659.516870007</v>
      </c>
      <c r="T6" s="30">
        <f t="shared" ref="T6:T14" si="10">S6/O6</f>
        <v>452555.4</v>
      </c>
      <c r="U6" s="30">
        <f t="shared" ref="U6:U14" si="11">VLOOKUP(N6,$X$5:$AG$391,10,0)*O6</f>
        <v>28196470.764000002</v>
      </c>
      <c r="V6" s="31"/>
      <c r="W6" s="223"/>
      <c r="X6" s="224"/>
      <c r="Y6" s="225" t="s">
        <v>27</v>
      </c>
      <c r="Z6" s="225" t="s">
        <v>28</v>
      </c>
      <c r="AA6" s="225" t="s">
        <v>29</v>
      </c>
      <c r="AB6" s="225" t="s">
        <v>30</v>
      </c>
      <c r="AC6" s="225" t="s">
        <v>31</v>
      </c>
      <c r="AD6" s="225" t="s">
        <v>32</v>
      </c>
      <c r="AE6" s="226" t="s">
        <v>33</v>
      </c>
      <c r="AF6" s="222"/>
      <c r="AG6" s="222"/>
      <c r="AH6" s="222"/>
      <c r="AM6" s="158" t="s">
        <v>314</v>
      </c>
      <c r="AN6" s="81" t="s">
        <v>315</v>
      </c>
      <c r="AO6" s="81" t="s">
        <v>320</v>
      </c>
      <c r="AP6" s="81">
        <f>SUM(O10:O13)/SUM($O$6:$O$14,$O$26,2*$O$27)</f>
        <v>2.9811241298120371E-2</v>
      </c>
      <c r="AQ6" s="81" t="s">
        <v>317</v>
      </c>
      <c r="AR6" s="166">
        <v>0.13510150000000001</v>
      </c>
      <c r="AV6" s="167" t="s">
        <v>314</v>
      </c>
      <c r="AW6" s="167" t="s">
        <v>315</v>
      </c>
      <c r="AX6" s="167" t="s">
        <v>320</v>
      </c>
      <c r="AY6" s="168" t="s">
        <v>318</v>
      </c>
      <c r="AZ6" s="161">
        <f t="shared" si="4"/>
        <v>2.9811241298120371E-2</v>
      </c>
      <c r="BA6" s="167" t="s">
        <v>317</v>
      </c>
      <c r="BC6" s="81" t="s">
        <v>373</v>
      </c>
      <c r="BD6" s="81" t="s">
        <v>383</v>
      </c>
      <c r="BE6" s="166">
        <v>294</v>
      </c>
      <c r="BF6" s="166">
        <v>7.8200000000000006E-2</v>
      </c>
      <c r="BG6" s="81">
        <v>3752.8</v>
      </c>
      <c r="BH6" s="81" t="s">
        <v>384</v>
      </c>
      <c r="BI6" s="81" t="s">
        <v>385</v>
      </c>
      <c r="BL6" s="167" t="s">
        <v>314</v>
      </c>
      <c r="BM6" s="167" t="s">
        <v>315</v>
      </c>
      <c r="BN6" s="167" t="s">
        <v>320</v>
      </c>
      <c r="BO6" s="168" t="s">
        <v>318</v>
      </c>
      <c r="BP6" s="161">
        <f t="shared" si="5"/>
        <v>0.33700000000000002</v>
      </c>
      <c r="BQ6" s="167" t="s">
        <v>317</v>
      </c>
      <c r="BS6" s="81" t="s">
        <v>373</v>
      </c>
      <c r="BT6" s="81" t="s">
        <v>383</v>
      </c>
      <c r="BU6" s="166">
        <v>291</v>
      </c>
      <c r="BV6" s="166">
        <v>0.215</v>
      </c>
      <c r="BW6" s="81">
        <v>1356.22</v>
      </c>
      <c r="BX6" s="81" t="s">
        <v>420</v>
      </c>
      <c r="BY6" s="166">
        <v>2E-16</v>
      </c>
      <c r="BZ6" s="81" t="s">
        <v>385</v>
      </c>
      <c r="CA6" s="167" t="s">
        <v>314</v>
      </c>
      <c r="CB6" s="167" t="s">
        <v>315</v>
      </c>
      <c r="CC6" s="167" t="s">
        <v>321</v>
      </c>
      <c r="CD6" s="168" t="s">
        <v>318</v>
      </c>
      <c r="CE6" s="161">
        <f t="shared" si="0"/>
        <v>0.14899999999999999</v>
      </c>
      <c r="CF6" s="167" t="s">
        <v>317</v>
      </c>
      <c r="CI6" s="81" t="s">
        <v>321</v>
      </c>
      <c r="CJ6" s="239">
        <f t="shared" si="1"/>
        <v>0.13882280535151062</v>
      </c>
      <c r="CK6" s="239">
        <f t="shared" si="2"/>
        <v>0.10299999999999999</v>
      </c>
      <c r="CL6" s="239">
        <f t="shared" si="3"/>
        <v>0.14899999999999999</v>
      </c>
      <c r="CO6" s="243" t="s">
        <v>373</v>
      </c>
      <c r="CP6" s="243" t="s">
        <v>383</v>
      </c>
      <c r="CQ6" s="244">
        <v>291</v>
      </c>
      <c r="CR6" s="244">
        <v>0.32300000000000001</v>
      </c>
      <c r="CS6" s="243">
        <v>901.16</v>
      </c>
      <c r="CT6" s="243" t="s">
        <v>420</v>
      </c>
      <c r="CU6" s="244">
        <v>2E-16</v>
      </c>
      <c r="CV6" s="81" t="s">
        <v>385</v>
      </c>
      <c r="CW6" s="245" t="s">
        <v>460</v>
      </c>
      <c r="CX6" s="246" t="s">
        <v>462</v>
      </c>
      <c r="CY6" s="246" t="s">
        <v>318</v>
      </c>
      <c r="CZ6" s="247">
        <f t="shared" ref="CZ6:CZ24" si="12">CQ12</f>
        <v>8.3500000000000006E-12</v>
      </c>
      <c r="DA6" s="245" t="s">
        <v>317</v>
      </c>
      <c r="DC6" s="169" t="s">
        <v>460</v>
      </c>
      <c r="DD6" s="258" t="s">
        <v>462</v>
      </c>
      <c r="DE6" s="258" t="s">
        <v>318</v>
      </c>
      <c r="DF6" s="169">
        <f>$O$10*$Z$37*$AP$4</f>
        <v>0.80751552073075161</v>
      </c>
      <c r="DG6" s="169" t="s">
        <v>317</v>
      </c>
    </row>
    <row r="7" spans="2:111" ht="15" customHeight="1" thickTop="1" thickBot="1" x14ac:dyDescent="0.3">
      <c r="B7" s="178" t="s">
        <v>42</v>
      </c>
      <c r="C7" s="183">
        <f>'Tabula data'!B14</f>
        <v>134.30000000000001</v>
      </c>
      <c r="D7" s="189" t="s">
        <v>9</v>
      </c>
      <c r="E7" s="178" t="s">
        <v>43</v>
      </c>
      <c r="F7" s="176" t="s">
        <v>36</v>
      </c>
      <c r="G7" s="179">
        <f t="shared" si="6"/>
        <v>0.15800970873786407</v>
      </c>
      <c r="H7" s="176"/>
      <c r="I7" s="180">
        <f>'Tabula data'!B17*'Tabula RefULG2'!D45</f>
        <v>6.51</v>
      </c>
      <c r="K7" s="81" t="s">
        <v>38</v>
      </c>
      <c r="L7" s="208">
        <v>0</v>
      </c>
      <c r="M7" s="209">
        <v>1</v>
      </c>
      <c r="N7" s="209" t="s">
        <v>25</v>
      </c>
      <c r="O7" s="210">
        <f>'Tabula data'!B10*(1-D42)/2*D44</f>
        <v>40.288499999999999</v>
      </c>
      <c r="P7" s="211" t="s">
        <v>39</v>
      </c>
      <c r="Q7" s="30">
        <f t="shared" si="7"/>
        <v>0.29666979362101314</v>
      </c>
      <c r="R7" s="30">
        <f t="shared" si="8"/>
        <v>11.952380980300187</v>
      </c>
      <c r="S7" s="30">
        <f t="shared" si="9"/>
        <v>18232778.232900001</v>
      </c>
      <c r="T7" s="30">
        <f t="shared" si="10"/>
        <v>452555.4</v>
      </c>
      <c r="U7" s="30">
        <f t="shared" si="11"/>
        <v>16312007.879999999</v>
      </c>
      <c r="V7" s="31"/>
      <c r="W7" s="223"/>
      <c r="X7" s="175"/>
      <c r="Y7" s="176" t="s">
        <v>40</v>
      </c>
      <c r="Z7" s="176">
        <v>2.5000000000000001E-2</v>
      </c>
      <c r="AA7" s="176">
        <v>1.3</v>
      </c>
      <c r="AB7" s="176">
        <v>1700</v>
      </c>
      <c r="AC7" s="176">
        <v>840</v>
      </c>
      <c r="AD7" s="227">
        <f>Z7/AA7</f>
        <v>1.9230769230769232E-2</v>
      </c>
      <c r="AE7" s="177">
        <f>Z7*AB7*AC7</f>
        <v>35700</v>
      </c>
      <c r="AF7" s="222" t="s">
        <v>41</v>
      </c>
      <c r="AG7" s="222"/>
      <c r="AH7" s="222"/>
      <c r="AM7" s="158" t="s">
        <v>314</v>
      </c>
      <c r="AN7" s="81" t="s">
        <v>315</v>
      </c>
      <c r="AO7" s="81" t="s">
        <v>321</v>
      </c>
      <c r="AP7" s="81">
        <f>SUM(O14)/SUM($O$6:$O$14,$O$26,2*$O$27)</f>
        <v>0.13882280535151062</v>
      </c>
      <c r="AQ7" s="81" t="s">
        <v>317</v>
      </c>
      <c r="AR7" s="166">
        <v>0.161666</v>
      </c>
      <c r="AV7" s="167" t="s">
        <v>314</v>
      </c>
      <c r="AW7" s="167" t="s">
        <v>315</v>
      </c>
      <c r="AX7" s="167" t="s">
        <v>321</v>
      </c>
      <c r="AY7" s="168" t="s">
        <v>318</v>
      </c>
      <c r="AZ7" s="161">
        <f t="shared" si="4"/>
        <v>0.13882280535151062</v>
      </c>
      <c r="BA7" s="167" t="s">
        <v>317</v>
      </c>
      <c r="BC7" s="81" t="s">
        <v>373</v>
      </c>
      <c r="BD7" s="81" t="s">
        <v>386</v>
      </c>
      <c r="BE7" s="166">
        <v>289</v>
      </c>
      <c r="BF7" s="166">
        <v>6.1899999999999997E-2</v>
      </c>
      <c r="BG7" s="81">
        <v>4670.42</v>
      </c>
      <c r="BH7" s="81" t="s">
        <v>384</v>
      </c>
      <c r="BI7" s="81" t="s">
        <v>385</v>
      </c>
      <c r="BL7" s="167" t="s">
        <v>314</v>
      </c>
      <c r="BM7" s="167" t="s">
        <v>315</v>
      </c>
      <c r="BN7" s="167" t="s">
        <v>321</v>
      </c>
      <c r="BO7" s="168" t="s">
        <v>318</v>
      </c>
      <c r="BP7" s="161">
        <f t="shared" si="5"/>
        <v>0.10299999999999999</v>
      </c>
      <c r="BQ7" s="167" t="s">
        <v>317</v>
      </c>
      <c r="BS7" s="81" t="s">
        <v>373</v>
      </c>
      <c r="BT7" s="81" t="s">
        <v>386</v>
      </c>
      <c r="BU7" s="166">
        <v>287</v>
      </c>
      <c r="BV7" s="166">
        <v>5.2999999999999999E-2</v>
      </c>
      <c r="BW7" s="81">
        <v>5413.6</v>
      </c>
      <c r="BX7" s="81" t="s">
        <v>420</v>
      </c>
      <c r="BY7" s="166">
        <v>2E-16</v>
      </c>
      <c r="BZ7" s="81" t="s">
        <v>385</v>
      </c>
      <c r="CA7" s="167"/>
      <c r="CB7" s="167"/>
      <c r="CC7" s="167"/>
      <c r="CD7" s="168"/>
      <c r="CE7" s="161"/>
      <c r="CF7" s="167"/>
      <c r="CJ7" s="240"/>
      <c r="CK7" s="240"/>
      <c r="CL7" s="240"/>
      <c r="CO7" s="243" t="s">
        <v>373</v>
      </c>
      <c r="CP7" s="243" t="s">
        <v>386</v>
      </c>
      <c r="CQ7" s="244">
        <v>288</v>
      </c>
      <c r="CR7" s="244">
        <v>0.125</v>
      </c>
      <c r="CS7" s="243">
        <v>2296.33</v>
      </c>
      <c r="CT7" s="243" t="s">
        <v>420</v>
      </c>
      <c r="CU7" s="244">
        <v>2E-16</v>
      </c>
      <c r="CV7" s="81" t="s">
        <v>385</v>
      </c>
      <c r="CW7" s="245" t="s">
        <v>460</v>
      </c>
      <c r="CX7" s="248" t="s">
        <v>463</v>
      </c>
      <c r="CY7" s="246" t="s">
        <v>318</v>
      </c>
      <c r="CZ7" s="247">
        <f t="shared" si="12"/>
        <v>0.98</v>
      </c>
      <c r="DA7" s="245" t="s">
        <v>317</v>
      </c>
      <c r="DC7" s="169" t="s">
        <v>460</v>
      </c>
      <c r="DD7" s="259" t="s">
        <v>463</v>
      </c>
      <c r="DE7" s="258" t="s">
        <v>318</v>
      </c>
      <c r="DF7" s="169">
        <f>$O$12*$Z$37*$AP$4</f>
        <v>0.91219345860325662</v>
      </c>
      <c r="DG7" s="169" t="s">
        <v>317</v>
      </c>
    </row>
    <row r="8" spans="2:111" ht="15" customHeight="1" thickTop="1" thickBot="1" x14ac:dyDescent="0.3">
      <c r="B8" s="178" t="s">
        <v>47</v>
      </c>
      <c r="C8" s="183">
        <f>C6-C7</f>
        <v>144.69999999999999</v>
      </c>
      <c r="D8" s="176" t="s">
        <v>9</v>
      </c>
      <c r="E8" s="178" t="s">
        <v>48</v>
      </c>
      <c r="F8" s="176" t="s">
        <v>36</v>
      </c>
      <c r="G8" s="179">
        <f t="shared" si="6"/>
        <v>0.2072815533980582</v>
      </c>
      <c r="H8" s="176"/>
      <c r="I8" s="180">
        <f>'Tabula data'!B18*D45</f>
        <v>8.5399999999999991</v>
      </c>
      <c r="K8" s="81" t="s">
        <v>44</v>
      </c>
      <c r="L8" s="208">
        <v>0</v>
      </c>
      <c r="M8" s="209">
        <v>1</v>
      </c>
      <c r="N8" s="209" t="s">
        <v>25</v>
      </c>
      <c r="O8" s="210">
        <f>O6</f>
        <v>69.641550000000009</v>
      </c>
      <c r="P8" s="211" t="s">
        <v>45</v>
      </c>
      <c r="Q8" s="30">
        <f t="shared" si="7"/>
        <v>0.29666979362101314</v>
      </c>
      <c r="R8" s="30">
        <f t="shared" si="8"/>
        <v>20.660544265947472</v>
      </c>
      <c r="S8" s="30">
        <f t="shared" si="9"/>
        <v>31516659.516870007</v>
      </c>
      <c r="T8" s="30">
        <f t="shared" si="10"/>
        <v>452555.4</v>
      </c>
      <c r="U8" s="30">
        <f t="shared" si="11"/>
        <v>28196470.764000002</v>
      </c>
      <c r="V8" s="31"/>
      <c r="W8" s="223"/>
      <c r="X8" s="175"/>
      <c r="Y8" s="176" t="s">
        <v>46</v>
      </c>
      <c r="Z8" s="176">
        <v>0.03</v>
      </c>
      <c r="AA8" s="176">
        <f>0.18/Z8</f>
        <v>6</v>
      </c>
      <c r="AB8" s="176">
        <v>0</v>
      </c>
      <c r="AC8" s="176">
        <v>0</v>
      </c>
      <c r="AD8" s="227">
        <v>0.16</v>
      </c>
      <c r="AE8" s="177">
        <f>Z8*AB8*AC8</f>
        <v>0</v>
      </c>
      <c r="AF8" s="222"/>
      <c r="AG8" s="222"/>
      <c r="AH8" s="222"/>
      <c r="AQ8" s="81" t="s">
        <v>317</v>
      </c>
      <c r="AR8" s="166"/>
      <c r="AV8" s="167"/>
      <c r="AW8" s="167"/>
      <c r="AX8" s="167"/>
      <c r="AY8" s="168"/>
      <c r="BA8" s="167"/>
      <c r="BC8" s="81" t="s">
        <v>373</v>
      </c>
      <c r="BD8" s="81" t="s">
        <v>387</v>
      </c>
      <c r="BE8" s="166">
        <v>294</v>
      </c>
      <c r="BF8" s="166">
        <v>1.9099999999999999E-2</v>
      </c>
      <c r="BG8" s="81">
        <v>15359.29</v>
      </c>
      <c r="BH8" s="81" t="s">
        <v>384</v>
      </c>
      <c r="BI8" s="81" t="s">
        <v>385</v>
      </c>
      <c r="BL8" s="167"/>
      <c r="BM8" s="167"/>
      <c r="BN8" s="167"/>
      <c r="BO8" s="168"/>
      <c r="BP8" s="161"/>
      <c r="BQ8" s="167"/>
      <c r="BS8" s="81" t="s">
        <v>373</v>
      </c>
      <c r="BT8" s="81" t="s">
        <v>387</v>
      </c>
      <c r="BU8" s="166">
        <v>296</v>
      </c>
      <c r="BV8" s="166">
        <v>6.88E-2</v>
      </c>
      <c r="BW8" s="81">
        <v>4301.45</v>
      </c>
      <c r="BX8" s="81" t="s">
        <v>420</v>
      </c>
      <c r="BY8" s="166">
        <v>2E-16</v>
      </c>
      <c r="BZ8" s="81" t="s">
        <v>385</v>
      </c>
      <c r="CA8" s="167" t="s">
        <v>314</v>
      </c>
      <c r="CB8" s="167" t="s">
        <v>315</v>
      </c>
      <c r="CC8" s="167" t="s">
        <v>322</v>
      </c>
      <c r="CD8" s="168" t="s">
        <v>318</v>
      </c>
      <c r="CE8" s="256">
        <f>BU18</f>
        <v>3990000</v>
      </c>
      <c r="CF8" s="167" t="s">
        <v>317</v>
      </c>
      <c r="CI8" s="81" t="s">
        <v>322</v>
      </c>
      <c r="CJ8" s="241">
        <f t="shared" si="1"/>
        <v>1940369.480716846</v>
      </c>
      <c r="CK8" s="241">
        <f t="shared" si="2"/>
        <v>2900000</v>
      </c>
      <c r="CL8" s="241">
        <f t="shared" si="3"/>
        <v>3990000</v>
      </c>
      <c r="CO8" s="243" t="s">
        <v>373</v>
      </c>
      <c r="CP8" s="243" t="s">
        <v>387</v>
      </c>
      <c r="CQ8" s="244">
        <v>295</v>
      </c>
      <c r="CR8" s="244">
        <v>0.127</v>
      </c>
      <c r="CS8" s="243">
        <v>2316.11</v>
      </c>
      <c r="CT8" s="243" t="s">
        <v>420</v>
      </c>
      <c r="CU8" s="244">
        <v>2E-16</v>
      </c>
      <c r="CV8" s="81" t="s">
        <v>385</v>
      </c>
      <c r="CW8" s="245" t="s">
        <v>460</v>
      </c>
      <c r="CX8" s="249" t="s">
        <v>464</v>
      </c>
      <c r="CY8" s="246" t="s">
        <v>318</v>
      </c>
      <c r="CZ8" s="247">
        <f t="shared" si="12"/>
        <v>0.76700000000000002</v>
      </c>
      <c r="DA8" s="245" t="s">
        <v>317</v>
      </c>
      <c r="DC8" s="169" t="s">
        <v>460</v>
      </c>
      <c r="DD8" s="260" t="s">
        <v>464</v>
      </c>
      <c r="DE8" s="258" t="s">
        <v>318</v>
      </c>
      <c r="DF8" s="169">
        <f>$O$13*$Z$37*$AP$4</f>
        <v>0.66545260504663795</v>
      </c>
      <c r="DG8" s="169" t="s">
        <v>317</v>
      </c>
    </row>
    <row r="9" spans="2:111" ht="15" customHeight="1" thickTop="1" thickBot="1" x14ac:dyDescent="0.3">
      <c r="B9" s="175"/>
      <c r="C9" s="176"/>
      <c r="D9" s="176"/>
      <c r="E9" s="178" t="s">
        <v>52</v>
      </c>
      <c r="F9" s="184" t="s">
        <v>36</v>
      </c>
      <c r="G9" s="179">
        <f t="shared" si="6"/>
        <v>0.15121359223300967</v>
      </c>
      <c r="H9" s="176"/>
      <c r="I9" s="180">
        <f>'Tabula data'!B19*'Tabula RefULG2'!D45</f>
        <v>6.2299999999999995</v>
      </c>
      <c r="K9" s="81" t="s">
        <v>49</v>
      </c>
      <c r="L9" s="208">
        <v>0</v>
      </c>
      <c r="M9" s="209">
        <v>1</v>
      </c>
      <c r="N9" s="209" t="s">
        <v>25</v>
      </c>
      <c r="O9" s="210">
        <f>'Tabula data'!B10*(1-D42)/2*D44</f>
        <v>40.288499999999999</v>
      </c>
      <c r="P9" s="211" t="s">
        <v>50</v>
      </c>
      <c r="Q9" s="30">
        <f t="shared" si="7"/>
        <v>0.29666979362101314</v>
      </c>
      <c r="R9" s="30">
        <f t="shared" si="8"/>
        <v>11.952380980300187</v>
      </c>
      <c r="S9" s="30">
        <f t="shared" si="9"/>
        <v>18232778.232900001</v>
      </c>
      <c r="T9" s="30">
        <f t="shared" si="10"/>
        <v>452555.4</v>
      </c>
      <c r="U9" s="30">
        <f t="shared" si="11"/>
        <v>16312007.879999999</v>
      </c>
      <c r="V9" s="31"/>
      <c r="W9" s="223"/>
      <c r="X9" s="175"/>
      <c r="Y9" s="176" t="s">
        <v>499</v>
      </c>
      <c r="Z9" s="255">
        <v>0.11</v>
      </c>
      <c r="AA9" s="176">
        <v>3.5999999999999997E-2</v>
      </c>
      <c r="AB9" s="176">
        <v>80</v>
      </c>
      <c r="AC9" s="176">
        <v>840</v>
      </c>
      <c r="AD9" s="227">
        <f>Z9/AA9</f>
        <v>3.0555555555555558</v>
      </c>
      <c r="AE9" s="177">
        <f>Z9*AB9*AC9</f>
        <v>7392.0000000000009</v>
      </c>
      <c r="AF9" s="222"/>
      <c r="AG9" s="222"/>
      <c r="AH9" s="222"/>
      <c r="AM9" s="158" t="s">
        <v>314</v>
      </c>
      <c r="AN9" s="81" t="s">
        <v>315</v>
      </c>
      <c r="AO9" s="81" t="s">
        <v>322</v>
      </c>
      <c r="AP9" s="166">
        <f>C34*1.04*1012*5</f>
        <v>1940369.480716846</v>
      </c>
      <c r="AQ9" s="81" t="s">
        <v>317</v>
      </c>
      <c r="AR9" s="166">
        <v>2745646</v>
      </c>
      <c r="AV9" s="167" t="s">
        <v>314</v>
      </c>
      <c r="AW9" s="167" t="s">
        <v>315</v>
      </c>
      <c r="AX9" s="167" t="s">
        <v>322</v>
      </c>
      <c r="AY9" s="168" t="s">
        <v>318</v>
      </c>
      <c r="AZ9" s="161">
        <f>AP9</f>
        <v>1940369.480716846</v>
      </c>
      <c r="BA9" s="167" t="s">
        <v>317</v>
      </c>
      <c r="BC9" s="81" t="s">
        <v>373</v>
      </c>
      <c r="BD9" s="81" t="s">
        <v>388</v>
      </c>
      <c r="BE9" s="166">
        <v>291</v>
      </c>
      <c r="BF9" s="166">
        <v>8.3099999999999993E-2</v>
      </c>
      <c r="BG9" s="81">
        <v>3501.39</v>
      </c>
      <c r="BH9" s="81" t="s">
        <v>384</v>
      </c>
      <c r="BI9" s="81" t="s">
        <v>385</v>
      </c>
      <c r="BL9" s="167" t="s">
        <v>314</v>
      </c>
      <c r="BM9" s="167" t="s">
        <v>315</v>
      </c>
      <c r="BN9" s="167" t="s">
        <v>322</v>
      </c>
      <c r="BO9" s="168" t="s">
        <v>318</v>
      </c>
      <c r="BP9" s="161">
        <f>BE18</f>
        <v>2900000</v>
      </c>
      <c r="BQ9" s="167" t="s">
        <v>317</v>
      </c>
      <c r="BS9" s="81" t="s">
        <v>373</v>
      </c>
      <c r="BT9" s="81" t="s">
        <v>388</v>
      </c>
      <c r="BU9" s="166">
        <v>289</v>
      </c>
      <c r="BV9" s="166">
        <v>0.17100000000000001</v>
      </c>
      <c r="BW9" s="81">
        <v>1684.81</v>
      </c>
      <c r="BX9" s="81" t="s">
        <v>420</v>
      </c>
      <c r="BY9" s="166">
        <v>2E-16</v>
      </c>
      <c r="BZ9" s="81" t="s">
        <v>385</v>
      </c>
      <c r="CA9" s="167" t="s">
        <v>314</v>
      </c>
      <c r="CB9" s="167" t="s">
        <v>315</v>
      </c>
      <c r="CC9" s="167" t="s">
        <v>323</v>
      </c>
      <c r="CD9" s="168" t="s">
        <v>318</v>
      </c>
      <c r="CE9" s="256">
        <f>BU19</f>
        <v>92100000</v>
      </c>
      <c r="CF9" s="167" t="s">
        <v>317</v>
      </c>
      <c r="CI9" s="81" t="s">
        <v>323</v>
      </c>
      <c r="CJ9" s="241">
        <f t="shared" si="1"/>
        <v>89016957.288000003</v>
      </c>
      <c r="CK9" s="241">
        <f t="shared" si="2"/>
        <v>50500000</v>
      </c>
      <c r="CL9" s="241">
        <f t="shared" si="3"/>
        <v>92100000</v>
      </c>
      <c r="CO9" s="243" t="s">
        <v>373</v>
      </c>
      <c r="CP9" s="243" t="s">
        <v>388</v>
      </c>
      <c r="CQ9" s="244">
        <v>289</v>
      </c>
      <c r="CR9" s="244">
        <v>0.152</v>
      </c>
      <c r="CS9" s="243">
        <v>1902.82</v>
      </c>
      <c r="CT9" s="243" t="s">
        <v>420</v>
      </c>
      <c r="CU9" s="244">
        <v>2E-16</v>
      </c>
      <c r="CV9" s="81" t="s">
        <v>385</v>
      </c>
      <c r="CW9" s="245" t="s">
        <v>460</v>
      </c>
      <c r="CX9" s="249" t="s">
        <v>465</v>
      </c>
      <c r="CY9" s="246" t="s">
        <v>318</v>
      </c>
      <c r="CZ9" s="247">
        <f t="shared" si="12"/>
        <v>0.189</v>
      </c>
      <c r="DA9" s="245" t="s">
        <v>317</v>
      </c>
      <c r="DC9" s="169" t="s">
        <v>460</v>
      </c>
      <c r="DD9" s="260" t="s">
        <v>465</v>
      </c>
      <c r="DE9" s="258" t="s">
        <v>318</v>
      </c>
      <c r="DF9" s="169">
        <f>$O$11*$Z$37*$AP$5</f>
        <v>1.3907211745918502</v>
      </c>
      <c r="DG9" s="169" t="s">
        <v>317</v>
      </c>
    </row>
    <row r="10" spans="2:111" ht="15" customHeight="1" thickTop="1" thickBot="1" x14ac:dyDescent="0.3">
      <c r="B10" s="175"/>
      <c r="C10" s="176"/>
      <c r="D10" s="176"/>
      <c r="E10" s="178" t="s">
        <v>35</v>
      </c>
      <c r="F10" s="184" t="s">
        <v>56</v>
      </c>
      <c r="G10" s="179">
        <f t="shared" si="6"/>
        <v>7.8640776699029136E-2</v>
      </c>
      <c r="H10" s="176"/>
      <c r="I10" s="185">
        <f>'Tabula data'!B16*(1-D45)</f>
        <v>3.2400000000000007</v>
      </c>
      <c r="K10" s="81" t="s">
        <v>53</v>
      </c>
      <c r="L10" s="208">
        <v>0</v>
      </c>
      <c r="M10" s="209">
        <v>1</v>
      </c>
      <c r="N10" s="209" t="s">
        <v>54</v>
      </c>
      <c r="O10" s="210">
        <f>I6</f>
        <v>7.56</v>
      </c>
      <c r="P10" s="211" t="s">
        <v>26</v>
      </c>
      <c r="Q10" s="30">
        <f t="shared" si="7"/>
        <v>2</v>
      </c>
      <c r="R10" s="30">
        <f t="shared" si="8"/>
        <v>15.12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223"/>
      <c r="X10" s="175"/>
      <c r="Y10" s="184" t="s">
        <v>55</v>
      </c>
      <c r="Z10" s="176">
        <v>2.5000000000000001E-2</v>
      </c>
      <c r="AA10" s="176">
        <v>0.11</v>
      </c>
      <c r="AB10" s="176">
        <v>550</v>
      </c>
      <c r="AC10" s="176">
        <v>1880</v>
      </c>
      <c r="AD10" s="227">
        <f>Z10/AA10</f>
        <v>0.22727272727272729</v>
      </c>
      <c r="AE10" s="177">
        <f>Z10*AB10*AC10</f>
        <v>25850</v>
      </c>
      <c r="AF10" s="228" t="s">
        <v>270</v>
      </c>
      <c r="AG10" s="222"/>
      <c r="AH10" s="222"/>
      <c r="AM10" s="158" t="s">
        <v>314</v>
      </c>
      <c r="AN10" s="81" t="s">
        <v>315</v>
      </c>
      <c r="AO10" s="81" t="s">
        <v>323</v>
      </c>
      <c r="AP10" s="166">
        <f>SUM(U6:U9)</f>
        <v>89016957.288000003</v>
      </c>
      <c r="AQ10" s="81" t="s">
        <v>317</v>
      </c>
      <c r="AR10" s="166">
        <v>14395560</v>
      </c>
      <c r="AV10" s="167" t="s">
        <v>314</v>
      </c>
      <c r="AW10" s="167" t="s">
        <v>315</v>
      </c>
      <c r="AX10" s="167" t="s">
        <v>323</v>
      </c>
      <c r="AY10" s="168" t="s">
        <v>318</v>
      </c>
      <c r="AZ10" s="161">
        <f t="shared" ref="AZ10:AZ12" si="13">AP10</f>
        <v>89016957.288000003</v>
      </c>
      <c r="BA10" s="167" t="s">
        <v>317</v>
      </c>
      <c r="BC10" s="81" t="s">
        <v>373</v>
      </c>
      <c r="BD10" s="81" t="s">
        <v>389</v>
      </c>
      <c r="BE10" s="166">
        <v>291</v>
      </c>
      <c r="BF10" s="166">
        <v>7.2099999999999997E-2</v>
      </c>
      <c r="BG10" s="81">
        <v>4032.89</v>
      </c>
      <c r="BH10" s="81" t="s">
        <v>384</v>
      </c>
      <c r="BI10" s="81" t="s">
        <v>385</v>
      </c>
      <c r="BL10" s="167" t="s">
        <v>314</v>
      </c>
      <c r="BM10" s="167" t="s">
        <v>315</v>
      </c>
      <c r="BN10" s="167" t="s">
        <v>323</v>
      </c>
      <c r="BO10" s="168" t="s">
        <v>318</v>
      </c>
      <c r="BP10" s="161">
        <f t="shared" ref="BP10:BP11" si="14">BE19</f>
        <v>50500000</v>
      </c>
      <c r="BQ10" s="167" t="s">
        <v>317</v>
      </c>
      <c r="BS10" s="81" t="s">
        <v>373</v>
      </c>
      <c r="BT10" s="81" t="s">
        <v>389</v>
      </c>
      <c r="BU10" s="166">
        <v>289</v>
      </c>
      <c r="BV10" s="166">
        <v>7.0099999999999996E-2</v>
      </c>
      <c r="BW10" s="81">
        <v>4115.0600000000004</v>
      </c>
      <c r="BX10" s="81" t="s">
        <v>420</v>
      </c>
      <c r="BY10" s="166">
        <v>2E-16</v>
      </c>
      <c r="BZ10" s="81" t="s">
        <v>385</v>
      </c>
      <c r="CA10" s="167" t="s">
        <v>314</v>
      </c>
      <c r="CB10" s="167" t="s">
        <v>315</v>
      </c>
      <c r="CC10" s="167" t="s">
        <v>324</v>
      </c>
      <c r="CD10" s="168" t="s">
        <v>318</v>
      </c>
      <c r="CE10" s="256">
        <f>BU20</f>
        <v>22500000</v>
      </c>
      <c r="CF10" s="167" t="s">
        <v>317</v>
      </c>
      <c r="CI10" s="81" t="s">
        <v>324</v>
      </c>
      <c r="CJ10" s="241">
        <f t="shared" si="1"/>
        <v>16529082.318000002</v>
      </c>
      <c r="CK10" s="241">
        <f t="shared" si="2"/>
        <v>32700000</v>
      </c>
      <c r="CL10" s="241">
        <f t="shared" si="3"/>
        <v>22500000</v>
      </c>
      <c r="CO10" s="243" t="s">
        <v>373</v>
      </c>
      <c r="CP10" s="243" t="s">
        <v>389</v>
      </c>
      <c r="CQ10" s="244">
        <v>289</v>
      </c>
      <c r="CR10" s="244">
        <v>0.11700000000000001</v>
      </c>
      <c r="CS10" s="243">
        <v>2478.86</v>
      </c>
      <c r="CT10" s="243" t="s">
        <v>420</v>
      </c>
      <c r="CU10" s="244">
        <v>2E-16</v>
      </c>
      <c r="CV10" s="81" t="s">
        <v>385</v>
      </c>
      <c r="CW10" s="245" t="s">
        <v>460</v>
      </c>
      <c r="CX10" s="249" t="s">
        <v>466</v>
      </c>
      <c r="CY10" s="246" t="s">
        <v>318</v>
      </c>
      <c r="CZ10" s="247">
        <f t="shared" si="12"/>
        <v>1.3300000000000001E-14</v>
      </c>
      <c r="DA10" s="245" t="s">
        <v>317</v>
      </c>
      <c r="DC10" s="169" t="s">
        <v>460</v>
      </c>
      <c r="DD10" s="260" t="s">
        <v>466</v>
      </c>
      <c r="DE10" s="258" t="s">
        <v>318</v>
      </c>
      <c r="DF10" s="169">
        <f>$O$10*$Z$37*$AP$5</f>
        <v>1.6150310414615032</v>
      </c>
      <c r="DG10" s="169" t="s">
        <v>317</v>
      </c>
    </row>
    <row r="11" spans="2:111" ht="15" customHeight="1" thickTop="1" thickBot="1" x14ac:dyDescent="0.3">
      <c r="B11" s="175"/>
      <c r="C11" s="176"/>
      <c r="D11" s="176"/>
      <c r="E11" s="178" t="s">
        <v>43</v>
      </c>
      <c r="F11" s="184" t="s">
        <v>56</v>
      </c>
      <c r="G11" s="179">
        <f t="shared" si="6"/>
        <v>6.7718446601941748E-2</v>
      </c>
      <c r="H11" s="176"/>
      <c r="I11" s="185">
        <f>'Tabula data'!B17*(1-'Tabula RefULG2'!D45)</f>
        <v>2.7900000000000005</v>
      </c>
      <c r="K11" s="81" t="s">
        <v>57</v>
      </c>
      <c r="L11" s="208">
        <v>0</v>
      </c>
      <c r="M11" s="209">
        <v>1</v>
      </c>
      <c r="N11" s="209" t="s">
        <v>54</v>
      </c>
      <c r="O11" s="210">
        <f>I7</f>
        <v>6.51</v>
      </c>
      <c r="P11" s="211" t="s">
        <v>39</v>
      </c>
      <c r="Q11" s="30">
        <f t="shared" si="7"/>
        <v>2</v>
      </c>
      <c r="R11" s="30">
        <f t="shared" si="8"/>
        <v>13.02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223"/>
      <c r="X11" s="187"/>
      <c r="Y11" s="174" t="s">
        <v>433</v>
      </c>
      <c r="Z11" s="174">
        <v>0.02</v>
      </c>
      <c r="AA11" s="174">
        <v>0.6</v>
      </c>
      <c r="AB11" s="174">
        <v>975</v>
      </c>
      <c r="AC11" s="174">
        <v>840</v>
      </c>
      <c r="AD11" s="229">
        <f>Z11/AA11</f>
        <v>3.3333333333333333E-2</v>
      </c>
      <c r="AE11" s="192">
        <f>Z11*AB11*AC11</f>
        <v>16380</v>
      </c>
      <c r="AF11" s="222"/>
      <c r="AG11" s="222"/>
      <c r="AH11" s="222"/>
      <c r="AM11" s="158" t="s">
        <v>314</v>
      </c>
      <c r="AN11" s="81" t="s">
        <v>315</v>
      </c>
      <c r="AO11" s="81" t="s">
        <v>324</v>
      </c>
      <c r="AP11" s="166">
        <f>SUM(U27,U30)/2</f>
        <v>16529082.318000002</v>
      </c>
      <c r="AQ11" s="81" t="s">
        <v>317</v>
      </c>
      <c r="AR11" s="166">
        <v>26154150</v>
      </c>
      <c r="AV11" s="167" t="s">
        <v>314</v>
      </c>
      <c r="AW11" s="167" t="s">
        <v>315</v>
      </c>
      <c r="AX11" s="167" t="s">
        <v>324</v>
      </c>
      <c r="AY11" s="168" t="s">
        <v>318</v>
      </c>
      <c r="AZ11" s="161">
        <f t="shared" si="13"/>
        <v>16529082.318000002</v>
      </c>
      <c r="BA11" s="167" t="s">
        <v>317</v>
      </c>
      <c r="BC11" s="81" t="s">
        <v>373</v>
      </c>
      <c r="BD11" s="81" t="s">
        <v>390</v>
      </c>
      <c r="BE11" s="166">
        <v>0.18</v>
      </c>
      <c r="BF11" s="166">
        <v>2.64E-3</v>
      </c>
      <c r="BG11" s="81">
        <v>67.989999999999995</v>
      </c>
      <c r="BH11" s="81" t="s">
        <v>384</v>
      </c>
      <c r="BI11" s="81" t="s">
        <v>385</v>
      </c>
      <c r="BL11" s="167" t="s">
        <v>314</v>
      </c>
      <c r="BM11" s="167" t="s">
        <v>315</v>
      </c>
      <c r="BN11" s="167" t="s">
        <v>324</v>
      </c>
      <c r="BO11" s="168" t="s">
        <v>318</v>
      </c>
      <c r="BP11" s="161">
        <f t="shared" si="14"/>
        <v>32700000</v>
      </c>
      <c r="BQ11" s="167" t="s">
        <v>317</v>
      </c>
      <c r="BS11" s="81" t="s">
        <v>373</v>
      </c>
      <c r="BT11" s="81" t="s">
        <v>390</v>
      </c>
      <c r="BU11" s="166">
        <v>0.216</v>
      </c>
      <c r="BV11" s="166">
        <v>1.01E-3</v>
      </c>
      <c r="BW11" s="81">
        <v>214.51</v>
      </c>
      <c r="BX11" s="81" t="s">
        <v>420</v>
      </c>
      <c r="BY11" s="166">
        <v>2E-16</v>
      </c>
      <c r="BZ11" s="81" t="s">
        <v>385</v>
      </c>
      <c r="CA11" s="167" t="s">
        <v>314</v>
      </c>
      <c r="CB11" s="167" t="s">
        <v>315</v>
      </c>
      <c r="CC11" s="167" t="s">
        <v>325</v>
      </c>
      <c r="CD11" s="168" t="s">
        <v>318</v>
      </c>
      <c r="CE11" s="256">
        <f>BU17</f>
        <v>3340000000</v>
      </c>
      <c r="CF11" s="167" t="s">
        <v>317</v>
      </c>
      <c r="CI11" s="81" t="s">
        <v>325</v>
      </c>
      <c r="CJ11" s="241">
        <f t="shared" si="1"/>
        <v>14901928.000000002</v>
      </c>
      <c r="CK11" s="241">
        <f t="shared" si="2"/>
        <v>14000000</v>
      </c>
      <c r="CL11" s="241">
        <f t="shared" si="3"/>
        <v>3340000000</v>
      </c>
      <c r="CO11" s="243" t="s">
        <v>373</v>
      </c>
      <c r="CP11" s="243" t="s">
        <v>442</v>
      </c>
      <c r="CQ11" s="244">
        <v>0.67500000000000004</v>
      </c>
      <c r="CR11" s="244">
        <v>4.3700000000000003E-2</v>
      </c>
      <c r="CS11" s="243">
        <v>15.44</v>
      </c>
      <c r="CT11" s="243" t="s">
        <v>420</v>
      </c>
      <c r="CU11" s="244">
        <v>2E-16</v>
      </c>
      <c r="CV11" s="81" t="s">
        <v>385</v>
      </c>
      <c r="CW11" s="245" t="s">
        <v>460</v>
      </c>
      <c r="CX11" s="249" t="s">
        <v>467</v>
      </c>
      <c r="CY11" s="246" t="s">
        <v>318</v>
      </c>
      <c r="CZ11" s="247">
        <f t="shared" si="12"/>
        <v>0.37</v>
      </c>
      <c r="DA11" s="245" t="s">
        <v>317</v>
      </c>
      <c r="DC11" s="169" t="s">
        <v>460</v>
      </c>
      <c r="DD11" s="260" t="s">
        <v>467</v>
      </c>
      <c r="DE11" s="258" t="s">
        <v>318</v>
      </c>
      <c r="DF11" s="169">
        <f>$O$12*$Z$37*$AP$5</f>
        <v>1.8243869172065132</v>
      </c>
      <c r="DG11" s="169" t="s">
        <v>317</v>
      </c>
    </row>
    <row r="12" spans="2:111" ht="15" customHeight="1" thickTop="1" thickBot="1" x14ac:dyDescent="0.3">
      <c r="B12" s="175"/>
      <c r="C12" s="176"/>
      <c r="D12" s="176"/>
      <c r="E12" s="178" t="s">
        <v>48</v>
      </c>
      <c r="F12" s="184" t="s">
        <v>56</v>
      </c>
      <c r="G12" s="179">
        <f t="shared" si="6"/>
        <v>8.8834951456310679E-2</v>
      </c>
      <c r="H12" s="176"/>
      <c r="I12" s="185">
        <f>'Tabula data'!B18*(1-'Tabula RefULG2'!D45)</f>
        <v>3.66</v>
      </c>
      <c r="K12" s="81" t="s">
        <v>59</v>
      </c>
      <c r="L12" s="208">
        <v>0</v>
      </c>
      <c r="M12" s="209">
        <v>1</v>
      </c>
      <c r="N12" s="209" t="s">
        <v>54</v>
      </c>
      <c r="O12" s="210">
        <f>I8</f>
        <v>8.5399999999999991</v>
      </c>
      <c r="P12" s="211" t="s">
        <v>45</v>
      </c>
      <c r="Q12" s="30">
        <f t="shared" si="7"/>
        <v>2</v>
      </c>
      <c r="R12" s="30">
        <f t="shared" si="8"/>
        <v>17.079999999999998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223"/>
      <c r="X12" s="176"/>
      <c r="Y12" s="176"/>
      <c r="Z12" s="230"/>
      <c r="AA12" s="230"/>
      <c r="AB12" s="230"/>
      <c r="AC12" s="176"/>
      <c r="AD12" s="227"/>
      <c r="AE12" s="176"/>
      <c r="AF12" s="222"/>
      <c r="AG12" s="222"/>
      <c r="AH12" s="222"/>
      <c r="AM12" s="158" t="s">
        <v>314</v>
      </c>
      <c r="AN12" s="81" t="s">
        <v>315</v>
      </c>
      <c r="AO12" s="81" t="s">
        <v>325</v>
      </c>
      <c r="AP12" s="166">
        <f>SUM(U14)</f>
        <v>14901928.000000002</v>
      </c>
      <c r="AQ12" s="81" t="s">
        <v>317</v>
      </c>
      <c r="AR12" s="166">
        <v>12228720</v>
      </c>
      <c r="AV12" s="167" t="s">
        <v>314</v>
      </c>
      <c r="AW12" s="167" t="s">
        <v>315</v>
      </c>
      <c r="AX12" s="167" t="s">
        <v>325</v>
      </c>
      <c r="AY12" s="168" t="s">
        <v>318</v>
      </c>
      <c r="AZ12" s="161">
        <f t="shared" si="13"/>
        <v>14901928.000000002</v>
      </c>
      <c r="BA12" s="167" t="s">
        <v>317</v>
      </c>
      <c r="BC12" s="81" t="s">
        <v>373</v>
      </c>
      <c r="BD12" s="81" t="s">
        <v>391</v>
      </c>
      <c r="BE12" s="166">
        <v>0.33600000000000002</v>
      </c>
      <c r="BF12" s="166">
        <v>2.32E-3</v>
      </c>
      <c r="BG12" s="81">
        <v>144.99</v>
      </c>
      <c r="BH12" s="81" t="s">
        <v>384</v>
      </c>
      <c r="BI12" s="81" t="s">
        <v>385</v>
      </c>
      <c r="BL12" s="167" t="s">
        <v>314</v>
      </c>
      <c r="BM12" s="167" t="s">
        <v>315</v>
      </c>
      <c r="BN12" s="167" t="s">
        <v>325</v>
      </c>
      <c r="BO12" s="168" t="s">
        <v>318</v>
      </c>
      <c r="BP12" s="161">
        <f>BE17</f>
        <v>14000000</v>
      </c>
      <c r="BQ12" s="167" t="s">
        <v>317</v>
      </c>
      <c r="BS12" s="81" t="s">
        <v>373</v>
      </c>
      <c r="BT12" s="81" t="s">
        <v>391</v>
      </c>
      <c r="BU12" s="166">
        <v>0.439</v>
      </c>
      <c r="BV12" s="166">
        <v>1.7799999999999999E-3</v>
      </c>
      <c r="BW12" s="81">
        <v>246.64</v>
      </c>
      <c r="BX12" s="81" t="s">
        <v>420</v>
      </c>
      <c r="BY12" s="166">
        <v>2E-16</v>
      </c>
      <c r="BZ12" s="81" t="s">
        <v>385</v>
      </c>
      <c r="CA12" s="167"/>
      <c r="CB12" s="167"/>
      <c r="CC12" s="167"/>
      <c r="CD12" s="168"/>
      <c r="CE12" s="161"/>
      <c r="CF12" s="167"/>
      <c r="CJ12" s="240">
        <f t="shared" si="1"/>
        <v>0</v>
      </c>
      <c r="CK12" s="240">
        <f t="shared" si="2"/>
        <v>0</v>
      </c>
      <c r="CL12" s="240">
        <f t="shared" si="3"/>
        <v>0</v>
      </c>
      <c r="CO12" s="243" t="s">
        <v>373</v>
      </c>
      <c r="CP12" s="243" t="s">
        <v>336</v>
      </c>
      <c r="CQ12" s="244">
        <v>8.3500000000000006E-12</v>
      </c>
      <c r="CR12" s="244">
        <v>2.01E-10</v>
      </c>
      <c r="CS12" s="243">
        <v>0.04</v>
      </c>
      <c r="CT12" s="243">
        <v>0.96687000000000001</v>
      </c>
      <c r="CU12" s="244"/>
      <c r="CW12" s="245" t="s">
        <v>460</v>
      </c>
      <c r="CX12" s="248" t="s">
        <v>468</v>
      </c>
      <c r="CY12" s="246" t="s">
        <v>318</v>
      </c>
      <c r="CZ12" s="247">
        <f t="shared" si="12"/>
        <v>0.124</v>
      </c>
      <c r="DA12" s="245" t="s">
        <v>317</v>
      </c>
      <c r="DC12" s="169" t="s">
        <v>460</v>
      </c>
      <c r="DD12" s="259" t="s">
        <v>468</v>
      </c>
      <c r="DE12" s="258" t="s">
        <v>318</v>
      </c>
      <c r="DF12" s="169">
        <f>$O$13*$Z$37*$AP$5</f>
        <v>1.3309052100932759</v>
      </c>
      <c r="DG12" s="169" t="s">
        <v>317</v>
      </c>
    </row>
    <row r="13" spans="2:111" ht="15" customHeight="1" thickTop="1" thickBot="1" x14ac:dyDescent="0.3">
      <c r="B13" s="175"/>
      <c r="C13" s="176"/>
      <c r="D13" s="176"/>
      <c r="E13" s="178" t="s">
        <v>52</v>
      </c>
      <c r="F13" s="184" t="s">
        <v>56</v>
      </c>
      <c r="G13" s="179">
        <f t="shared" si="6"/>
        <v>6.4805825242718454E-2</v>
      </c>
      <c r="H13" s="176"/>
      <c r="I13" s="185">
        <f>'Tabula data'!B19*(1-'Tabula RefULG2'!D45)</f>
        <v>2.6700000000000004</v>
      </c>
      <c r="K13" s="81" t="s">
        <v>60</v>
      </c>
      <c r="L13" s="208">
        <v>0</v>
      </c>
      <c r="M13" s="209">
        <v>1</v>
      </c>
      <c r="N13" s="209" t="s">
        <v>54</v>
      </c>
      <c r="O13" s="210">
        <f>I9</f>
        <v>6.2299999999999995</v>
      </c>
      <c r="P13" s="211" t="s">
        <v>50</v>
      </c>
      <c r="Q13" s="30">
        <f t="shared" si="7"/>
        <v>2</v>
      </c>
      <c r="R13" s="30">
        <f t="shared" si="8"/>
        <v>12.459999999999999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223"/>
      <c r="Z13" s="221" t="s">
        <v>4</v>
      </c>
      <c r="AA13" s="221">
        <v>2.2000000000000002</v>
      </c>
      <c r="AB13" s="221" t="s">
        <v>5</v>
      </c>
      <c r="AF13" s="222"/>
      <c r="AG13" s="222"/>
      <c r="AH13" s="222"/>
      <c r="AP13" s="166"/>
      <c r="AQ13" s="81" t="s">
        <v>317</v>
      </c>
      <c r="AR13" s="166"/>
      <c r="AV13" s="167"/>
      <c r="AW13" s="167"/>
      <c r="AX13" s="167"/>
      <c r="AY13" s="168"/>
      <c r="BA13" s="167"/>
      <c r="BC13" s="81" t="s">
        <v>373</v>
      </c>
      <c r="BD13" s="81" t="s">
        <v>392</v>
      </c>
      <c r="BE13" s="166">
        <v>0.33700000000000002</v>
      </c>
      <c r="BF13" s="166">
        <v>8.6800000000000002E-3</v>
      </c>
      <c r="BG13" s="81">
        <v>38.840000000000003</v>
      </c>
      <c r="BH13" s="81" t="s">
        <v>384</v>
      </c>
      <c r="BI13" s="81" t="s">
        <v>385</v>
      </c>
      <c r="BL13" s="167"/>
      <c r="BM13" s="167"/>
      <c r="BN13" s="167"/>
      <c r="BO13" s="168"/>
      <c r="BP13" s="161"/>
      <c r="BQ13" s="167"/>
      <c r="BS13" s="81" t="s">
        <v>373</v>
      </c>
      <c r="BT13" s="81" t="s">
        <v>392</v>
      </c>
      <c r="BU13" s="166">
        <v>9.2700000000000005E-2</v>
      </c>
      <c r="BV13" s="166">
        <v>1.7000000000000001E-2</v>
      </c>
      <c r="BW13" s="81">
        <v>5.46</v>
      </c>
      <c r="BX13" s="166">
        <v>4.6999999999999997E-8</v>
      </c>
      <c r="BY13" s="81" t="s">
        <v>385</v>
      </c>
      <c r="CA13" s="167" t="s">
        <v>314</v>
      </c>
      <c r="CB13" s="167" t="s">
        <v>315</v>
      </c>
      <c r="CC13" s="167" t="s">
        <v>326</v>
      </c>
      <c r="CD13" s="168" t="s">
        <v>318</v>
      </c>
      <c r="CE13" s="161">
        <f>BU26</f>
        <v>8.43E-2</v>
      </c>
      <c r="CF13" s="167" t="s">
        <v>317</v>
      </c>
      <c r="CI13" s="81" t="s">
        <v>326</v>
      </c>
      <c r="CJ13" s="239">
        <f t="shared" si="1"/>
        <v>6.8179290841839893E-2</v>
      </c>
      <c r="CK13" s="239">
        <f t="shared" si="2"/>
        <v>0.128</v>
      </c>
      <c r="CL13" s="239">
        <f t="shared" si="3"/>
        <v>8.43E-2</v>
      </c>
      <c r="CO13" s="243" t="s">
        <v>373</v>
      </c>
      <c r="CP13" s="243" t="s">
        <v>443</v>
      </c>
      <c r="CQ13" s="244">
        <v>0.98</v>
      </c>
      <c r="CR13" s="244">
        <v>2.4400000000000002E-2</v>
      </c>
      <c r="CS13" s="243">
        <v>40.090000000000003</v>
      </c>
      <c r="CT13" s="243" t="s">
        <v>420</v>
      </c>
      <c r="CU13" s="244">
        <v>2E-16</v>
      </c>
      <c r="CV13" s="81" t="s">
        <v>385</v>
      </c>
      <c r="CW13" s="245" t="s">
        <v>460</v>
      </c>
      <c r="CX13" s="250" t="s">
        <v>469</v>
      </c>
      <c r="CY13" s="246" t="s">
        <v>318</v>
      </c>
      <c r="CZ13" s="247">
        <f t="shared" si="12"/>
        <v>1.2899999999999999E-6</v>
      </c>
      <c r="DA13" s="245" t="s">
        <v>317</v>
      </c>
      <c r="DC13" s="169" t="s">
        <v>460</v>
      </c>
      <c r="DD13" s="261" t="s">
        <v>469</v>
      </c>
      <c r="DE13" s="258" t="s">
        <v>318</v>
      </c>
      <c r="DF13" s="169">
        <f>$O$11*$Z$37*$AP$6</f>
        <v>9.1213454999858889E-2</v>
      </c>
      <c r="DG13" s="169" t="s">
        <v>317</v>
      </c>
    </row>
    <row r="14" spans="2:111" ht="15" customHeight="1" thickTop="1" thickBot="1" x14ac:dyDescent="0.3">
      <c r="B14" s="175"/>
      <c r="C14" s="176"/>
      <c r="D14" s="176"/>
      <c r="E14" s="197" t="s">
        <v>65</v>
      </c>
      <c r="F14" s="194"/>
      <c r="G14" s="194"/>
      <c r="H14" s="194"/>
      <c r="I14" s="198"/>
      <c r="K14" s="81" t="s">
        <v>61</v>
      </c>
      <c r="L14" s="208" t="s">
        <v>62</v>
      </c>
      <c r="M14" s="209">
        <v>1</v>
      </c>
      <c r="N14" s="209" t="s">
        <v>63</v>
      </c>
      <c r="O14" s="210">
        <f>C7</f>
        <v>134.30000000000001</v>
      </c>
      <c r="P14" s="211"/>
      <c r="Q14" s="30">
        <f t="shared" si="7"/>
        <v>0.25127131319174395</v>
      </c>
      <c r="R14" s="30">
        <f t="shared" si="8"/>
        <v>33.745737361651216</v>
      </c>
      <c r="S14" s="30">
        <f t="shared" si="9"/>
        <v>50952976.810000002</v>
      </c>
      <c r="T14" s="30">
        <f t="shared" si="10"/>
        <v>379396.7</v>
      </c>
      <c r="U14" s="30">
        <f t="shared" si="11"/>
        <v>14901928.000000002</v>
      </c>
      <c r="V14" s="31"/>
      <c r="W14" s="223"/>
      <c r="X14" s="216" t="s">
        <v>64</v>
      </c>
      <c r="Y14" s="217"/>
      <c r="Z14" s="218" t="s">
        <v>21</v>
      </c>
      <c r="AA14" s="219">
        <f>1/(1/8+SUM(AD16:AD20)+1/23)</f>
        <v>0.29666979362101314</v>
      </c>
      <c r="AB14" s="217" t="s">
        <v>5</v>
      </c>
      <c r="AC14" s="217"/>
      <c r="AD14" s="217" t="s">
        <v>22</v>
      </c>
      <c r="AE14" s="220">
        <f>SUM(AE16:AE21)</f>
        <v>452555.4</v>
      </c>
      <c r="AF14" s="222" t="s">
        <v>23</v>
      </c>
      <c r="AG14" s="222">
        <f>SUM(AE19:AE20)</f>
        <v>404880</v>
      </c>
      <c r="AH14" s="222"/>
      <c r="AM14" s="158" t="s">
        <v>314</v>
      </c>
      <c r="AN14" s="81" t="s">
        <v>315</v>
      </c>
      <c r="AO14" s="81" t="s">
        <v>326</v>
      </c>
      <c r="AP14" s="81">
        <f>AP4*0.3</f>
        <v>6.8179290841839893E-2</v>
      </c>
      <c r="AQ14" s="81" t="s">
        <v>317</v>
      </c>
      <c r="AR14" s="166">
        <v>6.5890790000000005E-2</v>
      </c>
      <c r="AV14" s="167" t="s">
        <v>314</v>
      </c>
      <c r="AW14" s="167" t="s">
        <v>315</v>
      </c>
      <c r="AX14" s="167" t="s">
        <v>326</v>
      </c>
      <c r="AY14" s="168" t="s">
        <v>318</v>
      </c>
      <c r="AZ14" s="161">
        <f>AZ4*0.3</f>
        <v>6.8179290841839893E-2</v>
      </c>
      <c r="BA14" s="167" t="s">
        <v>317</v>
      </c>
      <c r="BC14" s="81" t="s">
        <v>373</v>
      </c>
      <c r="BD14" s="81" t="s">
        <v>393</v>
      </c>
      <c r="BE14" s="166">
        <v>0.10299999999999999</v>
      </c>
      <c r="BF14" s="166">
        <v>2.4099999999999998E-3</v>
      </c>
      <c r="BG14" s="81">
        <v>42.8</v>
      </c>
      <c r="BH14" s="81" t="s">
        <v>384</v>
      </c>
      <c r="BI14" s="81" t="s">
        <v>385</v>
      </c>
      <c r="BL14" s="167" t="s">
        <v>314</v>
      </c>
      <c r="BM14" s="167" t="s">
        <v>315</v>
      </c>
      <c r="BN14" s="167" t="s">
        <v>326</v>
      </c>
      <c r="BO14" s="168" t="s">
        <v>318</v>
      </c>
      <c r="BP14" s="161">
        <f>BE26</f>
        <v>0.128</v>
      </c>
      <c r="BQ14" s="167" t="s">
        <v>317</v>
      </c>
      <c r="BS14" s="81" t="s">
        <v>373</v>
      </c>
      <c r="BT14" s="81" t="s">
        <v>393</v>
      </c>
      <c r="BU14" s="166">
        <v>0.14899999999999999</v>
      </c>
      <c r="BV14" s="166">
        <v>5.0299999999999997E-4</v>
      </c>
      <c r="BW14" s="81">
        <v>296.68</v>
      </c>
      <c r="BX14" s="81" t="s">
        <v>420</v>
      </c>
      <c r="BY14" s="166">
        <v>2E-16</v>
      </c>
      <c r="BZ14" s="81" t="s">
        <v>385</v>
      </c>
      <c r="CA14" s="167" t="s">
        <v>314</v>
      </c>
      <c r="CB14" s="167" t="s">
        <v>315</v>
      </c>
      <c r="CC14" s="167" t="s">
        <v>327</v>
      </c>
      <c r="CD14" s="168" t="s">
        <v>318</v>
      </c>
      <c r="CE14" s="161">
        <f>BU27</f>
        <v>0.16600000000000001</v>
      </c>
      <c r="CF14" s="167" t="s">
        <v>317</v>
      </c>
      <c r="CI14" s="81" t="s">
        <v>327</v>
      </c>
      <c r="CJ14" s="239">
        <f t="shared" si="1"/>
        <v>0.13635858168367979</v>
      </c>
      <c r="CK14" s="239">
        <f t="shared" si="2"/>
        <v>0.23499999999999999</v>
      </c>
      <c r="CL14" s="239">
        <f t="shared" si="3"/>
        <v>0.16600000000000001</v>
      </c>
      <c r="CO14" s="243" t="s">
        <v>373</v>
      </c>
      <c r="CP14" s="243" t="s">
        <v>444</v>
      </c>
      <c r="CQ14" s="244">
        <v>0.76700000000000002</v>
      </c>
      <c r="CR14" s="244">
        <v>4.1099999999999998E-2</v>
      </c>
      <c r="CS14" s="243">
        <v>18.66</v>
      </c>
      <c r="CT14" s="243" t="s">
        <v>420</v>
      </c>
      <c r="CU14" s="244">
        <v>2E-16</v>
      </c>
      <c r="CV14" s="81" t="s">
        <v>385</v>
      </c>
      <c r="CW14" s="245" t="s">
        <v>460</v>
      </c>
      <c r="CX14" s="250" t="s">
        <v>470</v>
      </c>
      <c r="CY14" s="246" t="s">
        <v>318</v>
      </c>
      <c r="CZ14" s="247">
        <f t="shared" si="12"/>
        <v>3.15E-7</v>
      </c>
      <c r="DA14" s="245" t="s">
        <v>317</v>
      </c>
      <c r="DC14" s="169" t="s">
        <v>460</v>
      </c>
      <c r="DD14" s="261" t="s">
        <v>470</v>
      </c>
      <c r="DE14" s="258" t="s">
        <v>318</v>
      </c>
      <c r="DF14" s="169">
        <f>$O$10*$Z$37*$AP$6</f>
        <v>0.10592530258048129</v>
      </c>
      <c r="DG14" s="169" t="s">
        <v>317</v>
      </c>
    </row>
    <row r="15" spans="2:111" ht="15" customHeight="1" thickTop="1" thickBot="1" x14ac:dyDescent="0.3">
      <c r="B15" s="175"/>
      <c r="C15" s="176"/>
      <c r="D15" s="176"/>
      <c r="E15" s="186"/>
      <c r="F15" s="176"/>
      <c r="G15" s="176"/>
      <c r="H15" s="176"/>
      <c r="I15" s="177"/>
      <c r="K15" s="81" t="s">
        <v>66</v>
      </c>
      <c r="L15" s="208">
        <v>0</v>
      </c>
      <c r="M15" s="209">
        <v>1</v>
      </c>
      <c r="N15" s="209" t="s">
        <v>20</v>
      </c>
      <c r="O15" s="212">
        <v>0</v>
      </c>
      <c r="P15" s="211"/>
      <c r="Q15" s="30">
        <f t="shared" si="7"/>
        <v>0.27481053799679722</v>
      </c>
      <c r="R15" s="30">
        <f t="shared" si="8"/>
        <v>0</v>
      </c>
      <c r="S15" s="30">
        <v>0</v>
      </c>
      <c r="T15" s="30">
        <f>S15/O25</f>
        <v>0</v>
      </c>
      <c r="U15" s="30">
        <f>VLOOKUP(N15,$X$5:$AG$391,10,0)*O25</f>
        <v>6689232</v>
      </c>
      <c r="V15" s="31"/>
      <c r="W15" s="223"/>
      <c r="X15" s="224"/>
      <c r="Y15" s="225" t="s">
        <v>27</v>
      </c>
      <c r="Z15" s="225" t="s">
        <v>28</v>
      </c>
      <c r="AA15" s="225" t="s">
        <v>29</v>
      </c>
      <c r="AB15" s="225" t="s">
        <v>30</v>
      </c>
      <c r="AC15" s="225" t="s">
        <v>31</v>
      </c>
      <c r="AD15" s="225" t="s">
        <v>32</v>
      </c>
      <c r="AE15" s="226" t="s">
        <v>33</v>
      </c>
      <c r="AF15" s="222"/>
      <c r="AG15" s="222"/>
      <c r="AH15" s="222"/>
      <c r="AM15" s="158" t="s">
        <v>314</v>
      </c>
      <c r="AN15" s="81" t="s">
        <v>315</v>
      </c>
      <c r="AO15" s="81" t="s">
        <v>327</v>
      </c>
      <c r="AP15" s="81">
        <f>AP5*0.3</f>
        <v>0.13635858168367979</v>
      </c>
      <c r="AQ15" s="81" t="s">
        <v>317</v>
      </c>
      <c r="AR15" s="166">
        <v>0.1612856</v>
      </c>
      <c r="AV15" s="167" t="s">
        <v>314</v>
      </c>
      <c r="AW15" s="167" t="s">
        <v>315</v>
      </c>
      <c r="AX15" s="167" t="s">
        <v>327</v>
      </c>
      <c r="AY15" s="168" t="s">
        <v>318</v>
      </c>
      <c r="AZ15" s="161">
        <f>AZ5*0.3</f>
        <v>0.13635858168367979</v>
      </c>
      <c r="BA15" s="167" t="s">
        <v>317</v>
      </c>
      <c r="BC15" s="81" t="s">
        <v>373</v>
      </c>
      <c r="BD15" s="81" t="s">
        <v>394</v>
      </c>
      <c r="BE15" s="166">
        <v>2.8899999999999999E-2</v>
      </c>
      <c r="BF15" s="166">
        <v>2.8500000000000001E-3</v>
      </c>
      <c r="BG15" s="81">
        <v>10.15</v>
      </c>
      <c r="BH15" s="81" t="s">
        <v>384</v>
      </c>
      <c r="BI15" s="81" t="s">
        <v>385</v>
      </c>
      <c r="BL15" s="167" t="s">
        <v>314</v>
      </c>
      <c r="BM15" s="167" t="s">
        <v>315</v>
      </c>
      <c r="BN15" s="167" t="s">
        <v>327</v>
      </c>
      <c r="BO15" s="168" t="s">
        <v>318</v>
      </c>
      <c r="BP15" s="161">
        <f t="shared" ref="BP15:BP17" si="15">BE27</f>
        <v>0.23499999999999999</v>
      </c>
      <c r="BQ15" s="167" t="s">
        <v>317</v>
      </c>
      <c r="BS15" s="81" t="s">
        <v>373</v>
      </c>
      <c r="BT15" s="81" t="s">
        <v>394</v>
      </c>
      <c r="BU15" s="166">
        <v>6.9400000000000003E-2</v>
      </c>
      <c r="BV15" s="166">
        <v>4.9799999999999996E-4</v>
      </c>
      <c r="BW15" s="81">
        <v>139.41</v>
      </c>
      <c r="BX15" s="81" t="s">
        <v>420</v>
      </c>
      <c r="BY15" s="166">
        <v>2E-16</v>
      </c>
      <c r="BZ15" s="81" t="s">
        <v>385</v>
      </c>
      <c r="CA15" s="167" t="s">
        <v>314</v>
      </c>
      <c r="CB15" s="167" t="s">
        <v>315</v>
      </c>
      <c r="CC15" s="167" t="s">
        <v>328</v>
      </c>
      <c r="CD15" s="168" t="s">
        <v>318</v>
      </c>
      <c r="CE15" s="161">
        <f>BU28</f>
        <v>0.70499999999999996</v>
      </c>
      <c r="CF15" s="167" t="s">
        <v>317</v>
      </c>
      <c r="CI15" s="81" t="s">
        <v>328</v>
      </c>
      <c r="CJ15" s="239">
        <f t="shared" si="1"/>
        <v>0.70894337238943606</v>
      </c>
      <c r="CK15" s="239">
        <f t="shared" si="2"/>
        <v>0.53700000000000003</v>
      </c>
      <c r="CL15" s="239">
        <f t="shared" si="3"/>
        <v>0.70499999999999996</v>
      </c>
      <c r="CO15" s="243" t="s">
        <v>373</v>
      </c>
      <c r="CP15" s="243" t="s">
        <v>445</v>
      </c>
      <c r="CQ15" s="244">
        <v>0.189</v>
      </c>
      <c r="CR15" s="244">
        <v>5.0999999999999997E-2</v>
      </c>
      <c r="CS15" s="243">
        <v>3.7</v>
      </c>
      <c r="CT15" s="243">
        <v>2.1000000000000001E-4</v>
      </c>
      <c r="CU15" s="244" t="s">
        <v>385</v>
      </c>
      <c r="CW15" s="245" t="s">
        <v>460</v>
      </c>
      <c r="CX15" s="250" t="s">
        <v>471</v>
      </c>
      <c r="CY15" s="246" t="s">
        <v>318</v>
      </c>
      <c r="CZ15" s="247">
        <f t="shared" si="12"/>
        <v>3.9299999999999999E-7</v>
      </c>
      <c r="DA15" s="245" t="s">
        <v>317</v>
      </c>
      <c r="DC15" s="169" t="s">
        <v>460</v>
      </c>
      <c r="DD15" s="261" t="s">
        <v>471</v>
      </c>
      <c r="DE15" s="258" t="s">
        <v>318</v>
      </c>
      <c r="DF15" s="169">
        <f>$O$12*$Z$37*$AP$6</f>
        <v>0.11965636032239554</v>
      </c>
      <c r="DG15" s="169" t="s">
        <v>317</v>
      </c>
    </row>
    <row r="16" spans="2:111" ht="15" customHeight="1" thickTop="1" thickBot="1" x14ac:dyDescent="0.3">
      <c r="B16" s="187"/>
      <c r="C16" s="174"/>
      <c r="D16" s="174"/>
      <c r="E16" s="178" t="s">
        <v>69</v>
      </c>
      <c r="F16" s="176"/>
      <c r="G16" s="188">
        <f>C4/C26</f>
        <v>1.2783711615487316</v>
      </c>
      <c r="H16" s="184" t="s">
        <v>70</v>
      </c>
      <c r="I16" s="177"/>
      <c r="K16" s="81" t="s">
        <v>67</v>
      </c>
      <c r="L16" s="208">
        <v>0</v>
      </c>
      <c r="M16" s="209">
        <v>1</v>
      </c>
      <c r="N16" s="209" t="s">
        <v>68</v>
      </c>
      <c r="O16" s="210">
        <f>'Tabula data'!B15</f>
        <v>9.5</v>
      </c>
      <c r="P16" s="211"/>
      <c r="Q16" s="30">
        <f t="shared" si="7"/>
        <v>4</v>
      </c>
      <c r="R16" s="30">
        <f t="shared" si="8"/>
        <v>38</v>
      </c>
      <c r="S16" s="30">
        <f t="shared" ref="S16:S28" si="16">VLOOKUP(N16,$X$5:$AE$392,8,0)*O16</f>
        <v>346940</v>
      </c>
      <c r="T16" s="30">
        <f t="shared" ref="T16:T28" si="17">S16/O16</f>
        <v>36520</v>
      </c>
      <c r="U16" s="30">
        <f t="shared" ref="U16:U28" si="18">VLOOKUP(N16,$X$5:$AG$391,10,0)*O16</f>
        <v>0</v>
      </c>
      <c r="V16" s="31"/>
      <c r="W16" s="223"/>
      <c r="X16" s="175"/>
      <c r="Y16" s="176"/>
      <c r="Z16" s="176"/>
      <c r="AA16" s="176"/>
      <c r="AB16" s="176"/>
      <c r="AC16" s="184"/>
      <c r="AD16" s="227"/>
      <c r="AE16" s="177"/>
      <c r="AF16" s="222"/>
      <c r="AG16" s="222"/>
      <c r="AH16" s="222"/>
      <c r="AM16" s="158" t="s">
        <v>314</v>
      </c>
      <c r="AN16" s="81" t="s">
        <v>315</v>
      </c>
      <c r="AO16" s="81" t="s">
        <v>328</v>
      </c>
      <c r="AP16" s="81">
        <f>AP6*0.3+0.7</f>
        <v>0.70894337238943606</v>
      </c>
      <c r="AQ16" s="81" t="s">
        <v>317</v>
      </c>
      <c r="AR16" s="166">
        <v>0.64236059999999995</v>
      </c>
      <c r="AV16" s="167" t="s">
        <v>314</v>
      </c>
      <c r="AW16" s="167" t="s">
        <v>315</v>
      </c>
      <c r="AX16" s="167" t="s">
        <v>328</v>
      </c>
      <c r="AY16" s="168" t="s">
        <v>318</v>
      </c>
      <c r="AZ16" s="161">
        <f>AZ6*0.3+0.7</f>
        <v>0.70894337238943606</v>
      </c>
      <c r="BA16" s="167" t="s">
        <v>317</v>
      </c>
      <c r="BC16" s="81" t="s">
        <v>373</v>
      </c>
      <c r="BD16" s="81" t="s">
        <v>303</v>
      </c>
      <c r="BE16" s="166">
        <v>5570000</v>
      </c>
      <c r="BF16" s="166">
        <v>58300</v>
      </c>
      <c r="BG16" s="81">
        <v>95.57</v>
      </c>
      <c r="BH16" s="81" t="s">
        <v>384</v>
      </c>
      <c r="BI16" s="81" t="s">
        <v>385</v>
      </c>
      <c r="BL16" s="167" t="s">
        <v>314</v>
      </c>
      <c r="BM16" s="167" t="s">
        <v>315</v>
      </c>
      <c r="BN16" s="167" t="s">
        <v>328</v>
      </c>
      <c r="BO16" s="168" t="s">
        <v>318</v>
      </c>
      <c r="BP16" s="161">
        <f t="shared" si="15"/>
        <v>0.53700000000000003</v>
      </c>
      <c r="BQ16" s="167" t="s">
        <v>317</v>
      </c>
      <c r="BS16" s="81" t="s">
        <v>373</v>
      </c>
      <c r="BT16" s="81" t="s">
        <v>303</v>
      </c>
      <c r="BU16" s="166">
        <v>999000000</v>
      </c>
      <c r="BV16" s="166">
        <v>226000</v>
      </c>
      <c r="BW16" s="81">
        <v>4415.57</v>
      </c>
      <c r="BX16" s="81" t="s">
        <v>420</v>
      </c>
      <c r="BY16" s="166">
        <v>2E-16</v>
      </c>
      <c r="BZ16" s="81" t="s">
        <v>385</v>
      </c>
      <c r="CA16" s="167" t="s">
        <v>314</v>
      </c>
      <c r="CB16" s="167" t="s">
        <v>315</v>
      </c>
      <c r="CC16" s="167" t="s">
        <v>329</v>
      </c>
      <c r="CD16" s="168" t="s">
        <v>318</v>
      </c>
      <c r="CE16" s="161">
        <f>BU29</f>
        <v>5.57E-2</v>
      </c>
      <c r="CF16" s="167" t="s">
        <v>317</v>
      </c>
      <c r="CI16" s="81" t="s">
        <v>329</v>
      </c>
      <c r="CJ16" s="239">
        <f t="shared" si="1"/>
        <v>4.1646841605453185E-2</v>
      </c>
      <c r="CK16" s="239">
        <f t="shared" si="2"/>
        <v>7.7399999999999997E-2</v>
      </c>
      <c r="CL16" s="239">
        <f t="shared" si="3"/>
        <v>5.57E-2</v>
      </c>
      <c r="CO16" s="243" t="s">
        <v>373</v>
      </c>
      <c r="CP16" s="243" t="s">
        <v>337</v>
      </c>
      <c r="CQ16" s="244">
        <v>1.3300000000000001E-14</v>
      </c>
      <c r="CR16" s="244">
        <v>4.6900000000000002E-13</v>
      </c>
      <c r="CS16" s="243">
        <v>0.03</v>
      </c>
      <c r="CT16" s="244">
        <v>0.97733999999999999</v>
      </c>
      <c r="CW16" s="245" t="s">
        <v>460</v>
      </c>
      <c r="CX16" s="250" t="s">
        <v>472</v>
      </c>
      <c r="CY16" s="246" t="s">
        <v>318</v>
      </c>
      <c r="CZ16" s="247">
        <f t="shared" si="12"/>
        <v>5.5499999999999998E-7</v>
      </c>
      <c r="DA16" s="245" t="s">
        <v>317</v>
      </c>
      <c r="DC16" s="169" t="s">
        <v>460</v>
      </c>
      <c r="DD16" s="261" t="s">
        <v>472</v>
      </c>
      <c r="DE16" s="258" t="s">
        <v>318</v>
      </c>
      <c r="DF16" s="169">
        <f>$O$13*$Z$37*$AP$6</f>
        <v>8.7290295645026245E-2</v>
      </c>
      <c r="DG16" s="169" t="s">
        <v>317</v>
      </c>
    </row>
    <row r="17" spans="2:111" ht="15" customHeight="1" thickTop="1" thickBot="1" x14ac:dyDescent="0.3">
      <c r="B17" s="193" t="s">
        <v>73</v>
      </c>
      <c r="C17" s="195">
        <v>0</v>
      </c>
      <c r="D17" s="194" t="s">
        <v>9</v>
      </c>
      <c r="E17" s="178" t="s">
        <v>74</v>
      </c>
      <c r="F17" s="176"/>
      <c r="G17" s="188">
        <f>C26/C23</f>
        <v>2.1476702508960575</v>
      </c>
      <c r="H17" s="184"/>
      <c r="I17" s="177"/>
      <c r="K17" s="81" t="s">
        <v>71</v>
      </c>
      <c r="L17" s="208">
        <v>0</v>
      </c>
      <c r="M17" s="209">
        <v>2</v>
      </c>
      <c r="N17" s="209" t="s">
        <v>25</v>
      </c>
      <c r="O17" s="210">
        <f>'Tabula data'!B10*'Tabula RefULG2'!D42/2*(1-'Tabula RefULG2'!D43)</f>
        <v>0.7034500000000008</v>
      </c>
      <c r="P17" s="211" t="s">
        <v>26</v>
      </c>
      <c r="Q17" s="30">
        <f t="shared" si="7"/>
        <v>0.29666979362101314</v>
      </c>
      <c r="R17" s="30">
        <f t="shared" si="8"/>
        <v>0.20869236632270194</v>
      </c>
      <c r="S17" s="30">
        <f t="shared" si="16"/>
        <v>318350.09613000037</v>
      </c>
      <c r="T17" s="30">
        <f t="shared" si="17"/>
        <v>452555.4</v>
      </c>
      <c r="U17" s="30">
        <f t="shared" si="18"/>
        <v>284812.8360000003</v>
      </c>
      <c r="V17" s="31"/>
      <c r="W17" s="223"/>
      <c r="X17" s="175"/>
      <c r="Y17" s="176" t="s">
        <v>72</v>
      </c>
      <c r="Z17" s="176">
        <v>2.5000000000000001E-2</v>
      </c>
      <c r="AA17" s="176">
        <v>1</v>
      </c>
      <c r="AB17" s="176">
        <v>1800</v>
      </c>
      <c r="AC17" s="176">
        <v>1000</v>
      </c>
      <c r="AD17" s="227">
        <f>Z17/AA17</f>
        <v>2.5000000000000001E-2</v>
      </c>
      <c r="AE17" s="177">
        <f>Z17*AB17*AC17</f>
        <v>45000</v>
      </c>
      <c r="AF17" s="222"/>
      <c r="AG17" s="222"/>
      <c r="AH17" s="222"/>
      <c r="AM17" s="158" t="s">
        <v>314</v>
      </c>
      <c r="AN17" s="81" t="s">
        <v>315</v>
      </c>
      <c r="AO17" s="81" t="s">
        <v>329</v>
      </c>
      <c r="AP17" s="81">
        <f>AP7*0.3</f>
        <v>4.1646841605453185E-2</v>
      </c>
      <c r="AQ17" s="81" t="s">
        <v>317</v>
      </c>
      <c r="AR17" s="166">
        <v>6.4977720000000003E-2</v>
      </c>
      <c r="AV17" s="167" t="s">
        <v>314</v>
      </c>
      <c r="AW17" s="167" t="s">
        <v>315</v>
      </c>
      <c r="AX17" s="167" t="s">
        <v>329</v>
      </c>
      <c r="AY17" s="168" t="s">
        <v>318</v>
      </c>
      <c r="AZ17" s="161">
        <f>AZ7*0.3</f>
        <v>4.1646841605453185E-2</v>
      </c>
      <c r="BA17" s="167" t="s">
        <v>317</v>
      </c>
      <c r="BC17" s="81" t="s">
        <v>373</v>
      </c>
      <c r="BD17" s="81" t="s">
        <v>299</v>
      </c>
      <c r="BE17" s="166">
        <v>14000000</v>
      </c>
      <c r="BF17" s="166">
        <v>170000</v>
      </c>
      <c r="BG17" s="81">
        <v>82.34</v>
      </c>
      <c r="BH17" s="81" t="s">
        <v>384</v>
      </c>
      <c r="BI17" s="81" t="s">
        <v>385</v>
      </c>
      <c r="BL17" s="167" t="s">
        <v>314</v>
      </c>
      <c r="BM17" s="167" t="s">
        <v>315</v>
      </c>
      <c r="BN17" s="167" t="s">
        <v>329</v>
      </c>
      <c r="BO17" s="168" t="s">
        <v>318</v>
      </c>
      <c r="BP17" s="161">
        <f t="shared" si="15"/>
        <v>7.7399999999999997E-2</v>
      </c>
      <c r="BQ17" s="167" t="s">
        <v>317</v>
      </c>
      <c r="BS17" s="81" t="s">
        <v>373</v>
      </c>
      <c r="BT17" s="81" t="s">
        <v>299</v>
      </c>
      <c r="BU17" s="166">
        <v>3340000000</v>
      </c>
      <c r="BV17" s="166">
        <v>128000000</v>
      </c>
      <c r="BW17" s="81">
        <v>26.13</v>
      </c>
      <c r="BX17" s="81" t="s">
        <v>420</v>
      </c>
      <c r="BY17" s="166">
        <v>2E-16</v>
      </c>
      <c r="BZ17" s="81" t="s">
        <v>385</v>
      </c>
      <c r="CA17" s="167"/>
      <c r="CB17" s="167"/>
      <c r="CC17" s="167"/>
      <c r="CD17" s="168"/>
      <c r="CE17" s="161"/>
      <c r="CF17" s="167"/>
      <c r="CJ17" s="240"/>
      <c r="CK17" s="240"/>
      <c r="CL17" s="240"/>
      <c r="CO17" s="243" t="s">
        <v>373</v>
      </c>
      <c r="CP17" s="243" t="s">
        <v>446</v>
      </c>
      <c r="CQ17" s="244">
        <v>0.37</v>
      </c>
      <c r="CR17" s="244">
        <v>2.9399999999999999E-2</v>
      </c>
      <c r="CS17" s="243">
        <v>12.59</v>
      </c>
      <c r="CT17" s="243" t="s">
        <v>420</v>
      </c>
      <c r="CU17" s="244">
        <v>2E-16</v>
      </c>
      <c r="CV17" s="81" t="s">
        <v>385</v>
      </c>
      <c r="CW17" s="245" t="s">
        <v>460</v>
      </c>
      <c r="CX17" s="250" t="s">
        <v>473</v>
      </c>
      <c r="CY17" s="246" t="s">
        <v>318</v>
      </c>
      <c r="CZ17" s="247">
        <f t="shared" si="12"/>
        <v>1.8899999999999999E-10</v>
      </c>
      <c r="DA17" s="245" t="s">
        <v>317</v>
      </c>
      <c r="DC17" s="169" t="s">
        <v>460</v>
      </c>
      <c r="DD17" s="261" t="s">
        <v>473</v>
      </c>
      <c r="DE17" s="258" t="s">
        <v>318</v>
      </c>
      <c r="DF17" s="169">
        <f>$O$11*$Z$37*$AP$7</f>
        <v>0.42475613753401703</v>
      </c>
      <c r="DG17" s="169" t="s">
        <v>317</v>
      </c>
    </row>
    <row r="18" spans="2:111" ht="15" customHeight="1" thickTop="1" thickBot="1" x14ac:dyDescent="0.3">
      <c r="B18" s="175" t="s">
        <v>77</v>
      </c>
      <c r="C18" s="176">
        <v>0</v>
      </c>
      <c r="D18" s="176" t="s">
        <v>9</v>
      </c>
      <c r="E18" s="178" t="s">
        <v>78</v>
      </c>
      <c r="F18" s="176"/>
      <c r="G18" s="188">
        <f>C26/C6</f>
        <v>2.1476702508960575</v>
      </c>
      <c r="H18" s="184"/>
      <c r="I18" s="177"/>
      <c r="K18" s="81" t="s">
        <v>75</v>
      </c>
      <c r="L18" s="208">
        <v>0</v>
      </c>
      <c r="M18" s="209">
        <v>2</v>
      </c>
      <c r="N18" s="209" t="s">
        <v>25</v>
      </c>
      <c r="O18" s="210">
        <f>'Tabula data'!B10*(1-'Tabula RefULG2'!D42)/2*(1-'Tabula RefULG2'!D44)</f>
        <v>17.266500000000004</v>
      </c>
      <c r="P18" s="211" t="s">
        <v>39</v>
      </c>
      <c r="Q18" s="30">
        <f t="shared" si="7"/>
        <v>0.29666979362101314</v>
      </c>
      <c r="R18" s="30">
        <f t="shared" si="8"/>
        <v>5.1224489915572251</v>
      </c>
      <c r="S18" s="30">
        <f t="shared" si="16"/>
        <v>7814047.8141000019</v>
      </c>
      <c r="T18" s="30">
        <f t="shared" si="17"/>
        <v>452555.4</v>
      </c>
      <c r="U18" s="30">
        <f t="shared" si="18"/>
        <v>6990860.5200000014</v>
      </c>
      <c r="V18" s="31"/>
      <c r="W18" s="223"/>
      <c r="X18" s="175"/>
      <c r="Y18" s="172" t="s">
        <v>280</v>
      </c>
      <c r="Z18" s="243">
        <v>7.0000000000000007E-2</v>
      </c>
      <c r="AA18" s="172">
        <v>2.4E-2</v>
      </c>
      <c r="AB18" s="172">
        <v>26</v>
      </c>
      <c r="AC18" s="172">
        <v>1470</v>
      </c>
      <c r="AD18" s="227">
        <f>Z18/AA18</f>
        <v>2.916666666666667</v>
      </c>
      <c r="AE18" s="177">
        <f>Z18*AB18*AC18</f>
        <v>2675.4000000000005</v>
      </c>
      <c r="AF18" s="228" t="s">
        <v>271</v>
      </c>
      <c r="AG18" s="222"/>
      <c r="AH18" s="222"/>
      <c r="AQ18" s="81" t="s">
        <v>317</v>
      </c>
      <c r="AR18" s="166"/>
      <c r="AV18" s="167"/>
      <c r="AW18" s="167"/>
      <c r="AX18" s="167"/>
      <c r="AY18" s="168"/>
      <c r="BA18" s="167"/>
      <c r="BC18" s="81" t="s">
        <v>373</v>
      </c>
      <c r="BD18" s="81" t="s">
        <v>395</v>
      </c>
      <c r="BE18" s="166">
        <v>2900000</v>
      </c>
      <c r="BF18" s="166">
        <v>35800</v>
      </c>
      <c r="BG18" s="81">
        <v>81.02</v>
      </c>
      <c r="BH18" s="81" t="s">
        <v>384</v>
      </c>
      <c r="BI18" s="81" t="s">
        <v>385</v>
      </c>
      <c r="BL18" s="167"/>
      <c r="BM18" s="167"/>
      <c r="BN18" s="167"/>
      <c r="BO18" s="168"/>
      <c r="BP18" s="161"/>
      <c r="BQ18" s="167"/>
      <c r="BS18" s="81" t="s">
        <v>373</v>
      </c>
      <c r="BT18" s="81" t="s">
        <v>395</v>
      </c>
      <c r="BU18" s="166">
        <v>3990000</v>
      </c>
      <c r="BV18" s="166">
        <v>96400</v>
      </c>
      <c r="BW18" s="81">
        <v>41.37</v>
      </c>
      <c r="BX18" s="81" t="s">
        <v>420</v>
      </c>
      <c r="BY18" s="166">
        <v>2E-16</v>
      </c>
      <c r="BZ18" s="81" t="s">
        <v>385</v>
      </c>
      <c r="CA18" s="167" t="s">
        <v>314</v>
      </c>
      <c r="CB18" s="167" t="s">
        <v>315</v>
      </c>
      <c r="CC18" s="167" t="s">
        <v>330</v>
      </c>
      <c r="CD18" s="168" t="s">
        <v>318</v>
      </c>
      <c r="CE18" s="161">
        <f>BU31</f>
        <v>504</v>
      </c>
      <c r="CF18" s="167" t="s">
        <v>317</v>
      </c>
      <c r="CI18" s="81" t="s">
        <v>330</v>
      </c>
      <c r="CJ18" s="242">
        <f t="shared" si="1"/>
        <v>430.58654599406532</v>
      </c>
      <c r="CK18" s="242">
        <f t="shared" si="2"/>
        <v>958</v>
      </c>
      <c r="CL18" s="242">
        <f t="shared" si="3"/>
        <v>504</v>
      </c>
      <c r="CO18" s="243" t="s">
        <v>373</v>
      </c>
      <c r="CP18" s="243" t="s">
        <v>447</v>
      </c>
      <c r="CQ18" s="244">
        <v>0.124</v>
      </c>
      <c r="CR18" s="244">
        <v>5.1999999999999998E-2</v>
      </c>
      <c r="CS18" s="243">
        <v>2.38</v>
      </c>
      <c r="CT18" s="243">
        <v>1.7229999999999999E-2</v>
      </c>
      <c r="CU18" s="244" t="s">
        <v>418</v>
      </c>
      <c r="CW18" s="245" t="s">
        <v>460</v>
      </c>
      <c r="CX18" s="250" t="s">
        <v>474</v>
      </c>
      <c r="CY18" s="246" t="s">
        <v>318</v>
      </c>
      <c r="CZ18" s="247">
        <f t="shared" si="12"/>
        <v>0.251</v>
      </c>
      <c r="DA18" s="245" t="s">
        <v>317</v>
      </c>
      <c r="DC18" s="169" t="s">
        <v>460</v>
      </c>
      <c r="DD18" s="261" t="s">
        <v>474</v>
      </c>
      <c r="DE18" s="258" t="s">
        <v>318</v>
      </c>
      <c r="DF18" s="169">
        <f>$O$10*$Z$37*$AP$7</f>
        <v>0.49326519197498747</v>
      </c>
      <c r="DG18" s="169" t="s">
        <v>317</v>
      </c>
    </row>
    <row r="19" spans="2:111" ht="15" customHeight="1" thickTop="1" thickBot="1" x14ac:dyDescent="0.3">
      <c r="B19" s="175" t="s">
        <v>81</v>
      </c>
      <c r="C19" s="183">
        <f>C17-C18</f>
        <v>0</v>
      </c>
      <c r="D19" s="176" t="s">
        <v>9</v>
      </c>
      <c r="E19" s="186"/>
      <c r="F19" s="184"/>
      <c r="G19" s="184"/>
      <c r="H19" s="184"/>
      <c r="I19" s="189"/>
      <c r="K19" s="81" t="s">
        <v>79</v>
      </c>
      <c r="L19" s="208">
        <v>0</v>
      </c>
      <c r="M19" s="209">
        <v>2</v>
      </c>
      <c r="N19" s="209" t="s">
        <v>25</v>
      </c>
      <c r="O19" s="210">
        <f>'Tabula data'!B10*'Tabula RefULG2'!D42/2*(1-'Tabula RefULG2'!D43)</f>
        <v>0.7034500000000008</v>
      </c>
      <c r="P19" s="211" t="s">
        <v>45</v>
      </c>
      <c r="Q19" s="30">
        <f t="shared" si="7"/>
        <v>0.29666979362101314</v>
      </c>
      <c r="R19" s="30">
        <f t="shared" si="8"/>
        <v>0.20869236632270194</v>
      </c>
      <c r="S19" s="30">
        <f t="shared" si="16"/>
        <v>318350.09613000037</v>
      </c>
      <c r="T19" s="30">
        <f t="shared" si="17"/>
        <v>452555.4</v>
      </c>
      <c r="U19" s="30">
        <f t="shared" si="18"/>
        <v>284812.8360000003</v>
      </c>
      <c r="V19" s="31"/>
      <c r="W19" s="223"/>
      <c r="X19" s="175"/>
      <c r="Y19" s="184" t="s">
        <v>76</v>
      </c>
      <c r="Z19" s="176">
        <v>0.25</v>
      </c>
      <c r="AA19" s="176">
        <v>1.1000000000000001</v>
      </c>
      <c r="AB19" s="176">
        <v>1850</v>
      </c>
      <c r="AC19" s="184">
        <v>840</v>
      </c>
      <c r="AD19" s="227">
        <f>Z19/AA19</f>
        <v>0.22727272727272727</v>
      </c>
      <c r="AE19" s="177">
        <f>Z19*AB19*AC19</f>
        <v>388500</v>
      </c>
      <c r="AF19" s="222" t="s">
        <v>272</v>
      </c>
      <c r="AG19" s="222"/>
      <c r="AH19" s="222"/>
      <c r="AM19" s="158" t="s">
        <v>314</v>
      </c>
      <c r="AN19" s="81" t="s">
        <v>315</v>
      </c>
      <c r="AO19" s="81" t="s">
        <v>330</v>
      </c>
      <c r="AP19" s="81">
        <f>SUM(O6:O9)*(1/(SUM(AD19:AD20)+1/4))</f>
        <v>430.58654599406532</v>
      </c>
      <c r="AQ19" s="81" t="s">
        <v>317</v>
      </c>
      <c r="AR19" s="166">
        <v>298.59179999999998</v>
      </c>
      <c r="AV19" s="167" t="s">
        <v>314</v>
      </c>
      <c r="AW19" s="167" t="s">
        <v>315</v>
      </c>
      <c r="AX19" s="167" t="s">
        <v>330</v>
      </c>
      <c r="AY19" s="168" t="s">
        <v>318</v>
      </c>
      <c r="AZ19" s="161">
        <f>AP19</f>
        <v>430.58654599406532</v>
      </c>
      <c r="BA19" s="167" t="s">
        <v>317</v>
      </c>
      <c r="BC19" s="81" t="s">
        <v>373</v>
      </c>
      <c r="BD19" s="81" t="s">
        <v>296</v>
      </c>
      <c r="BE19" s="166">
        <v>50500000</v>
      </c>
      <c r="BF19" s="166">
        <v>737000</v>
      </c>
      <c r="BG19" s="81">
        <v>68.5</v>
      </c>
      <c r="BH19" s="81" t="s">
        <v>384</v>
      </c>
      <c r="BI19" s="81" t="s">
        <v>385</v>
      </c>
      <c r="BL19" s="167" t="s">
        <v>314</v>
      </c>
      <c r="BM19" s="167" t="s">
        <v>315</v>
      </c>
      <c r="BN19" s="167" t="s">
        <v>330</v>
      </c>
      <c r="BO19" s="168" t="s">
        <v>318</v>
      </c>
      <c r="BP19" s="161">
        <f>BE31</f>
        <v>958</v>
      </c>
      <c r="BQ19" s="167" t="s">
        <v>317</v>
      </c>
      <c r="BS19" s="81" t="s">
        <v>373</v>
      </c>
      <c r="BT19" s="81" t="s">
        <v>296</v>
      </c>
      <c r="BU19" s="166">
        <v>92100000</v>
      </c>
      <c r="BV19" s="166">
        <v>2110000</v>
      </c>
      <c r="BW19" s="81">
        <v>43.64</v>
      </c>
      <c r="BX19" s="81" t="s">
        <v>420</v>
      </c>
      <c r="BY19" s="166">
        <v>2E-16</v>
      </c>
      <c r="BZ19" s="81" t="s">
        <v>385</v>
      </c>
      <c r="CA19" s="167" t="s">
        <v>314</v>
      </c>
      <c r="CB19" s="167" t="s">
        <v>315</v>
      </c>
      <c r="CC19" s="167" t="s">
        <v>331</v>
      </c>
      <c r="CD19" s="168" t="s">
        <v>318</v>
      </c>
      <c r="CE19" s="161">
        <f>BU32</f>
        <v>196</v>
      </c>
      <c r="CF19" s="167" t="s">
        <v>317</v>
      </c>
      <c r="CI19" s="81" t="s">
        <v>331</v>
      </c>
      <c r="CJ19" s="242">
        <f t="shared" si="1"/>
        <v>279.2376237623763</v>
      </c>
      <c r="CK19" s="242">
        <f t="shared" si="2"/>
        <v>737</v>
      </c>
      <c r="CL19" s="242">
        <f t="shared" si="3"/>
        <v>196</v>
      </c>
      <c r="CO19" s="243" t="s">
        <v>373</v>
      </c>
      <c r="CP19" s="243" t="s">
        <v>448</v>
      </c>
      <c r="CQ19" s="244">
        <v>1.2899999999999999E-6</v>
      </c>
      <c r="CR19" s="244">
        <v>9.8800000000000003E-6</v>
      </c>
      <c r="CS19" s="243">
        <v>0.13</v>
      </c>
      <c r="CT19" s="244">
        <v>0.89644000000000001</v>
      </c>
      <c r="CW19" s="245" t="s">
        <v>460</v>
      </c>
      <c r="CX19" s="248" t="s">
        <v>475</v>
      </c>
      <c r="CY19" s="246" t="s">
        <v>318</v>
      </c>
      <c r="CZ19" s="247">
        <f t="shared" si="12"/>
        <v>1.32E-15</v>
      </c>
      <c r="DA19" s="245" t="s">
        <v>317</v>
      </c>
      <c r="DC19" s="169" t="s">
        <v>460</v>
      </c>
      <c r="DD19" s="259" t="s">
        <v>475</v>
      </c>
      <c r="DE19" s="258" t="s">
        <v>318</v>
      </c>
      <c r="DF19" s="169">
        <f>$O$12*$Z$37*$AP$7</f>
        <v>0.55720697611989334</v>
      </c>
      <c r="DG19" s="169" t="s">
        <v>317</v>
      </c>
    </row>
    <row r="20" spans="2:111" ht="15" customHeight="1" thickTop="1" thickBot="1" x14ac:dyDescent="0.3">
      <c r="B20" s="175"/>
      <c r="C20" s="176"/>
      <c r="D20" s="176"/>
      <c r="E20" s="178" t="s">
        <v>83</v>
      </c>
      <c r="F20" s="184"/>
      <c r="G20" s="190">
        <f>H4/C23</f>
        <v>0.14767025089605737</v>
      </c>
      <c r="H20" s="184"/>
      <c r="I20" s="177"/>
      <c r="K20" s="81" t="s">
        <v>82</v>
      </c>
      <c r="L20" s="208">
        <v>0</v>
      </c>
      <c r="M20" s="209">
        <v>2</v>
      </c>
      <c r="N20" s="209" t="s">
        <v>25</v>
      </c>
      <c r="O20" s="210">
        <f>'Tabula data'!B10*(1-'Tabula RefULG2'!D42)/2*(1-'Tabula RefULG2'!D44)</f>
        <v>17.266500000000004</v>
      </c>
      <c r="P20" s="211" t="s">
        <v>50</v>
      </c>
      <c r="Q20" s="30">
        <f t="shared" si="7"/>
        <v>0.29666979362101314</v>
      </c>
      <c r="R20" s="30">
        <f t="shared" si="8"/>
        <v>5.1224489915572251</v>
      </c>
      <c r="S20" s="30">
        <f t="shared" si="16"/>
        <v>7814047.8141000019</v>
      </c>
      <c r="T20" s="30">
        <f t="shared" si="17"/>
        <v>452555.4</v>
      </c>
      <c r="U20" s="30">
        <f t="shared" si="18"/>
        <v>6990860.5200000014</v>
      </c>
      <c r="V20" s="31"/>
      <c r="W20" s="223"/>
      <c r="X20" s="187"/>
      <c r="Y20" s="174" t="s">
        <v>273</v>
      </c>
      <c r="Z20" s="174">
        <v>0.02</v>
      </c>
      <c r="AA20" s="174">
        <v>0.6</v>
      </c>
      <c r="AB20" s="174">
        <v>975</v>
      </c>
      <c r="AC20" s="174">
        <v>840</v>
      </c>
      <c r="AD20" s="229">
        <f>Z20/AA20</f>
        <v>3.3333333333333333E-2</v>
      </c>
      <c r="AE20" s="192">
        <f>Z20*AB20*AC20</f>
        <v>16380</v>
      </c>
      <c r="AF20" s="222"/>
      <c r="AG20" s="222"/>
      <c r="AH20" s="222"/>
      <c r="AM20" s="158" t="s">
        <v>314</v>
      </c>
      <c r="AN20" s="81" t="s">
        <v>315</v>
      </c>
      <c r="AO20" s="81" t="s">
        <v>331</v>
      </c>
      <c r="AP20" s="81">
        <f>SUM(O14)*1/(SUM(AD43:AD44)+1/3)</f>
        <v>279.2376237623763</v>
      </c>
      <c r="AQ20" s="81" t="s">
        <v>317</v>
      </c>
      <c r="AR20" s="166">
        <v>278.86439999999999</v>
      </c>
      <c r="AV20" s="167" t="s">
        <v>314</v>
      </c>
      <c r="AW20" s="167" t="s">
        <v>315</v>
      </c>
      <c r="AX20" s="167" t="s">
        <v>331</v>
      </c>
      <c r="AY20" s="168" t="s">
        <v>318</v>
      </c>
      <c r="AZ20" s="161">
        <f t="shared" ref="AZ20:AZ24" si="19">AP20</f>
        <v>279.2376237623763</v>
      </c>
      <c r="BA20" s="167" t="s">
        <v>317</v>
      </c>
      <c r="BC20" s="81" t="s">
        <v>373</v>
      </c>
      <c r="BD20" s="81" t="s">
        <v>298</v>
      </c>
      <c r="BE20" s="166">
        <v>32700000</v>
      </c>
      <c r="BF20" s="166">
        <v>53200</v>
      </c>
      <c r="BG20" s="81">
        <v>614.4</v>
      </c>
      <c r="BH20" s="81" t="s">
        <v>384</v>
      </c>
      <c r="BI20" s="81" t="s">
        <v>385</v>
      </c>
      <c r="BL20" s="167" t="s">
        <v>314</v>
      </c>
      <c r="BM20" s="167" t="s">
        <v>315</v>
      </c>
      <c r="BN20" s="167" t="s">
        <v>331</v>
      </c>
      <c r="BO20" s="168" t="s">
        <v>318</v>
      </c>
      <c r="BP20" s="161">
        <f t="shared" ref="BP20:BP22" si="20">BE32</f>
        <v>737</v>
      </c>
      <c r="BQ20" s="167" t="s">
        <v>317</v>
      </c>
      <c r="BS20" s="81" t="s">
        <v>373</v>
      </c>
      <c r="BT20" s="81" t="s">
        <v>298</v>
      </c>
      <c r="BU20" s="166">
        <v>22500000</v>
      </c>
      <c r="BV20" s="166">
        <v>231000</v>
      </c>
      <c r="BW20" s="81">
        <v>97.67</v>
      </c>
      <c r="BX20" s="81" t="s">
        <v>420</v>
      </c>
      <c r="BY20" s="166">
        <v>2E-16</v>
      </c>
      <c r="BZ20" s="81" t="s">
        <v>385</v>
      </c>
      <c r="CA20" s="167" t="s">
        <v>314</v>
      </c>
      <c r="CB20" s="167" t="s">
        <v>315</v>
      </c>
      <c r="CC20" s="167" t="s">
        <v>332</v>
      </c>
      <c r="CD20" s="168" t="s">
        <v>318</v>
      </c>
      <c r="CE20" s="161">
        <f>BU33</f>
        <v>663</v>
      </c>
      <c r="CF20" s="167" t="s">
        <v>317</v>
      </c>
      <c r="CI20" s="81" t="s">
        <v>332</v>
      </c>
      <c r="CJ20" s="242">
        <f t="shared" si="1"/>
        <v>584.84952709359618</v>
      </c>
      <c r="CK20" s="242">
        <f t="shared" si="2"/>
        <v>2190</v>
      </c>
      <c r="CL20" s="242">
        <f t="shared" si="3"/>
        <v>663</v>
      </c>
      <c r="CO20" s="243" t="s">
        <v>373</v>
      </c>
      <c r="CP20" s="243" t="s">
        <v>338</v>
      </c>
      <c r="CQ20" s="244">
        <v>3.15E-7</v>
      </c>
      <c r="CR20" s="244">
        <v>3.1099999999999999E-6</v>
      </c>
      <c r="CS20" s="243">
        <v>0.1</v>
      </c>
      <c r="CT20" s="243">
        <v>0.91937999999999998</v>
      </c>
      <c r="CW20" s="245" t="s">
        <v>460</v>
      </c>
      <c r="CX20" s="249" t="s">
        <v>476</v>
      </c>
      <c r="CY20" s="246" t="s">
        <v>318</v>
      </c>
      <c r="CZ20" s="247">
        <f t="shared" si="12"/>
        <v>2.4E-10</v>
      </c>
      <c r="DA20" s="245" t="s">
        <v>317</v>
      </c>
      <c r="DC20" s="169" t="s">
        <v>460</v>
      </c>
      <c r="DD20" s="260" t="s">
        <v>476</v>
      </c>
      <c r="DE20" s="258" t="s">
        <v>318</v>
      </c>
      <c r="DF20" s="169">
        <f>$O$13*$Z$37*$AP$7</f>
        <v>0.40648705634975818</v>
      </c>
      <c r="DG20" s="169" t="s">
        <v>317</v>
      </c>
    </row>
    <row r="21" spans="2:111" ht="15" customHeight="1" thickTop="1" thickBot="1" x14ac:dyDescent="0.3">
      <c r="B21" s="175"/>
      <c r="C21" s="176"/>
      <c r="D21" s="176"/>
      <c r="E21" s="178" t="s">
        <v>86</v>
      </c>
      <c r="F21" s="184"/>
      <c r="G21" s="190">
        <f>H4/C6</f>
        <v>0.14767025089605737</v>
      </c>
      <c r="H21" s="184"/>
      <c r="I21" s="177"/>
      <c r="K21" s="81" t="s">
        <v>84</v>
      </c>
      <c r="L21" s="208">
        <v>0</v>
      </c>
      <c r="M21" s="209">
        <v>2</v>
      </c>
      <c r="N21" s="209" t="s">
        <v>54</v>
      </c>
      <c r="O21" s="210">
        <f>I10</f>
        <v>3.2400000000000007</v>
      </c>
      <c r="P21" s="211" t="s">
        <v>26</v>
      </c>
      <c r="Q21" s="30">
        <f t="shared" si="7"/>
        <v>2</v>
      </c>
      <c r="R21" s="30">
        <f t="shared" si="8"/>
        <v>6.4800000000000013</v>
      </c>
      <c r="S21" s="30">
        <f t="shared" si="16"/>
        <v>0</v>
      </c>
      <c r="T21" s="30">
        <f t="shared" si="17"/>
        <v>0</v>
      </c>
      <c r="U21" s="30">
        <f t="shared" si="18"/>
        <v>0</v>
      </c>
      <c r="V21" s="31"/>
      <c r="W21" s="223"/>
      <c r="AF21" s="222"/>
      <c r="AG21" s="222"/>
      <c r="AH21" s="222"/>
      <c r="AM21" s="158" t="s">
        <v>314</v>
      </c>
      <c r="AN21" s="81" t="s">
        <v>315</v>
      </c>
      <c r="AO21" s="81" t="s">
        <v>332</v>
      </c>
      <c r="AP21" s="81">
        <f>2*AA22*O27</f>
        <v>584.84952709359618</v>
      </c>
      <c r="AQ21" s="81" t="s">
        <v>317</v>
      </c>
      <c r="AR21" s="166">
        <v>721.00049999999999</v>
      </c>
      <c r="AV21" s="167" t="s">
        <v>314</v>
      </c>
      <c r="AW21" s="167" t="s">
        <v>315</v>
      </c>
      <c r="AX21" s="167" t="s">
        <v>332</v>
      </c>
      <c r="AY21" s="168" t="s">
        <v>318</v>
      </c>
      <c r="AZ21" s="161">
        <f t="shared" si="19"/>
        <v>584.84952709359618</v>
      </c>
      <c r="BA21" s="167" t="s">
        <v>317</v>
      </c>
      <c r="BC21" s="81" t="s">
        <v>373</v>
      </c>
      <c r="BD21" s="81" t="s">
        <v>396</v>
      </c>
      <c r="BE21" s="166">
        <v>-6.77</v>
      </c>
      <c r="BF21" s="166">
        <v>5.1499999999999997E-2</v>
      </c>
      <c r="BG21" s="81">
        <v>-131.33000000000001</v>
      </c>
      <c r="BH21" s="81" t="s">
        <v>384</v>
      </c>
      <c r="BI21" s="81" t="s">
        <v>385</v>
      </c>
      <c r="BL21" s="167" t="s">
        <v>314</v>
      </c>
      <c r="BM21" s="167" t="s">
        <v>315</v>
      </c>
      <c r="BN21" s="167" t="s">
        <v>332</v>
      </c>
      <c r="BO21" s="168" t="s">
        <v>318</v>
      </c>
      <c r="BP21" s="161">
        <f t="shared" si="20"/>
        <v>2190</v>
      </c>
      <c r="BQ21" s="167" t="s">
        <v>317</v>
      </c>
      <c r="BS21" s="81" t="s">
        <v>373</v>
      </c>
      <c r="BT21" s="81" t="s">
        <v>396</v>
      </c>
      <c r="BU21" s="166">
        <v>-7.92</v>
      </c>
      <c r="BV21" s="166">
        <v>0.123</v>
      </c>
      <c r="BW21" s="81">
        <v>-64.5</v>
      </c>
      <c r="BX21" s="81" t="s">
        <v>420</v>
      </c>
      <c r="BY21" s="166">
        <v>2E-16</v>
      </c>
      <c r="BZ21" s="81" t="s">
        <v>385</v>
      </c>
      <c r="CA21" s="167" t="s">
        <v>314</v>
      </c>
      <c r="CB21" s="167" t="s">
        <v>315</v>
      </c>
      <c r="CC21" s="167" t="s">
        <v>333</v>
      </c>
      <c r="CD21" s="168" t="s">
        <v>318</v>
      </c>
      <c r="CE21" s="161">
        <f>BU34</f>
        <v>308</v>
      </c>
      <c r="CF21" s="167" t="s">
        <v>317</v>
      </c>
      <c r="CI21" s="81" t="s">
        <v>333</v>
      </c>
      <c r="CJ21" s="242">
        <f t="shared" si="1"/>
        <v>125.10007569892474</v>
      </c>
      <c r="CK21" s="242">
        <f t="shared" si="2"/>
        <v>251</v>
      </c>
      <c r="CL21" s="242">
        <f t="shared" si="3"/>
        <v>308</v>
      </c>
      <c r="CO21" s="243" t="s">
        <v>373</v>
      </c>
      <c r="CP21" s="243" t="s">
        <v>449</v>
      </c>
      <c r="CQ21" s="244">
        <v>3.9299999999999999E-7</v>
      </c>
      <c r="CR21" s="244">
        <v>1.73E-6</v>
      </c>
      <c r="CS21" s="243">
        <v>0.23</v>
      </c>
      <c r="CT21" s="243">
        <v>0.82001000000000002</v>
      </c>
      <c r="CW21" s="245" t="s">
        <v>460</v>
      </c>
      <c r="CX21" s="249" t="s">
        <v>477</v>
      </c>
      <c r="CY21" s="246" t="s">
        <v>318</v>
      </c>
      <c r="CZ21" s="247">
        <f t="shared" si="12"/>
        <v>4.4400000000000002E-10</v>
      </c>
      <c r="DA21" s="245" t="s">
        <v>317</v>
      </c>
      <c r="DC21" s="169" t="s">
        <v>460</v>
      </c>
      <c r="DD21" s="260" t="s">
        <v>477</v>
      </c>
      <c r="DE21" s="258" t="s">
        <v>318</v>
      </c>
      <c r="DF21" s="169">
        <f>$O$11*$Z$37*$AP$42</f>
        <v>0.45764864557834889</v>
      </c>
      <c r="DG21" s="169" t="s">
        <v>317</v>
      </c>
    </row>
    <row r="22" spans="2:111" ht="15" customHeight="1" thickTop="1" thickBot="1" x14ac:dyDescent="0.3">
      <c r="B22" s="187"/>
      <c r="C22" s="174"/>
      <c r="D22" s="174"/>
      <c r="E22" s="175" t="s">
        <v>88</v>
      </c>
      <c r="F22" s="176"/>
      <c r="G22" s="179">
        <f>H4/C26</f>
        <v>6.8758344459279044E-2</v>
      </c>
      <c r="H22" s="176"/>
      <c r="I22" s="177"/>
      <c r="K22" s="81" t="s">
        <v>87</v>
      </c>
      <c r="L22" s="208">
        <v>0</v>
      </c>
      <c r="M22" s="209">
        <v>2</v>
      </c>
      <c r="N22" s="209" t="s">
        <v>54</v>
      </c>
      <c r="O22" s="210">
        <f>I11</f>
        <v>2.7900000000000005</v>
      </c>
      <c r="P22" s="211" t="s">
        <v>39</v>
      </c>
      <c r="Q22" s="30">
        <f t="shared" si="7"/>
        <v>2</v>
      </c>
      <c r="R22" s="30">
        <f t="shared" si="8"/>
        <v>5.580000000000001</v>
      </c>
      <c r="S22" s="30">
        <f t="shared" si="16"/>
        <v>0</v>
      </c>
      <c r="T22" s="30">
        <f t="shared" si="17"/>
        <v>0</v>
      </c>
      <c r="U22" s="30">
        <f t="shared" si="18"/>
        <v>0</v>
      </c>
      <c r="V22" s="31"/>
      <c r="W22" s="223"/>
      <c r="X22" s="216" t="s">
        <v>85</v>
      </c>
      <c r="Y22" s="217"/>
      <c r="Z22" s="218" t="s">
        <v>21</v>
      </c>
      <c r="AA22" s="219">
        <f>(1/(1/4+SUM(AD24:AD26)+1/4))</f>
        <v>1.330049261083744</v>
      </c>
      <c r="AB22" s="217" t="s">
        <v>5</v>
      </c>
      <c r="AC22" s="217"/>
      <c r="AD22" s="217" t="s">
        <v>22</v>
      </c>
      <c r="AE22" s="220">
        <f>SUM(AE24:AE27)</f>
        <v>150360</v>
      </c>
      <c r="AF22" s="222" t="s">
        <v>23</v>
      </c>
      <c r="AG22" s="222">
        <f>SUM(AE24:AE26)</f>
        <v>150360</v>
      </c>
      <c r="AH22" s="222"/>
      <c r="AM22" s="158" t="s">
        <v>314</v>
      </c>
      <c r="AN22" s="81" t="s">
        <v>315</v>
      </c>
      <c r="AO22" s="81" t="s">
        <v>333</v>
      </c>
      <c r="AP22" s="152">
        <f>'Verwarming Tabula 2zone Ref1'!B60+SUM(R10:R13)+R16</f>
        <v>125.10007569892474</v>
      </c>
      <c r="AQ22" s="81" t="s">
        <v>317</v>
      </c>
      <c r="AR22" s="166">
        <v>110.5333</v>
      </c>
      <c r="AV22" s="167" t="s">
        <v>314</v>
      </c>
      <c r="AW22" s="167" t="s">
        <v>315</v>
      </c>
      <c r="AX22" s="167" t="s">
        <v>333</v>
      </c>
      <c r="AY22" s="168" t="s">
        <v>318</v>
      </c>
      <c r="AZ22" s="161">
        <f t="shared" si="19"/>
        <v>125.10007569892474</v>
      </c>
      <c r="BA22" s="167" t="s">
        <v>317</v>
      </c>
      <c r="BC22" s="81" t="s">
        <v>373</v>
      </c>
      <c r="BD22" s="81" t="s">
        <v>397</v>
      </c>
      <c r="BE22" s="166">
        <v>-15.3</v>
      </c>
      <c r="BF22" s="166">
        <v>295</v>
      </c>
      <c r="BG22" s="81">
        <v>-0.05</v>
      </c>
      <c r="BH22" s="81">
        <v>0.96</v>
      </c>
      <c r="BL22" s="167" t="s">
        <v>314</v>
      </c>
      <c r="BM22" s="167" t="s">
        <v>315</v>
      </c>
      <c r="BN22" s="167" t="s">
        <v>333</v>
      </c>
      <c r="BO22" s="168" t="s">
        <v>318</v>
      </c>
      <c r="BP22" s="161">
        <f t="shared" si="20"/>
        <v>251</v>
      </c>
      <c r="BQ22" s="167" t="s">
        <v>317</v>
      </c>
      <c r="BS22" s="81" t="s">
        <v>373</v>
      </c>
      <c r="BT22" s="81" t="s">
        <v>397</v>
      </c>
      <c r="BU22" s="166">
        <v>-23.9</v>
      </c>
      <c r="BV22" s="166">
        <v>1.46</v>
      </c>
      <c r="BW22" s="81">
        <v>-16.41</v>
      </c>
      <c r="BX22" s="81" t="s">
        <v>420</v>
      </c>
      <c r="BY22" s="166">
        <v>2E-16</v>
      </c>
      <c r="BZ22" s="81" t="s">
        <v>385</v>
      </c>
      <c r="CA22" s="167" t="s">
        <v>314</v>
      </c>
      <c r="CB22" s="167" t="s">
        <v>315</v>
      </c>
      <c r="CC22" s="167" t="s">
        <v>334</v>
      </c>
      <c r="CD22" s="168" t="s">
        <v>318</v>
      </c>
      <c r="CE22" s="161">
        <f>1/BU40</f>
        <v>1926.7822736030828</v>
      </c>
      <c r="CF22" s="167" t="s">
        <v>317</v>
      </c>
      <c r="CI22" s="81" t="s">
        <v>334</v>
      </c>
      <c r="CJ22" s="242">
        <f t="shared" si="1"/>
        <v>73.651398956183996</v>
      </c>
      <c r="CK22" s="242">
        <f t="shared" si="2"/>
        <v>884.95575221238948</v>
      </c>
      <c r="CL22" s="242">
        <f t="shared" si="3"/>
        <v>1926.7822736030828</v>
      </c>
      <c r="CO22" s="243" t="s">
        <v>373</v>
      </c>
      <c r="CP22" s="243" t="s">
        <v>450</v>
      </c>
      <c r="CQ22" s="244">
        <v>5.5499999999999998E-7</v>
      </c>
      <c r="CR22" s="244">
        <v>3.89E-6</v>
      </c>
      <c r="CS22" s="243">
        <v>0.14000000000000001</v>
      </c>
      <c r="CT22" s="243">
        <v>0.88636999999999999</v>
      </c>
      <c r="CW22" s="245" t="s">
        <v>460</v>
      </c>
      <c r="CX22" s="249" t="s">
        <v>478</v>
      </c>
      <c r="CY22" s="246" t="s">
        <v>318</v>
      </c>
      <c r="CZ22" s="247">
        <f t="shared" si="12"/>
        <v>1.92E-8</v>
      </c>
      <c r="DA22" s="245" t="s">
        <v>317</v>
      </c>
      <c r="DC22" s="169" t="s">
        <v>460</v>
      </c>
      <c r="DD22" s="260" t="s">
        <v>478</v>
      </c>
      <c r="DE22" s="258" t="s">
        <v>318</v>
      </c>
      <c r="DF22" s="169">
        <f>$O$10*$Z$37*$AP$42</f>
        <v>0.53146294325227605</v>
      </c>
      <c r="DG22" s="169" t="s">
        <v>317</v>
      </c>
    </row>
    <row r="23" spans="2:111" ht="15" customHeight="1" thickTop="1" thickBot="1" x14ac:dyDescent="0.3">
      <c r="B23" s="193" t="s">
        <v>91</v>
      </c>
      <c r="C23" s="195">
        <f>C17+C6</f>
        <v>279</v>
      </c>
      <c r="D23" s="194" t="s">
        <v>9</v>
      </c>
      <c r="E23" s="175"/>
      <c r="F23" s="176"/>
      <c r="G23" s="176"/>
      <c r="H23" s="176"/>
      <c r="I23" s="177"/>
      <c r="K23" s="81" t="s">
        <v>89</v>
      </c>
      <c r="L23" s="208">
        <v>0</v>
      </c>
      <c r="M23" s="209">
        <v>2</v>
      </c>
      <c r="N23" s="209" t="s">
        <v>54</v>
      </c>
      <c r="O23" s="210">
        <f>I12</f>
        <v>3.66</v>
      </c>
      <c r="P23" s="211" t="s">
        <v>45</v>
      </c>
      <c r="Q23" s="30">
        <f t="shared" si="7"/>
        <v>2</v>
      </c>
      <c r="R23" s="30">
        <f t="shared" si="8"/>
        <v>7.32</v>
      </c>
      <c r="S23" s="30">
        <f t="shared" si="16"/>
        <v>0</v>
      </c>
      <c r="T23" s="30">
        <f t="shared" si="17"/>
        <v>0</v>
      </c>
      <c r="U23" s="30">
        <f t="shared" si="18"/>
        <v>0</v>
      </c>
      <c r="V23" s="31"/>
      <c r="W23" s="223"/>
      <c r="X23" s="224"/>
      <c r="Y23" s="225" t="s">
        <v>27</v>
      </c>
      <c r="Z23" s="225" t="s">
        <v>28</v>
      </c>
      <c r="AA23" s="225" t="s">
        <v>29</v>
      </c>
      <c r="AB23" s="225" t="s">
        <v>30</v>
      </c>
      <c r="AC23" s="225" t="s">
        <v>31</v>
      </c>
      <c r="AD23" s="225" t="s">
        <v>32</v>
      </c>
      <c r="AE23" s="226" t="s">
        <v>33</v>
      </c>
      <c r="AF23" s="222"/>
      <c r="AG23" s="222"/>
      <c r="AH23" s="222"/>
      <c r="AM23" s="158" t="s">
        <v>314</v>
      </c>
      <c r="AN23" s="81" t="s">
        <v>315</v>
      </c>
      <c r="AO23" s="81" t="s">
        <v>334</v>
      </c>
      <c r="AP23" s="81">
        <f>SUM(O6:O9)*1/(SUM(AD16:AD18)+1/23)</f>
        <v>73.651398956183996</v>
      </c>
      <c r="AQ23" s="81" t="s">
        <v>317</v>
      </c>
      <c r="AR23" s="81">
        <f>1/0.01496205</f>
        <v>66.83576114235683</v>
      </c>
      <c r="AV23" s="167" t="s">
        <v>314</v>
      </c>
      <c r="AW23" s="167" t="s">
        <v>315</v>
      </c>
      <c r="AX23" s="167" t="s">
        <v>334</v>
      </c>
      <c r="AY23" s="168" t="s">
        <v>318</v>
      </c>
      <c r="AZ23" s="161">
        <f t="shared" si="19"/>
        <v>73.651398956183996</v>
      </c>
      <c r="BA23" s="167" t="s">
        <v>317</v>
      </c>
      <c r="BC23" s="81" t="s">
        <v>373</v>
      </c>
      <c r="BD23" s="81" t="s">
        <v>399</v>
      </c>
      <c r="BE23" s="166">
        <v>-14.3</v>
      </c>
      <c r="BF23" s="166">
        <v>275</v>
      </c>
      <c r="BG23" s="81">
        <v>-0.05</v>
      </c>
      <c r="BH23" s="81">
        <v>0.96</v>
      </c>
      <c r="BL23" s="167" t="s">
        <v>314</v>
      </c>
      <c r="BM23" s="167" t="s">
        <v>315</v>
      </c>
      <c r="BN23" s="167" t="s">
        <v>334</v>
      </c>
      <c r="BO23" s="168" t="s">
        <v>318</v>
      </c>
      <c r="BP23" s="161">
        <f>1/BE40</f>
        <v>884.95575221238948</v>
      </c>
      <c r="BQ23" s="167" t="s">
        <v>317</v>
      </c>
      <c r="BS23" s="81" t="s">
        <v>373</v>
      </c>
      <c r="BT23" s="81" t="s">
        <v>399</v>
      </c>
      <c r="BU23" s="166">
        <v>-17.8</v>
      </c>
      <c r="BV23" s="166">
        <v>1.0999999999999999E-2</v>
      </c>
      <c r="BW23" s="81">
        <v>-1621.03</v>
      </c>
      <c r="BX23" s="81" t="s">
        <v>420</v>
      </c>
      <c r="BY23" s="166">
        <v>2E-16</v>
      </c>
      <c r="BZ23" s="81" t="s">
        <v>385</v>
      </c>
      <c r="CA23" s="167" t="s">
        <v>314</v>
      </c>
      <c r="CB23" s="167" t="s">
        <v>315</v>
      </c>
      <c r="CC23" s="167" t="s">
        <v>335</v>
      </c>
      <c r="CD23" s="168" t="s">
        <v>318</v>
      </c>
      <c r="CE23" s="161">
        <f>BU43</f>
        <v>4.59</v>
      </c>
      <c r="CF23" s="167" t="s">
        <v>317</v>
      </c>
      <c r="CI23" s="81" t="s">
        <v>335</v>
      </c>
      <c r="CJ23" s="242">
        <f t="shared" si="1"/>
        <v>35.984688995215315</v>
      </c>
      <c r="CK23" s="242">
        <f t="shared" si="2"/>
        <v>301</v>
      </c>
      <c r="CL23" s="242">
        <f t="shared" si="3"/>
        <v>4.59</v>
      </c>
      <c r="CO23" s="243" t="s">
        <v>373</v>
      </c>
      <c r="CP23" s="243" t="s">
        <v>451</v>
      </c>
      <c r="CQ23" s="244">
        <v>1.8899999999999999E-10</v>
      </c>
      <c r="CR23" s="244">
        <v>2.52E-9</v>
      </c>
      <c r="CS23" s="243">
        <v>0.08</v>
      </c>
      <c r="CT23" s="243">
        <v>0.94003999999999999</v>
      </c>
      <c r="CU23" s="244"/>
      <c r="CW23" s="245" t="s">
        <v>460</v>
      </c>
      <c r="CX23" s="248" t="s">
        <v>479</v>
      </c>
      <c r="CY23" s="246" t="s">
        <v>318</v>
      </c>
      <c r="CZ23" s="247">
        <f t="shared" si="12"/>
        <v>4.4800000000000003E-11</v>
      </c>
      <c r="DA23" s="245" t="s">
        <v>317</v>
      </c>
      <c r="DC23" s="169" t="s">
        <v>460</v>
      </c>
      <c r="DD23" s="259" t="s">
        <v>479</v>
      </c>
      <c r="DE23" s="258" t="s">
        <v>318</v>
      </c>
      <c r="DF23" s="169">
        <f>$O$12*$Z$37*$AP$42</f>
        <v>0.60035628774794159</v>
      </c>
      <c r="DG23" s="169" t="s">
        <v>317</v>
      </c>
    </row>
    <row r="24" spans="2:111" ht="15" customHeight="1" thickTop="1" thickBot="1" x14ac:dyDescent="0.3">
      <c r="B24" s="175" t="s">
        <v>94</v>
      </c>
      <c r="C24" s="191">
        <f>C23/C6</f>
        <v>1</v>
      </c>
      <c r="D24" s="176" t="s">
        <v>9</v>
      </c>
      <c r="E24" s="175" t="s">
        <v>95</v>
      </c>
      <c r="F24" s="176"/>
      <c r="G24" s="191">
        <f>C8/C6</f>
        <v>0.51863799283154122</v>
      </c>
      <c r="H24" s="176"/>
      <c r="I24" s="177"/>
      <c r="K24" s="81" t="s">
        <v>92</v>
      </c>
      <c r="L24" s="208">
        <v>0</v>
      </c>
      <c r="M24" s="209">
        <v>2</v>
      </c>
      <c r="N24" s="209" t="s">
        <v>54</v>
      </c>
      <c r="O24" s="210">
        <f>I13</f>
        <v>2.6700000000000004</v>
      </c>
      <c r="P24" s="211" t="s">
        <v>50</v>
      </c>
      <c r="Q24" s="30">
        <f t="shared" si="7"/>
        <v>2</v>
      </c>
      <c r="R24" s="30">
        <f t="shared" si="8"/>
        <v>5.3400000000000007</v>
      </c>
      <c r="S24" s="30">
        <f t="shared" si="16"/>
        <v>0</v>
      </c>
      <c r="T24" s="30">
        <f t="shared" si="17"/>
        <v>0</v>
      </c>
      <c r="U24" s="30">
        <f t="shared" si="18"/>
        <v>0</v>
      </c>
      <c r="V24" s="31"/>
      <c r="W24" s="223"/>
      <c r="X24" s="175"/>
      <c r="Y24" s="176" t="s">
        <v>433</v>
      </c>
      <c r="Z24" s="176">
        <v>0.02</v>
      </c>
      <c r="AA24" s="176">
        <v>0.6</v>
      </c>
      <c r="AB24" s="176">
        <v>975</v>
      </c>
      <c r="AC24" s="176">
        <v>840</v>
      </c>
      <c r="AD24" s="227">
        <f>Z24/AA24</f>
        <v>3.3333333333333333E-2</v>
      </c>
      <c r="AE24" s="177">
        <f>Z24*AB24*AC24</f>
        <v>16380</v>
      </c>
      <c r="AF24" s="222"/>
      <c r="AG24" s="222"/>
      <c r="AH24" s="222"/>
      <c r="AM24" s="158" t="s">
        <v>314</v>
      </c>
      <c r="AN24" s="81" t="s">
        <v>315</v>
      </c>
      <c r="AO24" s="81" t="s">
        <v>335</v>
      </c>
      <c r="AP24" s="81">
        <f>SUM(O14)*1/(SUM(AD45:AD47))</f>
        <v>35.984688995215315</v>
      </c>
      <c r="AQ24" s="81" t="s">
        <v>317</v>
      </c>
      <c r="AR24" s="166">
        <v>43.800190000000001</v>
      </c>
      <c r="AV24" s="167" t="s">
        <v>314</v>
      </c>
      <c r="AW24" s="167" t="s">
        <v>315</v>
      </c>
      <c r="AX24" s="167" t="s">
        <v>335</v>
      </c>
      <c r="AY24" s="168" t="s">
        <v>318</v>
      </c>
      <c r="AZ24" s="161">
        <f t="shared" si="19"/>
        <v>35.984688995215315</v>
      </c>
      <c r="BA24" s="167" t="s">
        <v>317</v>
      </c>
      <c r="BC24" s="81" t="s">
        <v>373</v>
      </c>
      <c r="BD24" s="81" t="s">
        <v>400</v>
      </c>
      <c r="BE24" s="166">
        <v>-9.5399999999999991</v>
      </c>
      <c r="BF24" s="166">
        <v>148</v>
      </c>
      <c r="BG24" s="81">
        <v>-0.06</v>
      </c>
      <c r="BH24" s="81">
        <v>0.95</v>
      </c>
      <c r="BL24" s="167" t="s">
        <v>314</v>
      </c>
      <c r="BM24" s="167" t="s">
        <v>315</v>
      </c>
      <c r="BN24" s="167" t="s">
        <v>335</v>
      </c>
      <c r="BO24" s="168" t="s">
        <v>318</v>
      </c>
      <c r="BP24" s="161">
        <f>BE43</f>
        <v>301</v>
      </c>
      <c r="BQ24" s="167" t="s">
        <v>317</v>
      </c>
      <c r="BS24" s="81" t="s">
        <v>373</v>
      </c>
      <c r="BT24" s="81" t="s">
        <v>400</v>
      </c>
      <c r="BU24" s="166">
        <v>-14.2</v>
      </c>
      <c r="BV24" s="166">
        <v>1.03</v>
      </c>
      <c r="BW24" s="81">
        <v>-13.82</v>
      </c>
      <c r="BX24" s="81" t="s">
        <v>420</v>
      </c>
      <c r="BY24" s="166">
        <v>2E-16</v>
      </c>
      <c r="BZ24" s="81" t="s">
        <v>385</v>
      </c>
      <c r="CA24" s="167"/>
      <c r="CB24" s="167"/>
      <c r="CC24" s="167"/>
      <c r="CD24" s="168"/>
      <c r="CE24" s="161"/>
      <c r="CF24" s="167"/>
      <c r="CJ24" s="240">
        <f t="shared" si="1"/>
        <v>0</v>
      </c>
      <c r="CK24" s="240">
        <f t="shared" si="2"/>
        <v>0</v>
      </c>
      <c r="CL24" s="240">
        <f t="shared" si="3"/>
        <v>0</v>
      </c>
      <c r="CO24" s="243" t="s">
        <v>373</v>
      </c>
      <c r="CP24" s="243" t="s">
        <v>452</v>
      </c>
      <c r="CQ24" s="244">
        <v>0.251</v>
      </c>
      <c r="CR24" s="244">
        <v>4.99E-2</v>
      </c>
      <c r="CS24" s="243">
        <v>5.03</v>
      </c>
      <c r="CT24" s="244">
        <v>4.8999999999999997E-7</v>
      </c>
      <c r="CU24" s="243" t="s">
        <v>385</v>
      </c>
      <c r="CW24" s="245" t="s">
        <v>460</v>
      </c>
      <c r="CX24" s="246" t="s">
        <v>480</v>
      </c>
      <c r="CY24" s="246" t="s">
        <v>318</v>
      </c>
      <c r="CZ24" s="247">
        <f t="shared" si="12"/>
        <v>1.6699999999999999E-10</v>
      </c>
      <c r="DA24" s="245" t="s">
        <v>317</v>
      </c>
      <c r="DC24" s="169" t="s">
        <v>460</v>
      </c>
      <c r="DD24" s="258" t="s">
        <v>480</v>
      </c>
      <c r="DE24" s="258" t="s">
        <v>318</v>
      </c>
      <c r="DF24" s="169">
        <f>$O$13*$Z$37*$AP$42</f>
        <v>0.43796483286530163</v>
      </c>
      <c r="DG24" s="169" t="s">
        <v>317</v>
      </c>
    </row>
    <row r="25" spans="2:111" ht="15" customHeight="1" thickTop="1" thickBot="1" x14ac:dyDescent="0.3">
      <c r="B25" s="187"/>
      <c r="C25" s="174"/>
      <c r="D25" s="174"/>
      <c r="E25" s="175"/>
      <c r="F25" s="176"/>
      <c r="G25" s="176"/>
      <c r="H25" s="176"/>
      <c r="I25" s="177"/>
      <c r="K25" s="81" t="s">
        <v>96</v>
      </c>
      <c r="L25" s="208">
        <v>0</v>
      </c>
      <c r="M25" s="209">
        <v>2</v>
      </c>
      <c r="N25" s="209" t="s">
        <v>20</v>
      </c>
      <c r="O25" s="210">
        <f>'Tabula data'!B7</f>
        <v>158.4</v>
      </c>
      <c r="P25" s="211" t="s">
        <v>97</v>
      </c>
      <c r="Q25" s="30">
        <f t="shared" si="7"/>
        <v>0.27481053799679722</v>
      </c>
      <c r="R25" s="30">
        <f t="shared" si="8"/>
        <v>43.529989218692684</v>
      </c>
      <c r="S25" s="30">
        <f t="shared" si="16"/>
        <v>13515004.800000001</v>
      </c>
      <c r="T25" s="30">
        <f t="shared" si="17"/>
        <v>85322</v>
      </c>
      <c r="U25" s="30">
        <f t="shared" si="18"/>
        <v>6689232</v>
      </c>
      <c r="V25" s="31"/>
      <c r="W25" s="223"/>
      <c r="X25" s="175"/>
      <c r="Y25" s="176" t="s">
        <v>434</v>
      </c>
      <c r="Z25" s="176">
        <v>0.1</v>
      </c>
      <c r="AA25" s="176">
        <v>0.54</v>
      </c>
      <c r="AB25" s="176">
        <v>1400</v>
      </c>
      <c r="AC25" s="176">
        <v>840</v>
      </c>
      <c r="AD25" s="227">
        <f>Z25/AA25</f>
        <v>0.18518518518518517</v>
      </c>
      <c r="AE25" s="177">
        <f>Z25*AB25*AC25</f>
        <v>117600</v>
      </c>
      <c r="AF25" s="222"/>
      <c r="AG25" s="222"/>
      <c r="AH25" s="222"/>
      <c r="AQ25" s="81" t="s">
        <v>317</v>
      </c>
      <c r="AV25" s="167"/>
      <c r="AW25" s="167"/>
      <c r="AX25" s="167"/>
      <c r="AY25" s="168"/>
      <c r="BA25" s="167"/>
      <c r="BC25" s="81" t="s">
        <v>373</v>
      </c>
      <c r="BD25" s="81" t="s">
        <v>401</v>
      </c>
      <c r="BE25" s="166">
        <v>-13</v>
      </c>
      <c r="BF25" s="166">
        <v>221</v>
      </c>
      <c r="BG25" s="81">
        <v>-0.06</v>
      </c>
      <c r="BH25" s="81">
        <v>0.95</v>
      </c>
      <c r="BL25" s="167"/>
      <c r="BM25" s="167"/>
      <c r="BN25" s="167"/>
      <c r="BO25" s="168"/>
      <c r="BP25" s="161"/>
      <c r="BQ25" s="167"/>
      <c r="BS25" s="81" t="s">
        <v>373</v>
      </c>
      <c r="BT25" s="81" t="s">
        <v>401</v>
      </c>
      <c r="BU25" s="166">
        <v>-18.2</v>
      </c>
      <c r="BV25" s="166">
        <v>1.2</v>
      </c>
      <c r="BW25" s="81">
        <v>-15.11</v>
      </c>
      <c r="BX25" s="81" t="s">
        <v>420</v>
      </c>
      <c r="BY25" s="166">
        <v>2E-16</v>
      </c>
      <c r="BZ25" s="81" t="s">
        <v>385</v>
      </c>
      <c r="CA25" s="167" t="s">
        <v>314</v>
      </c>
      <c r="CB25" s="167" t="s">
        <v>315</v>
      </c>
      <c r="CC25" s="167" t="s">
        <v>336</v>
      </c>
      <c r="CD25" s="168" t="s">
        <v>318</v>
      </c>
      <c r="CE25" s="161">
        <f>BU52</f>
        <v>0.39200000000000002</v>
      </c>
      <c r="CF25" s="167" t="s">
        <v>317</v>
      </c>
      <c r="CI25" s="81" t="s">
        <v>336</v>
      </c>
      <c r="CJ25" s="239">
        <f t="shared" si="1"/>
        <v>0.45912879828633407</v>
      </c>
      <c r="CK25" s="239">
        <f t="shared" si="2"/>
        <v>0.01</v>
      </c>
      <c r="CL25" s="239">
        <f t="shared" si="3"/>
        <v>0.39200000000000002</v>
      </c>
      <c r="CO25" s="243" t="s">
        <v>373</v>
      </c>
      <c r="CP25" s="243" t="s">
        <v>453</v>
      </c>
      <c r="CQ25" s="244">
        <v>1.32E-15</v>
      </c>
      <c r="CR25" s="244">
        <v>4.3E-14</v>
      </c>
      <c r="CS25" s="243">
        <v>0.03</v>
      </c>
      <c r="CT25" s="243">
        <v>0.97555999999999998</v>
      </c>
      <c r="CU25" s="244"/>
      <c r="CY25" s="246"/>
      <c r="DC25" s="169"/>
      <c r="DD25" s="169"/>
      <c r="DE25" s="258"/>
      <c r="DF25" s="169"/>
      <c r="DG25" s="169"/>
    </row>
    <row r="26" spans="2:111" ht="15" customHeight="1" thickTop="1" thickBot="1" x14ac:dyDescent="0.3">
      <c r="B26" s="193" t="s">
        <v>100</v>
      </c>
      <c r="C26" s="199">
        <f>'Tabula data'!B6</f>
        <v>599.20000000000005</v>
      </c>
      <c r="D26" s="198" t="s">
        <v>9</v>
      </c>
      <c r="E26" s="175"/>
      <c r="F26" s="176"/>
      <c r="G26" s="176"/>
      <c r="H26" s="176"/>
      <c r="I26" s="177"/>
      <c r="K26" s="81" t="s">
        <v>98</v>
      </c>
      <c r="L26" s="208">
        <v>1</v>
      </c>
      <c r="M26" s="209">
        <v>2</v>
      </c>
      <c r="N26" s="209" t="s">
        <v>99</v>
      </c>
      <c r="O26" s="210">
        <f>'Tabula data'!B4-'Tabula data'!B14</f>
        <v>144.69999999999999</v>
      </c>
      <c r="P26" s="211"/>
      <c r="Q26" s="30">
        <f t="shared" si="7"/>
        <v>0.91717620900500274</v>
      </c>
      <c r="R26" s="30">
        <f t="shared" si="8"/>
        <v>132.71539744302387</v>
      </c>
      <c r="S26" s="30">
        <f t="shared" si="16"/>
        <v>8354977.9999999991</v>
      </c>
      <c r="T26" s="30">
        <f t="shared" si="17"/>
        <v>57740</v>
      </c>
      <c r="U26" s="30">
        <f t="shared" si="18"/>
        <v>8354977.9999999991</v>
      </c>
      <c r="V26" s="31"/>
      <c r="W26" s="223"/>
      <c r="X26" s="187"/>
      <c r="Y26" s="174" t="s">
        <v>433</v>
      </c>
      <c r="Z26" s="174">
        <v>0.02</v>
      </c>
      <c r="AA26" s="174">
        <v>0.6</v>
      </c>
      <c r="AB26" s="174">
        <v>975</v>
      </c>
      <c r="AC26" s="174">
        <v>840</v>
      </c>
      <c r="AD26" s="229">
        <f>Z26/AA26</f>
        <v>3.3333333333333333E-2</v>
      </c>
      <c r="AE26" s="192">
        <f>Z26*AB26*AC26</f>
        <v>16380</v>
      </c>
      <c r="AF26" s="222"/>
      <c r="AG26" s="222"/>
      <c r="AH26" s="222"/>
      <c r="AM26" s="158" t="s">
        <v>314</v>
      </c>
      <c r="AN26" s="81" t="s">
        <v>315</v>
      </c>
      <c r="AO26" s="81" t="s">
        <v>336</v>
      </c>
      <c r="AP26" s="81">
        <f>SUM(O17:O20,O25)/SUM(O$17:O$25,2*O$28,O$26)</f>
        <v>0.45912879828633407</v>
      </c>
      <c r="AQ26" s="81" t="s">
        <v>317</v>
      </c>
      <c r="AR26" s="166">
        <v>0.44339849999999997</v>
      </c>
      <c r="AV26" s="167" t="s">
        <v>314</v>
      </c>
      <c r="AW26" s="167" t="s">
        <v>315</v>
      </c>
      <c r="AX26" s="167" t="s">
        <v>336</v>
      </c>
      <c r="AY26" s="168" t="s">
        <v>318</v>
      </c>
      <c r="AZ26" s="161">
        <f>AP26</f>
        <v>0.45912879828633407</v>
      </c>
      <c r="BA26" s="167" t="s">
        <v>317</v>
      </c>
      <c r="BC26" s="81" t="s">
        <v>373</v>
      </c>
      <c r="BD26" s="81" t="s">
        <v>402</v>
      </c>
      <c r="BE26" s="166">
        <v>0.128</v>
      </c>
      <c r="BF26" s="166">
        <v>7.7800000000000005E-4</v>
      </c>
      <c r="BG26" s="81">
        <v>164.49</v>
      </c>
      <c r="BH26" s="81" t="s">
        <v>384</v>
      </c>
      <c r="BI26" s="81" t="s">
        <v>385</v>
      </c>
      <c r="BL26" s="167" t="s">
        <v>314</v>
      </c>
      <c r="BM26" s="167" t="s">
        <v>315</v>
      </c>
      <c r="BN26" s="167" t="s">
        <v>336</v>
      </c>
      <c r="BO26" s="168" t="s">
        <v>318</v>
      </c>
      <c r="BP26" s="161">
        <f>BE52</f>
        <v>0.01</v>
      </c>
      <c r="BQ26" s="167" t="s">
        <v>317</v>
      </c>
      <c r="BS26" s="81" t="s">
        <v>373</v>
      </c>
      <c r="BT26" s="81" t="s">
        <v>402</v>
      </c>
      <c r="BU26" s="166">
        <v>8.43E-2</v>
      </c>
      <c r="BV26" s="166">
        <v>2.7700000000000001E-4</v>
      </c>
      <c r="BW26" s="81">
        <v>304.67</v>
      </c>
      <c r="BX26" s="81" t="s">
        <v>420</v>
      </c>
      <c r="BY26" s="166">
        <v>2E-16</v>
      </c>
      <c r="BZ26" s="81" t="s">
        <v>385</v>
      </c>
      <c r="CA26" s="167" t="s">
        <v>314</v>
      </c>
      <c r="CB26" s="167" t="s">
        <v>315</v>
      </c>
      <c r="CC26" s="167" t="s">
        <v>337</v>
      </c>
      <c r="CD26" s="168" t="s">
        <v>318</v>
      </c>
      <c r="CE26" s="161">
        <f>BU53</f>
        <v>0.155</v>
      </c>
      <c r="CF26" s="167" t="s">
        <v>317</v>
      </c>
      <c r="CI26" s="81" t="s">
        <v>337</v>
      </c>
      <c r="CJ26" s="239">
        <f t="shared" si="1"/>
        <v>0.16981631767363287</v>
      </c>
      <c r="CK26" s="239">
        <f t="shared" si="2"/>
        <v>1.0200000000000001E-2</v>
      </c>
      <c r="CL26" s="239">
        <f t="shared" si="3"/>
        <v>0.155</v>
      </c>
      <c r="CO26" s="243" t="s">
        <v>373</v>
      </c>
      <c r="CP26" s="243" t="s">
        <v>454</v>
      </c>
      <c r="CQ26" s="244">
        <v>2.4E-10</v>
      </c>
      <c r="CR26" s="244">
        <v>3.3000000000000002E-9</v>
      </c>
      <c r="CS26" s="243">
        <v>7.0000000000000007E-2</v>
      </c>
      <c r="CT26" s="243">
        <v>0.94196000000000002</v>
      </c>
      <c r="CU26" s="244"/>
      <c r="CX26" s="246"/>
      <c r="CY26" s="246"/>
      <c r="CZ26" s="247"/>
      <c r="DC26" s="169"/>
      <c r="DD26" s="258"/>
      <c r="DE26" s="258"/>
      <c r="DF26" s="169"/>
      <c r="DG26" s="169"/>
    </row>
    <row r="27" spans="2:111" ht="15" customHeight="1" thickTop="1" thickBot="1" x14ac:dyDescent="0.3">
      <c r="B27" s="175"/>
      <c r="C27" s="191">
        <f>SUM(O6:O25)</f>
        <v>599.20000000000005</v>
      </c>
      <c r="D27" s="177" t="s">
        <v>70</v>
      </c>
      <c r="E27" s="175"/>
      <c r="F27" s="176"/>
      <c r="G27" s="176"/>
      <c r="H27" s="176"/>
      <c r="I27" s="177"/>
      <c r="K27" s="81" t="s">
        <v>101</v>
      </c>
      <c r="L27" s="208">
        <v>1</v>
      </c>
      <c r="M27" s="209">
        <v>1</v>
      </c>
      <c r="N27" s="209" t="s">
        <v>85</v>
      </c>
      <c r="O27" s="210">
        <f>SUM(O6:O9)</f>
        <v>219.86010000000002</v>
      </c>
      <c r="P27" s="211"/>
      <c r="Q27" s="30">
        <f t="shared" si="7"/>
        <v>1.330049261083744</v>
      </c>
      <c r="R27" s="30">
        <f t="shared" si="8"/>
        <v>292.42476354679809</v>
      </c>
      <c r="S27" s="30">
        <f t="shared" si="16"/>
        <v>33058164.636000004</v>
      </c>
      <c r="T27" s="30">
        <f t="shared" si="17"/>
        <v>150360</v>
      </c>
      <c r="U27" s="30">
        <f t="shared" si="18"/>
        <v>33058164.636000004</v>
      </c>
      <c r="V27" s="31"/>
      <c r="W27" s="223"/>
      <c r="AF27" s="222"/>
      <c r="AG27" s="222"/>
      <c r="AH27" s="222"/>
      <c r="AM27" s="158" t="s">
        <v>314</v>
      </c>
      <c r="AN27" s="81" t="s">
        <v>315</v>
      </c>
      <c r="AO27" s="81" t="s">
        <v>337</v>
      </c>
      <c r="AP27" s="81">
        <f>SUM(2*O28)/SUM(O$17:O$25,2*O$28,O$26)</f>
        <v>0.16981631767363287</v>
      </c>
      <c r="AQ27" s="81" t="s">
        <v>317</v>
      </c>
      <c r="AR27" s="166">
        <v>0.14522370000000001</v>
      </c>
      <c r="AV27" s="167" t="s">
        <v>314</v>
      </c>
      <c r="AW27" s="167" t="s">
        <v>315</v>
      </c>
      <c r="AX27" s="167" t="s">
        <v>337</v>
      </c>
      <c r="AY27" s="168" t="s">
        <v>318</v>
      </c>
      <c r="AZ27" s="161">
        <f t="shared" ref="AZ27:AZ28" si="21">AP27</f>
        <v>0.16981631767363287</v>
      </c>
      <c r="BA27" s="167" t="s">
        <v>317</v>
      </c>
      <c r="BC27" s="81" t="s">
        <v>373</v>
      </c>
      <c r="BD27" s="81" t="s">
        <v>403</v>
      </c>
      <c r="BE27" s="166">
        <v>0.23499999999999999</v>
      </c>
      <c r="BF27" s="166">
        <v>1.1199999999999999E-3</v>
      </c>
      <c r="BG27" s="81">
        <v>210.07</v>
      </c>
      <c r="BH27" s="81" t="s">
        <v>384</v>
      </c>
      <c r="BI27" s="81" t="s">
        <v>385</v>
      </c>
      <c r="BL27" s="167" t="s">
        <v>314</v>
      </c>
      <c r="BM27" s="167" t="s">
        <v>315</v>
      </c>
      <c r="BN27" s="167" t="s">
        <v>337</v>
      </c>
      <c r="BO27" s="168" t="s">
        <v>318</v>
      </c>
      <c r="BP27" s="161">
        <f t="shared" ref="BP27:BP28" si="22">BE53</f>
        <v>1.0200000000000001E-2</v>
      </c>
      <c r="BQ27" s="167" t="s">
        <v>317</v>
      </c>
      <c r="BS27" s="81" t="s">
        <v>373</v>
      </c>
      <c r="BT27" s="81" t="s">
        <v>403</v>
      </c>
      <c r="BU27" s="166">
        <v>0.16600000000000001</v>
      </c>
      <c r="BV27" s="166">
        <v>4.6099999999999998E-4</v>
      </c>
      <c r="BW27" s="81">
        <v>359.51</v>
      </c>
      <c r="BX27" s="81" t="s">
        <v>420</v>
      </c>
      <c r="BY27" s="166">
        <v>2E-16</v>
      </c>
      <c r="BZ27" s="81" t="s">
        <v>385</v>
      </c>
      <c r="CA27" s="167" t="s">
        <v>314</v>
      </c>
      <c r="CB27" s="167" t="s">
        <v>315</v>
      </c>
      <c r="CC27" s="167" t="s">
        <v>338</v>
      </c>
      <c r="CD27" s="168" t="s">
        <v>318</v>
      </c>
      <c r="CE27" s="161">
        <f>BU54</f>
        <v>1.06E-7</v>
      </c>
      <c r="CF27" s="167" t="s">
        <v>317</v>
      </c>
      <c r="CI27" s="81" t="s">
        <v>338</v>
      </c>
      <c r="CJ27" s="239">
        <f t="shared" si="1"/>
        <v>2.9200549896439641E-2</v>
      </c>
      <c r="CK27" s="239">
        <f t="shared" si="2"/>
        <v>0.69799999999999995</v>
      </c>
      <c r="CL27" s="239">
        <f t="shared" si="3"/>
        <v>1.06E-7</v>
      </c>
      <c r="CO27" s="243" t="s">
        <v>373</v>
      </c>
      <c r="CP27" s="243" t="s">
        <v>455</v>
      </c>
      <c r="CQ27" s="244">
        <v>4.4400000000000002E-10</v>
      </c>
      <c r="CR27" s="244">
        <v>5.52E-9</v>
      </c>
      <c r="CS27" s="243">
        <v>0.08</v>
      </c>
      <c r="CT27" s="243">
        <v>0.93584999999999996</v>
      </c>
      <c r="CU27" s="244"/>
      <c r="CW27" s="245" t="s">
        <v>460</v>
      </c>
      <c r="CX27" s="246" t="s">
        <v>325</v>
      </c>
      <c r="CY27" s="246" t="s">
        <v>318</v>
      </c>
      <c r="CZ27" s="247">
        <f>CQ32</f>
        <v>110000000</v>
      </c>
      <c r="DA27" s="245" t="s">
        <v>317</v>
      </c>
      <c r="DC27" s="169" t="s">
        <v>460</v>
      </c>
      <c r="DD27" s="258" t="s">
        <v>325</v>
      </c>
      <c r="DE27" s="258" t="s">
        <v>318</v>
      </c>
      <c r="DF27" s="262">
        <f>$AP12</f>
        <v>14901928.000000002</v>
      </c>
      <c r="DG27" s="169" t="s">
        <v>317</v>
      </c>
    </row>
    <row r="28" spans="2:111" ht="15" customHeight="1" thickTop="1" thickBot="1" x14ac:dyDescent="0.3">
      <c r="B28" s="175"/>
      <c r="C28" s="176"/>
      <c r="D28" s="177"/>
      <c r="E28" s="175"/>
      <c r="F28" s="176"/>
      <c r="G28" s="176"/>
      <c r="H28" s="176"/>
      <c r="I28" s="177"/>
      <c r="K28" s="81" t="s">
        <v>102</v>
      </c>
      <c r="L28" s="208">
        <v>2</v>
      </c>
      <c r="M28" s="209">
        <v>2</v>
      </c>
      <c r="N28" s="209" t="s">
        <v>85</v>
      </c>
      <c r="O28" s="210">
        <f>SUM(O17:O20)</f>
        <v>35.939900000000009</v>
      </c>
      <c r="P28" s="211"/>
      <c r="Q28" s="30">
        <f t="shared" si="7"/>
        <v>1.330049261083744</v>
      </c>
      <c r="R28" s="30">
        <f t="shared" si="8"/>
        <v>47.801837438423661</v>
      </c>
      <c r="S28" s="30">
        <f t="shared" si="16"/>
        <v>5403923.364000001</v>
      </c>
      <c r="T28" s="30">
        <f t="shared" si="17"/>
        <v>150360</v>
      </c>
      <c r="U28" s="30">
        <f t="shared" si="18"/>
        <v>5403923.364000001</v>
      </c>
      <c r="V28" s="31"/>
      <c r="W28" s="223"/>
      <c r="X28" s="216" t="s">
        <v>99</v>
      </c>
      <c r="Y28" s="217"/>
      <c r="Z28" s="218" t="s">
        <v>21</v>
      </c>
      <c r="AA28" s="219">
        <f>1/(1/5+SUM(AD30:AD33)+1/3)</f>
        <v>0.91717620900500274</v>
      </c>
      <c r="AB28" s="217" t="s">
        <v>5</v>
      </c>
      <c r="AC28" s="217"/>
      <c r="AD28" s="217" t="s">
        <v>22</v>
      </c>
      <c r="AE28" s="220">
        <f>SUM(AE30:AE33)</f>
        <v>57740</v>
      </c>
      <c r="AF28" s="222" t="s">
        <v>23</v>
      </c>
      <c r="AG28" s="222">
        <f>SUM(AE30:AE33)</f>
        <v>57740</v>
      </c>
      <c r="AH28" s="222"/>
      <c r="AM28" s="158" t="s">
        <v>314</v>
      </c>
      <c r="AN28" s="81" t="s">
        <v>315</v>
      </c>
      <c r="AO28" s="81" t="s">
        <v>338</v>
      </c>
      <c r="AP28" s="81">
        <f>SUM(O21:O24)/SUM(O$17:O$25,2*O$28,O$26)</f>
        <v>2.9200549896439641E-2</v>
      </c>
      <c r="AQ28" s="81" t="s">
        <v>317</v>
      </c>
      <c r="AR28" s="166">
        <v>0.13569049999999999</v>
      </c>
      <c r="AV28" s="167" t="s">
        <v>314</v>
      </c>
      <c r="AW28" s="167" t="s">
        <v>315</v>
      </c>
      <c r="AX28" s="167" t="s">
        <v>338</v>
      </c>
      <c r="AY28" s="168" t="s">
        <v>318</v>
      </c>
      <c r="AZ28" s="161">
        <f t="shared" si="21"/>
        <v>2.9200549896439641E-2</v>
      </c>
      <c r="BA28" s="167" t="s">
        <v>317</v>
      </c>
      <c r="BC28" s="81" t="s">
        <v>373</v>
      </c>
      <c r="BD28" s="81" t="s">
        <v>404</v>
      </c>
      <c r="BE28" s="166">
        <v>0.53700000000000003</v>
      </c>
      <c r="BF28" s="166">
        <v>2.6900000000000001E-3</v>
      </c>
      <c r="BG28" s="81">
        <v>199.49</v>
      </c>
      <c r="BH28" s="81" t="s">
        <v>384</v>
      </c>
      <c r="BI28" s="81" t="s">
        <v>385</v>
      </c>
      <c r="BL28" s="167" t="s">
        <v>314</v>
      </c>
      <c r="BM28" s="167" t="s">
        <v>315</v>
      </c>
      <c r="BN28" s="167" t="s">
        <v>338</v>
      </c>
      <c r="BO28" s="168" t="s">
        <v>318</v>
      </c>
      <c r="BP28" s="161">
        <f t="shared" si="22"/>
        <v>0.69799999999999995</v>
      </c>
      <c r="BQ28" s="167" t="s">
        <v>317</v>
      </c>
      <c r="BS28" s="81" t="s">
        <v>373</v>
      </c>
      <c r="BT28" s="81" t="s">
        <v>404</v>
      </c>
      <c r="BU28" s="166">
        <v>0.70499999999999996</v>
      </c>
      <c r="BV28" s="166">
        <v>6.7499999999999999E-3</v>
      </c>
      <c r="BW28" s="81">
        <v>104.45</v>
      </c>
      <c r="BX28" s="81" t="s">
        <v>420</v>
      </c>
      <c r="BY28" s="166">
        <v>2E-16</v>
      </c>
      <c r="BZ28" s="81" t="s">
        <v>385</v>
      </c>
      <c r="CA28" s="167"/>
      <c r="CB28" s="167"/>
      <c r="CC28" s="167"/>
      <c r="CD28" s="168"/>
      <c r="CE28" s="161"/>
      <c r="CF28" s="167"/>
      <c r="CJ28" s="240"/>
      <c r="CK28" s="240"/>
      <c r="CL28" s="240"/>
      <c r="CO28" s="243" t="s">
        <v>373</v>
      </c>
      <c r="CP28" s="243" t="s">
        <v>355</v>
      </c>
      <c r="CQ28" s="244">
        <v>1.92E-8</v>
      </c>
      <c r="CR28" s="244">
        <v>2.23E-7</v>
      </c>
      <c r="CS28" s="243">
        <v>0.09</v>
      </c>
      <c r="CT28" s="243">
        <v>0.93133999999999995</v>
      </c>
      <c r="CW28" s="245" t="s">
        <v>460</v>
      </c>
      <c r="CX28" s="249" t="s">
        <v>322</v>
      </c>
      <c r="CY28" s="246" t="s">
        <v>318</v>
      </c>
      <c r="CZ28" s="247">
        <f t="shared" ref="CZ28:CZ30" si="23">CQ33</f>
        <v>10200000</v>
      </c>
      <c r="DA28" s="245" t="s">
        <v>317</v>
      </c>
      <c r="DC28" s="169" t="s">
        <v>460</v>
      </c>
      <c r="DD28" s="260" t="s">
        <v>322</v>
      </c>
      <c r="DE28" s="258" t="s">
        <v>318</v>
      </c>
      <c r="DF28" s="262">
        <f>$AP9</f>
        <v>1940369.480716846</v>
      </c>
      <c r="DG28" s="169" t="s">
        <v>317</v>
      </c>
    </row>
    <row r="29" spans="2:111" ht="15" customHeight="1" thickTop="1" thickBot="1" x14ac:dyDescent="0.3">
      <c r="B29" s="175"/>
      <c r="C29" s="176"/>
      <c r="D29" s="177"/>
      <c r="E29" s="175"/>
      <c r="F29" s="176"/>
      <c r="G29" s="176"/>
      <c r="H29" s="176"/>
      <c r="I29" s="177"/>
      <c r="L29" s="213"/>
      <c r="M29" s="214"/>
      <c r="N29" s="214"/>
      <c r="O29" s="214"/>
      <c r="P29" s="215"/>
      <c r="X29" s="224"/>
      <c r="Y29" s="225" t="s">
        <v>27</v>
      </c>
      <c r="Z29" s="225" t="s">
        <v>28</v>
      </c>
      <c r="AA29" s="225" t="s">
        <v>29</v>
      </c>
      <c r="AB29" s="225" t="s">
        <v>30</v>
      </c>
      <c r="AC29" s="225" t="s">
        <v>31</v>
      </c>
      <c r="AD29" s="225" t="s">
        <v>32</v>
      </c>
      <c r="AE29" s="226" t="s">
        <v>33</v>
      </c>
      <c r="AF29" s="222"/>
      <c r="AG29" s="222"/>
      <c r="AH29" s="222"/>
      <c r="AQ29" s="81" t="s">
        <v>317</v>
      </c>
      <c r="AV29" s="167"/>
      <c r="AW29" s="167"/>
      <c r="AX29" s="167"/>
      <c r="AY29" s="168"/>
      <c r="BA29" s="167"/>
      <c r="BC29" s="81" t="s">
        <v>373</v>
      </c>
      <c r="BD29" s="81" t="s">
        <v>405</v>
      </c>
      <c r="BE29" s="166">
        <v>7.7399999999999997E-2</v>
      </c>
      <c r="BF29" s="166">
        <v>7.9799999999999999E-4</v>
      </c>
      <c r="BG29" s="81">
        <v>97</v>
      </c>
      <c r="BH29" s="81" t="s">
        <v>384</v>
      </c>
      <c r="BI29" s="81" t="s">
        <v>385</v>
      </c>
      <c r="BL29" s="167"/>
      <c r="BM29" s="167"/>
      <c r="BN29" s="167"/>
      <c r="BO29" s="168"/>
      <c r="BP29" s="161"/>
      <c r="BQ29" s="167"/>
      <c r="BS29" s="81" t="s">
        <v>373</v>
      </c>
      <c r="BT29" s="81" t="s">
        <v>405</v>
      </c>
      <c r="BU29" s="166">
        <v>5.57E-2</v>
      </c>
      <c r="BV29" s="166">
        <v>1.2400000000000001E-4</v>
      </c>
      <c r="BW29" s="81">
        <v>449.16</v>
      </c>
      <c r="BX29" s="81" t="s">
        <v>420</v>
      </c>
      <c r="BY29" s="166">
        <v>2E-16</v>
      </c>
      <c r="BZ29" s="81" t="s">
        <v>385</v>
      </c>
      <c r="CA29" s="167" t="s">
        <v>314</v>
      </c>
      <c r="CB29" s="167" t="s">
        <v>315</v>
      </c>
      <c r="CC29" s="167" t="s">
        <v>339</v>
      </c>
      <c r="CD29" s="168" t="s">
        <v>318</v>
      </c>
      <c r="CE29" s="161">
        <f>BU57</f>
        <v>1010000</v>
      </c>
      <c r="CF29" s="167" t="s">
        <v>317</v>
      </c>
      <c r="CI29" s="81" t="s">
        <v>339</v>
      </c>
      <c r="CJ29" s="241">
        <f t="shared" si="1"/>
        <v>2090628.9192831542</v>
      </c>
      <c r="CK29" s="241">
        <f t="shared" si="2"/>
        <v>3800000</v>
      </c>
      <c r="CL29" s="241">
        <f t="shared" si="3"/>
        <v>1010000</v>
      </c>
      <c r="CO29" s="243" t="s">
        <v>373</v>
      </c>
      <c r="CP29" s="243" t="s">
        <v>456</v>
      </c>
      <c r="CQ29" s="244">
        <v>4.4800000000000003E-11</v>
      </c>
      <c r="CR29" s="244">
        <v>4.9099999999999996E-10</v>
      </c>
      <c r="CS29" s="243">
        <v>0.09</v>
      </c>
      <c r="CT29" s="243">
        <v>0.92732000000000003</v>
      </c>
      <c r="CU29" s="244"/>
      <c r="CW29" s="245" t="s">
        <v>460</v>
      </c>
      <c r="CX29" s="249" t="s">
        <v>323</v>
      </c>
      <c r="CY29" s="246" t="s">
        <v>318</v>
      </c>
      <c r="CZ29" s="247">
        <f t="shared" si="23"/>
        <v>59900000</v>
      </c>
      <c r="DA29" s="245" t="s">
        <v>317</v>
      </c>
      <c r="DC29" s="169" t="s">
        <v>460</v>
      </c>
      <c r="DD29" s="260" t="s">
        <v>323</v>
      </c>
      <c r="DE29" s="258" t="s">
        <v>318</v>
      </c>
      <c r="DF29" s="262">
        <f>$AP10</f>
        <v>89016957.288000003</v>
      </c>
      <c r="DG29" s="169" t="s">
        <v>317</v>
      </c>
    </row>
    <row r="30" spans="2:111" ht="15" customHeight="1" thickTop="1" thickBot="1" x14ac:dyDescent="0.3">
      <c r="B30" s="187"/>
      <c r="C30" s="174"/>
      <c r="D30" s="192"/>
      <c r="E30" s="187"/>
      <c r="F30" s="174"/>
      <c r="G30" s="174"/>
      <c r="H30" s="174"/>
      <c r="I30" s="192"/>
      <c r="L30" s="81"/>
      <c r="M30" s="81"/>
      <c r="N30" s="81"/>
      <c r="Q30" s="81"/>
      <c r="R30" s="81"/>
      <c r="X30" s="181"/>
      <c r="Y30" s="182" t="s">
        <v>103</v>
      </c>
      <c r="Z30" s="182">
        <v>0.02</v>
      </c>
      <c r="AA30" s="182">
        <v>0.11</v>
      </c>
      <c r="AB30" s="182">
        <v>550</v>
      </c>
      <c r="AC30" s="182">
        <v>1880</v>
      </c>
      <c r="AD30" s="231">
        <f>Z30/AA30</f>
        <v>0.18181818181818182</v>
      </c>
      <c r="AE30" s="232">
        <f>Z30*AB30*AC30</f>
        <v>20680</v>
      </c>
      <c r="AF30" s="222" t="s">
        <v>104</v>
      </c>
      <c r="AG30" s="222"/>
      <c r="AH30" s="222"/>
      <c r="AM30" s="158" t="s">
        <v>314</v>
      </c>
      <c r="AN30" s="81" t="s">
        <v>315</v>
      </c>
      <c r="AO30" s="81" t="s">
        <v>339</v>
      </c>
      <c r="AP30" s="166">
        <f>C35*1.04*1012*5</f>
        <v>2090628.9192831542</v>
      </c>
      <c r="AQ30" s="81" t="s">
        <v>317</v>
      </c>
      <c r="AR30" s="166">
        <v>1612741</v>
      </c>
      <c r="AV30" s="167" t="s">
        <v>314</v>
      </c>
      <c r="AW30" s="167" t="s">
        <v>315</v>
      </c>
      <c r="AX30" s="167" t="s">
        <v>339</v>
      </c>
      <c r="AY30" s="168" t="s">
        <v>318</v>
      </c>
      <c r="AZ30" s="161">
        <f>AP30</f>
        <v>2090628.9192831542</v>
      </c>
      <c r="BA30" s="167" t="s">
        <v>317</v>
      </c>
      <c r="BC30" s="81" t="s">
        <v>373</v>
      </c>
      <c r="BD30" s="81" t="s">
        <v>406</v>
      </c>
      <c r="BE30" s="166">
        <v>1.9E-2</v>
      </c>
      <c r="BF30" s="166">
        <v>6.78E-4</v>
      </c>
      <c r="BG30" s="81">
        <v>27.98</v>
      </c>
      <c r="BH30" s="81" t="s">
        <v>384</v>
      </c>
      <c r="BI30" s="81" t="s">
        <v>385</v>
      </c>
      <c r="BL30" s="167" t="s">
        <v>314</v>
      </c>
      <c r="BM30" s="167" t="s">
        <v>315</v>
      </c>
      <c r="BN30" s="167" t="s">
        <v>339</v>
      </c>
      <c r="BO30" s="168" t="s">
        <v>318</v>
      </c>
      <c r="BP30" s="161">
        <f>BE57</f>
        <v>3800000</v>
      </c>
      <c r="BQ30" s="167" t="s">
        <v>317</v>
      </c>
      <c r="BS30" s="81" t="s">
        <v>373</v>
      </c>
      <c r="BT30" s="81" t="s">
        <v>406</v>
      </c>
      <c r="BU30" s="166">
        <v>2.69E-2</v>
      </c>
      <c r="BV30" s="166">
        <v>1.16E-4</v>
      </c>
      <c r="BW30" s="81">
        <v>233.23</v>
      </c>
      <c r="BX30" s="81" t="s">
        <v>420</v>
      </c>
      <c r="BY30" s="166">
        <v>2E-16</v>
      </c>
      <c r="BZ30" s="81" t="s">
        <v>385</v>
      </c>
      <c r="CA30" s="167" t="s">
        <v>314</v>
      </c>
      <c r="CB30" s="167" t="s">
        <v>315</v>
      </c>
      <c r="CC30" s="167" t="s">
        <v>340</v>
      </c>
      <c r="CD30" s="168" t="s">
        <v>318</v>
      </c>
      <c r="CE30" s="161">
        <f>BU58</f>
        <v>36900000</v>
      </c>
      <c r="CF30" s="167" t="s">
        <v>317</v>
      </c>
      <c r="CI30" s="81" t="s">
        <v>340</v>
      </c>
      <c r="CJ30" s="241">
        <f t="shared" si="1"/>
        <v>21240578.712000005</v>
      </c>
      <c r="CK30" s="241">
        <f t="shared" si="2"/>
        <v>78400000</v>
      </c>
      <c r="CL30" s="241">
        <f t="shared" si="3"/>
        <v>36900000</v>
      </c>
      <c r="CO30" s="243" t="s">
        <v>373</v>
      </c>
      <c r="CP30" s="243" t="s">
        <v>457</v>
      </c>
      <c r="CQ30" s="244">
        <v>1.6699999999999999E-10</v>
      </c>
      <c r="CR30" s="244">
        <v>2.1900000000000001E-9</v>
      </c>
      <c r="CS30" s="243">
        <v>0.08</v>
      </c>
      <c r="CT30" s="243">
        <v>0.93927000000000005</v>
      </c>
      <c r="CU30" s="244"/>
      <c r="CW30" s="245" t="s">
        <v>460</v>
      </c>
      <c r="CX30" s="249" t="s">
        <v>324</v>
      </c>
      <c r="CY30" s="246" t="s">
        <v>318</v>
      </c>
      <c r="CZ30" s="247">
        <f t="shared" si="23"/>
        <v>26300000</v>
      </c>
      <c r="DA30" s="245" t="s">
        <v>317</v>
      </c>
      <c r="DC30" s="169" t="s">
        <v>460</v>
      </c>
      <c r="DD30" s="260" t="s">
        <v>324</v>
      </c>
      <c r="DE30" s="258" t="s">
        <v>318</v>
      </c>
      <c r="DF30" s="262">
        <f>$AP11</f>
        <v>16529082.318000002</v>
      </c>
      <c r="DG30" s="169" t="s">
        <v>317</v>
      </c>
    </row>
    <row r="31" spans="2:111" ht="15" customHeight="1" thickTop="1" thickBot="1" x14ac:dyDescent="0.3">
      <c r="L31" s="81"/>
      <c r="M31" s="81"/>
      <c r="N31" s="81"/>
      <c r="Q31" s="69" t="s">
        <v>106</v>
      </c>
      <c r="R31" s="70">
        <f>SUM(R4:R13)+R14*0.5+SUM(R17:R25)+R16</f>
        <v>256.69099110777347</v>
      </c>
      <c r="S31" s="69" t="s">
        <v>107</v>
      </c>
      <c r="X31" s="175"/>
      <c r="Y31" s="176" t="s">
        <v>105</v>
      </c>
      <c r="Z31" s="176">
        <v>0.1</v>
      </c>
      <c r="AA31" s="176"/>
      <c r="AB31" s="176"/>
      <c r="AC31" s="176"/>
      <c r="AD31" s="227">
        <v>0.16</v>
      </c>
      <c r="AE31" s="177">
        <f>Z31*AB31*AC31</f>
        <v>0</v>
      </c>
      <c r="AF31" s="222"/>
      <c r="AG31" s="222"/>
      <c r="AH31" s="222"/>
      <c r="AM31" s="158" t="s">
        <v>314</v>
      </c>
      <c r="AN31" s="81" t="s">
        <v>315</v>
      </c>
      <c r="AO31" s="81" t="s">
        <v>340</v>
      </c>
      <c r="AP31" s="166">
        <f>U25+SUM(U17:U20)</f>
        <v>21240578.712000005</v>
      </c>
      <c r="AQ31" s="81" t="s">
        <v>317</v>
      </c>
      <c r="AR31" s="166">
        <v>6867267</v>
      </c>
      <c r="AV31" s="167" t="s">
        <v>314</v>
      </c>
      <c r="AW31" s="167" t="s">
        <v>315</v>
      </c>
      <c r="AX31" s="167" t="s">
        <v>340</v>
      </c>
      <c r="AY31" s="168" t="s">
        <v>318</v>
      </c>
      <c r="AZ31" s="161">
        <f t="shared" ref="AZ31:AZ35" si="24">AP31</f>
        <v>21240578.712000005</v>
      </c>
      <c r="BA31" s="167" t="s">
        <v>317</v>
      </c>
      <c r="BC31" s="81" t="s">
        <v>373</v>
      </c>
      <c r="BD31" s="81" t="s">
        <v>407</v>
      </c>
      <c r="BE31" s="166">
        <v>958</v>
      </c>
      <c r="BF31" s="166">
        <v>7.5</v>
      </c>
      <c r="BG31" s="81">
        <v>127.81</v>
      </c>
      <c r="BH31" s="81" t="s">
        <v>384</v>
      </c>
      <c r="BI31" s="81" t="s">
        <v>385</v>
      </c>
      <c r="BL31" s="167" t="s">
        <v>314</v>
      </c>
      <c r="BM31" s="167" t="s">
        <v>315</v>
      </c>
      <c r="BN31" s="167" t="s">
        <v>340</v>
      </c>
      <c r="BO31" s="168" t="s">
        <v>318</v>
      </c>
      <c r="BP31" s="161">
        <f t="shared" ref="BP31:BP32" si="25">BE58</f>
        <v>78400000</v>
      </c>
      <c r="BQ31" s="167" t="s">
        <v>317</v>
      </c>
      <c r="BS31" s="81" t="s">
        <v>373</v>
      </c>
      <c r="BT31" s="81" t="s">
        <v>407</v>
      </c>
      <c r="BU31" s="166">
        <v>504</v>
      </c>
      <c r="BV31" s="166">
        <v>1.76</v>
      </c>
      <c r="BW31" s="81">
        <v>287.24</v>
      </c>
      <c r="BX31" s="81" t="s">
        <v>420</v>
      </c>
      <c r="BY31" s="166">
        <v>2E-16</v>
      </c>
      <c r="BZ31" s="81" t="s">
        <v>385</v>
      </c>
      <c r="CA31" s="167" t="s">
        <v>314</v>
      </c>
      <c r="CB31" s="167" t="s">
        <v>315</v>
      </c>
      <c r="CC31" s="167" t="s">
        <v>341</v>
      </c>
      <c r="CD31" s="168" t="s">
        <v>318</v>
      </c>
      <c r="CE31" s="161">
        <f>BU59</f>
        <v>46000000</v>
      </c>
      <c r="CF31" s="167" t="s">
        <v>317</v>
      </c>
      <c r="CI31" s="81" t="s">
        <v>341</v>
      </c>
      <c r="CJ31" s="241">
        <f t="shared" si="1"/>
        <v>2701961.6820000005</v>
      </c>
      <c r="CK31" s="241">
        <f t="shared" si="2"/>
        <v>12500000</v>
      </c>
      <c r="CL31" s="241">
        <f t="shared" si="3"/>
        <v>46000000</v>
      </c>
      <c r="CO31" s="243" t="s">
        <v>373</v>
      </c>
      <c r="CP31" s="243" t="s">
        <v>303</v>
      </c>
      <c r="CQ31" s="244">
        <v>233000000</v>
      </c>
      <c r="CR31" s="244">
        <v>12500000</v>
      </c>
      <c r="CS31" s="243">
        <v>18.71</v>
      </c>
      <c r="CT31" s="244" t="s">
        <v>420</v>
      </c>
      <c r="CU31" s="244">
        <v>2E-16</v>
      </c>
      <c r="CV31" s="81" t="s">
        <v>385</v>
      </c>
      <c r="CY31" s="246"/>
      <c r="DC31" s="169"/>
      <c r="DD31" s="169"/>
      <c r="DE31" s="258"/>
      <c r="DF31" s="169"/>
      <c r="DG31" s="169"/>
    </row>
    <row r="32" spans="2:111" ht="15" customHeight="1" thickTop="1" thickBot="1" x14ac:dyDescent="0.3">
      <c r="L32" s="81"/>
      <c r="M32" s="81"/>
      <c r="N32" s="81"/>
      <c r="Q32" s="81"/>
      <c r="R32" s="81">
        <f>H4*Z37</f>
        <v>19.364000000000001</v>
      </c>
      <c r="X32" s="175"/>
      <c r="Y32" s="176" t="s">
        <v>108</v>
      </c>
      <c r="Z32" s="176">
        <v>0.02</v>
      </c>
      <c r="AA32" s="176">
        <v>0.11</v>
      </c>
      <c r="AB32" s="176">
        <v>550</v>
      </c>
      <c r="AC32" s="176">
        <v>1880</v>
      </c>
      <c r="AD32" s="227">
        <f>Z32/AA32</f>
        <v>0.18181818181818182</v>
      </c>
      <c r="AE32" s="177">
        <f>Z32*AB32*AC32</f>
        <v>20680</v>
      </c>
      <c r="AF32" s="222"/>
      <c r="AG32" s="222"/>
      <c r="AH32" s="222"/>
      <c r="AM32" s="158" t="s">
        <v>314</v>
      </c>
      <c r="AN32" s="81" t="s">
        <v>315</v>
      </c>
      <c r="AO32" s="81" t="s">
        <v>341</v>
      </c>
      <c r="AP32" s="166">
        <f>SUM(U28,U31)/2</f>
        <v>2701961.6820000005</v>
      </c>
      <c r="AQ32" s="81" t="s">
        <v>317</v>
      </c>
      <c r="AR32" s="166">
        <v>4590824</v>
      </c>
      <c r="AV32" s="167" t="s">
        <v>314</v>
      </c>
      <c r="AW32" s="167" t="s">
        <v>315</v>
      </c>
      <c r="AX32" s="167" t="s">
        <v>341</v>
      </c>
      <c r="AY32" s="168" t="s">
        <v>318</v>
      </c>
      <c r="AZ32" s="161">
        <f t="shared" si="24"/>
        <v>2701961.6820000005</v>
      </c>
      <c r="BA32" s="167" t="s">
        <v>317</v>
      </c>
      <c r="BC32" s="81" t="s">
        <v>373</v>
      </c>
      <c r="BD32" s="81" t="s">
        <v>408</v>
      </c>
      <c r="BE32" s="166">
        <v>737</v>
      </c>
      <c r="BF32" s="166">
        <v>8.3800000000000008</v>
      </c>
      <c r="BG32" s="81">
        <v>87.98</v>
      </c>
      <c r="BH32" s="81" t="s">
        <v>384</v>
      </c>
      <c r="BI32" s="81" t="s">
        <v>385</v>
      </c>
      <c r="BL32" s="167" t="s">
        <v>314</v>
      </c>
      <c r="BM32" s="167" t="s">
        <v>315</v>
      </c>
      <c r="BN32" s="167" t="s">
        <v>341</v>
      </c>
      <c r="BO32" s="168" t="s">
        <v>318</v>
      </c>
      <c r="BP32" s="161">
        <f t="shared" si="25"/>
        <v>12500000</v>
      </c>
      <c r="BQ32" s="167" t="s">
        <v>317</v>
      </c>
      <c r="BS32" s="81" t="s">
        <v>373</v>
      </c>
      <c r="BT32" s="81" t="s">
        <v>408</v>
      </c>
      <c r="BU32" s="166">
        <v>196</v>
      </c>
      <c r="BV32" s="166">
        <v>0.8</v>
      </c>
      <c r="BW32" s="81">
        <v>245.27</v>
      </c>
      <c r="BX32" s="81" t="s">
        <v>420</v>
      </c>
      <c r="BY32" s="166">
        <v>2E-16</v>
      </c>
      <c r="BZ32" s="81" t="s">
        <v>385</v>
      </c>
      <c r="CA32" s="167" t="s">
        <v>314</v>
      </c>
      <c r="CB32" s="167" t="s">
        <v>315</v>
      </c>
      <c r="CC32" s="167" t="s">
        <v>342</v>
      </c>
      <c r="CD32" s="168" t="s">
        <v>318</v>
      </c>
      <c r="CE32" s="161">
        <f>BU64</f>
        <v>0.16</v>
      </c>
      <c r="CF32" s="167" t="s">
        <v>317</v>
      </c>
      <c r="CI32" s="81" t="s">
        <v>342</v>
      </c>
      <c r="CJ32" s="239">
        <f t="shared" si="1"/>
        <v>0.13773863948590021</v>
      </c>
      <c r="CK32" s="239">
        <f t="shared" si="2"/>
        <v>1.6E-2</v>
      </c>
      <c r="CL32" s="239">
        <f t="shared" si="3"/>
        <v>0.16</v>
      </c>
      <c r="CO32" s="243" t="s">
        <v>373</v>
      </c>
      <c r="CP32" s="243" t="s">
        <v>299</v>
      </c>
      <c r="CQ32" s="244">
        <v>110000000</v>
      </c>
      <c r="CR32" s="244">
        <v>14500000</v>
      </c>
      <c r="CS32" s="243">
        <v>7.58</v>
      </c>
      <c r="CT32" s="244">
        <v>3.8000000000000002E-14</v>
      </c>
      <c r="CU32" s="243" t="s">
        <v>385</v>
      </c>
      <c r="CW32" s="245" t="s">
        <v>460</v>
      </c>
      <c r="CX32" s="249" t="s">
        <v>481</v>
      </c>
      <c r="CY32" s="246" t="s">
        <v>318</v>
      </c>
      <c r="CZ32" s="247">
        <f>CQ46</f>
        <v>673</v>
      </c>
      <c r="DA32" s="245" t="s">
        <v>317</v>
      </c>
      <c r="DB32" s="166"/>
      <c r="DC32" s="169" t="s">
        <v>460</v>
      </c>
      <c r="DD32" s="260" t="s">
        <v>330</v>
      </c>
      <c r="DE32" s="258" t="s">
        <v>318</v>
      </c>
      <c r="DF32" s="169">
        <f>$AP19</f>
        <v>430.58654599406532</v>
      </c>
      <c r="DG32" s="169" t="s">
        <v>317</v>
      </c>
    </row>
    <row r="33" spans="2:111" ht="15" customHeight="1" thickTop="1" thickBot="1" x14ac:dyDescent="0.3">
      <c r="B33" s="72" t="s">
        <v>109</v>
      </c>
      <c r="C33" s="72" t="s">
        <v>110</v>
      </c>
      <c r="D33" s="72"/>
      <c r="E33" s="72" t="s">
        <v>111</v>
      </c>
      <c r="F33" s="274" t="s">
        <v>112</v>
      </c>
      <c r="G33" s="274"/>
      <c r="H33" s="72" t="s">
        <v>113</v>
      </c>
      <c r="L33" s="81"/>
      <c r="M33" s="81"/>
      <c r="N33" s="81"/>
      <c r="Q33" s="81"/>
      <c r="R33" s="81"/>
      <c r="X33" s="187"/>
      <c r="Y33" s="174" t="s">
        <v>80</v>
      </c>
      <c r="Z33" s="174">
        <v>0.02</v>
      </c>
      <c r="AA33" s="174">
        <v>0.6</v>
      </c>
      <c r="AB33" s="174">
        <v>975</v>
      </c>
      <c r="AC33" s="174">
        <v>840</v>
      </c>
      <c r="AD33" s="229">
        <f>Z33/AA33</f>
        <v>3.3333333333333333E-2</v>
      </c>
      <c r="AE33" s="192">
        <f>Z33*AB33*AC33</f>
        <v>16380</v>
      </c>
      <c r="AF33" s="222"/>
      <c r="AG33" s="222"/>
      <c r="AH33" s="222"/>
      <c r="AM33" s="158" t="s">
        <v>314</v>
      </c>
      <c r="AN33" s="81" t="s">
        <v>315</v>
      </c>
      <c r="AO33" s="81" t="s">
        <v>342</v>
      </c>
      <c r="AP33" s="81">
        <f>AP26*0.3</f>
        <v>0.13773863948590021</v>
      </c>
      <c r="AQ33" s="81" t="s">
        <v>317</v>
      </c>
      <c r="AR33" s="166">
        <v>0.1616958</v>
      </c>
      <c r="AV33" s="167" t="s">
        <v>314</v>
      </c>
      <c r="AW33" s="167" t="s">
        <v>315</v>
      </c>
      <c r="AX33" s="167" t="s">
        <v>342</v>
      </c>
      <c r="AY33" s="168" t="s">
        <v>318</v>
      </c>
      <c r="AZ33" s="161">
        <f t="shared" si="24"/>
        <v>0.13773863948590021</v>
      </c>
      <c r="BA33" s="167" t="s">
        <v>317</v>
      </c>
      <c r="BC33" s="81" t="s">
        <v>373</v>
      </c>
      <c r="BD33" s="81" t="s">
        <v>290</v>
      </c>
      <c r="BE33" s="166">
        <v>2190</v>
      </c>
      <c r="BF33" s="166">
        <v>10.6</v>
      </c>
      <c r="BG33" s="81">
        <v>207.31</v>
      </c>
      <c r="BH33" s="81" t="s">
        <v>384</v>
      </c>
      <c r="BI33" s="81" t="s">
        <v>385</v>
      </c>
      <c r="BL33" s="167" t="s">
        <v>314</v>
      </c>
      <c r="BM33" s="167" t="s">
        <v>315</v>
      </c>
      <c r="BN33" s="167" t="s">
        <v>342</v>
      </c>
      <c r="BO33" s="168" t="s">
        <v>318</v>
      </c>
      <c r="BP33" s="161">
        <f>BE64</f>
        <v>1.6E-2</v>
      </c>
      <c r="BQ33" s="167" t="s">
        <v>317</v>
      </c>
      <c r="BS33" s="81" t="s">
        <v>373</v>
      </c>
      <c r="BT33" s="81" t="s">
        <v>290</v>
      </c>
      <c r="BU33" s="166">
        <v>663</v>
      </c>
      <c r="BV33" s="166">
        <v>3.82</v>
      </c>
      <c r="BW33" s="81">
        <v>173.62</v>
      </c>
      <c r="BX33" s="81" t="s">
        <v>420</v>
      </c>
      <c r="BY33" s="166">
        <v>2E-16</v>
      </c>
      <c r="BZ33" s="81" t="s">
        <v>385</v>
      </c>
      <c r="CA33" s="167" t="s">
        <v>314</v>
      </c>
      <c r="CB33" s="167" t="s">
        <v>315</v>
      </c>
      <c r="CC33" s="167" t="s">
        <v>343</v>
      </c>
      <c r="CD33" s="168" t="s">
        <v>318</v>
      </c>
      <c r="CE33" s="161">
        <f>BU65</f>
        <v>5.7200000000000001E-2</v>
      </c>
      <c r="CF33" s="167" t="s">
        <v>317</v>
      </c>
      <c r="CI33" s="81" t="s">
        <v>343</v>
      </c>
      <c r="CJ33" s="239">
        <f t="shared" si="1"/>
        <v>5.0944895302089857E-2</v>
      </c>
      <c r="CK33" s="239">
        <f t="shared" si="2"/>
        <v>4.2999999999999997E-2</v>
      </c>
      <c r="CL33" s="239">
        <f t="shared" si="3"/>
        <v>5.7200000000000001E-2</v>
      </c>
      <c r="CO33" s="243" t="s">
        <v>373</v>
      </c>
      <c r="CP33" s="243" t="s">
        <v>395</v>
      </c>
      <c r="CQ33" s="244">
        <v>10200000</v>
      </c>
      <c r="CR33" s="244">
        <v>224000</v>
      </c>
      <c r="CS33" s="243">
        <v>45.77</v>
      </c>
      <c r="CT33" s="243" t="s">
        <v>420</v>
      </c>
      <c r="CU33" s="244">
        <v>2E-16</v>
      </c>
      <c r="CV33" s="81" t="s">
        <v>385</v>
      </c>
      <c r="CW33" s="245" t="s">
        <v>460</v>
      </c>
      <c r="CX33" s="249" t="s">
        <v>331</v>
      </c>
      <c r="CY33" s="246" t="s">
        <v>318</v>
      </c>
      <c r="CZ33" s="247">
        <f t="shared" ref="CZ33:CZ35" si="26">CQ47</f>
        <v>271</v>
      </c>
      <c r="DA33" s="245" t="s">
        <v>317</v>
      </c>
      <c r="DC33" s="169" t="s">
        <v>460</v>
      </c>
      <c r="DD33" s="260" t="s">
        <v>331</v>
      </c>
      <c r="DE33" s="258" t="s">
        <v>318</v>
      </c>
      <c r="DF33" s="169">
        <f>$AP20</f>
        <v>279.2376237623763</v>
      </c>
      <c r="DG33" s="169" t="s">
        <v>317</v>
      </c>
    </row>
    <row r="34" spans="2:111" ht="15" customHeight="1" thickTop="1" thickBot="1" x14ac:dyDescent="0.3">
      <c r="B34" s="73">
        <v>1</v>
      </c>
      <c r="C34" s="74">
        <f>C7*C39</f>
        <v>368.72329749103943</v>
      </c>
      <c r="D34" s="73"/>
      <c r="E34" s="73" t="s">
        <v>42</v>
      </c>
      <c r="F34" s="275">
        <v>21</v>
      </c>
      <c r="G34" s="275"/>
      <c r="H34" s="76">
        <f>VLOOKUP(E34,B6:C22,2,0)</f>
        <v>134.30000000000001</v>
      </c>
      <c r="L34" s="81"/>
      <c r="M34" s="81"/>
      <c r="N34" s="81"/>
      <c r="Q34" s="81"/>
      <c r="R34" s="81"/>
      <c r="Z34" s="221" t="s">
        <v>4</v>
      </c>
      <c r="AA34" s="221">
        <v>5</v>
      </c>
      <c r="AB34" s="221" t="s">
        <v>5</v>
      </c>
      <c r="AF34" s="222"/>
      <c r="AG34" s="222"/>
      <c r="AH34" s="222"/>
      <c r="AM34" s="158" t="s">
        <v>314</v>
      </c>
      <c r="AN34" s="81" t="s">
        <v>315</v>
      </c>
      <c r="AO34" s="81" t="s">
        <v>343</v>
      </c>
      <c r="AP34" s="81">
        <f>AP27*0.3</f>
        <v>5.0944895302089857E-2</v>
      </c>
      <c r="AQ34" s="81" t="s">
        <v>317</v>
      </c>
      <c r="AR34" s="81" t="s">
        <v>344</v>
      </c>
      <c r="AV34" s="167" t="s">
        <v>314</v>
      </c>
      <c r="AW34" s="167" t="s">
        <v>315</v>
      </c>
      <c r="AX34" s="167" t="s">
        <v>343</v>
      </c>
      <c r="AY34" s="168" t="s">
        <v>318</v>
      </c>
      <c r="AZ34" s="161">
        <f t="shared" si="24"/>
        <v>5.0944895302089857E-2</v>
      </c>
      <c r="BA34" s="167" t="s">
        <v>317</v>
      </c>
      <c r="BC34" s="81" t="s">
        <v>373</v>
      </c>
      <c r="BD34" s="81" t="s">
        <v>120</v>
      </c>
      <c r="BE34" s="166">
        <v>251</v>
      </c>
      <c r="BF34" s="166">
        <v>1.35</v>
      </c>
      <c r="BG34" s="81">
        <v>186.02</v>
      </c>
      <c r="BH34" s="81" t="s">
        <v>384</v>
      </c>
      <c r="BI34" s="81" t="s">
        <v>385</v>
      </c>
      <c r="BL34" s="167" t="s">
        <v>314</v>
      </c>
      <c r="BM34" s="167" t="s">
        <v>315</v>
      </c>
      <c r="BN34" s="167" t="s">
        <v>343</v>
      </c>
      <c r="BO34" s="168" t="s">
        <v>318</v>
      </c>
      <c r="BP34" s="161">
        <f t="shared" ref="BP34:BP35" si="27">BE65</f>
        <v>4.2999999999999997E-2</v>
      </c>
      <c r="BQ34" s="167" t="s">
        <v>317</v>
      </c>
      <c r="BS34" s="81" t="s">
        <v>373</v>
      </c>
      <c r="BT34" s="81" t="s">
        <v>120</v>
      </c>
      <c r="BU34" s="166">
        <v>308</v>
      </c>
      <c r="BV34" s="166">
        <v>5.59</v>
      </c>
      <c r="BW34" s="81">
        <v>55.08</v>
      </c>
      <c r="BX34" s="81" t="s">
        <v>420</v>
      </c>
      <c r="BY34" s="166">
        <v>2E-16</v>
      </c>
      <c r="BZ34" s="81" t="s">
        <v>385</v>
      </c>
      <c r="CA34" s="167" t="s">
        <v>314</v>
      </c>
      <c r="CB34" s="167" t="s">
        <v>315</v>
      </c>
      <c r="CC34" s="167" t="s">
        <v>345</v>
      </c>
      <c r="CD34" s="168" t="s">
        <v>318</v>
      </c>
      <c r="CE34" s="161">
        <f>BU66</f>
        <v>0.38300000000000001</v>
      </c>
      <c r="CF34" s="167" t="s">
        <v>317</v>
      </c>
      <c r="CI34" s="81" t="s">
        <v>345</v>
      </c>
      <c r="CJ34" s="239">
        <f t="shared" si="1"/>
        <v>0.70876016496893179</v>
      </c>
      <c r="CK34" s="239">
        <f t="shared" si="2"/>
        <v>0.73</v>
      </c>
      <c r="CL34" s="239">
        <f t="shared" si="3"/>
        <v>0.38300000000000001</v>
      </c>
      <c r="CO34" s="243" t="s">
        <v>373</v>
      </c>
      <c r="CP34" s="243" t="s">
        <v>296</v>
      </c>
      <c r="CQ34" s="244">
        <v>59900000</v>
      </c>
      <c r="CR34" s="244">
        <v>1320000</v>
      </c>
      <c r="CS34" s="243">
        <v>45.52</v>
      </c>
      <c r="CT34" s="243" t="s">
        <v>420</v>
      </c>
      <c r="CU34" s="244">
        <v>2E-16</v>
      </c>
      <c r="CV34" s="81" t="s">
        <v>385</v>
      </c>
      <c r="CW34" s="245" t="s">
        <v>460</v>
      </c>
      <c r="CX34" s="250" t="s">
        <v>332</v>
      </c>
      <c r="CY34" s="246" t="s">
        <v>318</v>
      </c>
      <c r="CZ34" s="247">
        <f t="shared" si="26"/>
        <v>911</v>
      </c>
      <c r="DA34" s="245" t="s">
        <v>317</v>
      </c>
      <c r="DC34" s="169" t="s">
        <v>460</v>
      </c>
      <c r="DD34" s="261" t="s">
        <v>332</v>
      </c>
      <c r="DE34" s="258" t="s">
        <v>318</v>
      </c>
      <c r="DF34" s="169">
        <f>$AP21</f>
        <v>584.84952709359618</v>
      </c>
      <c r="DG34" s="169" t="s">
        <v>317</v>
      </c>
    </row>
    <row r="35" spans="2:111" ht="15" customHeight="1" thickTop="1" thickBot="1" x14ac:dyDescent="0.3">
      <c r="B35" s="73">
        <v>2</v>
      </c>
      <c r="C35" s="74">
        <f>C4-C34</f>
        <v>397.27670250896057</v>
      </c>
      <c r="D35" s="73"/>
      <c r="E35" s="73" t="s">
        <v>116</v>
      </c>
      <c r="F35" s="77">
        <v>18</v>
      </c>
      <c r="G35" s="77"/>
      <c r="H35" s="76">
        <f>VLOOKUP(E35,B7:C23,2,0)</f>
        <v>144.69999999999999</v>
      </c>
      <c r="L35" s="81"/>
      <c r="M35" s="81"/>
      <c r="N35" s="81" t="s">
        <v>114</v>
      </c>
      <c r="O35" s="152">
        <f>SUM(R6:R9,R15,R17:R20,R25)</f>
        <v>119.41812242694786</v>
      </c>
      <c r="P35" s="152"/>
      <c r="Q35" s="81"/>
      <c r="R35" s="81"/>
      <c r="X35" s="216" t="s">
        <v>115</v>
      </c>
      <c r="Y35" s="217"/>
      <c r="Z35" s="218" t="s">
        <v>21</v>
      </c>
      <c r="AA35" s="200">
        <v>2</v>
      </c>
      <c r="AB35" s="217" t="s">
        <v>5</v>
      </c>
      <c r="AC35" s="217"/>
      <c r="AD35" s="217" t="s">
        <v>22</v>
      </c>
      <c r="AE35" s="220">
        <f>SUM(AE36:AE37)</f>
        <v>0</v>
      </c>
      <c r="AF35" s="222" t="s">
        <v>23</v>
      </c>
      <c r="AG35" s="222">
        <f>SUM(AE37:AE39)</f>
        <v>0</v>
      </c>
      <c r="AH35" s="222"/>
      <c r="AM35" s="158" t="s">
        <v>314</v>
      </c>
      <c r="AN35" s="81" t="s">
        <v>315</v>
      </c>
      <c r="AO35" s="81" t="s">
        <v>345</v>
      </c>
      <c r="AP35" s="81">
        <f>AP28*0.3+0.7</f>
        <v>0.70876016496893179</v>
      </c>
      <c r="AQ35" s="81" t="s">
        <v>317</v>
      </c>
      <c r="AR35" s="81" t="s">
        <v>346</v>
      </c>
      <c r="AV35" s="167" t="s">
        <v>314</v>
      </c>
      <c r="AW35" s="167" t="s">
        <v>315</v>
      </c>
      <c r="AX35" s="167" t="s">
        <v>345</v>
      </c>
      <c r="AY35" s="168" t="s">
        <v>318</v>
      </c>
      <c r="AZ35" s="161">
        <f t="shared" si="24"/>
        <v>0.70876016496893179</v>
      </c>
      <c r="BA35" s="167" t="s">
        <v>317</v>
      </c>
      <c r="BC35" s="81" t="s">
        <v>373</v>
      </c>
      <c r="BD35" s="81" t="s">
        <v>409</v>
      </c>
      <c r="BE35" s="166">
        <v>-5.48</v>
      </c>
      <c r="BF35" s="166">
        <v>2.2200000000000001E-2</v>
      </c>
      <c r="BG35" s="81">
        <v>-247.15</v>
      </c>
      <c r="BH35" s="81" t="s">
        <v>384</v>
      </c>
      <c r="BI35" s="81" t="s">
        <v>385</v>
      </c>
      <c r="BL35" s="167" t="s">
        <v>314</v>
      </c>
      <c r="BM35" s="167" t="s">
        <v>315</v>
      </c>
      <c r="BN35" s="167" t="s">
        <v>345</v>
      </c>
      <c r="BO35" s="168" t="s">
        <v>318</v>
      </c>
      <c r="BP35" s="161">
        <f t="shared" si="27"/>
        <v>0.73</v>
      </c>
      <c r="BQ35" s="167" t="s">
        <v>317</v>
      </c>
      <c r="BS35" s="81" t="s">
        <v>373</v>
      </c>
      <c r="BT35" s="81" t="s">
        <v>409</v>
      </c>
      <c r="BU35" s="166">
        <v>-4.75</v>
      </c>
      <c r="BV35" s="166">
        <v>1.5100000000000001E-2</v>
      </c>
      <c r="BW35" s="81">
        <v>-314.60000000000002</v>
      </c>
      <c r="BX35" s="81" t="s">
        <v>420</v>
      </c>
      <c r="BY35" s="166">
        <v>2E-16</v>
      </c>
      <c r="BZ35" s="81" t="s">
        <v>385</v>
      </c>
      <c r="CA35" s="167"/>
      <c r="CB35" s="167"/>
      <c r="CC35" s="167"/>
      <c r="CD35" s="168"/>
      <c r="CE35" s="161"/>
      <c r="CF35" s="167"/>
      <c r="CJ35" s="240"/>
      <c r="CK35" s="240"/>
      <c r="CL35" s="240"/>
      <c r="CO35" s="243" t="s">
        <v>373</v>
      </c>
      <c r="CP35" s="243" t="s">
        <v>298</v>
      </c>
      <c r="CQ35" s="244">
        <v>26300000</v>
      </c>
      <c r="CR35" s="244">
        <v>385000</v>
      </c>
      <c r="CS35" s="243">
        <v>68.25</v>
      </c>
      <c r="CT35" s="243" t="s">
        <v>420</v>
      </c>
      <c r="CU35" s="244">
        <v>2E-16</v>
      </c>
      <c r="CV35" s="81" t="s">
        <v>385</v>
      </c>
      <c r="CW35" s="245" t="s">
        <v>460</v>
      </c>
      <c r="CX35" s="250" t="s">
        <v>333</v>
      </c>
      <c r="CY35" s="246" t="s">
        <v>318</v>
      </c>
      <c r="CZ35" s="247">
        <f t="shared" si="26"/>
        <v>505</v>
      </c>
      <c r="DA35" s="245" t="s">
        <v>317</v>
      </c>
      <c r="DC35" s="169" t="s">
        <v>460</v>
      </c>
      <c r="DD35" s="261" t="s">
        <v>333</v>
      </c>
      <c r="DE35" s="258" t="s">
        <v>318</v>
      </c>
      <c r="DF35" s="263">
        <f>$AP22</f>
        <v>125.10007569892474</v>
      </c>
      <c r="DG35" s="169" t="s">
        <v>317</v>
      </c>
    </row>
    <row r="36" spans="2:111" ht="15" customHeight="1" thickTop="1" thickBot="1" x14ac:dyDescent="0.3">
      <c r="B36" s="73">
        <v>3</v>
      </c>
      <c r="C36" s="74">
        <f>H36*2</f>
        <v>0</v>
      </c>
      <c r="D36" s="73"/>
      <c r="E36" s="73" t="s">
        <v>118</v>
      </c>
      <c r="F36" s="276" t="s">
        <v>119</v>
      </c>
      <c r="G36" s="276"/>
      <c r="H36" s="76">
        <f>C17</f>
        <v>0</v>
      </c>
      <c r="L36" s="81"/>
      <c r="M36" s="81"/>
      <c r="N36" s="81" t="s">
        <v>117</v>
      </c>
      <c r="O36" s="152">
        <f>SUM(R10:R13,R21:R24)</f>
        <v>82.4</v>
      </c>
      <c r="Q36" s="81"/>
      <c r="R36" s="81"/>
      <c r="X36" s="181"/>
      <c r="Y36" s="182" t="s">
        <v>435</v>
      </c>
      <c r="Z36" s="182">
        <v>1.361</v>
      </c>
      <c r="AA36" s="182" t="s">
        <v>5</v>
      </c>
      <c r="AB36" s="182"/>
      <c r="AC36" s="182"/>
      <c r="AD36" s="182">
        <f>(AA35-(1-AD37)*Z36)/AD37</f>
        <v>3.9169999999999998</v>
      </c>
      <c r="AE36" s="233"/>
      <c r="AF36" s="222"/>
      <c r="AG36" s="222"/>
      <c r="AH36" s="222"/>
      <c r="AQ36" s="81" t="s">
        <v>317</v>
      </c>
      <c r="AV36" s="167"/>
      <c r="AW36" s="167"/>
      <c r="AX36" s="167"/>
      <c r="AY36" s="168"/>
      <c r="BA36" s="167"/>
      <c r="BC36" s="81" t="s">
        <v>373</v>
      </c>
      <c r="BD36" s="81" t="s">
        <v>410</v>
      </c>
      <c r="BE36" s="166">
        <v>-6.58</v>
      </c>
      <c r="BF36" s="166">
        <v>2.1499999999999998E-2</v>
      </c>
      <c r="BG36" s="81">
        <v>-306.32</v>
      </c>
      <c r="BH36" s="81" t="s">
        <v>384</v>
      </c>
      <c r="BI36" s="81" t="s">
        <v>385</v>
      </c>
      <c r="BL36" s="167"/>
      <c r="BM36" s="167"/>
      <c r="BN36" s="167"/>
      <c r="BO36" s="168"/>
      <c r="BP36" s="161"/>
      <c r="BQ36" s="167"/>
      <c r="BS36" s="81" t="s">
        <v>373</v>
      </c>
      <c r="BT36" s="81" t="s">
        <v>410</v>
      </c>
      <c r="BU36" s="166">
        <v>-6.42</v>
      </c>
      <c r="BV36" s="166">
        <v>1.5100000000000001E-2</v>
      </c>
      <c r="BW36" s="81">
        <v>-424.59</v>
      </c>
      <c r="BX36" s="81" t="s">
        <v>420</v>
      </c>
      <c r="BY36" s="166">
        <v>2E-16</v>
      </c>
      <c r="BZ36" s="81" t="s">
        <v>385</v>
      </c>
      <c r="CA36" s="167" t="s">
        <v>314</v>
      </c>
      <c r="CB36" s="167" t="s">
        <v>315</v>
      </c>
      <c r="CC36" s="167" t="s">
        <v>347</v>
      </c>
      <c r="CD36" s="168" t="s">
        <v>318</v>
      </c>
      <c r="CE36" s="161">
        <f>BU68</f>
        <v>332</v>
      </c>
      <c r="CF36" s="167" t="s">
        <v>317</v>
      </c>
      <c r="CI36" s="81" t="s">
        <v>347</v>
      </c>
      <c r="CJ36" s="242">
        <f t="shared" si="1"/>
        <v>380.60633234421368</v>
      </c>
      <c r="CK36" s="242">
        <f t="shared" si="2"/>
        <v>1350</v>
      </c>
      <c r="CL36" s="242">
        <f t="shared" si="3"/>
        <v>332</v>
      </c>
      <c r="CO36" s="243" t="s">
        <v>373</v>
      </c>
      <c r="CP36" s="243" t="s">
        <v>396</v>
      </c>
      <c r="CQ36" s="244">
        <v>-1.32</v>
      </c>
      <c r="CR36" s="244">
        <v>3.9399999999999998E-2</v>
      </c>
      <c r="CS36" s="243">
        <v>-33.409999999999997</v>
      </c>
      <c r="CT36" s="243" t="s">
        <v>420</v>
      </c>
      <c r="CU36" s="244">
        <v>2E-16</v>
      </c>
      <c r="CV36" s="81" t="s">
        <v>385</v>
      </c>
      <c r="CW36" s="245" t="s">
        <v>460</v>
      </c>
      <c r="CX36" s="251" t="s">
        <v>335</v>
      </c>
      <c r="CY36" s="246" t="s">
        <v>318</v>
      </c>
      <c r="CZ36" s="247">
        <f>CQ58</f>
        <v>148</v>
      </c>
      <c r="DA36" s="245" t="s">
        <v>317</v>
      </c>
      <c r="DC36" s="169" t="s">
        <v>460</v>
      </c>
      <c r="DD36" s="264" t="s">
        <v>335</v>
      </c>
      <c r="DE36" s="258" t="s">
        <v>318</v>
      </c>
      <c r="DF36" s="169">
        <f>$AP24</f>
        <v>35.984688995215315</v>
      </c>
      <c r="DG36" s="169" t="s">
        <v>317</v>
      </c>
    </row>
    <row r="37" spans="2:111" ht="15" customHeight="1" thickTop="1" thickBot="1" x14ac:dyDescent="0.3">
      <c r="L37" s="81"/>
      <c r="M37" s="81"/>
      <c r="N37" s="81" t="s">
        <v>120</v>
      </c>
      <c r="O37" s="152">
        <f>'Verwarming Tabula'!B60</f>
        <v>138.03320000000002</v>
      </c>
      <c r="Q37" s="81"/>
      <c r="R37" s="81"/>
      <c r="X37" s="187"/>
      <c r="Y37" s="174" t="s">
        <v>436</v>
      </c>
      <c r="Z37" s="174">
        <v>0.47</v>
      </c>
      <c r="AA37" s="174"/>
      <c r="AB37" s="174"/>
      <c r="AC37" s="174"/>
      <c r="AD37" s="174">
        <v>0.25</v>
      </c>
      <c r="AE37" s="192"/>
      <c r="AF37" s="228" t="s">
        <v>274</v>
      </c>
      <c r="AG37" s="222"/>
      <c r="AH37" s="222"/>
      <c r="AM37" s="158" t="s">
        <v>314</v>
      </c>
      <c r="AN37" s="81" t="s">
        <v>315</v>
      </c>
      <c r="AO37" s="81" t="s">
        <v>347</v>
      </c>
      <c r="AP37" s="81">
        <f>SUM(O17:O20)*(1/(SUM(AD19:AD20)+1/4))+O25*(1/(SUM(AD10:AD11)+1/4))</f>
        <v>380.60633234421368</v>
      </c>
      <c r="AQ37" s="81" t="s">
        <v>317</v>
      </c>
      <c r="AR37" s="81" t="s">
        <v>348</v>
      </c>
      <c r="AV37" s="167" t="s">
        <v>314</v>
      </c>
      <c r="AW37" s="167" t="s">
        <v>315</v>
      </c>
      <c r="AX37" s="167" t="s">
        <v>347</v>
      </c>
      <c r="AY37" s="168" t="s">
        <v>318</v>
      </c>
      <c r="AZ37" s="161">
        <f>AP37</f>
        <v>380.60633234421368</v>
      </c>
      <c r="BA37" s="167" t="s">
        <v>317</v>
      </c>
      <c r="BC37" s="81" t="s">
        <v>373</v>
      </c>
      <c r="BD37" s="81" t="s">
        <v>411</v>
      </c>
      <c r="BE37" s="166">
        <v>-9.25</v>
      </c>
      <c r="BF37" s="166">
        <v>0.191</v>
      </c>
      <c r="BG37" s="81">
        <v>-48.52</v>
      </c>
      <c r="BH37" s="81" t="s">
        <v>384</v>
      </c>
      <c r="BI37" s="81" t="s">
        <v>385</v>
      </c>
      <c r="BL37" s="167" t="s">
        <v>314</v>
      </c>
      <c r="BM37" s="167" t="s">
        <v>315</v>
      </c>
      <c r="BN37" s="167" t="s">
        <v>347</v>
      </c>
      <c r="BO37" s="168" t="s">
        <v>318</v>
      </c>
      <c r="BP37" s="161">
        <f>BE68</f>
        <v>1350</v>
      </c>
      <c r="BQ37" s="167" t="s">
        <v>317</v>
      </c>
      <c r="BS37" s="81" t="s">
        <v>373</v>
      </c>
      <c r="BT37" s="81" t="s">
        <v>411</v>
      </c>
      <c r="BU37" s="166">
        <v>-6</v>
      </c>
      <c r="BV37" s="166">
        <v>2.0899999999999998E-2</v>
      </c>
      <c r="BW37" s="81">
        <v>-287.83</v>
      </c>
      <c r="BX37" s="81" t="s">
        <v>420</v>
      </c>
      <c r="BY37" s="166">
        <v>2E-16</v>
      </c>
      <c r="BZ37" s="81" t="s">
        <v>385</v>
      </c>
      <c r="CA37" s="167" t="s">
        <v>314</v>
      </c>
      <c r="CB37" s="167" t="s">
        <v>315</v>
      </c>
      <c r="CC37" s="167" t="s">
        <v>349</v>
      </c>
      <c r="CD37" s="168" t="s">
        <v>318</v>
      </c>
      <c r="CE37" s="161">
        <f>BU69</f>
        <v>128</v>
      </c>
      <c r="CF37" s="167" t="s">
        <v>317</v>
      </c>
      <c r="CI37" s="81" t="s">
        <v>349</v>
      </c>
      <c r="CJ37" s="242">
        <f t="shared" si="1"/>
        <v>95.603674876847322</v>
      </c>
      <c r="CK37" s="242">
        <f t="shared" si="2"/>
        <v>372</v>
      </c>
      <c r="CL37" s="242">
        <f t="shared" si="3"/>
        <v>128</v>
      </c>
      <c r="CO37" s="243" t="s">
        <v>373</v>
      </c>
      <c r="CP37" s="243" t="s">
        <v>397</v>
      </c>
      <c r="CQ37" s="244">
        <v>-18.100000000000001</v>
      </c>
      <c r="CR37" s="244">
        <v>2.2400000000000002</v>
      </c>
      <c r="CS37" s="243">
        <v>-8.0500000000000007</v>
      </c>
      <c r="CT37" s="244">
        <v>8.9000000000000007E-16</v>
      </c>
      <c r="CU37" s="243" t="s">
        <v>385</v>
      </c>
      <c r="CW37" s="245" t="s">
        <v>460</v>
      </c>
      <c r="CX37" s="251" t="s">
        <v>334</v>
      </c>
      <c r="CY37" s="246" t="s">
        <v>318</v>
      </c>
      <c r="CZ37" s="247">
        <f>1/CQ55</f>
        <v>1085.7763300760043</v>
      </c>
      <c r="DA37" s="245" t="s">
        <v>317</v>
      </c>
      <c r="DC37" s="169" t="s">
        <v>460</v>
      </c>
      <c r="DD37" s="264" t="s">
        <v>334</v>
      </c>
      <c r="DE37" s="258" t="s">
        <v>318</v>
      </c>
      <c r="DF37" s="169">
        <f>$AP23</f>
        <v>73.651398956183996</v>
      </c>
      <c r="DG37" s="169" t="s">
        <v>317</v>
      </c>
    </row>
    <row r="38" spans="2:111" ht="15" customHeight="1" thickTop="1" thickBot="1" x14ac:dyDescent="0.3">
      <c r="C38" s="152"/>
      <c r="L38" s="81"/>
      <c r="M38" s="81"/>
      <c r="N38" s="81"/>
      <c r="O38" s="152"/>
      <c r="Q38" s="81"/>
      <c r="R38" s="81"/>
      <c r="AM38" s="158" t="s">
        <v>314</v>
      </c>
      <c r="AN38" s="81" t="s">
        <v>315</v>
      </c>
      <c r="AO38" s="81" t="s">
        <v>349</v>
      </c>
      <c r="AP38" s="81">
        <f>2*AA22*O28</f>
        <v>95.603674876847322</v>
      </c>
      <c r="AQ38" s="81" t="s">
        <v>317</v>
      </c>
      <c r="AR38" s="166">
        <v>85.692350000000005</v>
      </c>
      <c r="AV38" s="167" t="s">
        <v>314</v>
      </c>
      <c r="AW38" s="167" t="s">
        <v>315</v>
      </c>
      <c r="AX38" s="167" t="s">
        <v>349</v>
      </c>
      <c r="AY38" s="168" t="s">
        <v>318</v>
      </c>
      <c r="AZ38" s="161">
        <f t="shared" ref="AZ38:AZ40" si="28">AP38</f>
        <v>95.603674876847322</v>
      </c>
      <c r="BA38" s="167" t="s">
        <v>317</v>
      </c>
      <c r="BC38" s="81" t="s">
        <v>373</v>
      </c>
      <c r="BD38" s="81" t="s">
        <v>412</v>
      </c>
      <c r="BE38" s="166">
        <v>-6.11</v>
      </c>
      <c r="BF38" s="166">
        <v>2.2200000000000001E-2</v>
      </c>
      <c r="BG38" s="81">
        <v>-275.08</v>
      </c>
      <c r="BH38" s="81" t="s">
        <v>384</v>
      </c>
      <c r="BI38" s="81" t="s">
        <v>385</v>
      </c>
      <c r="BL38" s="167" t="s">
        <v>314</v>
      </c>
      <c r="BM38" s="167" t="s">
        <v>315</v>
      </c>
      <c r="BN38" s="167" t="s">
        <v>349</v>
      </c>
      <c r="BO38" s="168" t="s">
        <v>318</v>
      </c>
      <c r="BP38" s="161">
        <f t="shared" ref="BP38:BP39" si="29">BE69</f>
        <v>372</v>
      </c>
      <c r="BQ38" s="167" t="s">
        <v>317</v>
      </c>
      <c r="BS38" s="81" t="s">
        <v>373</v>
      </c>
      <c r="BT38" s="81" t="s">
        <v>412</v>
      </c>
      <c r="BU38" s="166">
        <v>-5.18</v>
      </c>
      <c r="BV38" s="166">
        <v>1.54E-2</v>
      </c>
      <c r="BW38" s="81">
        <v>-337.17</v>
      </c>
      <c r="BX38" s="81" t="s">
        <v>420</v>
      </c>
      <c r="BY38" s="166">
        <v>2E-16</v>
      </c>
      <c r="BZ38" s="81" t="s">
        <v>385</v>
      </c>
      <c r="CA38" s="167" t="s">
        <v>314</v>
      </c>
      <c r="CB38" s="167" t="s">
        <v>315</v>
      </c>
      <c r="CC38" s="167" t="s">
        <v>350</v>
      </c>
      <c r="CD38" s="168" t="s">
        <v>318</v>
      </c>
      <c r="CE38" s="161">
        <f>BU70</f>
        <v>1.3200000000000001E-4</v>
      </c>
      <c r="CF38" s="167" t="s">
        <v>317</v>
      </c>
      <c r="CI38" s="81" t="s">
        <v>350</v>
      </c>
      <c r="CJ38" s="242">
        <f t="shared" si="1"/>
        <v>24.720000000000002</v>
      </c>
      <c r="CK38" s="242">
        <f t="shared" si="2"/>
        <v>31.9</v>
      </c>
      <c r="CL38" s="242">
        <f t="shared" si="3"/>
        <v>1.3200000000000001E-4</v>
      </c>
      <c r="CO38" s="243" t="s">
        <v>373</v>
      </c>
      <c r="CP38" s="243" t="s">
        <v>399</v>
      </c>
      <c r="CQ38" s="244">
        <v>-17.8</v>
      </c>
      <c r="CR38" s="244">
        <v>3.0400000000000002E-3</v>
      </c>
      <c r="CS38" s="243">
        <v>-5862.24</v>
      </c>
      <c r="CT38" s="243" t="s">
        <v>420</v>
      </c>
      <c r="CU38" s="244">
        <v>2E-16</v>
      </c>
      <c r="CV38" s="81" t="s">
        <v>385</v>
      </c>
      <c r="CW38" s="245" t="s">
        <v>460</v>
      </c>
      <c r="CX38" s="248" t="s">
        <v>326</v>
      </c>
      <c r="CY38" s="246" t="s">
        <v>318</v>
      </c>
      <c r="CZ38" s="247">
        <f>CQ41</f>
        <v>9.2899999999999996E-2</v>
      </c>
      <c r="DA38" s="245" t="s">
        <v>317</v>
      </c>
      <c r="DC38" s="169" t="s">
        <v>460</v>
      </c>
      <c r="DD38" s="259" t="s">
        <v>326</v>
      </c>
      <c r="DE38" s="258" t="s">
        <v>318</v>
      </c>
      <c r="DF38" s="169">
        <f>$AP14</f>
        <v>6.8179290841839893E-2</v>
      </c>
      <c r="DG38" s="169" t="s">
        <v>317</v>
      </c>
    </row>
    <row r="39" spans="2:111" ht="15" customHeight="1" thickTop="1" thickBot="1" x14ac:dyDescent="0.3">
      <c r="C39" s="81">
        <f>C4/C6</f>
        <v>2.7455197132616487</v>
      </c>
      <c r="L39" s="81"/>
      <c r="M39" s="81"/>
      <c r="N39" s="81" t="s">
        <v>122</v>
      </c>
      <c r="O39" s="152">
        <f>C4*1.204*1012*5/1000000</f>
        <v>4.6666558399999998</v>
      </c>
      <c r="P39" s="81" t="s">
        <v>123</v>
      </c>
      <c r="R39" s="81"/>
      <c r="AF39" s="222"/>
      <c r="AG39" s="222"/>
      <c r="AH39" s="222"/>
      <c r="AM39" s="158" t="s">
        <v>314</v>
      </c>
      <c r="AN39" s="81" t="s">
        <v>315</v>
      </c>
      <c r="AO39" s="81" t="s">
        <v>350</v>
      </c>
      <c r="AP39" s="152">
        <f>'Verwarming Tabula 2zone Ref1'!B139+SUM(R21:R24)</f>
        <v>24.720000000000002</v>
      </c>
      <c r="AQ39" s="81" t="s">
        <v>317</v>
      </c>
      <c r="AR39" s="81" t="s">
        <v>351</v>
      </c>
      <c r="AV39" s="167" t="s">
        <v>314</v>
      </c>
      <c r="AW39" s="167" t="s">
        <v>315</v>
      </c>
      <c r="AX39" s="167" t="s">
        <v>350</v>
      </c>
      <c r="AY39" s="168" t="s">
        <v>318</v>
      </c>
      <c r="AZ39" s="161">
        <f t="shared" si="28"/>
        <v>24.720000000000002</v>
      </c>
      <c r="BA39" s="167" t="s">
        <v>317</v>
      </c>
      <c r="BC39" s="81" t="s">
        <v>373</v>
      </c>
      <c r="BD39" s="81" t="s">
        <v>413</v>
      </c>
      <c r="BE39" s="166">
        <v>-6.37</v>
      </c>
      <c r="BF39" s="166">
        <v>2.1899999999999999E-2</v>
      </c>
      <c r="BG39" s="81">
        <v>-290.83</v>
      </c>
      <c r="BH39" s="81" t="s">
        <v>384</v>
      </c>
      <c r="BI39" s="81" t="s">
        <v>385</v>
      </c>
      <c r="BL39" s="167" t="s">
        <v>314</v>
      </c>
      <c r="BM39" s="167" t="s">
        <v>315</v>
      </c>
      <c r="BN39" s="167" t="s">
        <v>350</v>
      </c>
      <c r="BO39" s="168" t="s">
        <v>318</v>
      </c>
      <c r="BP39" s="161">
        <f t="shared" si="29"/>
        <v>31.9</v>
      </c>
      <c r="BQ39" s="167" t="s">
        <v>317</v>
      </c>
      <c r="BS39" s="81" t="s">
        <v>373</v>
      </c>
      <c r="BT39" s="81" t="s">
        <v>413</v>
      </c>
      <c r="BU39" s="166">
        <v>-6.14</v>
      </c>
      <c r="BV39" s="166">
        <v>1.61E-2</v>
      </c>
      <c r="BW39" s="81">
        <v>-380.6</v>
      </c>
      <c r="BX39" s="81" t="s">
        <v>420</v>
      </c>
      <c r="BY39" s="166">
        <v>2E-16</v>
      </c>
      <c r="BZ39" s="81" t="s">
        <v>385</v>
      </c>
      <c r="CA39" s="167" t="s">
        <v>314</v>
      </c>
      <c r="CB39" s="167" t="s">
        <v>315</v>
      </c>
      <c r="CC39" s="167" t="s">
        <v>352</v>
      </c>
      <c r="CD39" s="168" t="s">
        <v>318</v>
      </c>
      <c r="CE39" s="161">
        <f>1/BU75</f>
        <v>2061.8556701030925</v>
      </c>
      <c r="CF39" s="167" t="s">
        <v>317</v>
      </c>
      <c r="CI39" s="81" t="s">
        <v>352</v>
      </c>
      <c r="CJ39" s="242">
        <f t="shared" si="1"/>
        <v>60.357830574949048</v>
      </c>
      <c r="CK39" s="242">
        <f t="shared" si="2"/>
        <v>110.74197120708749</v>
      </c>
      <c r="CL39" s="242">
        <f t="shared" si="3"/>
        <v>2061.8556701030925</v>
      </c>
      <c r="CO39" s="243" t="s">
        <v>373</v>
      </c>
      <c r="CP39" s="243" t="s">
        <v>400</v>
      </c>
      <c r="CQ39" s="244">
        <v>-23.2</v>
      </c>
      <c r="CR39" s="244">
        <v>2.2200000000000002</v>
      </c>
      <c r="CS39" s="243">
        <v>-10.42</v>
      </c>
      <c r="CT39" s="243" t="s">
        <v>420</v>
      </c>
      <c r="CU39" s="244">
        <v>2E-16</v>
      </c>
      <c r="CV39" s="81" t="s">
        <v>385</v>
      </c>
      <c r="CW39" s="245" t="s">
        <v>460</v>
      </c>
      <c r="CX39" s="249" t="s">
        <v>327</v>
      </c>
      <c r="CY39" s="246" t="s">
        <v>318</v>
      </c>
      <c r="CZ39" s="247">
        <f t="shared" ref="CZ39:CZ42" si="30">CQ42</f>
        <v>0.17599999999999999</v>
      </c>
      <c r="DA39" s="245" t="s">
        <v>317</v>
      </c>
      <c r="DC39" s="169" t="s">
        <v>460</v>
      </c>
      <c r="DD39" s="260" t="s">
        <v>327</v>
      </c>
      <c r="DE39" s="258" t="s">
        <v>318</v>
      </c>
      <c r="DF39" s="169">
        <f>$AP15</f>
        <v>0.13635858168367979</v>
      </c>
      <c r="DG39" s="169" t="s">
        <v>317</v>
      </c>
    </row>
    <row r="40" spans="2:111" ht="15" customHeight="1" thickTop="1" thickBot="1" x14ac:dyDescent="0.3">
      <c r="B40" s="81" t="s">
        <v>275</v>
      </c>
      <c r="L40" s="81"/>
      <c r="M40" s="81"/>
      <c r="N40" s="81" t="s">
        <v>124</v>
      </c>
      <c r="O40" s="152">
        <f>SUM(S6:S9,S15)/1000000</f>
        <v>99.498875499540006</v>
      </c>
      <c r="P40" s="81" t="s">
        <v>125</v>
      </c>
      <c r="Q40" s="152">
        <f>SUM(U6:U9,U15)/1000000</f>
        <v>95.706189288000004</v>
      </c>
      <c r="R40" s="81"/>
      <c r="Z40" s="221" t="s">
        <v>4</v>
      </c>
      <c r="AA40" s="221">
        <v>0.85</v>
      </c>
      <c r="AB40" s="221" t="s">
        <v>5</v>
      </c>
      <c r="AF40" s="222"/>
      <c r="AG40" s="222"/>
      <c r="AH40" s="222"/>
      <c r="AM40" s="158" t="s">
        <v>314</v>
      </c>
      <c r="AN40" s="81" t="s">
        <v>315</v>
      </c>
      <c r="AO40" s="81" t="s">
        <v>352</v>
      </c>
      <c r="AP40" s="81">
        <f>SUM(O17:O20)*1/(SUM(AD16:AD18)+1/23)+O25*1/(SUM(AD7:AD9)+1/23)</f>
        <v>60.357830574949048</v>
      </c>
      <c r="AQ40" s="81" t="s">
        <v>317</v>
      </c>
      <c r="AR40" s="81">
        <f>1/0.01634389</f>
        <v>61.184944343115376</v>
      </c>
      <c r="AV40" s="167" t="s">
        <v>314</v>
      </c>
      <c r="AW40" s="167" t="s">
        <v>315</v>
      </c>
      <c r="AX40" s="167" t="s">
        <v>352</v>
      </c>
      <c r="AY40" s="168" t="s">
        <v>318</v>
      </c>
      <c r="AZ40" s="161">
        <f t="shared" si="28"/>
        <v>60.357830574949048</v>
      </c>
      <c r="BA40" s="167" t="s">
        <v>317</v>
      </c>
      <c r="BC40" s="81" t="s">
        <v>373</v>
      </c>
      <c r="BD40" s="81" t="s">
        <v>414</v>
      </c>
      <c r="BE40" s="166">
        <v>1.1299999999999999E-3</v>
      </c>
      <c r="BF40" s="166">
        <v>9.9899999999999992E-6</v>
      </c>
      <c r="BG40" s="81">
        <v>113.15</v>
      </c>
      <c r="BH40" s="81" t="s">
        <v>384</v>
      </c>
      <c r="BI40" s="81" t="s">
        <v>385</v>
      </c>
      <c r="BL40" s="167" t="s">
        <v>314</v>
      </c>
      <c r="BM40" s="167" t="s">
        <v>315</v>
      </c>
      <c r="BN40" s="167" t="s">
        <v>352</v>
      </c>
      <c r="BO40" s="168" t="s">
        <v>318</v>
      </c>
      <c r="BP40" s="161">
        <f>1/BE75</f>
        <v>110.74197120708749</v>
      </c>
      <c r="BQ40" s="167" t="s">
        <v>317</v>
      </c>
      <c r="BS40" s="81" t="s">
        <v>373</v>
      </c>
      <c r="BT40" s="81" t="s">
        <v>414</v>
      </c>
      <c r="BU40" s="166">
        <v>5.1900000000000004E-4</v>
      </c>
      <c r="BV40" s="166">
        <v>9.5999999999999996E-6</v>
      </c>
      <c r="BW40" s="81">
        <v>54.12</v>
      </c>
      <c r="BX40" s="81" t="s">
        <v>420</v>
      </c>
      <c r="BY40" s="166">
        <v>2E-16</v>
      </c>
      <c r="BZ40" s="81" t="s">
        <v>385</v>
      </c>
      <c r="CA40" s="167"/>
      <c r="CB40" s="167"/>
      <c r="CC40" s="167"/>
      <c r="CD40" s="168"/>
      <c r="CE40" s="161"/>
      <c r="CF40" s="167"/>
      <c r="CJ40" s="240"/>
      <c r="CK40" s="240"/>
      <c r="CL40" s="240"/>
      <c r="CO40" s="243" t="s">
        <v>373</v>
      </c>
      <c r="CP40" s="243" t="s">
        <v>401</v>
      </c>
      <c r="CQ40" s="244">
        <v>-24.9</v>
      </c>
      <c r="CR40" s="244">
        <v>0.22600000000000001</v>
      </c>
      <c r="CS40" s="243">
        <v>-110.15</v>
      </c>
      <c r="CT40" s="243" t="s">
        <v>420</v>
      </c>
      <c r="CU40" s="244">
        <v>2E-16</v>
      </c>
      <c r="CV40" s="81" t="s">
        <v>385</v>
      </c>
      <c r="CW40" s="245" t="s">
        <v>460</v>
      </c>
      <c r="CX40" s="249" t="s">
        <v>328</v>
      </c>
      <c r="CY40" s="246" t="s">
        <v>318</v>
      </c>
      <c r="CZ40" s="247">
        <f t="shared" si="30"/>
        <v>0.98199999999999998</v>
      </c>
      <c r="DA40" s="245" t="s">
        <v>317</v>
      </c>
      <c r="DC40" s="169" t="s">
        <v>460</v>
      </c>
      <c r="DD40" s="260" t="s">
        <v>328</v>
      </c>
      <c r="DE40" s="258" t="s">
        <v>318</v>
      </c>
      <c r="DF40" s="169">
        <f>$AP16</f>
        <v>0.70894337238943606</v>
      </c>
      <c r="DG40" s="169" t="s">
        <v>317</v>
      </c>
    </row>
    <row r="41" spans="2:111" ht="15" customHeight="1" thickTop="1" thickBot="1" x14ac:dyDescent="0.3">
      <c r="B41" s="149" t="s">
        <v>276</v>
      </c>
      <c r="L41" s="81"/>
      <c r="M41" s="81"/>
      <c r="N41" s="81" t="s">
        <v>126</v>
      </c>
      <c r="O41" s="152">
        <f>SUM(S26:S27)/1000000</f>
        <v>41.413142636000003</v>
      </c>
      <c r="P41" s="81" t="s">
        <v>125</v>
      </c>
      <c r="Q41" s="152">
        <f>SUM(U26:U27)/1000000</f>
        <v>41.413142636000003</v>
      </c>
      <c r="R41" s="81"/>
      <c r="X41" s="216" t="s">
        <v>63</v>
      </c>
      <c r="Y41" s="217"/>
      <c r="Z41" s="218" t="s">
        <v>21</v>
      </c>
      <c r="AA41" s="219">
        <f>1/(1/10+SUM(AD43:AD47))</f>
        <v>0.25127131319174395</v>
      </c>
      <c r="AB41" s="217" t="s">
        <v>5</v>
      </c>
      <c r="AC41" s="217"/>
      <c r="AD41" s="217" t="s">
        <v>22</v>
      </c>
      <c r="AE41" s="220">
        <f>SUM(AE43:AE47)</f>
        <v>379396.7</v>
      </c>
      <c r="AF41" s="222" t="s">
        <v>23</v>
      </c>
      <c r="AG41" s="222">
        <f>SUM(AE43:AE44)</f>
        <v>110960</v>
      </c>
      <c r="AH41" s="222"/>
      <c r="AQ41" s="81" t="s">
        <v>317</v>
      </c>
      <c r="AV41" s="167"/>
      <c r="AW41" s="167"/>
      <c r="AX41" s="167"/>
      <c r="AY41" s="168"/>
      <c r="BA41" s="167"/>
      <c r="BC41" s="81" t="s">
        <v>373</v>
      </c>
      <c r="BD41" s="81" t="s">
        <v>415</v>
      </c>
      <c r="BE41" s="166">
        <v>762</v>
      </c>
      <c r="BF41" s="166">
        <v>7.54</v>
      </c>
      <c r="BG41" s="81">
        <v>101.02</v>
      </c>
      <c r="BH41" s="81" t="s">
        <v>384</v>
      </c>
      <c r="BI41" s="81" t="s">
        <v>385</v>
      </c>
      <c r="BL41" s="167"/>
      <c r="BM41" s="167"/>
      <c r="BN41" s="167"/>
      <c r="BO41" s="168"/>
      <c r="BP41" s="161"/>
      <c r="BQ41" s="167"/>
      <c r="BS41" s="81" t="s">
        <v>373</v>
      </c>
      <c r="BT41" s="81" t="s">
        <v>415</v>
      </c>
      <c r="BU41" s="166">
        <v>79.3</v>
      </c>
      <c r="BV41" s="166">
        <v>0.76900000000000002</v>
      </c>
      <c r="BW41" s="81">
        <v>103.12</v>
      </c>
      <c r="BX41" s="81" t="s">
        <v>420</v>
      </c>
      <c r="BY41" s="166">
        <v>2E-16</v>
      </c>
      <c r="BZ41" s="81" t="s">
        <v>385</v>
      </c>
      <c r="CA41" s="167" t="s">
        <v>314</v>
      </c>
      <c r="CB41" s="167" t="s">
        <v>315</v>
      </c>
      <c r="CC41" s="167" t="s">
        <v>353</v>
      </c>
      <c r="CD41" s="168" t="s">
        <v>318</v>
      </c>
      <c r="CE41" s="161">
        <f>BU85</f>
        <v>6.9400000000000003E-2</v>
      </c>
      <c r="CF41" s="167" t="s">
        <v>317</v>
      </c>
      <c r="CI41" s="81" t="s">
        <v>353</v>
      </c>
      <c r="CJ41" s="239">
        <f t="shared" si="1"/>
        <v>0.1495730449319701</v>
      </c>
      <c r="CK41" s="239">
        <f t="shared" si="2"/>
        <v>2.8899999999999999E-2</v>
      </c>
      <c r="CL41" s="239">
        <f t="shared" si="3"/>
        <v>6.9400000000000003E-2</v>
      </c>
      <c r="CO41" s="243" t="s">
        <v>373</v>
      </c>
      <c r="CP41" s="243" t="s">
        <v>402</v>
      </c>
      <c r="CQ41" s="244">
        <v>9.2899999999999996E-2</v>
      </c>
      <c r="CR41" s="244">
        <v>1.47E-3</v>
      </c>
      <c r="CS41" s="243">
        <v>63.27</v>
      </c>
      <c r="CT41" s="243" t="s">
        <v>420</v>
      </c>
      <c r="CU41" s="244">
        <v>2E-16</v>
      </c>
      <c r="CV41" s="81" t="s">
        <v>385</v>
      </c>
      <c r="CW41" s="245" t="s">
        <v>460</v>
      </c>
      <c r="CX41" s="246" t="s">
        <v>329</v>
      </c>
      <c r="CY41" s="246" t="s">
        <v>318</v>
      </c>
      <c r="CZ41" s="247">
        <f t="shared" si="30"/>
        <v>5.8999999999999997E-2</v>
      </c>
      <c r="DA41" s="245" t="s">
        <v>317</v>
      </c>
      <c r="DC41" s="169" t="s">
        <v>460</v>
      </c>
      <c r="DD41" s="258" t="s">
        <v>329</v>
      </c>
      <c r="DE41" s="258" t="s">
        <v>318</v>
      </c>
      <c r="DF41" s="169">
        <f>$AP17</f>
        <v>4.1646841605453185E-2</v>
      </c>
      <c r="DG41" s="169" t="s">
        <v>317</v>
      </c>
    </row>
    <row r="42" spans="2:111" ht="15" customHeight="1" thickTop="1" thickBot="1" x14ac:dyDescent="0.3">
      <c r="B42" s="81" t="s">
        <v>277</v>
      </c>
      <c r="D42" s="81">
        <f>0.55</f>
        <v>0.55000000000000004</v>
      </c>
      <c r="L42" s="81"/>
      <c r="M42" s="81"/>
      <c r="N42" s="81" t="s">
        <v>127</v>
      </c>
      <c r="O42" s="152">
        <f>S14/1000000</f>
        <v>50.952976810000003</v>
      </c>
      <c r="Q42" s="152">
        <f>U14/1000000</f>
        <v>14.901928000000002</v>
      </c>
      <c r="R42" s="81"/>
      <c r="X42" s="224"/>
      <c r="Y42" s="225" t="s">
        <v>27</v>
      </c>
      <c r="Z42" s="225" t="s">
        <v>28</v>
      </c>
      <c r="AA42" s="225" t="s">
        <v>29</v>
      </c>
      <c r="AB42" s="225" t="s">
        <v>30</v>
      </c>
      <c r="AC42" s="225" t="s">
        <v>31</v>
      </c>
      <c r="AD42" s="225" t="s">
        <v>32</v>
      </c>
      <c r="AE42" s="226" t="s">
        <v>33</v>
      </c>
      <c r="AF42" s="222"/>
      <c r="AG42" s="222"/>
      <c r="AH42" s="222"/>
      <c r="AM42" s="158" t="s">
        <v>314</v>
      </c>
      <c r="AN42" s="81" t="s">
        <v>315</v>
      </c>
      <c r="AO42" s="81" t="s">
        <v>353</v>
      </c>
      <c r="AP42" s="81">
        <f>SUM(O26)/SUM($O$6:$O$14,$O$26,2*$O$27)</f>
        <v>0.1495730449319701</v>
      </c>
      <c r="AQ42" s="81" t="s">
        <v>317</v>
      </c>
      <c r="AR42" s="81" t="s">
        <v>354</v>
      </c>
      <c r="AV42" s="167" t="s">
        <v>314</v>
      </c>
      <c r="AW42" s="167" t="s">
        <v>315</v>
      </c>
      <c r="AX42" s="167" t="s">
        <v>353</v>
      </c>
      <c r="AY42" s="168" t="s">
        <v>318</v>
      </c>
      <c r="AZ42" s="161">
        <f>AP42</f>
        <v>0.1495730449319701</v>
      </c>
      <c r="BA42" s="167" t="s">
        <v>317</v>
      </c>
      <c r="BC42" s="81" t="s">
        <v>373</v>
      </c>
      <c r="BD42" s="81" t="s">
        <v>416</v>
      </c>
      <c r="BE42" s="166">
        <v>660</v>
      </c>
      <c r="BF42" s="166">
        <v>5.62</v>
      </c>
      <c r="BG42" s="81">
        <v>117.56</v>
      </c>
      <c r="BH42" s="81" t="s">
        <v>384</v>
      </c>
      <c r="BI42" s="81" t="s">
        <v>385</v>
      </c>
      <c r="BL42" s="167" t="s">
        <v>314</v>
      </c>
      <c r="BM42" s="167" t="s">
        <v>315</v>
      </c>
      <c r="BN42" s="167" t="s">
        <v>353</v>
      </c>
      <c r="BO42" s="168" t="s">
        <v>318</v>
      </c>
      <c r="BP42" s="161">
        <f>BE15</f>
        <v>2.8899999999999999E-2</v>
      </c>
      <c r="BQ42" s="167" t="s">
        <v>317</v>
      </c>
      <c r="BS42" s="81" t="s">
        <v>373</v>
      </c>
      <c r="BT42" s="81" t="s">
        <v>416</v>
      </c>
      <c r="BU42" s="166">
        <v>50</v>
      </c>
      <c r="BV42" s="166">
        <v>5.01</v>
      </c>
      <c r="BW42" s="81">
        <v>9.9700000000000006</v>
      </c>
      <c r="BX42" s="81" t="s">
        <v>420</v>
      </c>
      <c r="BY42" s="166">
        <v>2E-16</v>
      </c>
      <c r="BZ42" s="81" t="s">
        <v>385</v>
      </c>
      <c r="CA42" s="167" t="s">
        <v>314</v>
      </c>
      <c r="CB42" s="167" t="s">
        <v>315</v>
      </c>
      <c r="CC42" s="167" t="s">
        <v>355</v>
      </c>
      <c r="CD42" s="168" t="s">
        <v>318</v>
      </c>
      <c r="CE42" s="161">
        <f>BU86</f>
        <v>0.32</v>
      </c>
      <c r="CF42" s="167" t="s">
        <v>317</v>
      </c>
      <c r="CI42" s="81" t="s">
        <v>355</v>
      </c>
      <c r="CJ42" s="239">
        <f t="shared" si="1"/>
        <v>0.34185433414359345</v>
      </c>
      <c r="CK42" s="239">
        <f t="shared" si="2"/>
        <v>9.7500000000000003E-2</v>
      </c>
      <c r="CL42" s="239">
        <f t="shared" si="3"/>
        <v>0.32</v>
      </c>
      <c r="CO42" s="243" t="s">
        <v>373</v>
      </c>
      <c r="CP42" s="243" t="s">
        <v>403</v>
      </c>
      <c r="CQ42" s="244">
        <v>0.17599999999999999</v>
      </c>
      <c r="CR42" s="244">
        <v>1.97E-3</v>
      </c>
      <c r="CS42" s="243">
        <v>89.61</v>
      </c>
      <c r="CT42" s="243" t="s">
        <v>420</v>
      </c>
      <c r="CU42" s="244">
        <v>2E-16</v>
      </c>
      <c r="CV42" s="81" t="s">
        <v>385</v>
      </c>
      <c r="CW42" s="245" t="s">
        <v>460</v>
      </c>
      <c r="CX42" s="246" t="s">
        <v>430</v>
      </c>
      <c r="CY42" s="246" t="s">
        <v>318</v>
      </c>
      <c r="CZ42" s="247">
        <f t="shared" si="30"/>
        <v>2.8199999999999999E-2</v>
      </c>
      <c r="DA42" s="245" t="s">
        <v>317</v>
      </c>
      <c r="DC42" s="169" t="s">
        <v>460</v>
      </c>
      <c r="DD42" s="258" t="s">
        <v>430</v>
      </c>
      <c r="DE42" s="258" t="s">
        <v>318</v>
      </c>
      <c r="DF42" s="169">
        <f>$AP46</f>
        <v>4.4871913479591026E-2</v>
      </c>
      <c r="DG42" s="169" t="s">
        <v>317</v>
      </c>
    </row>
    <row r="43" spans="2:111" ht="15" customHeight="1" thickTop="1" thickBot="1" x14ac:dyDescent="0.3">
      <c r="B43" s="81" t="s">
        <v>278</v>
      </c>
      <c r="D43" s="81">
        <v>0.99</v>
      </c>
      <c r="E43" s="81" t="s">
        <v>279</v>
      </c>
      <c r="L43" s="81"/>
      <c r="M43" s="81"/>
      <c r="N43" s="81"/>
      <c r="Q43" s="81"/>
      <c r="R43" s="81"/>
      <c r="X43" s="181"/>
      <c r="Y43" s="182" t="s">
        <v>128</v>
      </c>
      <c r="Z43" s="182">
        <v>0.02</v>
      </c>
      <c r="AA43" s="182">
        <v>1.4</v>
      </c>
      <c r="AB43" s="182">
        <v>2100</v>
      </c>
      <c r="AC43" s="182">
        <v>840</v>
      </c>
      <c r="AD43" s="231">
        <f>Z43/AA43</f>
        <v>1.4285714285714287E-2</v>
      </c>
      <c r="AE43" s="232">
        <f>Z43*AB43*AC43</f>
        <v>35280</v>
      </c>
      <c r="AF43" s="222" t="s">
        <v>104</v>
      </c>
      <c r="AG43" s="222"/>
      <c r="AH43" s="222"/>
      <c r="AM43" s="158" t="s">
        <v>314</v>
      </c>
      <c r="AN43" s="81" t="s">
        <v>315</v>
      </c>
      <c r="AO43" s="81" t="s">
        <v>355</v>
      </c>
      <c r="AP43" s="81">
        <f>SUM(O26)/SUM(O$17:O$25,2*O$28,O$26)</f>
        <v>0.34185433414359345</v>
      </c>
      <c r="AQ43" s="81" t="s">
        <v>317</v>
      </c>
      <c r="AR43" s="81" t="s">
        <v>356</v>
      </c>
      <c r="AV43" s="167" t="s">
        <v>314</v>
      </c>
      <c r="AW43" s="167" t="s">
        <v>315</v>
      </c>
      <c r="AX43" s="167" t="s">
        <v>355</v>
      </c>
      <c r="AY43" s="168" t="s">
        <v>318</v>
      </c>
      <c r="AZ43" s="161">
        <f t="shared" ref="AZ43:AZ50" si="31">AP43</f>
        <v>0.34185433414359345</v>
      </c>
      <c r="BA43" s="167" t="s">
        <v>317</v>
      </c>
      <c r="BC43" s="81" t="s">
        <v>373</v>
      </c>
      <c r="BD43" s="81" t="s">
        <v>417</v>
      </c>
      <c r="BE43" s="166">
        <v>301</v>
      </c>
      <c r="BF43" s="166">
        <v>3.03</v>
      </c>
      <c r="BG43" s="81">
        <v>99.4</v>
      </c>
      <c r="BH43" s="81" t="s">
        <v>384</v>
      </c>
      <c r="BI43" s="81" t="s">
        <v>385</v>
      </c>
      <c r="BL43" s="167" t="s">
        <v>314</v>
      </c>
      <c r="BM43" s="167" t="s">
        <v>315</v>
      </c>
      <c r="BN43" s="167" t="s">
        <v>355</v>
      </c>
      <c r="BO43" s="168" t="s">
        <v>318</v>
      </c>
      <c r="BP43" s="161">
        <f>BE55</f>
        <v>9.7500000000000003E-2</v>
      </c>
      <c r="BQ43" s="167" t="s">
        <v>317</v>
      </c>
      <c r="BS43" s="81" t="s">
        <v>373</v>
      </c>
      <c r="BT43" s="81" t="s">
        <v>417</v>
      </c>
      <c r="BU43" s="166">
        <v>4.59</v>
      </c>
      <c r="BV43" s="166">
        <v>0.312</v>
      </c>
      <c r="BW43" s="81">
        <v>14.68</v>
      </c>
      <c r="BX43" s="81" t="s">
        <v>420</v>
      </c>
      <c r="BY43" s="166">
        <v>2E-16</v>
      </c>
      <c r="BZ43" s="81" t="s">
        <v>385</v>
      </c>
      <c r="CA43" s="167" t="s">
        <v>314</v>
      </c>
      <c r="CB43" s="167" t="s">
        <v>315</v>
      </c>
      <c r="CC43" s="167" t="s">
        <v>357</v>
      </c>
      <c r="CD43" s="168" t="s">
        <v>318</v>
      </c>
      <c r="CE43" s="161">
        <f>BU87</f>
        <v>990000000</v>
      </c>
      <c r="CF43" s="167" t="s">
        <v>317</v>
      </c>
      <c r="CI43" s="81" t="s">
        <v>357</v>
      </c>
      <c r="CJ43" s="241">
        <f t="shared" si="1"/>
        <v>4177488.9999999995</v>
      </c>
      <c r="CK43" s="241">
        <f t="shared" si="2"/>
        <v>248000</v>
      </c>
      <c r="CL43" s="241">
        <f t="shared" si="3"/>
        <v>990000000</v>
      </c>
      <c r="CO43" s="243" t="s">
        <v>373</v>
      </c>
      <c r="CP43" s="243" t="s">
        <v>404</v>
      </c>
      <c r="CQ43" s="244">
        <v>0.98199999999999998</v>
      </c>
      <c r="CR43" s="244">
        <v>1.2999999999999999E-2</v>
      </c>
      <c r="CS43" s="243">
        <v>75.33</v>
      </c>
      <c r="CT43" s="243" t="s">
        <v>420</v>
      </c>
      <c r="CU43" s="244">
        <v>2E-16</v>
      </c>
      <c r="CV43" s="81" t="s">
        <v>385</v>
      </c>
      <c r="CY43" s="246"/>
      <c r="DC43" s="169"/>
      <c r="DD43" s="169"/>
      <c r="DE43" s="258"/>
      <c r="DF43" s="169"/>
      <c r="DG43" s="169"/>
    </row>
    <row r="44" spans="2:111" ht="15" customHeight="1" thickTop="1" thickBot="1" x14ac:dyDescent="0.3">
      <c r="B44" s="81" t="s">
        <v>282</v>
      </c>
      <c r="D44" s="81">
        <v>0.7</v>
      </c>
      <c r="F44" s="79"/>
      <c r="L44" s="81"/>
      <c r="M44" s="81"/>
      <c r="N44" s="81"/>
      <c r="Q44" s="81"/>
      <c r="R44" s="81"/>
      <c r="X44" s="175"/>
      <c r="Y44" s="176" t="s">
        <v>129</v>
      </c>
      <c r="Z44" s="176">
        <v>0.08</v>
      </c>
      <c r="AA44" s="176">
        <v>0.6</v>
      </c>
      <c r="AB44" s="176">
        <v>1100</v>
      </c>
      <c r="AC44" s="176">
        <v>860</v>
      </c>
      <c r="AD44" s="227">
        <f>Z44/AA44</f>
        <v>0.13333333333333333</v>
      </c>
      <c r="AE44" s="177">
        <f>Z44*AB44*AC44</f>
        <v>75680</v>
      </c>
      <c r="AF44" s="222"/>
      <c r="AG44" s="222"/>
      <c r="AH44" s="222"/>
      <c r="AM44" s="158" t="s">
        <v>314</v>
      </c>
      <c r="AN44" s="81" t="s">
        <v>315</v>
      </c>
      <c r="AO44" s="81" t="s">
        <v>357</v>
      </c>
      <c r="AP44" s="81">
        <f>U26/2</f>
        <v>4177488.9999999995</v>
      </c>
      <c r="AQ44" s="81" t="s">
        <v>317</v>
      </c>
      <c r="AR44" s="81" t="s">
        <v>358</v>
      </c>
      <c r="AV44" s="167" t="s">
        <v>314</v>
      </c>
      <c r="AW44" s="167" t="s">
        <v>315</v>
      </c>
      <c r="AX44" s="167" t="s">
        <v>357</v>
      </c>
      <c r="AY44" s="168" t="s">
        <v>318</v>
      </c>
      <c r="AZ44" s="161">
        <f t="shared" si="31"/>
        <v>4177488.9999999995</v>
      </c>
      <c r="BA44" s="167" t="s">
        <v>317</v>
      </c>
      <c r="BL44" s="167" t="s">
        <v>314</v>
      </c>
      <c r="BM44" s="167" t="s">
        <v>315</v>
      </c>
      <c r="BN44" s="167" t="s">
        <v>357</v>
      </c>
      <c r="BO44" s="168" t="s">
        <v>318</v>
      </c>
      <c r="BP44" s="161">
        <f>BE86</f>
        <v>248000</v>
      </c>
      <c r="BQ44" s="167" t="s">
        <v>317</v>
      </c>
      <c r="CA44" s="167" t="s">
        <v>314</v>
      </c>
      <c r="CB44" s="167" t="s">
        <v>315</v>
      </c>
      <c r="CC44" s="167" t="s">
        <v>359</v>
      </c>
      <c r="CD44" s="168" t="s">
        <v>318</v>
      </c>
      <c r="CE44" s="161">
        <f>BU88</f>
        <v>113000000</v>
      </c>
      <c r="CF44" s="167" t="s">
        <v>317</v>
      </c>
      <c r="CI44" s="81" t="s">
        <v>359</v>
      </c>
      <c r="CJ44" s="241">
        <f t="shared" si="1"/>
        <v>4177488.9999999995</v>
      </c>
      <c r="CK44" s="241">
        <f t="shared" si="2"/>
        <v>6990000</v>
      </c>
      <c r="CL44" s="241">
        <f t="shared" si="3"/>
        <v>113000000</v>
      </c>
      <c r="CO44" s="243" t="s">
        <v>373</v>
      </c>
      <c r="CP44" s="243" t="s">
        <v>405</v>
      </c>
      <c r="CQ44" s="244">
        <v>5.8999999999999997E-2</v>
      </c>
      <c r="CR44" s="244">
        <v>5.9100000000000005E-4</v>
      </c>
      <c r="CS44" s="243">
        <v>99.74</v>
      </c>
      <c r="CT44" s="243" t="s">
        <v>420</v>
      </c>
      <c r="CU44" s="244">
        <v>2E-16</v>
      </c>
      <c r="CV44" s="81" t="s">
        <v>385</v>
      </c>
      <c r="CW44" s="245" t="s">
        <v>460</v>
      </c>
      <c r="CX44" s="251" t="s">
        <v>482</v>
      </c>
      <c r="CY44" s="246" t="s">
        <v>318</v>
      </c>
      <c r="CZ44" s="247">
        <f>CQ68</f>
        <v>0.312</v>
      </c>
      <c r="DA44" s="245" t="s">
        <v>317</v>
      </c>
      <c r="DC44" s="169" t="s">
        <v>460</v>
      </c>
      <c r="DD44" s="264" t="s">
        <v>482</v>
      </c>
      <c r="DE44" s="258" t="s">
        <v>318</v>
      </c>
      <c r="DF44" s="169">
        <f>$O$22*$Z$37*$AP$26</f>
        <v>0.60205559319286994</v>
      </c>
      <c r="DG44" s="169" t="s">
        <v>317</v>
      </c>
    </row>
    <row r="45" spans="2:111" ht="15" customHeight="1" thickTop="1" thickBot="1" x14ac:dyDescent="0.3">
      <c r="B45" s="81" t="s">
        <v>283</v>
      </c>
      <c r="D45" s="81">
        <v>0.7</v>
      </c>
      <c r="F45" s="79"/>
      <c r="L45" s="81"/>
      <c r="M45" s="81"/>
      <c r="N45" s="81"/>
      <c r="Q45" s="81"/>
      <c r="R45" s="81"/>
      <c r="X45" s="175"/>
      <c r="Y45" s="176" t="s">
        <v>280</v>
      </c>
      <c r="Z45" s="255">
        <v>8.6999999999999994E-2</v>
      </c>
      <c r="AA45" s="176">
        <v>2.4E-2</v>
      </c>
      <c r="AB45" s="176">
        <v>30</v>
      </c>
      <c r="AC45" s="176">
        <v>1470</v>
      </c>
      <c r="AD45" s="227">
        <f>Z45/AA45</f>
        <v>3.6249999999999996</v>
      </c>
      <c r="AE45" s="177">
        <f>Z45*AB45*AC45</f>
        <v>3836.7</v>
      </c>
      <c r="AF45" s="228" t="s">
        <v>281</v>
      </c>
      <c r="AG45" s="222"/>
      <c r="AH45" s="222"/>
      <c r="AM45" s="158" t="s">
        <v>314</v>
      </c>
      <c r="AN45" s="81" t="s">
        <v>315</v>
      </c>
      <c r="AO45" s="81" t="s">
        <v>359</v>
      </c>
      <c r="AP45" s="81">
        <f>U26/2</f>
        <v>4177488.9999999995</v>
      </c>
      <c r="AQ45" s="81" t="s">
        <v>317</v>
      </c>
      <c r="AR45" s="81" t="s">
        <v>360</v>
      </c>
      <c r="AV45" s="167" t="s">
        <v>314</v>
      </c>
      <c r="AW45" s="167" t="s">
        <v>315</v>
      </c>
      <c r="AX45" s="167" t="s">
        <v>359</v>
      </c>
      <c r="AY45" s="168" t="s">
        <v>318</v>
      </c>
      <c r="AZ45" s="161">
        <f t="shared" si="31"/>
        <v>4177488.9999999995</v>
      </c>
      <c r="BA45" s="167" t="s">
        <v>317</v>
      </c>
      <c r="BC45" s="81" t="s">
        <v>373</v>
      </c>
      <c r="BD45" s="81" t="s">
        <v>374</v>
      </c>
      <c r="BE45" s="81" t="s">
        <v>419</v>
      </c>
      <c r="BL45" s="167" t="s">
        <v>314</v>
      </c>
      <c r="BM45" s="167" t="s">
        <v>315</v>
      </c>
      <c r="BN45" s="167" t="s">
        <v>359</v>
      </c>
      <c r="BO45" s="168" t="s">
        <v>318</v>
      </c>
      <c r="BP45" s="161">
        <f>BE87</f>
        <v>6990000</v>
      </c>
      <c r="BQ45" s="167" t="s">
        <v>317</v>
      </c>
      <c r="BS45" s="81" t="s">
        <v>373</v>
      </c>
      <c r="BT45" s="81" t="s">
        <v>374</v>
      </c>
      <c r="BU45" s="81" t="s">
        <v>419</v>
      </c>
      <c r="CA45" s="167" t="s">
        <v>314</v>
      </c>
      <c r="CB45" s="167" t="s">
        <v>315</v>
      </c>
      <c r="CC45" s="167" t="s">
        <v>361</v>
      </c>
      <c r="CD45" s="168" t="s">
        <v>318</v>
      </c>
      <c r="CE45" s="161">
        <f>BU30</f>
        <v>2.69E-2</v>
      </c>
      <c r="CF45" s="167" t="s">
        <v>317</v>
      </c>
      <c r="CI45" s="81" t="s">
        <v>361</v>
      </c>
      <c r="CJ45" s="239">
        <f t="shared" si="1"/>
        <v>4.4871913479591026E-2</v>
      </c>
      <c r="CK45" s="239">
        <f t="shared" si="2"/>
        <v>1.9E-2</v>
      </c>
      <c r="CL45" s="239">
        <f t="shared" si="3"/>
        <v>2.69E-2</v>
      </c>
      <c r="CO45" s="243" t="s">
        <v>373</v>
      </c>
      <c r="CP45" s="243" t="s">
        <v>406</v>
      </c>
      <c r="CQ45" s="244">
        <v>2.8199999999999999E-2</v>
      </c>
      <c r="CR45" s="244">
        <v>2.6699999999999998E-4</v>
      </c>
      <c r="CS45" s="243">
        <v>105.53</v>
      </c>
      <c r="CT45" s="243" t="s">
        <v>420</v>
      </c>
      <c r="CU45" s="244">
        <v>2E-16</v>
      </c>
      <c r="CV45" s="81" t="s">
        <v>385</v>
      </c>
      <c r="CW45" s="245" t="s">
        <v>460</v>
      </c>
      <c r="CX45" s="251" t="s">
        <v>483</v>
      </c>
      <c r="CY45" s="246" t="s">
        <v>318</v>
      </c>
      <c r="CZ45" s="247">
        <f t="shared" ref="CZ45:CZ59" si="32">CQ69</f>
        <v>5.7599999999999999E-6</v>
      </c>
      <c r="DA45" s="245" t="s">
        <v>317</v>
      </c>
      <c r="DC45" s="169" t="s">
        <v>460</v>
      </c>
      <c r="DD45" s="264" t="s">
        <v>483</v>
      </c>
      <c r="DE45" s="258" t="s">
        <v>318</v>
      </c>
      <c r="DF45" s="169">
        <f>$O$21*$Z$37*$AP$26</f>
        <v>0.69916133403042957</v>
      </c>
      <c r="DG45" s="169" t="s">
        <v>317</v>
      </c>
    </row>
    <row r="46" spans="2:111" ht="15" customHeight="1" thickTop="1" thickBot="1" x14ac:dyDescent="0.3">
      <c r="L46" s="81"/>
      <c r="M46" s="81"/>
      <c r="N46" s="81"/>
      <c r="Q46" s="81"/>
      <c r="R46" s="81"/>
      <c r="X46" s="175"/>
      <c r="Y46" s="176" t="s">
        <v>131</v>
      </c>
      <c r="Z46" s="176">
        <v>0.15</v>
      </c>
      <c r="AA46" s="176">
        <v>1.4</v>
      </c>
      <c r="AB46" s="176">
        <v>2100</v>
      </c>
      <c r="AC46" s="176">
        <v>840</v>
      </c>
      <c r="AD46" s="227">
        <f>Z46/AA46</f>
        <v>0.10714285714285715</v>
      </c>
      <c r="AE46" s="177">
        <f>Z46*AB46*AC46</f>
        <v>264600</v>
      </c>
      <c r="AF46" s="222"/>
      <c r="AG46" s="222"/>
      <c r="AH46" s="222"/>
      <c r="AM46" s="158" t="s">
        <v>314</v>
      </c>
      <c r="AN46" s="81" t="s">
        <v>315</v>
      </c>
      <c r="AO46" s="81" t="s">
        <v>361</v>
      </c>
      <c r="AP46" s="81">
        <f>AP42*0.3</f>
        <v>4.4871913479591026E-2</v>
      </c>
      <c r="AQ46" s="81" t="s">
        <v>317</v>
      </c>
      <c r="AR46" s="81" t="s">
        <v>362</v>
      </c>
      <c r="AV46" s="167" t="s">
        <v>314</v>
      </c>
      <c r="AW46" s="167" t="s">
        <v>315</v>
      </c>
      <c r="AX46" s="167" t="s">
        <v>361</v>
      </c>
      <c r="AY46" s="168" t="s">
        <v>318</v>
      </c>
      <c r="AZ46" s="161">
        <f t="shared" si="31"/>
        <v>4.4871913479591026E-2</v>
      </c>
      <c r="BA46" s="167" t="s">
        <v>317</v>
      </c>
      <c r="BC46" s="81" t="s">
        <v>373</v>
      </c>
      <c r="BD46" s="81" t="s">
        <v>376</v>
      </c>
      <c r="BL46" s="167" t="s">
        <v>314</v>
      </c>
      <c r="BM46" s="167" t="s">
        <v>315</v>
      </c>
      <c r="BN46" s="167" t="s">
        <v>361</v>
      </c>
      <c r="BO46" s="168" t="s">
        <v>318</v>
      </c>
      <c r="BP46" s="161">
        <f>BE30</f>
        <v>1.9E-2</v>
      </c>
      <c r="BQ46" s="167" t="s">
        <v>317</v>
      </c>
      <c r="BS46" s="81" t="s">
        <v>373</v>
      </c>
      <c r="BT46" s="81" t="s">
        <v>376</v>
      </c>
      <c r="CA46" s="167" t="s">
        <v>314</v>
      </c>
      <c r="CB46" s="167" t="s">
        <v>315</v>
      </c>
      <c r="CC46" s="167" t="s">
        <v>363</v>
      </c>
      <c r="CD46" s="168" t="s">
        <v>318</v>
      </c>
      <c r="CE46" s="161">
        <f>BU67</f>
        <v>0.121</v>
      </c>
      <c r="CF46" s="167" t="s">
        <v>317</v>
      </c>
      <c r="CI46" s="81" t="s">
        <v>363</v>
      </c>
      <c r="CJ46" s="239">
        <f t="shared" si="1"/>
        <v>0.10255630024307803</v>
      </c>
      <c r="CK46" s="239">
        <f t="shared" si="2"/>
        <v>0.184</v>
      </c>
      <c r="CL46" s="239">
        <f t="shared" si="3"/>
        <v>0.121</v>
      </c>
      <c r="CO46" s="243" t="s">
        <v>373</v>
      </c>
      <c r="CP46" s="243" t="s">
        <v>407</v>
      </c>
      <c r="CQ46" s="244">
        <v>673</v>
      </c>
      <c r="CR46" s="244">
        <v>6.88</v>
      </c>
      <c r="CS46" s="243">
        <v>97.82</v>
      </c>
      <c r="CT46" s="243" t="s">
        <v>420</v>
      </c>
      <c r="CU46" s="244">
        <v>2E-16</v>
      </c>
      <c r="CV46" s="81" t="s">
        <v>385</v>
      </c>
      <c r="CW46" s="245" t="s">
        <v>460</v>
      </c>
      <c r="CX46" s="251" t="s">
        <v>484</v>
      </c>
      <c r="CY46" s="246" t="s">
        <v>318</v>
      </c>
      <c r="CZ46" s="247">
        <f t="shared" si="32"/>
        <v>0.64800000000000002</v>
      </c>
      <c r="DA46" s="245" t="s">
        <v>317</v>
      </c>
      <c r="DC46" s="169" t="s">
        <v>460</v>
      </c>
      <c r="DD46" s="264" t="s">
        <v>484</v>
      </c>
      <c r="DE46" s="258" t="s">
        <v>318</v>
      </c>
      <c r="DF46" s="169">
        <f>$O$23*$Z$37*$AP$26</f>
        <v>0.78979335881215185</v>
      </c>
      <c r="DG46" s="169" t="s">
        <v>317</v>
      </c>
    </row>
    <row r="47" spans="2:111" ht="15" customHeight="1" thickTop="1" thickBot="1" x14ac:dyDescent="0.3">
      <c r="C47" s="152"/>
      <c r="L47" s="81"/>
      <c r="M47" s="81"/>
      <c r="N47" s="81"/>
      <c r="Q47" s="81"/>
      <c r="R47" s="81"/>
      <c r="X47" s="187"/>
      <c r="Y47" s="174" t="s">
        <v>132</v>
      </c>
      <c r="Z47" s="174">
        <v>0</v>
      </c>
      <c r="AA47" s="174">
        <v>2.4E-2</v>
      </c>
      <c r="AB47" s="174">
        <v>26</v>
      </c>
      <c r="AC47" s="174">
        <v>1470</v>
      </c>
      <c r="AD47" s="229">
        <f>Z47/AA47</f>
        <v>0</v>
      </c>
      <c r="AE47" s="192">
        <f>Z47*AB47*AC47</f>
        <v>0</v>
      </c>
      <c r="AF47" s="222"/>
      <c r="AG47" s="222"/>
      <c r="AH47" s="222"/>
      <c r="AM47" s="158" t="s">
        <v>314</v>
      </c>
      <c r="AN47" s="81" t="s">
        <v>315</v>
      </c>
      <c r="AO47" s="81" t="s">
        <v>363</v>
      </c>
      <c r="AP47" s="81">
        <f>AP43*0.3</f>
        <v>0.10255630024307803</v>
      </c>
      <c r="AQ47" s="81" t="s">
        <v>317</v>
      </c>
      <c r="AR47" s="81" t="s">
        <v>364</v>
      </c>
      <c r="AV47" s="167" t="s">
        <v>314</v>
      </c>
      <c r="AW47" s="167" t="s">
        <v>315</v>
      </c>
      <c r="AX47" s="167" t="s">
        <v>363</v>
      </c>
      <c r="AY47" s="168" t="s">
        <v>318</v>
      </c>
      <c r="AZ47" s="161">
        <f t="shared" si="31"/>
        <v>0.10255630024307803</v>
      </c>
      <c r="BA47" s="167" t="s">
        <v>317</v>
      </c>
      <c r="BC47" s="81" t="s">
        <v>373</v>
      </c>
      <c r="BD47" s="81" t="s">
        <v>377</v>
      </c>
      <c r="BE47" s="81" t="s">
        <v>378</v>
      </c>
      <c r="BF47" s="81" t="s">
        <v>379</v>
      </c>
      <c r="BG47" s="81" t="s">
        <v>380</v>
      </c>
      <c r="BH47" s="81" t="s">
        <v>381</v>
      </c>
      <c r="BI47" s="81" t="s">
        <v>382</v>
      </c>
      <c r="BL47" s="167" t="s">
        <v>314</v>
      </c>
      <c r="BM47" s="167" t="s">
        <v>315</v>
      </c>
      <c r="BN47" s="167" t="s">
        <v>363</v>
      </c>
      <c r="BO47" s="168" t="s">
        <v>318</v>
      </c>
      <c r="BP47" s="161">
        <f>BE67</f>
        <v>0.184</v>
      </c>
      <c r="BQ47" s="167" t="s">
        <v>317</v>
      </c>
      <c r="BS47" s="81" t="s">
        <v>373</v>
      </c>
      <c r="BT47" s="81" t="s">
        <v>377</v>
      </c>
      <c r="BU47" s="81" t="s">
        <v>378</v>
      </c>
      <c r="BV47" s="81" t="s">
        <v>379</v>
      </c>
      <c r="BW47" s="81" t="s">
        <v>380</v>
      </c>
      <c r="BX47" s="81" t="s">
        <v>381</v>
      </c>
      <c r="BY47" s="81" t="s">
        <v>382</v>
      </c>
      <c r="CA47" s="167" t="s">
        <v>314</v>
      </c>
      <c r="CB47" s="167" t="s">
        <v>315</v>
      </c>
      <c r="CC47" s="167" t="s">
        <v>365</v>
      </c>
      <c r="CD47" s="168" t="s">
        <v>318</v>
      </c>
      <c r="CE47" s="161">
        <f>BU95</f>
        <v>78.400000000000006</v>
      </c>
      <c r="CF47" s="167" t="s">
        <v>317</v>
      </c>
      <c r="CI47" s="81" t="s">
        <v>365</v>
      </c>
      <c r="CJ47" s="242">
        <f t="shared" si="1"/>
        <v>530.8615897720955</v>
      </c>
      <c r="CK47" s="242">
        <f t="shared" si="2"/>
        <v>476</v>
      </c>
      <c r="CL47" s="242">
        <f t="shared" si="3"/>
        <v>78.400000000000006</v>
      </c>
      <c r="CO47" s="243" t="s">
        <v>373</v>
      </c>
      <c r="CP47" s="243" t="s">
        <v>408</v>
      </c>
      <c r="CQ47" s="244">
        <v>271</v>
      </c>
      <c r="CR47" s="244">
        <v>2.41</v>
      </c>
      <c r="CS47" s="243">
        <v>112.33</v>
      </c>
      <c r="CT47" s="243" t="s">
        <v>420</v>
      </c>
      <c r="CU47" s="244">
        <v>2E-16</v>
      </c>
      <c r="CV47" s="81" t="s">
        <v>385</v>
      </c>
      <c r="CW47" s="245" t="s">
        <v>460</v>
      </c>
      <c r="CX47" s="251" t="s">
        <v>485</v>
      </c>
      <c r="CY47" s="246" t="s">
        <v>318</v>
      </c>
      <c r="CZ47" s="247">
        <f t="shared" si="32"/>
        <v>0.53200000000000003</v>
      </c>
      <c r="DA47" s="245" t="s">
        <v>317</v>
      </c>
      <c r="DC47" s="169" t="s">
        <v>460</v>
      </c>
      <c r="DD47" s="264" t="s">
        <v>485</v>
      </c>
      <c r="DE47" s="258" t="s">
        <v>318</v>
      </c>
      <c r="DF47" s="169">
        <f>$O$24*$Z$37*$AP$26</f>
        <v>0.57616072896952064</v>
      </c>
      <c r="DG47" s="169" t="s">
        <v>317</v>
      </c>
    </row>
    <row r="48" spans="2:111" ht="15" customHeight="1" thickTop="1" thickBot="1" x14ac:dyDescent="0.3">
      <c r="C48" s="152"/>
      <c r="L48" s="81"/>
      <c r="M48" s="81"/>
      <c r="N48" s="81"/>
      <c r="Q48" s="81"/>
      <c r="R48" s="81"/>
      <c r="X48" s="176"/>
      <c r="Y48" s="176"/>
      <c r="Z48" s="176"/>
      <c r="AA48" s="176"/>
      <c r="AB48" s="176"/>
      <c r="AC48" s="176"/>
      <c r="AD48" s="227"/>
      <c r="AE48" s="176"/>
      <c r="AF48" s="222"/>
      <c r="AG48" s="222"/>
      <c r="AH48" s="222"/>
      <c r="AM48" s="158" t="s">
        <v>314</v>
      </c>
      <c r="AN48" s="81" t="s">
        <v>315</v>
      </c>
      <c r="AO48" s="81" t="s">
        <v>365</v>
      </c>
      <c r="AP48" s="81">
        <f>AA28*4*O26</f>
        <v>530.8615897720955</v>
      </c>
      <c r="AQ48" s="81" t="s">
        <v>317</v>
      </c>
      <c r="AR48" s="81" t="s">
        <v>366</v>
      </c>
      <c r="AV48" s="167" t="s">
        <v>314</v>
      </c>
      <c r="AW48" s="167" t="s">
        <v>315</v>
      </c>
      <c r="AX48" s="167" t="s">
        <v>365</v>
      </c>
      <c r="AY48" s="168" t="s">
        <v>318</v>
      </c>
      <c r="AZ48" s="161">
        <f t="shared" si="31"/>
        <v>530.8615897720955</v>
      </c>
      <c r="BA48" s="167" t="s">
        <v>317</v>
      </c>
      <c r="BC48" s="81" t="s">
        <v>373</v>
      </c>
      <c r="BD48" s="81" t="s">
        <v>383</v>
      </c>
      <c r="BE48" s="166">
        <v>288</v>
      </c>
      <c r="BF48" s="166">
        <v>2.2799999999999998</v>
      </c>
      <c r="BG48" s="81">
        <v>126.5</v>
      </c>
      <c r="BH48" s="81" t="s">
        <v>420</v>
      </c>
      <c r="BI48" s="166">
        <v>2E-16</v>
      </c>
      <c r="BJ48" s="81" t="s">
        <v>385</v>
      </c>
      <c r="BL48" s="167" t="s">
        <v>314</v>
      </c>
      <c r="BM48" s="167" t="s">
        <v>315</v>
      </c>
      <c r="BN48" s="167" t="s">
        <v>365</v>
      </c>
      <c r="BO48" s="168" t="s">
        <v>318</v>
      </c>
      <c r="BP48" s="161">
        <f>BE94</f>
        <v>476</v>
      </c>
      <c r="BQ48" s="167" t="s">
        <v>317</v>
      </c>
      <c r="BS48" s="81" t="s">
        <v>373</v>
      </c>
      <c r="BT48" s="81" t="s">
        <v>383</v>
      </c>
      <c r="BU48" s="166">
        <v>291</v>
      </c>
      <c r="BV48" s="166">
        <v>0.16200000000000001</v>
      </c>
      <c r="BW48" s="81">
        <v>1794.55</v>
      </c>
      <c r="BX48" s="81" t="s">
        <v>420</v>
      </c>
      <c r="BY48" s="166">
        <v>2E-16</v>
      </c>
      <c r="BZ48" s="81" t="s">
        <v>385</v>
      </c>
      <c r="CA48" s="167" t="s">
        <v>314</v>
      </c>
      <c r="CB48" s="167" t="s">
        <v>315</v>
      </c>
      <c r="CC48" s="167" t="s">
        <v>367</v>
      </c>
      <c r="CD48" s="168" t="s">
        <v>318</v>
      </c>
      <c r="CE48" s="161">
        <f>BU96</f>
        <v>5.5999999999999995E-4</v>
      </c>
      <c r="CF48" s="167" t="s">
        <v>317</v>
      </c>
      <c r="CI48" s="81" t="s">
        <v>367</v>
      </c>
      <c r="CJ48" s="242">
        <f t="shared" si="1"/>
        <v>265.43079488604775</v>
      </c>
      <c r="CK48" s="242">
        <f t="shared" si="2"/>
        <v>3410</v>
      </c>
      <c r="CL48" s="242">
        <f t="shared" si="3"/>
        <v>5.5999999999999995E-4</v>
      </c>
      <c r="CO48" s="243" t="s">
        <v>373</v>
      </c>
      <c r="CP48" s="243" t="s">
        <v>290</v>
      </c>
      <c r="CQ48" s="244">
        <v>911</v>
      </c>
      <c r="CR48" s="244">
        <v>9.15</v>
      </c>
      <c r="CS48" s="243">
        <v>99.5</v>
      </c>
      <c r="CT48" s="243" t="s">
        <v>420</v>
      </c>
      <c r="CU48" s="244">
        <v>2E-16</v>
      </c>
      <c r="CV48" s="81" t="s">
        <v>385</v>
      </c>
      <c r="CW48" s="245" t="s">
        <v>460</v>
      </c>
      <c r="CX48" s="251" t="s">
        <v>486</v>
      </c>
      <c r="CY48" s="246" t="s">
        <v>318</v>
      </c>
      <c r="CZ48" s="247">
        <f t="shared" si="32"/>
        <v>0.21299999999999999</v>
      </c>
      <c r="DA48" s="245" t="s">
        <v>317</v>
      </c>
      <c r="DC48" s="169" t="s">
        <v>460</v>
      </c>
      <c r="DD48" s="264" t="s">
        <v>486</v>
      </c>
      <c r="DE48" s="258" t="s">
        <v>318</v>
      </c>
      <c r="DF48" s="169">
        <f>$O$22*$Z$37*$AP$27</f>
        <v>0.22268013736543479</v>
      </c>
      <c r="DG48" s="169" t="s">
        <v>317</v>
      </c>
    </row>
    <row r="49" spans="1:111" ht="15" customHeight="1" thickTop="1" thickBot="1" x14ac:dyDescent="0.3">
      <c r="C49" s="152"/>
      <c r="L49" s="81"/>
      <c r="M49" s="81"/>
      <c r="N49" s="81"/>
      <c r="Q49" s="81"/>
      <c r="R49" s="81"/>
      <c r="Z49" s="221" t="s">
        <v>4</v>
      </c>
      <c r="AA49" s="221">
        <v>4</v>
      </c>
      <c r="AB49" s="221" t="s">
        <v>5</v>
      </c>
      <c r="AF49" s="222"/>
      <c r="AG49" s="222"/>
      <c r="AH49" s="222"/>
      <c r="AM49" s="158" t="s">
        <v>314</v>
      </c>
      <c r="AN49" s="81" t="s">
        <v>315</v>
      </c>
      <c r="AO49" s="81" t="s">
        <v>367</v>
      </c>
      <c r="AP49" s="81">
        <f>AP50/2</f>
        <v>265.43079488604775</v>
      </c>
      <c r="AQ49" s="81" t="s">
        <v>317</v>
      </c>
      <c r="AR49" s="81" t="s">
        <v>368</v>
      </c>
      <c r="AV49" s="167" t="s">
        <v>314</v>
      </c>
      <c r="AW49" s="167" t="s">
        <v>315</v>
      </c>
      <c r="AX49" s="167" t="s">
        <v>367</v>
      </c>
      <c r="AY49" s="168" t="s">
        <v>318</v>
      </c>
      <c r="AZ49" s="161">
        <f t="shared" si="31"/>
        <v>265.43079488604775</v>
      </c>
      <c r="BA49" s="167" t="s">
        <v>317</v>
      </c>
      <c r="BC49" s="81" t="s">
        <v>373</v>
      </c>
      <c r="BD49" s="81" t="s">
        <v>386</v>
      </c>
      <c r="BE49" s="166">
        <v>287</v>
      </c>
      <c r="BF49" s="166">
        <v>1.8</v>
      </c>
      <c r="BG49" s="81">
        <v>159.38999999999999</v>
      </c>
      <c r="BH49" s="81" t="s">
        <v>420</v>
      </c>
      <c r="BI49" s="166">
        <v>2E-16</v>
      </c>
      <c r="BJ49" s="81" t="s">
        <v>385</v>
      </c>
      <c r="BL49" s="167" t="s">
        <v>314</v>
      </c>
      <c r="BM49" s="167" t="s">
        <v>315</v>
      </c>
      <c r="BN49" s="167" t="s">
        <v>367</v>
      </c>
      <c r="BO49" s="168" t="s">
        <v>318</v>
      </c>
      <c r="BP49" s="161">
        <f t="shared" ref="BP49:BP50" si="33">BE95</f>
        <v>3410</v>
      </c>
      <c r="BQ49" s="167" t="s">
        <v>317</v>
      </c>
      <c r="BS49" s="81" t="s">
        <v>373</v>
      </c>
      <c r="BT49" s="81" t="s">
        <v>386</v>
      </c>
      <c r="BU49" s="166">
        <v>284</v>
      </c>
      <c r="BV49" s="166">
        <v>0.14199999999999999</v>
      </c>
      <c r="BW49" s="81">
        <v>1993.85</v>
      </c>
      <c r="BX49" s="81" t="s">
        <v>420</v>
      </c>
      <c r="BY49" s="166">
        <v>2E-16</v>
      </c>
      <c r="BZ49" s="81" t="s">
        <v>385</v>
      </c>
      <c r="CA49" s="167" t="s">
        <v>314</v>
      </c>
      <c r="CB49" s="167" t="s">
        <v>315</v>
      </c>
      <c r="CC49" s="167" t="s">
        <v>369</v>
      </c>
      <c r="CD49" s="168" t="s">
        <v>318</v>
      </c>
      <c r="CE49" s="161">
        <f>BU97</f>
        <v>236</v>
      </c>
      <c r="CF49" s="167" t="s">
        <v>317</v>
      </c>
      <c r="CI49" s="81" t="s">
        <v>369</v>
      </c>
      <c r="CJ49" s="242">
        <f t="shared" si="1"/>
        <v>530.8615897720955</v>
      </c>
      <c r="CK49" s="242">
        <f t="shared" si="2"/>
        <v>989</v>
      </c>
      <c r="CL49" s="242">
        <f t="shared" si="3"/>
        <v>236</v>
      </c>
      <c r="CO49" s="243" t="s">
        <v>373</v>
      </c>
      <c r="CP49" s="243" t="s">
        <v>120</v>
      </c>
      <c r="CQ49" s="244">
        <v>505</v>
      </c>
      <c r="CR49" s="244">
        <v>11.4</v>
      </c>
      <c r="CS49" s="243">
        <v>44.38</v>
      </c>
      <c r="CT49" s="243" t="s">
        <v>420</v>
      </c>
      <c r="CU49" s="244">
        <v>2E-16</v>
      </c>
      <c r="CV49" s="81" t="s">
        <v>385</v>
      </c>
      <c r="CW49" s="245" t="s">
        <v>460</v>
      </c>
      <c r="CX49" s="251" t="s">
        <v>487</v>
      </c>
      <c r="CY49" s="246" t="s">
        <v>318</v>
      </c>
      <c r="CZ49" s="247">
        <f t="shared" si="32"/>
        <v>0.23300000000000001</v>
      </c>
      <c r="DA49" s="245" t="s">
        <v>317</v>
      </c>
      <c r="DC49" s="169" t="s">
        <v>460</v>
      </c>
      <c r="DD49" s="264" t="s">
        <v>487</v>
      </c>
      <c r="DE49" s="258" t="s">
        <v>318</v>
      </c>
      <c r="DF49" s="169">
        <f>$O$21*$Z$37*$AP$27</f>
        <v>0.25859628855340816</v>
      </c>
      <c r="DG49" s="169" t="s">
        <v>317</v>
      </c>
    </row>
    <row r="50" spans="1:111" ht="15" customHeight="1" thickTop="1" thickBot="1" x14ac:dyDescent="0.3">
      <c r="L50" s="81"/>
      <c r="M50" s="81"/>
      <c r="N50" s="81"/>
      <c r="Q50" s="81"/>
      <c r="R50" s="81"/>
      <c r="X50" s="216" t="s">
        <v>68</v>
      </c>
      <c r="Y50" s="217"/>
      <c r="Z50" s="218" t="s">
        <v>21</v>
      </c>
      <c r="AA50" s="200">
        <v>4</v>
      </c>
      <c r="AB50" s="217" t="s">
        <v>5</v>
      </c>
      <c r="AC50" s="217"/>
      <c r="AD50" s="217" t="s">
        <v>22</v>
      </c>
      <c r="AE50" s="220">
        <f>0.04*550*1660</f>
        <v>36520</v>
      </c>
      <c r="AF50" s="222" t="s">
        <v>23</v>
      </c>
      <c r="AG50" s="222">
        <f>SUM(AE53:AE54)</f>
        <v>0</v>
      </c>
      <c r="AH50" s="222"/>
      <c r="AM50" s="158" t="s">
        <v>314</v>
      </c>
      <c r="AN50" s="81" t="s">
        <v>315</v>
      </c>
      <c r="AO50" s="81" t="s">
        <v>369</v>
      </c>
      <c r="AP50" s="81">
        <f>AP48</f>
        <v>530.8615897720955</v>
      </c>
      <c r="AQ50" s="81" t="s">
        <v>317</v>
      </c>
      <c r="AR50" s="81" t="s">
        <v>370</v>
      </c>
      <c r="AV50" s="167" t="s">
        <v>314</v>
      </c>
      <c r="AW50" s="167" t="s">
        <v>315</v>
      </c>
      <c r="AX50" s="167" t="s">
        <v>369</v>
      </c>
      <c r="AY50" s="168" t="s">
        <v>318</v>
      </c>
      <c r="AZ50" s="161">
        <f t="shared" si="31"/>
        <v>530.8615897720955</v>
      </c>
      <c r="BA50" s="167" t="s">
        <v>317</v>
      </c>
      <c r="BC50" s="81" t="s">
        <v>373</v>
      </c>
      <c r="BD50" s="81" t="s">
        <v>387</v>
      </c>
      <c r="BE50" s="166">
        <v>288</v>
      </c>
      <c r="BF50" s="166">
        <v>6.47</v>
      </c>
      <c r="BG50" s="81">
        <v>44.51</v>
      </c>
      <c r="BH50" s="81" t="s">
        <v>420</v>
      </c>
      <c r="BI50" s="166">
        <v>2E-16</v>
      </c>
      <c r="BJ50" s="81" t="s">
        <v>385</v>
      </c>
      <c r="BL50" s="167" t="s">
        <v>314</v>
      </c>
      <c r="BM50" s="167" t="s">
        <v>315</v>
      </c>
      <c r="BN50" s="167" t="s">
        <v>369</v>
      </c>
      <c r="BO50" s="168" t="s">
        <v>318</v>
      </c>
      <c r="BP50" s="161">
        <f t="shared" si="33"/>
        <v>989</v>
      </c>
      <c r="BQ50" s="167" t="s">
        <v>317</v>
      </c>
      <c r="BS50" s="81" t="s">
        <v>373</v>
      </c>
      <c r="BT50" s="81" t="s">
        <v>387</v>
      </c>
      <c r="BU50" s="166">
        <v>293</v>
      </c>
      <c r="BV50" s="166">
        <v>9.8400000000000001E-2</v>
      </c>
      <c r="BW50" s="81">
        <v>2974.56</v>
      </c>
      <c r="BX50" s="81" t="s">
        <v>420</v>
      </c>
      <c r="BY50" s="166">
        <v>2E-16</v>
      </c>
      <c r="BZ50" s="81" t="s">
        <v>385</v>
      </c>
      <c r="CA50" s="160"/>
      <c r="CB50" s="160"/>
      <c r="CC50" s="160"/>
      <c r="CD50" s="160"/>
      <c r="CE50" s="161"/>
      <c r="CF50" s="160"/>
      <c r="CO50" s="243" t="s">
        <v>373</v>
      </c>
      <c r="CP50" s="243" t="s">
        <v>409</v>
      </c>
      <c r="CQ50" s="244">
        <v>-4.49</v>
      </c>
      <c r="CR50" s="244">
        <v>1.6400000000000001E-2</v>
      </c>
      <c r="CS50" s="243">
        <v>-273.43</v>
      </c>
      <c r="CT50" s="243" t="s">
        <v>420</v>
      </c>
      <c r="CU50" s="244">
        <v>2E-16</v>
      </c>
      <c r="CV50" s="81" t="s">
        <v>385</v>
      </c>
      <c r="CW50" s="245" t="s">
        <v>460</v>
      </c>
      <c r="CX50" s="251" t="s">
        <v>488</v>
      </c>
      <c r="CY50" s="246" t="s">
        <v>318</v>
      </c>
      <c r="CZ50" s="247">
        <f t="shared" si="32"/>
        <v>0.22800000000000001</v>
      </c>
      <c r="DA50" s="245" t="s">
        <v>317</v>
      </c>
      <c r="DC50" s="169" t="s">
        <v>460</v>
      </c>
      <c r="DD50" s="264" t="s">
        <v>488</v>
      </c>
      <c r="DE50" s="258" t="s">
        <v>318</v>
      </c>
      <c r="DF50" s="169">
        <f>$O$23*$Z$37*$AP$27</f>
        <v>0.29211802966218325</v>
      </c>
      <c r="DG50" s="169" t="s">
        <v>317</v>
      </c>
    </row>
    <row r="51" spans="1:111" ht="15" customHeight="1" thickTop="1" thickBot="1" x14ac:dyDescent="0.3">
      <c r="L51" s="81"/>
      <c r="M51" s="81"/>
      <c r="N51" s="81"/>
      <c r="Q51" s="81"/>
      <c r="R51" s="81"/>
      <c r="X51" s="224"/>
      <c r="Y51" s="225" t="s">
        <v>27</v>
      </c>
      <c r="Z51" s="225" t="s">
        <v>28</v>
      </c>
      <c r="AA51" s="225" t="s">
        <v>29</v>
      </c>
      <c r="AB51" s="225" t="s">
        <v>30</v>
      </c>
      <c r="AC51" s="225" t="s">
        <v>31</v>
      </c>
      <c r="AD51" s="225" t="s">
        <v>32</v>
      </c>
      <c r="AE51" s="226" t="s">
        <v>33</v>
      </c>
      <c r="AF51" s="222"/>
      <c r="AG51" s="222"/>
      <c r="AH51" s="222"/>
      <c r="BC51" s="81" t="s">
        <v>373</v>
      </c>
      <c r="BD51" s="81" t="s">
        <v>388</v>
      </c>
      <c r="BE51" s="166">
        <v>292</v>
      </c>
      <c r="BF51" s="166">
        <v>2.2999999999999998</v>
      </c>
      <c r="BG51" s="81">
        <v>126.59</v>
      </c>
      <c r="BH51" s="81" t="s">
        <v>420</v>
      </c>
      <c r="BI51" s="166">
        <v>2E-16</v>
      </c>
      <c r="BJ51" s="81" t="s">
        <v>385</v>
      </c>
      <c r="BS51" s="81" t="s">
        <v>373</v>
      </c>
      <c r="BT51" s="81" t="s">
        <v>388</v>
      </c>
      <c r="BU51" s="166">
        <v>296</v>
      </c>
      <c r="BV51" s="166">
        <v>0.11899999999999999</v>
      </c>
      <c r="BW51" s="81">
        <v>2478.6</v>
      </c>
      <c r="BX51" s="81" t="s">
        <v>420</v>
      </c>
      <c r="BY51" s="166">
        <v>2E-16</v>
      </c>
      <c r="BZ51" s="81" t="s">
        <v>385</v>
      </c>
      <c r="CO51" s="243" t="s">
        <v>373</v>
      </c>
      <c r="CP51" s="243" t="s">
        <v>410</v>
      </c>
      <c r="CQ51" s="244">
        <v>-6.41</v>
      </c>
      <c r="CR51" s="244">
        <v>2.1600000000000001E-2</v>
      </c>
      <c r="CS51" s="243">
        <v>-297.10000000000002</v>
      </c>
      <c r="CT51" s="243" t="s">
        <v>420</v>
      </c>
      <c r="CU51" s="244">
        <v>2E-16</v>
      </c>
      <c r="CV51" s="81" t="s">
        <v>385</v>
      </c>
      <c r="CW51" s="245" t="s">
        <v>460</v>
      </c>
      <c r="CX51" s="251" t="s">
        <v>489</v>
      </c>
      <c r="CY51" s="246" t="s">
        <v>318</v>
      </c>
      <c r="CZ51" s="247">
        <f t="shared" si="32"/>
        <v>0.14899999999999999</v>
      </c>
      <c r="DA51" s="245" t="s">
        <v>317</v>
      </c>
      <c r="DC51" s="169" t="s">
        <v>460</v>
      </c>
      <c r="DD51" s="264" t="s">
        <v>489</v>
      </c>
      <c r="DE51" s="258" t="s">
        <v>318</v>
      </c>
      <c r="DF51" s="169">
        <f>$O$24*$Z$37*$AP$27</f>
        <v>0.2131024970486419</v>
      </c>
      <c r="DG51" s="169" t="s">
        <v>317</v>
      </c>
    </row>
    <row r="52" spans="1:111" thickTop="1" thickBot="1" x14ac:dyDescent="0.3">
      <c r="X52" s="181"/>
      <c r="Y52" s="182" t="s">
        <v>16</v>
      </c>
      <c r="Z52" s="182">
        <v>4</v>
      </c>
      <c r="AA52" s="182" t="s">
        <v>5</v>
      </c>
      <c r="AB52" s="182"/>
      <c r="AC52" s="182" t="s">
        <v>308</v>
      </c>
      <c r="AD52" s="182">
        <f>0.11*(1/AA50-1/23-1/8)</f>
        <v>8.9673913043478264E-3</v>
      </c>
      <c r="AE52" s="233"/>
      <c r="AF52" s="222"/>
      <c r="AG52" s="222"/>
      <c r="AH52" s="222"/>
      <c r="BC52" s="81" t="s">
        <v>373</v>
      </c>
      <c r="BD52" s="81" t="s">
        <v>390</v>
      </c>
      <c r="BE52" s="166">
        <v>0.01</v>
      </c>
      <c r="BF52" s="166">
        <v>1.0200000000000001E-3</v>
      </c>
      <c r="BG52" s="81">
        <v>9.8000000000000007</v>
      </c>
      <c r="BH52" s="81" t="s">
        <v>420</v>
      </c>
      <c r="BI52" s="166">
        <v>2E-16</v>
      </c>
      <c r="BJ52" s="81" t="s">
        <v>385</v>
      </c>
      <c r="BS52" s="81" t="s">
        <v>373</v>
      </c>
      <c r="BT52" s="81" t="s">
        <v>390</v>
      </c>
      <c r="BU52" s="166">
        <v>0.39200000000000002</v>
      </c>
      <c r="BV52" s="166">
        <v>3.8899999999999998E-3</v>
      </c>
      <c r="BW52" s="81">
        <v>100.85</v>
      </c>
      <c r="BX52" s="81" t="s">
        <v>420</v>
      </c>
      <c r="BY52" s="166">
        <v>2E-16</v>
      </c>
      <c r="BZ52" s="81" t="s">
        <v>385</v>
      </c>
      <c r="CO52" s="243" t="s">
        <v>373</v>
      </c>
      <c r="CP52" s="243" t="s">
        <v>411</v>
      </c>
      <c r="CQ52" s="244">
        <v>-6.53</v>
      </c>
      <c r="CR52" s="244">
        <v>2.2700000000000001E-2</v>
      </c>
      <c r="CS52" s="243">
        <v>-287.85000000000002</v>
      </c>
      <c r="CT52" s="243" t="s">
        <v>420</v>
      </c>
      <c r="CU52" s="244">
        <v>2E-16</v>
      </c>
      <c r="CV52" s="81" t="s">
        <v>385</v>
      </c>
      <c r="CW52" s="245" t="s">
        <v>460</v>
      </c>
      <c r="CX52" s="251" t="s">
        <v>490</v>
      </c>
      <c r="CY52" s="246" t="s">
        <v>318</v>
      </c>
      <c r="CZ52" s="247">
        <f t="shared" si="32"/>
        <v>0.51</v>
      </c>
      <c r="DA52" s="245" t="s">
        <v>317</v>
      </c>
      <c r="DC52" s="169" t="s">
        <v>460</v>
      </c>
      <c r="DD52" s="264" t="s">
        <v>490</v>
      </c>
      <c r="DE52" s="258" t="s">
        <v>318</v>
      </c>
      <c r="DF52" s="169">
        <f>$O$22*$Z$37*$AP$28</f>
        <v>3.8290681079201305E-2</v>
      </c>
      <c r="DG52" s="169" t="s">
        <v>317</v>
      </c>
    </row>
    <row r="53" spans="1:111" thickTop="1" thickBot="1" x14ac:dyDescent="0.3">
      <c r="X53" s="187"/>
      <c r="Y53" s="174" t="s">
        <v>121</v>
      </c>
      <c r="Z53" s="174">
        <v>0</v>
      </c>
      <c r="AA53" s="174"/>
      <c r="AB53" s="174"/>
      <c r="AC53" s="174"/>
      <c r="AD53" s="174"/>
      <c r="AE53" s="192"/>
      <c r="BC53" s="81" t="s">
        <v>373</v>
      </c>
      <c r="BD53" s="81" t="s">
        <v>391</v>
      </c>
      <c r="BE53" s="166">
        <v>1.0200000000000001E-2</v>
      </c>
      <c r="BF53" s="166">
        <v>1.07E-3</v>
      </c>
      <c r="BG53" s="81">
        <v>9.57</v>
      </c>
      <c r="BH53" s="81" t="s">
        <v>420</v>
      </c>
      <c r="BI53" s="166">
        <v>2E-16</v>
      </c>
      <c r="BJ53" s="81" t="s">
        <v>385</v>
      </c>
      <c r="BS53" s="81" t="s">
        <v>373</v>
      </c>
      <c r="BT53" s="81" t="s">
        <v>391</v>
      </c>
      <c r="BU53" s="166">
        <v>0.155</v>
      </c>
      <c r="BV53" s="166">
        <v>1.1800000000000001E-3</v>
      </c>
      <c r="BW53" s="81">
        <v>131.32</v>
      </c>
      <c r="BX53" s="81" t="s">
        <v>420</v>
      </c>
      <c r="BY53" s="166">
        <v>2E-16</v>
      </c>
      <c r="BZ53" s="81" t="s">
        <v>385</v>
      </c>
      <c r="CO53" s="243" t="s">
        <v>373</v>
      </c>
      <c r="CP53" s="243" t="s">
        <v>412</v>
      </c>
      <c r="CQ53" s="244">
        <v>-5.7</v>
      </c>
      <c r="CR53" s="244">
        <v>1.7500000000000002E-2</v>
      </c>
      <c r="CS53" s="243">
        <v>-326.31</v>
      </c>
      <c r="CT53" s="243" t="s">
        <v>420</v>
      </c>
      <c r="CU53" s="244">
        <v>2E-16</v>
      </c>
      <c r="CV53" s="81" t="s">
        <v>385</v>
      </c>
      <c r="CW53" s="245" t="s">
        <v>460</v>
      </c>
      <c r="CX53" s="251" t="s">
        <v>491</v>
      </c>
      <c r="CY53" s="246" t="s">
        <v>318</v>
      </c>
      <c r="CZ53" s="247">
        <f t="shared" si="32"/>
        <v>1.08E-5</v>
      </c>
      <c r="DA53" s="245" t="s">
        <v>317</v>
      </c>
      <c r="DC53" s="169" t="s">
        <v>460</v>
      </c>
      <c r="DD53" s="264" t="s">
        <v>491</v>
      </c>
      <c r="DE53" s="258" t="s">
        <v>318</v>
      </c>
      <c r="DF53" s="169">
        <f>$O$21*$Z$37*$AP$28</f>
        <v>4.4466597382298287E-2</v>
      </c>
      <c r="DG53" s="169" t="s">
        <v>317</v>
      </c>
    </row>
    <row r="54" spans="1:111" thickTop="1" thickBot="1" x14ac:dyDescent="0.3">
      <c r="AO54" s="169" t="s">
        <v>371</v>
      </c>
      <c r="AP54" s="169">
        <f>SUM(AP42,AP4:AP7)</f>
        <v>1</v>
      </c>
      <c r="AQ54" s="169"/>
      <c r="BC54" s="81" t="s">
        <v>373</v>
      </c>
      <c r="BD54" s="81" t="s">
        <v>392</v>
      </c>
      <c r="BE54" s="166">
        <v>0.69799999999999995</v>
      </c>
      <c r="BF54" s="166">
        <v>0.156</v>
      </c>
      <c r="BG54" s="81">
        <v>4.47</v>
      </c>
      <c r="BH54" s="166">
        <v>8.1000000000000004E-6</v>
      </c>
      <c r="BI54" s="81" t="s">
        <v>385</v>
      </c>
      <c r="BS54" s="81" t="s">
        <v>373</v>
      </c>
      <c r="BT54" s="81" t="s">
        <v>392</v>
      </c>
      <c r="BU54" s="166">
        <v>1.06E-7</v>
      </c>
      <c r="BV54" s="166">
        <v>9.1300000000000004E-8</v>
      </c>
      <c r="BW54" s="81">
        <v>1.1599999999999999</v>
      </c>
      <c r="BX54" s="166">
        <v>0.25</v>
      </c>
      <c r="CO54" s="243" t="s">
        <v>373</v>
      </c>
      <c r="CP54" s="243" t="s">
        <v>413</v>
      </c>
      <c r="CQ54" s="244">
        <v>-6.91</v>
      </c>
      <c r="CR54" s="244">
        <v>2.6800000000000001E-2</v>
      </c>
      <c r="CS54" s="243">
        <v>-258.13</v>
      </c>
      <c r="CT54" s="243" t="s">
        <v>420</v>
      </c>
      <c r="CU54" s="244">
        <v>2E-16</v>
      </c>
      <c r="CV54" s="81" t="s">
        <v>385</v>
      </c>
      <c r="CW54" s="245" t="s">
        <v>460</v>
      </c>
      <c r="CX54" s="251" t="s">
        <v>492</v>
      </c>
      <c r="CY54" s="246" t="s">
        <v>318</v>
      </c>
      <c r="CZ54" s="247">
        <f t="shared" si="32"/>
        <v>5.0499999999999999E-6</v>
      </c>
      <c r="DA54" s="245" t="s">
        <v>317</v>
      </c>
      <c r="DC54" s="169" t="s">
        <v>460</v>
      </c>
      <c r="DD54" s="264" t="s">
        <v>492</v>
      </c>
      <c r="DE54" s="258" t="s">
        <v>318</v>
      </c>
      <c r="DF54" s="169">
        <f>$O$23*$Z$37*$AP$28</f>
        <v>5.0230785931855468E-2</v>
      </c>
      <c r="DG54" s="169" t="s">
        <v>317</v>
      </c>
    </row>
    <row r="55" spans="1:111" thickTop="1" thickBot="1" x14ac:dyDescent="0.3">
      <c r="AO55" s="169" t="s">
        <v>371</v>
      </c>
      <c r="AP55" s="169">
        <f>SUM(AP43,AP26:AP28)</f>
        <v>1</v>
      </c>
      <c r="AQ55" s="169"/>
      <c r="BC55" s="81" t="s">
        <v>373</v>
      </c>
      <c r="BD55" s="81" t="s">
        <v>393</v>
      </c>
      <c r="BE55" s="166">
        <v>9.7500000000000003E-2</v>
      </c>
      <c r="BF55" s="166">
        <v>9.8200000000000006E-3</v>
      </c>
      <c r="BG55" s="81">
        <v>9.93</v>
      </c>
      <c r="BH55" s="81" t="s">
        <v>420</v>
      </c>
      <c r="BI55" s="166">
        <v>2E-16</v>
      </c>
      <c r="BJ55" s="81" t="s">
        <v>385</v>
      </c>
      <c r="BS55" s="81" t="s">
        <v>373</v>
      </c>
      <c r="BT55" s="81" t="s">
        <v>393</v>
      </c>
      <c r="BU55" s="166">
        <v>0.309</v>
      </c>
      <c r="BV55" s="166">
        <v>2.5600000000000002E-3</v>
      </c>
      <c r="BW55" s="81">
        <v>120.59</v>
      </c>
      <c r="BX55" s="81" t="s">
        <v>420</v>
      </c>
      <c r="BY55" s="166">
        <v>2E-16</v>
      </c>
      <c r="BZ55" s="81" t="s">
        <v>385</v>
      </c>
      <c r="CO55" s="243" t="s">
        <v>373</v>
      </c>
      <c r="CP55" s="243" t="s">
        <v>414</v>
      </c>
      <c r="CQ55" s="244">
        <v>9.2100000000000005E-4</v>
      </c>
      <c r="CR55" s="244">
        <v>1.5299999999999999E-5</v>
      </c>
      <c r="CS55" s="243">
        <v>60.26</v>
      </c>
      <c r="CT55" s="243" t="s">
        <v>420</v>
      </c>
      <c r="CU55" s="244">
        <v>2E-16</v>
      </c>
      <c r="CV55" s="81" t="s">
        <v>385</v>
      </c>
      <c r="CW55" s="245" t="s">
        <v>460</v>
      </c>
      <c r="CX55" s="251" t="s">
        <v>493</v>
      </c>
      <c r="CY55" s="246" t="s">
        <v>318</v>
      </c>
      <c r="CZ55" s="247">
        <f t="shared" si="32"/>
        <v>0.28999999999999998</v>
      </c>
      <c r="DA55" s="245" t="s">
        <v>317</v>
      </c>
      <c r="DC55" s="169" t="s">
        <v>460</v>
      </c>
      <c r="DD55" s="264" t="s">
        <v>493</v>
      </c>
      <c r="DE55" s="258" t="s">
        <v>318</v>
      </c>
      <c r="DF55" s="169">
        <f>$O$24*$Z$37*$AP$28</f>
        <v>3.664377006504211E-2</v>
      </c>
      <c r="DG55" s="169" t="s">
        <v>317</v>
      </c>
    </row>
    <row r="56" spans="1:111" thickTop="1" thickBot="1" x14ac:dyDescent="0.3">
      <c r="AO56" s="169" t="s">
        <v>372</v>
      </c>
      <c r="AP56" s="169">
        <f>SUM(AP46,AP14:AP17)</f>
        <v>1</v>
      </c>
      <c r="AQ56" s="169"/>
      <c r="BC56" s="81" t="s">
        <v>373</v>
      </c>
      <c r="BD56" s="81" t="s">
        <v>303</v>
      </c>
      <c r="BE56" s="166">
        <v>69800</v>
      </c>
      <c r="BF56" s="166">
        <v>108000</v>
      </c>
      <c r="BG56" s="81">
        <v>0.65</v>
      </c>
      <c r="BH56" s="81">
        <v>0.51685000000000003</v>
      </c>
      <c r="BS56" s="81" t="s">
        <v>373</v>
      </c>
      <c r="BT56" s="81" t="s">
        <v>303</v>
      </c>
      <c r="BU56" s="166">
        <v>986000000</v>
      </c>
      <c r="BV56" s="166">
        <v>3920000</v>
      </c>
      <c r="BW56" s="81">
        <v>251.81</v>
      </c>
      <c r="BX56" s="81" t="s">
        <v>420</v>
      </c>
      <c r="BY56" s="166">
        <v>2E-16</v>
      </c>
      <c r="BZ56" s="81" t="s">
        <v>385</v>
      </c>
      <c r="CO56" s="243" t="s">
        <v>373</v>
      </c>
      <c r="CP56" s="243" t="s">
        <v>415</v>
      </c>
      <c r="CQ56" s="244">
        <v>118</v>
      </c>
      <c r="CR56" s="244">
        <v>1.1399999999999999</v>
      </c>
      <c r="CS56" s="243">
        <v>103.58</v>
      </c>
      <c r="CT56" s="243" t="s">
        <v>420</v>
      </c>
      <c r="CU56" s="244">
        <v>2E-16</v>
      </c>
      <c r="CV56" s="81" t="s">
        <v>385</v>
      </c>
      <c r="CW56" s="245" t="s">
        <v>460</v>
      </c>
      <c r="CX56" s="251" t="s">
        <v>494</v>
      </c>
      <c r="CY56" s="246" t="s">
        <v>318</v>
      </c>
      <c r="CZ56" s="247">
        <f t="shared" si="32"/>
        <v>0.42799999999999999</v>
      </c>
      <c r="DA56" s="245" t="s">
        <v>317</v>
      </c>
      <c r="DC56" s="169" t="s">
        <v>460</v>
      </c>
      <c r="DD56" s="264" t="s">
        <v>494</v>
      </c>
      <c r="DE56" s="258" t="s">
        <v>318</v>
      </c>
      <c r="DF56" s="169">
        <f>$O$22*$Z$37*$AP$43</f>
        <v>0.44827358836249415</v>
      </c>
      <c r="DG56" s="169" t="s">
        <v>317</v>
      </c>
    </row>
    <row r="57" spans="1:111" thickTop="1" thickBot="1" x14ac:dyDescent="0.3">
      <c r="A57" s="271" t="s">
        <v>518</v>
      </c>
      <c r="B57" s="271"/>
      <c r="C57" s="269"/>
      <c r="D57" s="269"/>
      <c r="E57" s="269"/>
      <c r="AD57" s="172">
        <f>1/(0.04/0.18)</f>
        <v>4.5</v>
      </c>
      <c r="AO57" s="169" t="s">
        <v>372</v>
      </c>
      <c r="AP57" s="169">
        <f>SUM(AP47,AP33:AP35)</f>
        <v>0.99999999999999989</v>
      </c>
      <c r="AQ57" s="169"/>
      <c r="BC57" s="81" t="s">
        <v>373</v>
      </c>
      <c r="BD57" s="81" t="s">
        <v>395</v>
      </c>
      <c r="BE57" s="166">
        <v>3800000</v>
      </c>
      <c r="BF57" s="166">
        <v>1390000</v>
      </c>
      <c r="BG57" s="81">
        <v>2.72</v>
      </c>
      <c r="BH57" s="81">
        <v>6.4799999999999996E-3</v>
      </c>
      <c r="BI57" s="81" t="s">
        <v>398</v>
      </c>
      <c r="BS57" s="81" t="s">
        <v>373</v>
      </c>
      <c r="BT57" s="81" t="s">
        <v>395</v>
      </c>
      <c r="BU57" s="166">
        <v>1010000</v>
      </c>
      <c r="BV57" s="166">
        <v>13600</v>
      </c>
      <c r="BW57" s="81">
        <v>73.87</v>
      </c>
      <c r="BX57" s="81" t="s">
        <v>420</v>
      </c>
      <c r="BY57" s="166">
        <v>2E-16</v>
      </c>
      <c r="BZ57" s="81" t="s">
        <v>385</v>
      </c>
      <c r="CK57" s="81">
        <f>0.75*0.87*28.8</f>
        <v>18.791999999999998</v>
      </c>
      <c r="CO57" s="243" t="s">
        <v>373</v>
      </c>
      <c r="CP57" s="243" t="s">
        <v>416</v>
      </c>
      <c r="CQ57" s="244">
        <v>9960</v>
      </c>
      <c r="CR57" s="244">
        <v>115</v>
      </c>
      <c r="CS57" s="243">
        <v>86.42</v>
      </c>
      <c r="CT57" s="243" t="s">
        <v>420</v>
      </c>
      <c r="CU57" s="244">
        <v>2E-16</v>
      </c>
      <c r="CV57" s="81" t="s">
        <v>385</v>
      </c>
      <c r="CW57" s="245" t="s">
        <v>460</v>
      </c>
      <c r="CX57" s="251" t="s">
        <v>495</v>
      </c>
      <c r="CY57" s="246" t="s">
        <v>318</v>
      </c>
      <c r="CZ57" s="247">
        <f t="shared" si="32"/>
        <v>5.2100000000000001E-6</v>
      </c>
      <c r="DA57" s="245" t="s">
        <v>317</v>
      </c>
      <c r="DC57" s="169" t="s">
        <v>460</v>
      </c>
      <c r="DD57" s="264" t="s">
        <v>495</v>
      </c>
      <c r="DE57" s="258" t="s">
        <v>318</v>
      </c>
      <c r="DF57" s="169">
        <f>$O$21*$Z$37*$AP$43</f>
        <v>0.52057578003386418</v>
      </c>
      <c r="DG57" s="169" t="s">
        <v>317</v>
      </c>
    </row>
    <row r="58" spans="1:111" thickTop="1" thickBot="1" x14ac:dyDescent="0.3">
      <c r="A58" s="270" t="s">
        <v>122</v>
      </c>
      <c r="B58" s="273">
        <f>C4*1008*1.204*5</f>
        <v>4648210.5599999996</v>
      </c>
      <c r="C58" s="273">
        <f>C34*1008*1.204*5</f>
        <v>2237471.9649032257</v>
      </c>
      <c r="D58" s="273">
        <f>B58-C58</f>
        <v>2410738.5950967739</v>
      </c>
      <c r="E58" s="269"/>
      <c r="BC58" s="81" t="s">
        <v>373</v>
      </c>
      <c r="BD58" s="81" t="s">
        <v>296</v>
      </c>
      <c r="BE58" s="166">
        <v>78400000</v>
      </c>
      <c r="BF58" s="166">
        <v>49600000</v>
      </c>
      <c r="BG58" s="81">
        <v>1.58</v>
      </c>
      <c r="BH58" s="81">
        <v>0.11389000000000001</v>
      </c>
      <c r="BS58" s="81" t="s">
        <v>373</v>
      </c>
      <c r="BT58" s="81" t="s">
        <v>296</v>
      </c>
      <c r="BU58" s="166">
        <v>36900000</v>
      </c>
      <c r="BV58" s="166">
        <v>2550000</v>
      </c>
      <c r="BW58" s="81">
        <v>14.46</v>
      </c>
      <c r="BX58" s="81" t="s">
        <v>420</v>
      </c>
      <c r="BY58" s="166">
        <v>2E-16</v>
      </c>
      <c r="BZ58" s="81" t="s">
        <v>385</v>
      </c>
      <c r="CO58" s="243" t="s">
        <v>373</v>
      </c>
      <c r="CP58" s="243" t="s">
        <v>417</v>
      </c>
      <c r="CQ58" s="244">
        <v>148</v>
      </c>
      <c r="CR58" s="244">
        <v>12.2</v>
      </c>
      <c r="CS58" s="243">
        <v>12.18</v>
      </c>
      <c r="CT58" s="243" t="s">
        <v>420</v>
      </c>
      <c r="CU58" s="244">
        <v>2E-16</v>
      </c>
      <c r="CV58" s="81" t="s">
        <v>385</v>
      </c>
      <c r="CW58" s="245" t="s">
        <v>460</v>
      </c>
      <c r="CX58" s="251" t="s">
        <v>496</v>
      </c>
      <c r="CY58" s="246" t="s">
        <v>318</v>
      </c>
      <c r="CZ58" s="247">
        <f t="shared" si="32"/>
        <v>0.49099999999999999</v>
      </c>
      <c r="DA58" s="245" t="s">
        <v>317</v>
      </c>
      <c r="DC58" s="169" t="s">
        <v>460</v>
      </c>
      <c r="DD58" s="264" t="s">
        <v>496</v>
      </c>
      <c r="DE58" s="258" t="s">
        <v>318</v>
      </c>
      <c r="DF58" s="169">
        <f>$O$23*$Z$37*$AP$43</f>
        <v>0.58805782559380948</v>
      </c>
      <c r="DG58" s="169" t="s">
        <v>317</v>
      </c>
    </row>
    <row r="59" spans="1:111" thickTop="1" thickBot="1" x14ac:dyDescent="0.3">
      <c r="A59" s="270" t="s">
        <v>152</v>
      </c>
      <c r="B59" s="272">
        <f>'Tabula data'!B21</f>
        <v>1.2783711615487316</v>
      </c>
      <c r="C59" s="272">
        <f>B59</f>
        <v>1.2783711615487316</v>
      </c>
      <c r="D59" s="272">
        <f>B59</f>
        <v>1.2783711615487316</v>
      </c>
      <c r="E59" s="269"/>
      <c r="AO59" s="266" t="s">
        <v>513</v>
      </c>
      <c r="BC59" s="81" t="s">
        <v>373</v>
      </c>
      <c r="BD59" s="81" t="s">
        <v>298</v>
      </c>
      <c r="BE59" s="166">
        <v>12500000</v>
      </c>
      <c r="BF59" s="166">
        <v>17900000</v>
      </c>
      <c r="BG59" s="81">
        <v>0.7</v>
      </c>
      <c r="BH59" s="81">
        <v>0.48460999999999999</v>
      </c>
      <c r="BS59" s="81" t="s">
        <v>373</v>
      </c>
      <c r="BT59" s="81" t="s">
        <v>298</v>
      </c>
      <c r="BU59" s="166">
        <v>46000000</v>
      </c>
      <c r="BV59" s="166">
        <v>7560000</v>
      </c>
      <c r="BW59" s="81">
        <v>6.09</v>
      </c>
      <c r="BX59" s="166">
        <v>1.2E-9</v>
      </c>
      <c r="BY59" s="81" t="s">
        <v>385</v>
      </c>
      <c r="CW59" s="245" t="s">
        <v>460</v>
      </c>
      <c r="CX59" s="251" t="s">
        <v>497</v>
      </c>
      <c r="CY59" s="246" t="s">
        <v>318</v>
      </c>
      <c r="CZ59" s="247">
        <f t="shared" si="32"/>
        <v>0.28100000000000003</v>
      </c>
      <c r="DA59" s="245" t="s">
        <v>317</v>
      </c>
      <c r="DC59" s="169" t="s">
        <v>460</v>
      </c>
      <c r="DD59" s="264" t="s">
        <v>497</v>
      </c>
      <c r="DE59" s="258" t="s">
        <v>318</v>
      </c>
      <c r="DF59" s="169">
        <f>$O$24*$Z$37*$AP$43</f>
        <v>0.42899300391679546</v>
      </c>
      <c r="DG59" s="169" t="s">
        <v>317</v>
      </c>
    </row>
    <row r="60" spans="1:111" thickTop="1" thickBot="1" x14ac:dyDescent="0.3">
      <c r="A60" s="270" t="s">
        <v>519</v>
      </c>
      <c r="B60" s="273">
        <f>SUM(S6:S28)</f>
        <v>227395658.93000004</v>
      </c>
      <c r="C60" s="273">
        <f>SUM(S6:S14,S16,S26/2,S27)</f>
        <v>188034445.94554001</v>
      </c>
      <c r="D60" s="273">
        <f>SUM(S17:S25,S26/2,S28)</f>
        <v>39361212.984460004</v>
      </c>
      <c r="E60" s="269"/>
      <c r="AN60" s="81" t="s">
        <v>515</v>
      </c>
      <c r="AO60" s="267">
        <f>SUM(R6:R9)</f>
        <v>65.225850492495312</v>
      </c>
      <c r="AP60" s="81">
        <f>1/(1/AP19+1/AP23)</f>
        <v>62.893524380247058</v>
      </c>
      <c r="BC60" s="81" t="s">
        <v>373</v>
      </c>
      <c r="BD60" s="81" t="s">
        <v>396</v>
      </c>
      <c r="BE60" s="166">
        <v>-13.2</v>
      </c>
      <c r="BF60" s="166">
        <v>3.9</v>
      </c>
      <c r="BG60" s="81">
        <v>-3.38</v>
      </c>
      <c r="BH60" s="81">
        <v>7.3999999999999999E-4</v>
      </c>
      <c r="BI60" s="81" t="s">
        <v>385</v>
      </c>
      <c r="BS60" s="81" t="s">
        <v>373</v>
      </c>
      <c r="BT60" s="81" t="s">
        <v>396</v>
      </c>
      <c r="BU60" s="166">
        <v>-32.4</v>
      </c>
      <c r="BV60" s="166">
        <v>1.84</v>
      </c>
      <c r="BW60" s="81">
        <v>-17.57</v>
      </c>
      <c r="BX60" s="81" t="s">
        <v>420</v>
      </c>
      <c r="BY60" s="166">
        <v>2E-16</v>
      </c>
      <c r="BZ60" s="81" t="s">
        <v>385</v>
      </c>
      <c r="CX60" s="251"/>
      <c r="CY60" s="246"/>
      <c r="CZ60" s="247"/>
      <c r="DC60" s="169"/>
      <c r="DD60" s="264"/>
      <c r="DE60" s="258"/>
      <c r="DF60" s="169"/>
      <c r="DG60" s="169"/>
    </row>
    <row r="61" spans="1:111" thickTop="1" thickBot="1" x14ac:dyDescent="0.3">
      <c r="A61" s="270" t="s">
        <v>520</v>
      </c>
      <c r="B61" s="270">
        <f>Z19</f>
        <v>0.25</v>
      </c>
      <c r="C61" s="270">
        <f>B61</f>
        <v>0.25</v>
      </c>
      <c r="D61" s="270">
        <f>C61</f>
        <v>0.25</v>
      </c>
      <c r="E61" s="269"/>
      <c r="BC61" s="81" t="s">
        <v>373</v>
      </c>
      <c r="BD61" s="81" t="s">
        <v>397</v>
      </c>
      <c r="BE61" s="166">
        <v>-1</v>
      </c>
      <c r="BF61" s="166">
        <v>0.91300000000000003</v>
      </c>
      <c r="BG61" s="81">
        <v>-1.1000000000000001</v>
      </c>
      <c r="BH61" s="81">
        <v>0.27290999999999999</v>
      </c>
      <c r="BS61" s="81" t="s">
        <v>373</v>
      </c>
      <c r="BT61" s="81" t="s">
        <v>397</v>
      </c>
      <c r="BU61" s="166">
        <v>-31.2</v>
      </c>
      <c r="BV61" s="166">
        <v>2.09</v>
      </c>
      <c r="BW61" s="81">
        <v>-14.94</v>
      </c>
      <c r="BX61" s="81" t="s">
        <v>420</v>
      </c>
      <c r="BY61" s="166">
        <v>2E-16</v>
      </c>
      <c r="BZ61" s="81" t="s">
        <v>385</v>
      </c>
      <c r="CO61" s="243" t="s">
        <v>373</v>
      </c>
      <c r="CP61" s="243" t="s">
        <v>374</v>
      </c>
      <c r="CQ61" s="243" t="s">
        <v>458</v>
      </c>
      <c r="CW61" s="245" t="s">
        <v>460</v>
      </c>
      <c r="CX61" s="251" t="s">
        <v>339</v>
      </c>
      <c r="CY61" s="246" t="s">
        <v>318</v>
      </c>
      <c r="CZ61" s="247">
        <f>CQ85</f>
        <v>1470000</v>
      </c>
      <c r="DA61" s="245" t="s">
        <v>317</v>
      </c>
      <c r="DC61" s="169" t="s">
        <v>460</v>
      </c>
      <c r="DD61" s="264" t="s">
        <v>339</v>
      </c>
      <c r="DE61" s="258" t="s">
        <v>318</v>
      </c>
      <c r="DF61" s="262">
        <f>AP30</f>
        <v>2090628.9192831542</v>
      </c>
      <c r="DG61" s="169" t="s">
        <v>317</v>
      </c>
    </row>
    <row r="62" spans="1:111" thickTop="1" thickBot="1" x14ac:dyDescent="0.3">
      <c r="A62" s="270" t="s">
        <v>521</v>
      </c>
      <c r="B62" s="270">
        <f>0.15</f>
        <v>0.15</v>
      </c>
      <c r="C62" s="270">
        <f>B62</f>
        <v>0.15</v>
      </c>
      <c r="D62" s="270">
        <f>C62</f>
        <v>0.15</v>
      </c>
      <c r="E62" s="269"/>
      <c r="BC62" s="81" t="s">
        <v>373</v>
      </c>
      <c r="BD62" s="81" t="s">
        <v>399</v>
      </c>
      <c r="BE62" s="166">
        <v>-1.02</v>
      </c>
      <c r="BF62" s="166">
        <v>0.91400000000000003</v>
      </c>
      <c r="BG62" s="81">
        <v>-1.1100000000000001</v>
      </c>
      <c r="BH62" s="81">
        <v>0.26651000000000002</v>
      </c>
      <c r="BS62" s="81" t="s">
        <v>373</v>
      </c>
      <c r="BT62" s="81" t="s">
        <v>399</v>
      </c>
      <c r="BU62" s="166">
        <v>-12.9</v>
      </c>
      <c r="BV62" s="166">
        <v>0.74399999999999999</v>
      </c>
      <c r="BW62" s="81">
        <v>-17.36</v>
      </c>
      <c r="BX62" s="81" t="s">
        <v>420</v>
      </c>
      <c r="BY62" s="166">
        <v>2E-16</v>
      </c>
      <c r="BZ62" s="81" t="s">
        <v>385</v>
      </c>
      <c r="CO62" s="243" t="s">
        <v>373</v>
      </c>
      <c r="CP62" s="243" t="s">
        <v>376</v>
      </c>
      <c r="CW62" s="245" t="s">
        <v>460</v>
      </c>
      <c r="CX62" s="251" t="s">
        <v>340</v>
      </c>
      <c r="CY62" s="246" t="s">
        <v>318</v>
      </c>
      <c r="CZ62" s="247">
        <f t="shared" ref="CZ62:CZ63" si="34">CQ86</f>
        <v>209000000</v>
      </c>
      <c r="DA62" s="245" t="s">
        <v>317</v>
      </c>
      <c r="DC62" s="169" t="s">
        <v>460</v>
      </c>
      <c r="DD62" s="264" t="s">
        <v>340</v>
      </c>
      <c r="DE62" s="258" t="s">
        <v>318</v>
      </c>
      <c r="DF62" s="262">
        <f>AP31</f>
        <v>21240578.712000005</v>
      </c>
      <c r="DG62" s="169" t="s">
        <v>317</v>
      </c>
    </row>
    <row r="63" spans="1:111" thickTop="1" thickBot="1" x14ac:dyDescent="0.3">
      <c r="A63" s="270" t="s">
        <v>522</v>
      </c>
      <c r="B63" s="270">
        <v>1</v>
      </c>
      <c r="C63" s="270">
        <v>1</v>
      </c>
      <c r="D63" s="270">
        <v>1</v>
      </c>
      <c r="E63" s="269"/>
      <c r="BC63" s="81" t="s">
        <v>373</v>
      </c>
      <c r="BD63" s="81" t="s">
        <v>400</v>
      </c>
      <c r="BE63" s="166">
        <v>-1</v>
      </c>
      <c r="BF63" s="166">
        <v>0.91300000000000003</v>
      </c>
      <c r="BG63" s="81">
        <v>-1.0900000000000001</v>
      </c>
      <c r="BH63" s="81">
        <v>0.27359</v>
      </c>
      <c r="BS63" s="81" t="s">
        <v>373</v>
      </c>
      <c r="BT63" s="81" t="s">
        <v>400</v>
      </c>
      <c r="BU63" s="166">
        <v>-13.6</v>
      </c>
      <c r="BV63" s="166">
        <v>1.23</v>
      </c>
      <c r="BW63" s="81">
        <v>-11.03</v>
      </c>
      <c r="BX63" s="81" t="s">
        <v>420</v>
      </c>
      <c r="BY63" s="166">
        <v>2E-16</v>
      </c>
      <c r="BZ63" s="81" t="s">
        <v>385</v>
      </c>
      <c r="CO63" s="243" t="s">
        <v>373</v>
      </c>
      <c r="CP63" s="243" t="s">
        <v>377</v>
      </c>
      <c r="CQ63" s="243" t="s">
        <v>378</v>
      </c>
      <c r="CR63" s="243" t="s">
        <v>379</v>
      </c>
      <c r="CS63" s="243" t="s">
        <v>380</v>
      </c>
      <c r="CT63" s="243" t="s">
        <v>381</v>
      </c>
      <c r="CU63" s="243" t="s">
        <v>382</v>
      </c>
      <c r="CW63" s="245" t="s">
        <v>460</v>
      </c>
      <c r="CX63" s="251" t="s">
        <v>341</v>
      </c>
      <c r="CY63" s="246" t="s">
        <v>318</v>
      </c>
      <c r="CZ63" s="247">
        <f t="shared" si="34"/>
        <v>44900000</v>
      </c>
      <c r="DA63" s="245" t="s">
        <v>317</v>
      </c>
      <c r="DC63" s="169" t="s">
        <v>460</v>
      </c>
      <c r="DD63" s="264" t="s">
        <v>341</v>
      </c>
      <c r="DE63" s="258" t="s">
        <v>318</v>
      </c>
      <c r="DF63" s="262">
        <f>AP32</f>
        <v>2701961.6820000005</v>
      </c>
      <c r="DG63" s="169" t="s">
        <v>317</v>
      </c>
    </row>
    <row r="64" spans="1:111" thickTop="1" thickBot="1" x14ac:dyDescent="0.3">
      <c r="A64" s="270" t="s">
        <v>523</v>
      </c>
      <c r="B64" s="272">
        <f>C64+D64</f>
        <v>354.76581470638536</v>
      </c>
      <c r="C64" s="272">
        <f>'Verwarming Tabula 2zone RefULG2'!B42+'Verwarming Tabula 2zone RefULG2'!B60</f>
        <v>215.09087953893183</v>
      </c>
      <c r="D64" s="272">
        <f>'Verwarming Tabula 2zone RefULG2'!B121+'Verwarming Tabula 2zone RefULG2'!B139</f>
        <v>139.67493516745353</v>
      </c>
      <c r="E64" s="269"/>
      <c r="BC64" s="81" t="s">
        <v>373</v>
      </c>
      <c r="BD64" s="81" t="s">
        <v>402</v>
      </c>
      <c r="BE64" s="166">
        <v>1.6E-2</v>
      </c>
      <c r="BF64" s="166">
        <v>6.1700000000000001E-3</v>
      </c>
      <c r="BG64" s="81">
        <v>2.6</v>
      </c>
      <c r="BH64" s="81">
        <v>9.41E-3</v>
      </c>
      <c r="BI64" s="81" t="s">
        <v>398</v>
      </c>
      <c r="BS64" s="81" t="s">
        <v>373</v>
      </c>
      <c r="BT64" s="81" t="s">
        <v>402</v>
      </c>
      <c r="BU64" s="166">
        <v>0.16</v>
      </c>
      <c r="BV64" s="166">
        <v>4.84E-4</v>
      </c>
      <c r="BW64" s="81">
        <v>330.38</v>
      </c>
      <c r="BX64" s="81" t="s">
        <v>420</v>
      </c>
      <c r="BY64" s="166">
        <v>2E-16</v>
      </c>
      <c r="BZ64" s="81" t="s">
        <v>385</v>
      </c>
      <c r="CO64" s="243" t="s">
        <v>373</v>
      </c>
      <c r="CP64" s="243" t="s">
        <v>383</v>
      </c>
      <c r="CQ64" s="244">
        <v>289</v>
      </c>
      <c r="CR64" s="244">
        <v>0.14399999999999999</v>
      </c>
      <c r="CS64" s="243">
        <v>2009.13</v>
      </c>
      <c r="CT64" s="243" t="s">
        <v>420</v>
      </c>
      <c r="CU64" s="244">
        <v>2E-16</v>
      </c>
      <c r="CV64" s="81" t="s">
        <v>385</v>
      </c>
      <c r="CY64" s="246"/>
      <c r="DC64" s="169"/>
      <c r="DD64" s="169"/>
      <c r="DE64" s="258"/>
      <c r="DF64" s="169"/>
      <c r="DG64" s="169"/>
    </row>
    <row r="65" spans="1:111" thickTop="1" thickBot="1" x14ac:dyDescent="0.3">
      <c r="A65" s="270" t="s">
        <v>524</v>
      </c>
      <c r="B65" s="273">
        <f>B64/B60</f>
        <v>1.5601257138140623E-6</v>
      </c>
      <c r="C65" s="273">
        <f t="shared" ref="C65:D65" si="35">C64/C60</f>
        <v>1.1438908358377491E-6</v>
      </c>
      <c r="D65" s="273">
        <f t="shared" si="35"/>
        <v>3.5485424502186421E-6</v>
      </c>
      <c r="E65" s="269"/>
      <c r="BC65" s="81" t="s">
        <v>373</v>
      </c>
      <c r="BD65" s="81" t="s">
        <v>403</v>
      </c>
      <c r="BE65" s="166">
        <v>4.2999999999999997E-2</v>
      </c>
      <c r="BF65" s="166">
        <v>6.2700000000000006E-2</v>
      </c>
      <c r="BG65" s="81">
        <v>0.69</v>
      </c>
      <c r="BH65" s="81">
        <v>0.49241000000000001</v>
      </c>
      <c r="BS65" s="81" t="s">
        <v>373</v>
      </c>
      <c r="BT65" s="81" t="s">
        <v>403</v>
      </c>
      <c r="BU65" s="166">
        <v>5.7200000000000001E-2</v>
      </c>
      <c r="BV65" s="166">
        <v>1.3899999999999999E-4</v>
      </c>
      <c r="BW65" s="81">
        <v>412.4</v>
      </c>
      <c r="BX65" s="81" t="s">
        <v>420</v>
      </c>
      <c r="BY65" s="166">
        <v>2E-16</v>
      </c>
      <c r="BZ65" s="81" t="s">
        <v>385</v>
      </c>
      <c r="CO65" s="243" t="s">
        <v>373</v>
      </c>
      <c r="CP65" s="243" t="s">
        <v>386</v>
      </c>
      <c r="CQ65" s="244">
        <v>282</v>
      </c>
      <c r="CR65" s="244">
        <v>0.16800000000000001</v>
      </c>
      <c r="CS65" s="243">
        <v>1680.3</v>
      </c>
      <c r="CT65" s="243" t="s">
        <v>420</v>
      </c>
      <c r="CU65" s="244">
        <v>2E-16</v>
      </c>
      <c r="CV65" s="81" t="s">
        <v>385</v>
      </c>
      <c r="CW65" s="245" t="s">
        <v>460</v>
      </c>
      <c r="CX65" s="251" t="s">
        <v>342</v>
      </c>
      <c r="CY65" s="246" t="s">
        <v>318</v>
      </c>
      <c r="CZ65" s="247">
        <f>CQ92</f>
        <v>0.16500000000000001</v>
      </c>
      <c r="DA65" s="245" t="s">
        <v>317</v>
      </c>
      <c r="DC65" s="169" t="s">
        <v>460</v>
      </c>
      <c r="DD65" s="264" t="s">
        <v>342</v>
      </c>
      <c r="DE65" s="258" t="s">
        <v>318</v>
      </c>
      <c r="DF65" s="169">
        <f>AP33</f>
        <v>0.13773863948590021</v>
      </c>
      <c r="DG65" s="169" t="s">
        <v>317</v>
      </c>
    </row>
    <row r="66" spans="1:111" thickTop="1" thickBot="1" x14ac:dyDescent="0.3">
      <c r="A66" s="270" t="s">
        <v>525</v>
      </c>
      <c r="B66" s="270">
        <f>1</f>
        <v>1</v>
      </c>
      <c r="C66" s="270">
        <v>1</v>
      </c>
      <c r="D66" s="270">
        <v>1</v>
      </c>
      <c r="E66" s="269"/>
      <c r="BC66" s="81" t="s">
        <v>373</v>
      </c>
      <c r="BD66" s="81" t="s">
        <v>404</v>
      </c>
      <c r="BE66" s="166">
        <v>0.73</v>
      </c>
      <c r="BF66" s="166">
        <v>3.09E-2</v>
      </c>
      <c r="BG66" s="81">
        <v>23.6</v>
      </c>
      <c r="BH66" s="81" t="s">
        <v>420</v>
      </c>
      <c r="BI66" s="166">
        <v>2E-16</v>
      </c>
      <c r="BJ66" s="81" t="s">
        <v>385</v>
      </c>
      <c r="BS66" s="81" t="s">
        <v>373</v>
      </c>
      <c r="BT66" s="81" t="s">
        <v>404</v>
      </c>
      <c r="BU66" s="166">
        <v>0.38300000000000001</v>
      </c>
      <c r="BV66" s="166">
        <v>1.07E-3</v>
      </c>
      <c r="BW66" s="81">
        <v>359.26</v>
      </c>
      <c r="BX66" s="81" t="s">
        <v>420</v>
      </c>
      <c r="BY66" s="166">
        <v>2E-16</v>
      </c>
      <c r="BZ66" s="81" t="s">
        <v>385</v>
      </c>
      <c r="CO66" s="243" t="s">
        <v>373</v>
      </c>
      <c r="CP66" s="243" t="s">
        <v>387</v>
      </c>
      <c r="CQ66" s="244">
        <v>292</v>
      </c>
      <c r="CR66" s="244">
        <v>0.114</v>
      </c>
      <c r="CS66" s="243">
        <v>2568.6999999999998</v>
      </c>
      <c r="CT66" s="243" t="s">
        <v>420</v>
      </c>
      <c r="CU66" s="244">
        <v>2E-16</v>
      </c>
      <c r="CV66" s="81" t="s">
        <v>385</v>
      </c>
      <c r="CW66" s="245" t="s">
        <v>460</v>
      </c>
      <c r="CX66" s="251" t="s">
        <v>343</v>
      </c>
      <c r="CY66" s="246" t="s">
        <v>318</v>
      </c>
      <c r="CZ66" s="247">
        <f t="shared" ref="CZ66:CZ68" si="36">CQ93</f>
        <v>5.8400000000000001E-2</v>
      </c>
      <c r="DA66" s="245" t="s">
        <v>317</v>
      </c>
      <c r="DC66" s="169" t="s">
        <v>460</v>
      </c>
      <c r="DD66" s="264" t="s">
        <v>343</v>
      </c>
      <c r="DE66" s="258" t="s">
        <v>318</v>
      </c>
      <c r="DF66" s="169">
        <f>AP34</f>
        <v>5.0944895302089857E-2</v>
      </c>
      <c r="DG66" s="169" t="s">
        <v>317</v>
      </c>
    </row>
    <row r="67" spans="1:111" thickTop="1" thickBot="1" x14ac:dyDescent="0.3">
      <c r="A67" s="270"/>
      <c r="B67" s="270"/>
      <c r="C67" s="270"/>
      <c r="D67" s="270"/>
      <c r="E67" s="269"/>
      <c r="BC67" s="81" t="s">
        <v>373</v>
      </c>
      <c r="BD67" s="81" t="s">
        <v>405</v>
      </c>
      <c r="BE67" s="166">
        <v>0.184</v>
      </c>
      <c r="BF67" s="166">
        <v>5.0500000000000003E-2</v>
      </c>
      <c r="BG67" s="81">
        <v>3.64</v>
      </c>
      <c r="BH67" s="81">
        <v>2.7E-4</v>
      </c>
      <c r="BI67" s="81" t="s">
        <v>385</v>
      </c>
      <c r="BS67" s="81" t="s">
        <v>373</v>
      </c>
      <c r="BT67" s="81" t="s">
        <v>405</v>
      </c>
      <c r="BU67" s="166">
        <v>0.121</v>
      </c>
      <c r="BV67" s="166">
        <v>2.8499999999999999E-4</v>
      </c>
      <c r="BW67" s="81">
        <v>425.28</v>
      </c>
      <c r="BX67" s="81" t="s">
        <v>420</v>
      </c>
      <c r="BY67" s="166">
        <v>2E-16</v>
      </c>
      <c r="BZ67" s="81" t="s">
        <v>385</v>
      </c>
      <c r="CO67" s="243" t="s">
        <v>373</v>
      </c>
      <c r="CP67" s="243" t="s">
        <v>388</v>
      </c>
      <c r="CQ67" s="244">
        <v>294</v>
      </c>
      <c r="CR67" s="244">
        <v>0.13500000000000001</v>
      </c>
      <c r="CS67" s="243">
        <v>2186.15</v>
      </c>
      <c r="CT67" s="243" t="s">
        <v>420</v>
      </c>
      <c r="CU67" s="244">
        <v>2E-16</v>
      </c>
      <c r="CV67" s="81" t="s">
        <v>385</v>
      </c>
      <c r="CW67" s="245" t="s">
        <v>460</v>
      </c>
      <c r="CX67" s="251" t="s">
        <v>345</v>
      </c>
      <c r="CY67" s="246" t="s">
        <v>318</v>
      </c>
      <c r="CZ67" s="247">
        <f t="shared" si="36"/>
        <v>0.61099999999999999</v>
      </c>
      <c r="DA67" s="245" t="s">
        <v>317</v>
      </c>
      <c r="DC67" s="169" t="s">
        <v>460</v>
      </c>
      <c r="DD67" s="264" t="s">
        <v>345</v>
      </c>
      <c r="DE67" s="258" t="s">
        <v>318</v>
      </c>
      <c r="DF67" s="169">
        <f>AP35</f>
        <v>0.70876016496893179</v>
      </c>
      <c r="DG67" s="169" t="s">
        <v>317</v>
      </c>
    </row>
    <row r="68" spans="1:111" thickTop="1" thickBot="1" x14ac:dyDescent="0.3">
      <c r="A68" s="269"/>
      <c r="B68" s="269"/>
      <c r="C68" s="269"/>
      <c r="D68" s="269"/>
      <c r="E68" s="269"/>
      <c r="BC68" s="81" t="s">
        <v>373</v>
      </c>
      <c r="BD68" s="81" t="s">
        <v>407</v>
      </c>
      <c r="BE68" s="166">
        <v>1350</v>
      </c>
      <c r="BF68" s="166">
        <v>248</v>
      </c>
      <c r="BG68" s="81">
        <v>5.42</v>
      </c>
      <c r="BH68" s="166">
        <v>6.1000000000000004E-8</v>
      </c>
      <c r="BI68" s="81" t="s">
        <v>385</v>
      </c>
      <c r="BS68" s="81" t="s">
        <v>373</v>
      </c>
      <c r="BT68" s="81" t="s">
        <v>407</v>
      </c>
      <c r="BU68" s="166">
        <v>332</v>
      </c>
      <c r="BV68" s="166">
        <v>2.44</v>
      </c>
      <c r="BW68" s="81">
        <v>136.41</v>
      </c>
      <c r="BX68" s="81" t="s">
        <v>420</v>
      </c>
      <c r="BY68" s="166">
        <v>2E-16</v>
      </c>
      <c r="BZ68" s="81" t="s">
        <v>385</v>
      </c>
      <c r="CO68" s="243" t="s">
        <v>373</v>
      </c>
      <c r="CP68" s="243" t="s">
        <v>442</v>
      </c>
      <c r="CQ68" s="244">
        <v>0.312</v>
      </c>
      <c r="CR68" s="244">
        <v>3.7699999999999997E-2</v>
      </c>
      <c r="CS68" s="243">
        <v>8.3000000000000007</v>
      </c>
      <c r="CT68" s="244">
        <v>2.2E-16</v>
      </c>
      <c r="CU68" s="243" t="s">
        <v>385</v>
      </c>
      <c r="CW68" s="245" t="s">
        <v>460</v>
      </c>
      <c r="CX68" s="251" t="s">
        <v>431</v>
      </c>
      <c r="CY68" s="246" t="s">
        <v>318</v>
      </c>
      <c r="CZ68" s="247">
        <f t="shared" si="36"/>
        <v>0.11700000000000001</v>
      </c>
      <c r="DA68" s="245" t="s">
        <v>317</v>
      </c>
      <c r="DC68" s="169" t="s">
        <v>460</v>
      </c>
      <c r="DD68" s="264" t="s">
        <v>431</v>
      </c>
      <c r="DE68" s="258" t="s">
        <v>318</v>
      </c>
      <c r="DF68" s="169">
        <f>AP47</f>
        <v>0.10255630024307803</v>
      </c>
      <c r="DG68" s="169" t="s">
        <v>317</v>
      </c>
    </row>
    <row r="69" spans="1:111" thickTop="1" thickBot="1" x14ac:dyDescent="0.3">
      <c r="A69" s="269"/>
      <c r="B69" s="269"/>
      <c r="C69" s="269"/>
      <c r="D69" s="269"/>
      <c r="E69" s="269"/>
      <c r="BC69" s="81" t="s">
        <v>373</v>
      </c>
      <c r="BD69" s="81" t="s">
        <v>290</v>
      </c>
      <c r="BE69" s="166">
        <v>372</v>
      </c>
      <c r="BF69" s="166">
        <v>148</v>
      </c>
      <c r="BG69" s="81">
        <v>2.5099999999999998</v>
      </c>
      <c r="BH69" s="81">
        <v>1.21E-2</v>
      </c>
      <c r="BI69" s="81" t="s">
        <v>418</v>
      </c>
      <c r="BS69" s="81" t="s">
        <v>373</v>
      </c>
      <c r="BT69" s="81" t="s">
        <v>290</v>
      </c>
      <c r="BU69" s="166">
        <v>128</v>
      </c>
      <c r="BV69" s="166">
        <v>0.69899999999999995</v>
      </c>
      <c r="BW69" s="81">
        <v>182.74</v>
      </c>
      <c r="BX69" s="81" t="s">
        <v>420</v>
      </c>
      <c r="BY69" s="166">
        <v>2E-16</v>
      </c>
      <c r="BZ69" s="81" t="s">
        <v>385</v>
      </c>
      <c r="CO69" s="243" t="s">
        <v>373</v>
      </c>
      <c r="CP69" s="243" t="s">
        <v>336</v>
      </c>
      <c r="CQ69" s="244">
        <v>5.7599999999999999E-6</v>
      </c>
      <c r="CR69" s="244">
        <v>8.6799999999999996E-5</v>
      </c>
      <c r="CS69" s="243">
        <v>7.0000000000000007E-2</v>
      </c>
      <c r="CT69" s="243">
        <v>0.94711000000000001</v>
      </c>
      <c r="CY69" s="246"/>
      <c r="DC69" s="169"/>
      <c r="DD69" s="169"/>
      <c r="DE69" s="258"/>
      <c r="DF69" s="169"/>
      <c r="DG69" s="169"/>
    </row>
    <row r="70" spans="1:111" thickTop="1" thickBot="1" x14ac:dyDescent="0.3">
      <c r="BC70" s="81" t="s">
        <v>373</v>
      </c>
      <c r="BD70" s="81" t="s">
        <v>120</v>
      </c>
      <c r="BE70" s="166">
        <v>31.9</v>
      </c>
      <c r="BF70" s="166">
        <v>23.8</v>
      </c>
      <c r="BG70" s="81">
        <v>1.34</v>
      </c>
      <c r="BH70" s="81">
        <v>0.18071999999999999</v>
      </c>
      <c r="BS70" s="81" t="s">
        <v>373</v>
      </c>
      <c r="BT70" s="81" t="s">
        <v>120</v>
      </c>
      <c r="BU70" s="166">
        <v>1.3200000000000001E-4</v>
      </c>
      <c r="BV70" s="166">
        <v>1.4800000000000001E-5</v>
      </c>
      <c r="BW70" s="81">
        <v>8.91</v>
      </c>
      <c r="BX70" s="81" t="s">
        <v>420</v>
      </c>
      <c r="BY70" s="166">
        <v>2E-16</v>
      </c>
      <c r="BZ70" s="81" t="s">
        <v>385</v>
      </c>
      <c r="CO70" s="243" t="s">
        <v>373</v>
      </c>
      <c r="CP70" s="243" t="s">
        <v>443</v>
      </c>
      <c r="CQ70" s="244">
        <v>0.64800000000000002</v>
      </c>
      <c r="CR70" s="244">
        <v>2.0899999999999998E-2</v>
      </c>
      <c r="CS70" s="243">
        <v>31</v>
      </c>
      <c r="CT70" s="243" t="s">
        <v>420</v>
      </c>
      <c r="CU70" s="244">
        <v>2E-16</v>
      </c>
      <c r="CV70" s="81" t="s">
        <v>385</v>
      </c>
      <c r="CW70" s="245" t="s">
        <v>460</v>
      </c>
      <c r="CX70" s="251" t="s">
        <v>498</v>
      </c>
      <c r="CY70" s="246" t="s">
        <v>318</v>
      </c>
      <c r="CZ70" s="247">
        <f>CQ96</f>
        <v>299</v>
      </c>
      <c r="DA70" s="245" t="s">
        <v>317</v>
      </c>
      <c r="DC70" s="169" t="s">
        <v>460</v>
      </c>
      <c r="DD70" s="264" t="s">
        <v>347</v>
      </c>
      <c r="DE70" s="258" t="s">
        <v>318</v>
      </c>
      <c r="DF70" s="169">
        <f>AP37</f>
        <v>380.60633234421368</v>
      </c>
      <c r="DG70" s="169" t="s">
        <v>317</v>
      </c>
    </row>
    <row r="71" spans="1:111" thickTop="1" thickBot="1" x14ac:dyDescent="0.3">
      <c r="BC71" s="81" t="s">
        <v>373</v>
      </c>
      <c r="BD71" s="81" t="s">
        <v>409</v>
      </c>
      <c r="BE71" s="166">
        <v>-6.79</v>
      </c>
      <c r="BF71" s="166">
        <v>0.47699999999999998</v>
      </c>
      <c r="BG71" s="81">
        <v>-14.23</v>
      </c>
      <c r="BH71" s="81" t="s">
        <v>420</v>
      </c>
      <c r="BI71" s="166">
        <v>2E-16</v>
      </c>
      <c r="BJ71" s="81" t="s">
        <v>385</v>
      </c>
      <c r="BS71" s="81" t="s">
        <v>373</v>
      </c>
      <c r="BT71" s="81" t="s">
        <v>409</v>
      </c>
      <c r="BU71" s="166">
        <v>-4.92</v>
      </c>
      <c r="BV71" s="166">
        <v>1.5299999999999999E-2</v>
      </c>
      <c r="BW71" s="81">
        <v>-322.11</v>
      </c>
      <c r="BX71" s="81" t="s">
        <v>420</v>
      </c>
      <c r="BY71" s="166">
        <v>2E-16</v>
      </c>
      <c r="BZ71" s="81" t="s">
        <v>385</v>
      </c>
      <c r="CO71" s="243" t="s">
        <v>373</v>
      </c>
      <c r="CP71" s="243" t="s">
        <v>444</v>
      </c>
      <c r="CQ71" s="244">
        <v>0.53200000000000003</v>
      </c>
      <c r="CR71" s="244">
        <v>3.3500000000000002E-2</v>
      </c>
      <c r="CS71" s="243">
        <v>15.89</v>
      </c>
      <c r="CT71" s="243" t="s">
        <v>420</v>
      </c>
      <c r="CU71" s="244">
        <v>2E-16</v>
      </c>
      <c r="CV71" s="81" t="s">
        <v>385</v>
      </c>
      <c r="CW71" s="245" t="s">
        <v>460</v>
      </c>
      <c r="CX71" s="251" t="s">
        <v>349</v>
      </c>
      <c r="CY71" s="246" t="s">
        <v>318</v>
      </c>
      <c r="CZ71" s="247">
        <f t="shared" ref="CZ71:CZ72" si="37">CQ97</f>
        <v>120</v>
      </c>
      <c r="DA71" s="245" t="s">
        <v>317</v>
      </c>
      <c r="DC71" s="169" t="s">
        <v>460</v>
      </c>
      <c r="DD71" s="264" t="s">
        <v>349</v>
      </c>
      <c r="DE71" s="258" t="s">
        <v>318</v>
      </c>
      <c r="DF71" s="169">
        <f>AP38</f>
        <v>95.603674876847322</v>
      </c>
      <c r="DG71" s="169" t="s">
        <v>317</v>
      </c>
    </row>
    <row r="72" spans="1:111" thickTop="1" thickBot="1" x14ac:dyDescent="0.3">
      <c r="BC72" s="81" t="s">
        <v>373</v>
      </c>
      <c r="BD72" s="81" t="s">
        <v>410</v>
      </c>
      <c r="BE72" s="166">
        <v>-4.62</v>
      </c>
      <c r="BF72" s="166">
        <v>0.26700000000000002</v>
      </c>
      <c r="BG72" s="81">
        <v>-17.32</v>
      </c>
      <c r="BH72" s="81" t="s">
        <v>420</v>
      </c>
      <c r="BI72" s="166">
        <v>2E-16</v>
      </c>
      <c r="BJ72" s="81" t="s">
        <v>385</v>
      </c>
      <c r="BS72" s="81" t="s">
        <v>373</v>
      </c>
      <c r="BT72" s="81" t="s">
        <v>410</v>
      </c>
      <c r="BU72" s="166">
        <v>-5.39</v>
      </c>
      <c r="BV72" s="166">
        <v>1.66E-2</v>
      </c>
      <c r="BW72" s="81">
        <v>-324.86</v>
      </c>
      <c r="BX72" s="81" t="s">
        <v>420</v>
      </c>
      <c r="BY72" s="166">
        <v>2E-16</v>
      </c>
      <c r="BZ72" s="81" t="s">
        <v>385</v>
      </c>
      <c r="CO72" s="243" t="s">
        <v>373</v>
      </c>
      <c r="CP72" s="243" t="s">
        <v>445</v>
      </c>
      <c r="CQ72" s="244">
        <v>0.21299999999999999</v>
      </c>
      <c r="CR72" s="244">
        <v>1.09E-2</v>
      </c>
      <c r="CS72" s="243">
        <v>19.55</v>
      </c>
      <c r="CT72" s="243" t="s">
        <v>420</v>
      </c>
      <c r="CU72" s="244">
        <v>2E-16</v>
      </c>
      <c r="CV72" s="81" t="s">
        <v>385</v>
      </c>
      <c r="CW72" s="245" t="s">
        <v>460</v>
      </c>
      <c r="CX72" s="251" t="s">
        <v>350</v>
      </c>
      <c r="CY72" s="246" t="s">
        <v>318</v>
      </c>
      <c r="CZ72" s="247">
        <f t="shared" si="37"/>
        <v>69.3</v>
      </c>
      <c r="DA72" s="245" t="s">
        <v>317</v>
      </c>
      <c r="DC72" s="169" t="s">
        <v>460</v>
      </c>
      <c r="DD72" s="264" t="s">
        <v>350</v>
      </c>
      <c r="DE72" s="258" t="s">
        <v>318</v>
      </c>
      <c r="DF72" s="263">
        <f>AP39</f>
        <v>24.720000000000002</v>
      </c>
      <c r="DG72" s="169" t="s">
        <v>317</v>
      </c>
    </row>
    <row r="73" spans="1:111" thickTop="1" thickBot="1" x14ac:dyDescent="0.3">
      <c r="BC73" s="81" t="s">
        <v>373</v>
      </c>
      <c r="BD73" s="81" t="s">
        <v>411</v>
      </c>
      <c r="BE73" s="166">
        <v>-4.95</v>
      </c>
      <c r="BF73" s="166">
        <v>0.26600000000000001</v>
      </c>
      <c r="BG73" s="81">
        <v>-18.59</v>
      </c>
      <c r="BH73" s="81" t="s">
        <v>420</v>
      </c>
      <c r="BI73" s="166">
        <v>2E-16</v>
      </c>
      <c r="BJ73" s="81" t="s">
        <v>385</v>
      </c>
      <c r="BS73" s="81" t="s">
        <v>373</v>
      </c>
      <c r="BT73" s="81" t="s">
        <v>411</v>
      </c>
      <c r="BU73" s="166">
        <v>-5.67</v>
      </c>
      <c r="BV73" s="166">
        <v>1.5900000000000001E-2</v>
      </c>
      <c r="BW73" s="81">
        <v>-356.16</v>
      </c>
      <c r="BX73" s="81" t="s">
        <v>420</v>
      </c>
      <c r="BY73" s="166">
        <v>2E-16</v>
      </c>
      <c r="BZ73" s="81" t="s">
        <v>385</v>
      </c>
      <c r="CO73" s="243" t="s">
        <v>373</v>
      </c>
      <c r="CP73" s="243" t="s">
        <v>337</v>
      </c>
      <c r="CQ73" s="244">
        <v>0.23300000000000001</v>
      </c>
      <c r="CR73" s="244">
        <v>3.9800000000000002E-2</v>
      </c>
      <c r="CS73" s="243">
        <v>5.85</v>
      </c>
      <c r="CT73" s="244">
        <v>5.1000000000000002E-9</v>
      </c>
      <c r="CU73" s="243" t="s">
        <v>385</v>
      </c>
      <c r="CW73" s="245" t="s">
        <v>460</v>
      </c>
      <c r="CX73" s="251" t="s">
        <v>352</v>
      </c>
      <c r="CY73" s="246" t="s">
        <v>318</v>
      </c>
      <c r="CZ73" s="247">
        <f>1/CQ103</f>
        <v>9900.9900990099013</v>
      </c>
      <c r="DA73" s="245" t="s">
        <v>317</v>
      </c>
      <c r="DC73" s="169" t="s">
        <v>460</v>
      </c>
      <c r="DD73" s="264" t="s">
        <v>352</v>
      </c>
      <c r="DE73" s="258" t="s">
        <v>318</v>
      </c>
      <c r="DF73" s="169">
        <f>AP40</f>
        <v>60.357830574949048</v>
      </c>
      <c r="DG73" s="169" t="s">
        <v>317</v>
      </c>
    </row>
    <row r="74" spans="1:111" thickTop="1" thickBot="1" x14ac:dyDescent="0.3">
      <c r="BC74" s="81" t="s">
        <v>373</v>
      </c>
      <c r="BD74" s="81" t="s">
        <v>412</v>
      </c>
      <c r="BE74" s="166">
        <v>-1.07</v>
      </c>
      <c r="BF74" s="166">
        <v>0.64</v>
      </c>
      <c r="BG74" s="81">
        <v>-1.68</v>
      </c>
      <c r="BH74" s="81">
        <v>9.3189999999999995E-2</v>
      </c>
      <c r="BI74" s="81" t="s">
        <v>428</v>
      </c>
      <c r="BS74" s="81" t="s">
        <v>373</v>
      </c>
      <c r="BT74" s="81" t="s">
        <v>412</v>
      </c>
      <c r="BU74" s="166">
        <v>-5.55</v>
      </c>
      <c r="BV74" s="166">
        <v>1.6E-2</v>
      </c>
      <c r="BW74" s="81">
        <v>-347.31</v>
      </c>
      <c r="BX74" s="81" t="s">
        <v>420</v>
      </c>
      <c r="BY74" s="166">
        <v>2E-16</v>
      </c>
      <c r="BZ74" s="81" t="s">
        <v>385</v>
      </c>
      <c r="CO74" s="243" t="s">
        <v>373</v>
      </c>
      <c r="CP74" s="243" t="s">
        <v>446</v>
      </c>
      <c r="CQ74" s="244">
        <v>0.22800000000000001</v>
      </c>
      <c r="CR74" s="244">
        <v>5.79E-3</v>
      </c>
      <c r="CS74" s="243">
        <v>39.31</v>
      </c>
      <c r="CT74" s="243" t="s">
        <v>420</v>
      </c>
      <c r="CU74" s="244">
        <v>2E-16</v>
      </c>
      <c r="CV74" s="81" t="s">
        <v>385</v>
      </c>
      <c r="CY74" s="246"/>
      <c r="DC74" s="169"/>
      <c r="DD74" s="169"/>
      <c r="DE74" s="258"/>
      <c r="DF74" s="169"/>
      <c r="DG74" s="169"/>
    </row>
    <row r="75" spans="1:111" thickTop="1" thickBot="1" x14ac:dyDescent="0.3">
      <c r="BC75" s="81" t="s">
        <v>373</v>
      </c>
      <c r="BD75" s="81" t="s">
        <v>414</v>
      </c>
      <c r="BE75" s="166">
        <v>9.0299999999999998E-3</v>
      </c>
      <c r="BF75" s="166">
        <v>1.08E-3</v>
      </c>
      <c r="BG75" s="81">
        <v>8.4</v>
      </c>
      <c r="BH75" s="81" t="s">
        <v>420</v>
      </c>
      <c r="BI75" s="166">
        <v>2E-16</v>
      </c>
      <c r="BJ75" s="81" t="s">
        <v>385</v>
      </c>
      <c r="BS75" s="81" t="s">
        <v>373</v>
      </c>
      <c r="BT75" s="81" t="s">
        <v>414</v>
      </c>
      <c r="BU75" s="166">
        <v>4.8500000000000003E-4</v>
      </c>
      <c r="BV75" s="166">
        <v>2.1100000000000001E-5</v>
      </c>
      <c r="BW75" s="81">
        <v>22.96</v>
      </c>
      <c r="BX75" s="81" t="s">
        <v>420</v>
      </c>
      <c r="BY75" s="166">
        <v>2E-16</v>
      </c>
      <c r="BZ75" s="81" t="s">
        <v>385</v>
      </c>
      <c r="CO75" s="243" t="s">
        <v>373</v>
      </c>
      <c r="CP75" s="243" t="s">
        <v>447</v>
      </c>
      <c r="CQ75" s="244">
        <v>0.14899999999999999</v>
      </c>
      <c r="CR75" s="244">
        <v>9.1000000000000004E-3</v>
      </c>
      <c r="CS75" s="243">
        <v>16.38</v>
      </c>
      <c r="CT75" s="243" t="s">
        <v>420</v>
      </c>
      <c r="CU75" s="244">
        <v>2E-16</v>
      </c>
      <c r="CV75" s="81" t="s">
        <v>385</v>
      </c>
      <c r="CW75" s="245" t="s">
        <v>460</v>
      </c>
      <c r="CX75" s="251" t="s">
        <v>424</v>
      </c>
      <c r="CY75" s="246" t="s">
        <v>318</v>
      </c>
      <c r="CZ75" s="247">
        <f>CQ112</f>
        <v>990000000</v>
      </c>
      <c r="DA75" s="245" t="s">
        <v>317</v>
      </c>
      <c r="DC75" s="169" t="s">
        <v>460</v>
      </c>
      <c r="DD75" s="264" t="s">
        <v>424</v>
      </c>
      <c r="DE75" s="258" t="s">
        <v>318</v>
      </c>
      <c r="DF75" s="169">
        <f>AP44</f>
        <v>4177488.9999999995</v>
      </c>
      <c r="DG75" s="169" t="s">
        <v>317</v>
      </c>
    </row>
    <row r="76" spans="1:111" thickTop="1" thickBot="1" x14ac:dyDescent="0.3">
      <c r="BC76" s="81" t="s">
        <v>373</v>
      </c>
      <c r="BD76" s="81" t="s">
        <v>415</v>
      </c>
      <c r="BE76" s="166">
        <v>531</v>
      </c>
      <c r="BF76" s="166">
        <v>102</v>
      </c>
      <c r="BG76" s="81">
        <v>5.22</v>
      </c>
      <c r="BH76" s="166">
        <v>1.9000000000000001E-7</v>
      </c>
      <c r="BI76" s="81" t="s">
        <v>385</v>
      </c>
      <c r="BS76" s="81" t="s">
        <v>373</v>
      </c>
      <c r="BT76" s="81" t="s">
        <v>415</v>
      </c>
      <c r="BU76" s="166">
        <v>241</v>
      </c>
      <c r="BV76" s="166">
        <v>1.51</v>
      </c>
      <c r="BW76" s="81">
        <v>159.18</v>
      </c>
      <c r="BX76" s="81" t="s">
        <v>420</v>
      </c>
      <c r="BY76" s="166">
        <v>2E-16</v>
      </c>
      <c r="BZ76" s="81" t="s">
        <v>385</v>
      </c>
      <c r="CO76" s="243" t="s">
        <v>373</v>
      </c>
      <c r="CP76" s="243" t="s">
        <v>448</v>
      </c>
      <c r="CQ76" s="244">
        <v>0.51</v>
      </c>
      <c r="CR76" s="244">
        <v>9.8400000000000001E-2</v>
      </c>
      <c r="CS76" s="243">
        <v>5.19</v>
      </c>
      <c r="CT76" s="244">
        <v>2.2000000000000001E-7</v>
      </c>
      <c r="CU76" s="243" t="s">
        <v>385</v>
      </c>
      <c r="CW76" s="245" t="s">
        <v>460</v>
      </c>
      <c r="CX76" s="251" t="s">
        <v>359</v>
      </c>
      <c r="CY76" s="246" t="s">
        <v>318</v>
      </c>
      <c r="CZ76" s="247">
        <f>CQ113</f>
        <v>113000000</v>
      </c>
      <c r="DA76" s="245" t="s">
        <v>317</v>
      </c>
      <c r="DC76" s="169" t="s">
        <v>460</v>
      </c>
      <c r="DD76" s="264" t="s">
        <v>359</v>
      </c>
      <c r="DE76" s="258" t="s">
        <v>318</v>
      </c>
      <c r="DF76" s="169">
        <f>AP45</f>
        <v>4177488.9999999995</v>
      </c>
      <c r="DG76" s="169" t="s">
        <v>317</v>
      </c>
    </row>
    <row r="77" spans="1:111" thickTop="1" thickBot="1" x14ac:dyDescent="0.3">
      <c r="BC77" s="81" t="s">
        <v>373</v>
      </c>
      <c r="BD77" s="81" t="s">
        <v>416</v>
      </c>
      <c r="BE77" s="166">
        <v>697</v>
      </c>
      <c r="BF77" s="166">
        <v>233</v>
      </c>
      <c r="BG77" s="81">
        <v>2.99</v>
      </c>
      <c r="BH77" s="81">
        <v>2.7799999999999999E-3</v>
      </c>
      <c r="BI77" s="81" t="s">
        <v>398</v>
      </c>
      <c r="BS77" s="81" t="s">
        <v>373</v>
      </c>
      <c r="BT77" s="81" t="s">
        <v>416</v>
      </c>
      <c r="BU77" s="166">
        <v>3490</v>
      </c>
      <c r="BV77" s="166">
        <v>74.8</v>
      </c>
      <c r="BW77" s="81">
        <v>46.64</v>
      </c>
      <c r="BX77" s="81" t="s">
        <v>420</v>
      </c>
      <c r="BY77" s="166">
        <v>2E-16</v>
      </c>
      <c r="BZ77" s="81" t="s">
        <v>385</v>
      </c>
      <c r="CO77" s="243" t="s">
        <v>373</v>
      </c>
      <c r="CP77" s="243" t="s">
        <v>338</v>
      </c>
      <c r="CQ77" s="244">
        <v>1.08E-5</v>
      </c>
      <c r="CR77" s="244">
        <v>2.3499999999999999E-4</v>
      </c>
      <c r="CS77" s="243">
        <v>0.05</v>
      </c>
      <c r="CT77" s="243">
        <v>0.96321000000000001</v>
      </c>
      <c r="CW77" s="245" t="s">
        <v>460</v>
      </c>
      <c r="CX77" s="251" t="s">
        <v>365</v>
      </c>
      <c r="CY77" s="246" t="s">
        <v>318</v>
      </c>
      <c r="CZ77" s="247">
        <f>CQ120</f>
        <v>78.400000000000006</v>
      </c>
      <c r="DA77" s="245" t="s">
        <v>317</v>
      </c>
      <c r="DC77" s="169" t="s">
        <v>460</v>
      </c>
      <c r="DD77" s="264" t="s">
        <v>365</v>
      </c>
      <c r="DE77" s="258" t="s">
        <v>318</v>
      </c>
      <c r="DF77" s="169">
        <f>AP48</f>
        <v>530.8615897720955</v>
      </c>
      <c r="DG77" s="169" t="s">
        <v>317</v>
      </c>
    </row>
    <row r="78" spans="1:111" thickTop="1" thickBot="1" x14ac:dyDescent="0.3">
      <c r="CO78" s="243" t="s">
        <v>373</v>
      </c>
      <c r="CP78" s="243" t="s">
        <v>449</v>
      </c>
      <c r="CQ78" s="244">
        <v>5.0499999999999999E-6</v>
      </c>
      <c r="CR78" s="244">
        <v>1.08E-4</v>
      </c>
      <c r="CS78" s="243">
        <v>0.05</v>
      </c>
      <c r="CT78" s="243">
        <v>0.96272999999999997</v>
      </c>
      <c r="CW78" s="245" t="s">
        <v>460</v>
      </c>
      <c r="CX78" s="251" t="s">
        <v>367</v>
      </c>
      <c r="CY78" s="246" t="s">
        <v>318</v>
      </c>
      <c r="CZ78" s="247">
        <f t="shared" ref="CZ78:CZ79" si="38">CQ121</f>
        <v>5.5999999999999995E-4</v>
      </c>
      <c r="DA78" s="245" t="s">
        <v>317</v>
      </c>
      <c r="DC78" s="169" t="s">
        <v>460</v>
      </c>
      <c r="DD78" s="264" t="s">
        <v>367</v>
      </c>
      <c r="DE78" s="258" t="s">
        <v>318</v>
      </c>
      <c r="DF78" s="169">
        <f>AP49</f>
        <v>265.43079488604775</v>
      </c>
      <c r="DG78" s="169" t="s">
        <v>317</v>
      </c>
    </row>
    <row r="79" spans="1:111" thickTop="1" thickBot="1" x14ac:dyDescent="0.3">
      <c r="BC79" s="81" t="s">
        <v>373</v>
      </c>
      <c r="BD79" s="81" t="s">
        <v>374</v>
      </c>
      <c r="BE79" s="81" t="s">
        <v>429</v>
      </c>
      <c r="CO79" s="243" t="s">
        <v>373</v>
      </c>
      <c r="CP79" s="243" t="s">
        <v>450</v>
      </c>
      <c r="CQ79" s="244">
        <v>0.28999999999999998</v>
      </c>
      <c r="CR79" s="244">
        <v>8.9499999999999996E-2</v>
      </c>
      <c r="CS79" s="243">
        <v>3.24</v>
      </c>
      <c r="CT79" s="243">
        <v>1.1999999999999999E-3</v>
      </c>
      <c r="CU79" s="243" t="s">
        <v>398</v>
      </c>
      <c r="CW79" s="245" t="s">
        <v>460</v>
      </c>
      <c r="CX79" s="251" t="s">
        <v>369</v>
      </c>
      <c r="CY79" s="246" t="s">
        <v>318</v>
      </c>
      <c r="CZ79" s="247">
        <f t="shared" si="38"/>
        <v>236</v>
      </c>
      <c r="DA79" s="245" t="s">
        <v>317</v>
      </c>
      <c r="DC79" s="169" t="s">
        <v>460</v>
      </c>
      <c r="DD79" s="264" t="s">
        <v>369</v>
      </c>
      <c r="DE79" s="258" t="s">
        <v>318</v>
      </c>
      <c r="DF79" s="169">
        <f>AP50</f>
        <v>530.8615897720955</v>
      </c>
      <c r="DG79" s="169" t="s">
        <v>317</v>
      </c>
    </row>
    <row r="80" spans="1:111" thickTop="1" thickBot="1" x14ac:dyDescent="0.3">
      <c r="BC80" s="81" t="s">
        <v>373</v>
      </c>
      <c r="BD80" s="81" t="s">
        <v>376</v>
      </c>
      <c r="BS80" s="81" t="s">
        <v>373</v>
      </c>
      <c r="BT80" s="81" t="s">
        <v>374</v>
      </c>
      <c r="BU80" s="81" t="s">
        <v>429</v>
      </c>
      <c r="CO80" s="243" t="s">
        <v>373</v>
      </c>
      <c r="CP80" s="243" t="s">
        <v>451</v>
      </c>
      <c r="CQ80" s="244">
        <v>0.42799999999999999</v>
      </c>
      <c r="CR80" s="244">
        <v>2.5999999999999999E-2</v>
      </c>
      <c r="CS80" s="243">
        <v>16.47</v>
      </c>
      <c r="CT80" s="243" t="s">
        <v>420</v>
      </c>
      <c r="CU80" s="244">
        <v>2E-16</v>
      </c>
      <c r="CV80" s="81" t="s">
        <v>385</v>
      </c>
    </row>
    <row r="81" spans="55:100" thickTop="1" thickBot="1" x14ac:dyDescent="0.3">
      <c r="BC81" s="81" t="s">
        <v>373</v>
      </c>
      <c r="BD81" s="81" t="s">
        <v>377</v>
      </c>
      <c r="BE81" s="81" t="s">
        <v>378</v>
      </c>
      <c r="BF81" s="81" t="s">
        <v>379</v>
      </c>
      <c r="BG81" s="81" t="s">
        <v>380</v>
      </c>
      <c r="BH81" s="81" t="s">
        <v>381</v>
      </c>
      <c r="BI81" s="81" t="s">
        <v>382</v>
      </c>
      <c r="BS81" s="81" t="s">
        <v>373</v>
      </c>
      <c r="BT81" s="81" t="s">
        <v>376</v>
      </c>
      <c r="CO81" s="243" t="s">
        <v>373</v>
      </c>
      <c r="CP81" s="243" t="s">
        <v>452</v>
      </c>
      <c r="CQ81" s="244">
        <v>5.2100000000000001E-6</v>
      </c>
      <c r="CR81" s="244">
        <v>1.01E-4</v>
      </c>
      <c r="CS81" s="243">
        <v>0.05</v>
      </c>
      <c r="CT81" s="243">
        <v>0.95894999999999997</v>
      </c>
    </row>
    <row r="82" spans="55:100" thickTop="1" thickBot="1" x14ac:dyDescent="0.3">
      <c r="BC82" s="81" t="s">
        <v>373</v>
      </c>
      <c r="BD82" s="81" t="s">
        <v>422</v>
      </c>
      <c r="BE82" s="166">
        <v>291</v>
      </c>
      <c r="BF82" s="166">
        <v>0.112</v>
      </c>
      <c r="BG82" s="81">
        <v>2609.3000000000002</v>
      </c>
      <c r="BH82" s="81" t="s">
        <v>420</v>
      </c>
      <c r="BI82" s="166">
        <v>2E-16</v>
      </c>
      <c r="BJ82" s="81" t="s">
        <v>385</v>
      </c>
      <c r="BS82" s="81" t="s">
        <v>373</v>
      </c>
      <c r="BT82" s="81" t="s">
        <v>377</v>
      </c>
      <c r="BU82" s="81" t="s">
        <v>378</v>
      </c>
      <c r="BV82" s="81" t="s">
        <v>379</v>
      </c>
      <c r="BW82" s="81" t="s">
        <v>380</v>
      </c>
      <c r="BX82" s="81" t="s">
        <v>381</v>
      </c>
      <c r="BY82" s="81" t="s">
        <v>382</v>
      </c>
      <c r="CO82" s="243" t="s">
        <v>373</v>
      </c>
      <c r="CP82" s="243" t="s">
        <v>453</v>
      </c>
      <c r="CQ82" s="244">
        <v>0.49099999999999999</v>
      </c>
      <c r="CR82" s="244">
        <v>1.26E-2</v>
      </c>
      <c r="CS82" s="243">
        <v>39.04</v>
      </c>
      <c r="CT82" s="243" t="s">
        <v>420</v>
      </c>
      <c r="CU82" s="244">
        <v>2E-16</v>
      </c>
      <c r="CV82" s="81" t="s">
        <v>385</v>
      </c>
    </row>
    <row r="83" spans="55:100" thickTop="1" thickBot="1" x14ac:dyDescent="0.3">
      <c r="BC83" s="81" t="s">
        <v>373</v>
      </c>
      <c r="BD83" s="81" t="s">
        <v>423</v>
      </c>
      <c r="BE83" s="166">
        <v>291</v>
      </c>
      <c r="BF83" s="166">
        <v>3.9800000000000002E-2</v>
      </c>
      <c r="BG83" s="81">
        <v>7295.15</v>
      </c>
      <c r="BH83" s="81" t="s">
        <v>420</v>
      </c>
      <c r="BI83" s="166">
        <v>2E-16</v>
      </c>
      <c r="BJ83" s="81" t="s">
        <v>385</v>
      </c>
      <c r="BS83" s="81" t="s">
        <v>373</v>
      </c>
      <c r="BT83" s="81" t="s">
        <v>422</v>
      </c>
      <c r="BU83" s="166">
        <v>289</v>
      </c>
      <c r="BV83" s="166">
        <v>0.183</v>
      </c>
      <c r="BW83" s="81">
        <v>1576.41</v>
      </c>
      <c r="BX83" s="81" t="s">
        <v>384</v>
      </c>
      <c r="BY83" s="166" t="s">
        <v>385</v>
      </c>
      <c r="BZ83" s="81" t="s">
        <v>385</v>
      </c>
      <c r="CO83" s="243" t="s">
        <v>373</v>
      </c>
      <c r="CP83" s="243" t="s">
        <v>454</v>
      </c>
      <c r="CQ83" s="244">
        <v>0.28100000000000003</v>
      </c>
      <c r="CR83" s="244">
        <v>2.1999999999999999E-2</v>
      </c>
      <c r="CS83" s="243">
        <v>12.8</v>
      </c>
      <c r="CT83" s="243" t="s">
        <v>420</v>
      </c>
      <c r="CU83" s="244">
        <v>2E-16</v>
      </c>
      <c r="CV83" s="81" t="s">
        <v>385</v>
      </c>
    </row>
    <row r="84" spans="55:100" thickTop="1" thickBot="1" x14ac:dyDescent="0.3">
      <c r="BC84" s="81" t="s">
        <v>373</v>
      </c>
      <c r="BD84" s="81" t="s">
        <v>353</v>
      </c>
      <c r="BE84" s="166">
        <v>6.6500000000000004E-2</v>
      </c>
      <c r="BF84" s="166">
        <v>1.2700000000000001E-3</v>
      </c>
      <c r="BG84" s="81">
        <v>52.59</v>
      </c>
      <c r="BH84" s="81" t="s">
        <v>420</v>
      </c>
      <c r="BI84" s="166">
        <v>2E-16</v>
      </c>
      <c r="BJ84" s="81" t="s">
        <v>385</v>
      </c>
      <c r="BS84" s="81" t="s">
        <v>373</v>
      </c>
      <c r="BT84" s="81" t="s">
        <v>423</v>
      </c>
      <c r="BU84" s="166">
        <v>296</v>
      </c>
      <c r="BV84" s="166">
        <v>0.124</v>
      </c>
      <c r="BW84" s="81">
        <v>2387.71</v>
      </c>
      <c r="BX84" s="81" t="s">
        <v>384</v>
      </c>
      <c r="BY84" s="166" t="s">
        <v>385</v>
      </c>
      <c r="BZ84" s="81" t="s">
        <v>385</v>
      </c>
      <c r="CO84" s="243" t="s">
        <v>373</v>
      </c>
      <c r="CP84" s="243" t="s">
        <v>303</v>
      </c>
      <c r="CQ84" s="244">
        <v>983000000</v>
      </c>
      <c r="CR84" s="244">
        <v>254000000</v>
      </c>
      <c r="CS84" s="243">
        <v>3.86</v>
      </c>
      <c r="CT84" s="243">
        <v>1.1E-4</v>
      </c>
      <c r="CU84" s="243" t="s">
        <v>385</v>
      </c>
    </row>
    <row r="85" spans="55:100" thickTop="1" thickBot="1" x14ac:dyDescent="0.3">
      <c r="BC85" s="81" t="s">
        <v>373</v>
      </c>
      <c r="BD85" s="81" t="s">
        <v>355</v>
      </c>
      <c r="BE85" s="166">
        <v>0.246</v>
      </c>
      <c r="BF85" s="166">
        <v>7.6600000000000001E-3</v>
      </c>
      <c r="BG85" s="81">
        <v>32.04</v>
      </c>
      <c r="BH85" s="81" t="s">
        <v>420</v>
      </c>
      <c r="BI85" s="166">
        <v>2E-16</v>
      </c>
      <c r="BJ85" s="81" t="s">
        <v>385</v>
      </c>
      <c r="BS85" s="81" t="s">
        <v>373</v>
      </c>
      <c r="BT85" s="81" t="s">
        <v>353</v>
      </c>
      <c r="BU85" s="166">
        <v>6.9400000000000003E-2</v>
      </c>
      <c r="BV85" s="166">
        <v>4.7399999999999997E-4</v>
      </c>
      <c r="BW85" s="81">
        <v>146.54</v>
      </c>
      <c r="BX85" s="166" t="s">
        <v>384</v>
      </c>
      <c r="BY85" s="81" t="s">
        <v>385</v>
      </c>
      <c r="CO85" s="243" t="s">
        <v>373</v>
      </c>
      <c r="CP85" s="243" t="s">
        <v>395</v>
      </c>
      <c r="CQ85" s="244">
        <v>1470000</v>
      </c>
      <c r="CR85" s="244">
        <v>22600</v>
      </c>
      <c r="CS85" s="243">
        <v>65.06</v>
      </c>
      <c r="CT85" s="243" t="s">
        <v>420</v>
      </c>
      <c r="CU85" s="244">
        <v>2E-16</v>
      </c>
      <c r="CV85" s="81" t="s">
        <v>385</v>
      </c>
    </row>
    <row r="86" spans="55:100" thickTop="1" thickBot="1" x14ac:dyDescent="0.3">
      <c r="BC86" s="81" t="s">
        <v>373</v>
      </c>
      <c r="BD86" s="81" t="s">
        <v>424</v>
      </c>
      <c r="BE86" s="166">
        <v>248000</v>
      </c>
      <c r="BF86" s="166">
        <v>22200</v>
      </c>
      <c r="BG86" s="81">
        <v>11.17</v>
      </c>
      <c r="BH86" s="81" t="s">
        <v>420</v>
      </c>
      <c r="BI86" s="166">
        <v>2E-16</v>
      </c>
      <c r="BJ86" s="81" t="s">
        <v>385</v>
      </c>
      <c r="BS86" s="81" t="s">
        <v>373</v>
      </c>
      <c r="BT86" s="81" t="s">
        <v>355</v>
      </c>
      <c r="BU86" s="166">
        <v>0.32</v>
      </c>
      <c r="BV86" s="166">
        <v>2.48E-3</v>
      </c>
      <c r="BW86" s="81">
        <v>128.66</v>
      </c>
      <c r="BX86" s="166" t="s">
        <v>384</v>
      </c>
      <c r="BY86" s="81" t="s">
        <v>385</v>
      </c>
      <c r="CO86" s="243" t="s">
        <v>373</v>
      </c>
      <c r="CP86" s="243" t="s">
        <v>296</v>
      </c>
      <c r="CQ86" s="244">
        <v>209000000</v>
      </c>
      <c r="CR86" s="244">
        <v>18900000</v>
      </c>
      <c r="CS86" s="243">
        <v>11.04</v>
      </c>
      <c r="CT86" s="243" t="s">
        <v>420</v>
      </c>
      <c r="CU86" s="244">
        <v>2E-16</v>
      </c>
      <c r="CV86" s="81" t="s">
        <v>385</v>
      </c>
    </row>
    <row r="87" spans="55:100" thickTop="1" thickBot="1" x14ac:dyDescent="0.3">
      <c r="BC87" s="81" t="s">
        <v>373</v>
      </c>
      <c r="BD87" s="81" t="s">
        <v>359</v>
      </c>
      <c r="BE87" s="166">
        <v>6990000</v>
      </c>
      <c r="BF87" s="166">
        <v>43300</v>
      </c>
      <c r="BG87" s="81">
        <v>161.22</v>
      </c>
      <c r="BH87" s="81" t="s">
        <v>420</v>
      </c>
      <c r="BI87" s="166">
        <v>2E-16</v>
      </c>
      <c r="BJ87" s="81" t="s">
        <v>385</v>
      </c>
      <c r="BS87" s="81" t="s">
        <v>373</v>
      </c>
      <c r="BT87" s="81" t="s">
        <v>424</v>
      </c>
      <c r="BU87" s="166">
        <v>990000000</v>
      </c>
      <c r="BV87" s="166">
        <v>91900000</v>
      </c>
      <c r="BW87" s="81">
        <v>10.78</v>
      </c>
      <c r="BX87" s="166" t="s">
        <v>384</v>
      </c>
      <c r="BY87" s="81" t="s">
        <v>385</v>
      </c>
      <c r="CO87" s="243" t="s">
        <v>373</v>
      </c>
      <c r="CP87" s="243" t="s">
        <v>298</v>
      </c>
      <c r="CQ87" s="244">
        <v>44900000</v>
      </c>
      <c r="CR87" s="244">
        <v>46000000</v>
      </c>
      <c r="CS87" s="243">
        <v>0.98</v>
      </c>
      <c r="CT87" s="243">
        <v>0.32911000000000001</v>
      </c>
    </row>
    <row r="88" spans="55:100" thickTop="1" thickBot="1" x14ac:dyDescent="0.3">
      <c r="BC88" s="81" t="s">
        <v>373</v>
      </c>
      <c r="BD88" s="81" t="s">
        <v>401</v>
      </c>
      <c r="BE88" s="166">
        <v>3.27</v>
      </c>
      <c r="BF88" s="166">
        <v>0.71599999999999997</v>
      </c>
      <c r="BG88" s="81">
        <v>4.57</v>
      </c>
      <c r="BH88" s="166">
        <v>5.2000000000000002E-6</v>
      </c>
      <c r="BI88" s="81" t="s">
        <v>385</v>
      </c>
      <c r="BS88" s="81" t="s">
        <v>373</v>
      </c>
      <c r="BT88" s="81" t="s">
        <v>359</v>
      </c>
      <c r="BU88" s="166">
        <v>113000000</v>
      </c>
      <c r="BV88" s="166">
        <v>48700000</v>
      </c>
      <c r="BW88" s="81">
        <v>2.3199999999999998</v>
      </c>
      <c r="BX88" s="166">
        <v>0.02</v>
      </c>
      <c r="BY88" s="81" t="s">
        <v>418</v>
      </c>
      <c r="CO88" s="243" t="s">
        <v>373</v>
      </c>
      <c r="CP88" s="243" t="s">
        <v>396</v>
      </c>
      <c r="CQ88" s="244">
        <v>-23.7</v>
      </c>
      <c r="CR88" s="244">
        <v>34.4</v>
      </c>
      <c r="CS88" s="243">
        <v>-0.69</v>
      </c>
      <c r="CT88" s="243">
        <v>0.49064999999999998</v>
      </c>
    </row>
    <row r="89" spans="55:100" thickTop="1" thickBot="1" x14ac:dyDescent="0.3">
      <c r="BC89" s="81" t="s">
        <v>373</v>
      </c>
      <c r="BD89" s="81" t="s">
        <v>425</v>
      </c>
      <c r="BE89" s="166">
        <v>-1.33</v>
      </c>
      <c r="BF89" s="166">
        <v>0.96699999999999997</v>
      </c>
      <c r="BG89" s="81">
        <v>-1.38</v>
      </c>
      <c r="BH89" s="81">
        <v>0.17</v>
      </c>
      <c r="BS89" s="81" t="s">
        <v>373</v>
      </c>
      <c r="BT89" s="81" t="s">
        <v>401</v>
      </c>
      <c r="BU89" s="166">
        <v>-16.5</v>
      </c>
      <c r="BV89" s="166">
        <v>67</v>
      </c>
      <c r="BW89" s="81">
        <v>-0.25</v>
      </c>
      <c r="BX89" s="81">
        <v>0.81</v>
      </c>
      <c r="BY89" s="166"/>
      <c r="BZ89" s="81" t="s">
        <v>385</v>
      </c>
      <c r="CO89" s="243" t="s">
        <v>373</v>
      </c>
      <c r="CP89" s="243" t="s">
        <v>397</v>
      </c>
      <c r="CQ89" s="244">
        <v>-27.2</v>
      </c>
      <c r="CR89" s="244">
        <v>55.6</v>
      </c>
      <c r="CS89" s="243">
        <v>-0.49</v>
      </c>
      <c r="CT89" s="243">
        <v>0.62444999999999995</v>
      </c>
    </row>
    <row r="90" spans="55:100" thickTop="1" thickBot="1" x14ac:dyDescent="0.3">
      <c r="BC90" s="81" t="s">
        <v>373</v>
      </c>
      <c r="BD90" s="81" t="s">
        <v>430</v>
      </c>
      <c r="BE90" s="166">
        <v>5.4399999999999997E-2</v>
      </c>
      <c r="BF90" s="166">
        <v>1.76E-4</v>
      </c>
      <c r="BG90" s="81">
        <v>309.37</v>
      </c>
      <c r="BH90" s="81" t="s">
        <v>420</v>
      </c>
      <c r="BI90" s="166">
        <v>2E-16</v>
      </c>
      <c r="BJ90" s="81" t="s">
        <v>385</v>
      </c>
      <c r="BS90" s="81" t="s">
        <v>373</v>
      </c>
      <c r="BT90" s="81" t="s">
        <v>425</v>
      </c>
      <c r="BU90" s="166">
        <v>-13.4</v>
      </c>
      <c r="BV90" s="166">
        <v>132</v>
      </c>
      <c r="BW90" s="81">
        <v>-0.1</v>
      </c>
      <c r="BX90" s="81">
        <v>0.92</v>
      </c>
      <c r="BY90" s="166"/>
      <c r="BZ90" s="81" t="s">
        <v>385</v>
      </c>
      <c r="CO90" s="243" t="s">
        <v>373</v>
      </c>
      <c r="CP90" s="243" t="s">
        <v>399</v>
      </c>
      <c r="CQ90" s="244">
        <v>-27</v>
      </c>
      <c r="CR90" s="244">
        <v>52.1</v>
      </c>
      <c r="CS90" s="243">
        <v>-0.52</v>
      </c>
      <c r="CT90" s="243">
        <v>0.60479000000000005</v>
      </c>
    </row>
    <row r="91" spans="55:100" thickTop="1" thickBot="1" x14ac:dyDescent="0.3">
      <c r="BC91" s="81" t="s">
        <v>373</v>
      </c>
      <c r="BD91" s="81" t="s">
        <v>431</v>
      </c>
      <c r="BE91" s="166">
        <v>0.16</v>
      </c>
      <c r="BF91" s="166">
        <v>5.0500000000000002E-4</v>
      </c>
      <c r="BG91" s="81">
        <v>315.95999999999998</v>
      </c>
      <c r="BH91" s="81" t="s">
        <v>420</v>
      </c>
      <c r="BI91" s="166">
        <v>2E-16</v>
      </c>
      <c r="BJ91" s="81" t="s">
        <v>385</v>
      </c>
      <c r="BS91" s="81" t="s">
        <v>373</v>
      </c>
      <c r="BT91" s="81" t="s">
        <v>430</v>
      </c>
      <c r="BU91" s="166">
        <v>2.6700000000000002E-2</v>
      </c>
      <c r="BV91" s="166">
        <v>1.1E-4</v>
      </c>
      <c r="BW91" s="81">
        <v>243.55</v>
      </c>
      <c r="BX91" s="81" t="s">
        <v>384</v>
      </c>
      <c r="BY91" s="166" t="s">
        <v>385</v>
      </c>
      <c r="BZ91" s="81" t="s">
        <v>385</v>
      </c>
      <c r="CO91" s="243" t="s">
        <v>373</v>
      </c>
      <c r="CP91" s="243" t="s">
        <v>400</v>
      </c>
      <c r="CQ91" s="244">
        <v>-22.2</v>
      </c>
      <c r="CR91" s="244">
        <v>44.5</v>
      </c>
      <c r="CS91" s="243">
        <v>-0.5</v>
      </c>
      <c r="CT91" s="243">
        <v>0.61756</v>
      </c>
    </row>
    <row r="92" spans="55:100" thickTop="1" thickBot="1" x14ac:dyDescent="0.3">
      <c r="BC92" s="81" t="s">
        <v>373</v>
      </c>
      <c r="BD92" s="81" t="s">
        <v>413</v>
      </c>
      <c r="BE92" s="166">
        <v>-6.96</v>
      </c>
      <c r="BF92" s="166">
        <v>3.44E-2</v>
      </c>
      <c r="BG92" s="81">
        <v>-202.39</v>
      </c>
      <c r="BH92" s="81" t="s">
        <v>420</v>
      </c>
      <c r="BI92" s="166">
        <v>2E-16</v>
      </c>
      <c r="BJ92" s="81" t="s">
        <v>385</v>
      </c>
      <c r="BS92" s="81" t="s">
        <v>373</v>
      </c>
      <c r="BT92" s="81" t="s">
        <v>431</v>
      </c>
      <c r="BU92" s="166">
        <v>0.121</v>
      </c>
      <c r="BV92" s="166">
        <v>2.8400000000000002E-4</v>
      </c>
      <c r="BW92" s="81">
        <v>427.31</v>
      </c>
      <c r="BX92" s="81" t="s">
        <v>384</v>
      </c>
      <c r="BY92" s="166" t="s">
        <v>385</v>
      </c>
      <c r="BZ92" s="81" t="s">
        <v>385</v>
      </c>
      <c r="CO92" s="243" t="s">
        <v>373</v>
      </c>
      <c r="CP92" s="243" t="s">
        <v>402</v>
      </c>
      <c r="CQ92" s="244">
        <v>0.16500000000000001</v>
      </c>
      <c r="CR92" s="244">
        <v>4.6799999999999999E-4</v>
      </c>
      <c r="CS92" s="243">
        <v>353.04</v>
      </c>
      <c r="CT92" s="243" t="s">
        <v>420</v>
      </c>
      <c r="CU92" s="244">
        <v>2E-16</v>
      </c>
      <c r="CV92" s="81" t="s">
        <v>385</v>
      </c>
    </row>
    <row r="93" spans="55:100" thickTop="1" thickBot="1" x14ac:dyDescent="0.3">
      <c r="BC93" s="81" t="s">
        <v>373</v>
      </c>
      <c r="BD93" s="81" t="s">
        <v>426</v>
      </c>
      <c r="BE93" s="166">
        <v>-3.98</v>
      </c>
      <c r="BF93" s="166">
        <v>4.7100000000000003E-2</v>
      </c>
      <c r="BG93" s="81">
        <v>-84.36</v>
      </c>
      <c r="BH93" s="81" t="s">
        <v>420</v>
      </c>
      <c r="BI93" s="166">
        <v>2E-16</v>
      </c>
      <c r="BJ93" s="81" t="s">
        <v>385</v>
      </c>
      <c r="BS93" s="81" t="s">
        <v>373</v>
      </c>
      <c r="BT93" s="81" t="s">
        <v>413</v>
      </c>
      <c r="BU93" s="166">
        <v>-5.48</v>
      </c>
      <c r="BV93" s="166">
        <v>1.5299999999999999E-2</v>
      </c>
      <c r="BW93" s="81">
        <v>-358.38</v>
      </c>
      <c r="BX93" s="81" t="s">
        <v>384</v>
      </c>
      <c r="BY93" s="166" t="s">
        <v>385</v>
      </c>
      <c r="BZ93" s="81" t="s">
        <v>385</v>
      </c>
      <c r="CO93" s="243" t="s">
        <v>373</v>
      </c>
      <c r="CP93" s="243" t="s">
        <v>403</v>
      </c>
      <c r="CQ93" s="244">
        <v>5.8400000000000001E-2</v>
      </c>
      <c r="CR93" s="244">
        <v>1.4899999999999999E-4</v>
      </c>
      <c r="CS93" s="243">
        <v>393.04</v>
      </c>
      <c r="CT93" s="243" t="s">
        <v>420</v>
      </c>
      <c r="CU93" s="244">
        <v>2E-16</v>
      </c>
      <c r="CV93" s="81" t="s">
        <v>385</v>
      </c>
    </row>
    <row r="94" spans="55:100" thickTop="1" thickBot="1" x14ac:dyDescent="0.3">
      <c r="BC94" s="81" t="s">
        <v>373</v>
      </c>
      <c r="BD94" s="81" t="s">
        <v>365</v>
      </c>
      <c r="BE94" s="166">
        <v>476</v>
      </c>
      <c r="BF94" s="166">
        <v>0.70699999999999996</v>
      </c>
      <c r="BG94" s="81">
        <v>673.36</v>
      </c>
      <c r="BH94" s="81" t="s">
        <v>420</v>
      </c>
      <c r="BI94" s="166">
        <v>2E-16</v>
      </c>
      <c r="BJ94" s="81" t="s">
        <v>385</v>
      </c>
      <c r="BS94" s="81" t="s">
        <v>373</v>
      </c>
      <c r="BT94" s="81" t="s">
        <v>426</v>
      </c>
      <c r="BU94" s="166">
        <v>-5.1100000000000003</v>
      </c>
      <c r="BV94" s="166">
        <v>1.72E-2</v>
      </c>
      <c r="BW94" s="81">
        <v>-296.77</v>
      </c>
      <c r="BX94" s="81" t="s">
        <v>384</v>
      </c>
      <c r="BY94" s="81" t="s">
        <v>385</v>
      </c>
      <c r="CO94" s="243" t="s">
        <v>373</v>
      </c>
      <c r="CP94" s="243" t="s">
        <v>404</v>
      </c>
      <c r="CQ94" s="244">
        <v>0.61099999999999999</v>
      </c>
      <c r="CR94" s="244">
        <v>6.2500000000000003E-3</v>
      </c>
      <c r="CS94" s="243">
        <v>97.86</v>
      </c>
      <c r="CT94" s="243" t="s">
        <v>420</v>
      </c>
      <c r="CU94" s="244">
        <v>2E-16</v>
      </c>
      <c r="CV94" s="81" t="s">
        <v>385</v>
      </c>
    </row>
    <row r="95" spans="55:100" thickTop="1" thickBot="1" x14ac:dyDescent="0.3">
      <c r="BC95" s="81" t="s">
        <v>373</v>
      </c>
      <c r="BD95" s="81" t="s">
        <v>367</v>
      </c>
      <c r="BE95" s="166">
        <v>3410</v>
      </c>
      <c r="BF95" s="166">
        <v>3.6</v>
      </c>
      <c r="BG95" s="81">
        <v>945.88</v>
      </c>
      <c r="BH95" s="81" t="s">
        <v>420</v>
      </c>
      <c r="BI95" s="166">
        <v>2E-16</v>
      </c>
      <c r="BJ95" s="81" t="s">
        <v>385</v>
      </c>
      <c r="BS95" s="81" t="s">
        <v>373</v>
      </c>
      <c r="BT95" s="81" t="s">
        <v>365</v>
      </c>
      <c r="BU95" s="166">
        <v>78.400000000000006</v>
      </c>
      <c r="BV95" s="166">
        <v>0.80500000000000005</v>
      </c>
      <c r="BW95" s="81">
        <v>97.36</v>
      </c>
      <c r="BX95" s="81" t="s">
        <v>384</v>
      </c>
      <c r="BY95" s="166" t="s">
        <v>385</v>
      </c>
      <c r="BZ95" s="81" t="s">
        <v>385</v>
      </c>
      <c r="CO95" s="243" t="s">
        <v>373</v>
      </c>
      <c r="CP95" s="243" t="s">
        <v>405</v>
      </c>
      <c r="CQ95" s="244">
        <v>0.11700000000000001</v>
      </c>
      <c r="CR95" s="244">
        <v>3.21E-4</v>
      </c>
      <c r="CS95" s="243">
        <v>365</v>
      </c>
      <c r="CT95" s="243" t="s">
        <v>420</v>
      </c>
      <c r="CU95" s="244">
        <v>2E-16</v>
      </c>
      <c r="CV95" s="81" t="s">
        <v>385</v>
      </c>
    </row>
    <row r="96" spans="55:100" thickTop="1" thickBot="1" x14ac:dyDescent="0.3">
      <c r="BC96" s="81" t="s">
        <v>373</v>
      </c>
      <c r="BD96" s="81" t="s">
        <v>369</v>
      </c>
      <c r="BE96" s="166">
        <v>989</v>
      </c>
      <c r="BF96" s="166">
        <v>2.68</v>
      </c>
      <c r="BG96" s="81">
        <v>369.05</v>
      </c>
      <c r="BH96" s="81" t="s">
        <v>420</v>
      </c>
      <c r="BI96" s="166">
        <v>2E-16</v>
      </c>
      <c r="BJ96" s="81" t="s">
        <v>385</v>
      </c>
      <c r="BS96" s="81" t="s">
        <v>373</v>
      </c>
      <c r="BT96" s="81" t="s">
        <v>367</v>
      </c>
      <c r="BU96" s="166">
        <v>5.5999999999999995E-4</v>
      </c>
      <c r="BV96" s="166">
        <v>6.08E-2</v>
      </c>
      <c r="BW96" s="81">
        <v>0.01</v>
      </c>
      <c r="BX96" s="81">
        <v>0.99</v>
      </c>
      <c r="CO96" s="243" t="s">
        <v>373</v>
      </c>
      <c r="CP96" s="243" t="s">
        <v>407</v>
      </c>
      <c r="CQ96" s="244">
        <v>299</v>
      </c>
      <c r="CR96" s="244">
        <v>1.56</v>
      </c>
      <c r="CS96" s="243">
        <v>191.52</v>
      </c>
      <c r="CT96" s="243" t="s">
        <v>420</v>
      </c>
      <c r="CU96" s="244">
        <v>2E-16</v>
      </c>
      <c r="CV96" s="81" t="s">
        <v>385</v>
      </c>
    </row>
    <row r="97" spans="71:100" thickTop="1" thickBot="1" x14ac:dyDescent="0.3">
      <c r="BS97" s="81" t="s">
        <v>373</v>
      </c>
      <c r="BT97" s="81" t="s">
        <v>369</v>
      </c>
      <c r="BU97" s="166">
        <v>236</v>
      </c>
      <c r="BV97" s="166">
        <v>1.49</v>
      </c>
      <c r="BW97" s="81">
        <v>158.13999999999999</v>
      </c>
      <c r="BX97" s="81" t="s">
        <v>384</v>
      </c>
      <c r="BY97" s="81" t="s">
        <v>385</v>
      </c>
      <c r="CO97" s="243" t="s">
        <v>373</v>
      </c>
      <c r="CP97" s="243" t="s">
        <v>290</v>
      </c>
      <c r="CQ97" s="244">
        <v>120</v>
      </c>
      <c r="CR97" s="244">
        <v>0.91400000000000003</v>
      </c>
      <c r="CS97" s="243">
        <v>131.32</v>
      </c>
      <c r="CT97" s="243" t="s">
        <v>420</v>
      </c>
      <c r="CU97" s="244">
        <v>2E-16</v>
      </c>
      <c r="CV97" s="81" t="s">
        <v>385</v>
      </c>
    </row>
    <row r="98" spans="71:100" thickTop="1" thickBot="1" x14ac:dyDescent="0.3">
      <c r="CO98" s="243" t="s">
        <v>373</v>
      </c>
      <c r="CP98" s="243" t="s">
        <v>120</v>
      </c>
      <c r="CQ98" s="244">
        <v>69.3</v>
      </c>
      <c r="CR98" s="244">
        <v>2.36</v>
      </c>
      <c r="CS98" s="243">
        <v>29.37</v>
      </c>
      <c r="CT98" s="243" t="s">
        <v>420</v>
      </c>
      <c r="CU98" s="244">
        <v>2E-16</v>
      </c>
      <c r="CV98" s="81" t="s">
        <v>385</v>
      </c>
    </row>
    <row r="99" spans="71:100" thickTop="1" thickBot="1" x14ac:dyDescent="0.3">
      <c r="CO99" s="243" t="s">
        <v>373</v>
      </c>
      <c r="CP99" s="243" t="s">
        <v>409</v>
      </c>
      <c r="CQ99" s="244">
        <v>-5.15</v>
      </c>
      <c r="CR99" s="244">
        <v>1.44E-2</v>
      </c>
      <c r="CS99" s="243">
        <v>-357.79</v>
      </c>
      <c r="CT99" s="243" t="s">
        <v>420</v>
      </c>
      <c r="CU99" s="244">
        <v>2E-16</v>
      </c>
      <c r="CV99" s="81" t="s">
        <v>385</v>
      </c>
    </row>
    <row r="100" spans="71:100" thickTop="1" thickBot="1" x14ac:dyDescent="0.3">
      <c r="CO100" s="243" t="s">
        <v>373</v>
      </c>
      <c r="CP100" s="243" t="s">
        <v>410</v>
      </c>
      <c r="CQ100" s="244">
        <v>-5.23</v>
      </c>
      <c r="CR100" s="244">
        <v>1.43E-2</v>
      </c>
      <c r="CS100" s="243">
        <v>-365.46</v>
      </c>
      <c r="CT100" s="243" t="s">
        <v>420</v>
      </c>
      <c r="CU100" s="244">
        <v>2E-16</v>
      </c>
      <c r="CV100" s="81" t="s">
        <v>385</v>
      </c>
    </row>
    <row r="101" spans="71:100" thickTop="1" thickBot="1" x14ac:dyDescent="0.3">
      <c r="CO101" s="243" t="s">
        <v>373</v>
      </c>
      <c r="CP101" s="243" t="s">
        <v>411</v>
      </c>
      <c r="CQ101" s="244">
        <v>-5.62</v>
      </c>
      <c r="CR101" s="244">
        <v>1.52E-2</v>
      </c>
      <c r="CS101" s="243">
        <v>-368.65</v>
      </c>
      <c r="CT101" s="243" t="s">
        <v>420</v>
      </c>
      <c r="CU101" s="244">
        <v>2E-16</v>
      </c>
      <c r="CV101" s="81" t="s">
        <v>385</v>
      </c>
    </row>
    <row r="102" spans="71:100" thickTop="1" thickBot="1" x14ac:dyDescent="0.3">
      <c r="CO102" s="243" t="s">
        <v>373</v>
      </c>
      <c r="CP102" s="243" t="s">
        <v>412</v>
      </c>
      <c r="CQ102" s="244">
        <v>-5.45</v>
      </c>
      <c r="CR102" s="244">
        <v>1.5299999999999999E-2</v>
      </c>
      <c r="CS102" s="243">
        <v>-356.26</v>
      </c>
      <c r="CT102" s="243" t="s">
        <v>420</v>
      </c>
      <c r="CU102" s="244">
        <v>2E-16</v>
      </c>
      <c r="CV102" s="81" t="s">
        <v>385</v>
      </c>
    </row>
    <row r="103" spans="71:100" thickTop="1" thickBot="1" x14ac:dyDescent="0.3">
      <c r="CO103" s="243" t="s">
        <v>373</v>
      </c>
      <c r="CP103" s="243" t="s">
        <v>414</v>
      </c>
      <c r="CQ103" s="244">
        <v>1.01E-4</v>
      </c>
      <c r="CR103" s="244">
        <v>3.6799999999999999E-6</v>
      </c>
      <c r="CS103" s="243">
        <v>27.33</v>
      </c>
      <c r="CT103" s="243" t="s">
        <v>420</v>
      </c>
      <c r="CU103" s="244">
        <v>2E-16</v>
      </c>
      <c r="CV103" s="81" t="s">
        <v>385</v>
      </c>
    </row>
    <row r="104" spans="71:100" thickTop="1" thickBot="1" x14ac:dyDescent="0.3">
      <c r="CO104" s="243" t="s">
        <v>373</v>
      </c>
      <c r="CP104" s="243" t="s">
        <v>415</v>
      </c>
      <c r="CQ104" s="244">
        <v>252</v>
      </c>
      <c r="CR104" s="244">
        <v>1.6</v>
      </c>
      <c r="CS104" s="243">
        <v>157.04</v>
      </c>
      <c r="CT104" s="243" t="s">
        <v>420</v>
      </c>
      <c r="CU104" s="244">
        <v>2E-16</v>
      </c>
      <c r="CV104" s="81" t="s">
        <v>385</v>
      </c>
    </row>
    <row r="105" spans="71:100" thickTop="1" thickBot="1" x14ac:dyDescent="0.3">
      <c r="CO105" s="243" t="s">
        <v>373</v>
      </c>
      <c r="CP105" s="243" t="s">
        <v>416</v>
      </c>
      <c r="CQ105" s="244">
        <v>5610</v>
      </c>
      <c r="CR105" s="244">
        <v>2280</v>
      </c>
      <c r="CS105" s="243">
        <v>2.46</v>
      </c>
      <c r="CT105" s="243">
        <v>1.3979999999999999E-2</v>
      </c>
      <c r="CU105" s="243" t="s">
        <v>418</v>
      </c>
    </row>
    <row r="107" spans="71:100" thickTop="1" thickBot="1" x14ac:dyDescent="0.3">
      <c r="CO107" s="243" t="s">
        <v>507</v>
      </c>
    </row>
    <row r="108" spans="71:100" thickTop="1" thickBot="1" x14ac:dyDescent="0.3">
      <c r="CO108" s="243" t="s">
        <v>373</v>
      </c>
      <c r="CP108" s="243" t="s">
        <v>422</v>
      </c>
      <c r="CQ108" s="244">
        <v>289</v>
      </c>
      <c r="CR108" s="244">
        <v>0.183</v>
      </c>
      <c r="CS108" s="243">
        <v>1576.41</v>
      </c>
      <c r="CT108" s="243" t="s">
        <v>384</v>
      </c>
      <c r="CU108" s="244" t="s">
        <v>385</v>
      </c>
      <c r="CV108" s="243" t="s">
        <v>385</v>
      </c>
    </row>
    <row r="109" spans="71:100" thickTop="1" thickBot="1" x14ac:dyDescent="0.3">
      <c r="CO109" s="243" t="s">
        <v>373</v>
      </c>
      <c r="CP109" s="243" t="s">
        <v>423</v>
      </c>
      <c r="CQ109" s="244">
        <v>296</v>
      </c>
      <c r="CR109" s="244">
        <v>0.124</v>
      </c>
      <c r="CS109" s="243">
        <v>2387.71</v>
      </c>
      <c r="CT109" s="243" t="s">
        <v>384</v>
      </c>
      <c r="CU109" s="244" t="s">
        <v>385</v>
      </c>
      <c r="CV109" s="81" t="s">
        <v>385</v>
      </c>
    </row>
    <row r="110" spans="71:100" thickTop="1" thickBot="1" x14ac:dyDescent="0.3">
      <c r="CO110" s="243" t="s">
        <v>373</v>
      </c>
      <c r="CP110" s="243" t="s">
        <v>353</v>
      </c>
      <c r="CQ110" s="244">
        <v>6.9400000000000003E-2</v>
      </c>
      <c r="CR110" s="244">
        <v>4.7399999999999997E-4</v>
      </c>
      <c r="CS110" s="243">
        <v>146.54</v>
      </c>
      <c r="CT110" s="244" t="s">
        <v>384</v>
      </c>
      <c r="CU110" s="243" t="s">
        <v>385</v>
      </c>
    </row>
    <row r="111" spans="71:100" thickTop="1" thickBot="1" x14ac:dyDescent="0.3">
      <c r="CO111" s="243" t="s">
        <v>373</v>
      </c>
      <c r="CP111" s="243" t="s">
        <v>355</v>
      </c>
      <c r="CQ111" s="244">
        <v>0.32</v>
      </c>
      <c r="CR111" s="244">
        <v>2.48E-3</v>
      </c>
      <c r="CS111" s="243">
        <v>128.66</v>
      </c>
      <c r="CT111" s="244" t="s">
        <v>384</v>
      </c>
      <c r="CU111" s="243" t="s">
        <v>385</v>
      </c>
    </row>
    <row r="112" spans="71:100" thickTop="1" thickBot="1" x14ac:dyDescent="0.3">
      <c r="CO112" s="243" t="s">
        <v>373</v>
      </c>
      <c r="CP112" s="243" t="s">
        <v>424</v>
      </c>
      <c r="CQ112" s="244">
        <v>990000000</v>
      </c>
      <c r="CR112" s="244">
        <v>91900000</v>
      </c>
      <c r="CS112" s="243">
        <v>10.78</v>
      </c>
      <c r="CT112" s="244" t="s">
        <v>384</v>
      </c>
      <c r="CU112" s="243" t="s">
        <v>385</v>
      </c>
    </row>
    <row r="113" spans="93:100" thickTop="1" thickBot="1" x14ac:dyDescent="0.3">
      <c r="CO113" s="243" t="s">
        <v>373</v>
      </c>
      <c r="CP113" s="243" t="s">
        <v>359</v>
      </c>
      <c r="CQ113" s="244">
        <v>113000000</v>
      </c>
      <c r="CR113" s="244">
        <v>48700000</v>
      </c>
      <c r="CS113" s="243">
        <v>2.3199999999999998</v>
      </c>
      <c r="CT113" s="244">
        <v>0.02</v>
      </c>
      <c r="CU113" s="243" t="s">
        <v>418</v>
      </c>
    </row>
    <row r="114" spans="93:100" thickTop="1" thickBot="1" x14ac:dyDescent="0.3">
      <c r="CO114" s="243" t="s">
        <v>373</v>
      </c>
      <c r="CP114" s="243" t="s">
        <v>401</v>
      </c>
      <c r="CQ114" s="244">
        <v>-16.5</v>
      </c>
      <c r="CR114" s="244">
        <v>67</v>
      </c>
      <c r="CS114" s="243">
        <v>-0.25</v>
      </c>
      <c r="CT114" s="243">
        <v>0.81</v>
      </c>
      <c r="CU114" s="244"/>
      <c r="CV114" s="81" t="s">
        <v>385</v>
      </c>
    </row>
    <row r="115" spans="93:100" thickTop="1" thickBot="1" x14ac:dyDescent="0.3">
      <c r="CO115" s="243" t="s">
        <v>373</v>
      </c>
      <c r="CP115" s="243" t="s">
        <v>425</v>
      </c>
      <c r="CQ115" s="244">
        <v>-13.4</v>
      </c>
      <c r="CR115" s="244">
        <v>132</v>
      </c>
      <c r="CS115" s="243">
        <v>-0.1</v>
      </c>
      <c r="CT115" s="243">
        <v>0.92</v>
      </c>
      <c r="CU115" s="244"/>
      <c r="CV115" s="81" t="s">
        <v>385</v>
      </c>
    </row>
    <row r="116" spans="93:100" thickTop="1" thickBot="1" x14ac:dyDescent="0.3">
      <c r="CO116" s="243" t="s">
        <v>373</v>
      </c>
      <c r="CP116" s="243" t="s">
        <v>430</v>
      </c>
      <c r="CQ116" s="244">
        <v>2.6700000000000002E-2</v>
      </c>
      <c r="CR116" s="244">
        <v>1.1E-4</v>
      </c>
      <c r="CS116" s="243">
        <v>243.55</v>
      </c>
      <c r="CT116" s="243" t="s">
        <v>384</v>
      </c>
      <c r="CU116" s="244" t="s">
        <v>385</v>
      </c>
      <c r="CV116" s="81" t="s">
        <v>385</v>
      </c>
    </row>
    <row r="117" spans="93:100" thickTop="1" thickBot="1" x14ac:dyDescent="0.3">
      <c r="CO117" s="243" t="s">
        <v>373</v>
      </c>
      <c r="CP117" s="243" t="s">
        <v>431</v>
      </c>
      <c r="CQ117" s="244">
        <v>0.121</v>
      </c>
      <c r="CR117" s="244">
        <v>2.8400000000000002E-4</v>
      </c>
      <c r="CS117" s="243">
        <v>427.31</v>
      </c>
      <c r="CT117" s="243" t="s">
        <v>384</v>
      </c>
      <c r="CU117" s="244" t="s">
        <v>385</v>
      </c>
      <c r="CV117" s="81" t="s">
        <v>385</v>
      </c>
    </row>
    <row r="118" spans="93:100" thickTop="1" thickBot="1" x14ac:dyDescent="0.3">
      <c r="CO118" s="243" t="s">
        <v>373</v>
      </c>
      <c r="CP118" s="243" t="s">
        <v>413</v>
      </c>
      <c r="CQ118" s="244">
        <v>-5.48</v>
      </c>
      <c r="CR118" s="244">
        <v>1.5299999999999999E-2</v>
      </c>
      <c r="CS118" s="243">
        <v>-358.38</v>
      </c>
      <c r="CT118" s="243" t="s">
        <v>384</v>
      </c>
      <c r="CU118" s="244" t="s">
        <v>385</v>
      </c>
      <c r="CV118" s="81" t="s">
        <v>385</v>
      </c>
    </row>
    <row r="119" spans="93:100" thickTop="1" thickBot="1" x14ac:dyDescent="0.3">
      <c r="CO119" s="243" t="s">
        <v>373</v>
      </c>
      <c r="CP119" s="243" t="s">
        <v>426</v>
      </c>
      <c r="CQ119" s="244">
        <v>-5.1100000000000003</v>
      </c>
      <c r="CR119" s="244">
        <v>1.72E-2</v>
      </c>
      <c r="CS119" s="243">
        <v>-296.77</v>
      </c>
      <c r="CT119" s="243" t="s">
        <v>384</v>
      </c>
      <c r="CU119" s="243" t="s">
        <v>385</v>
      </c>
    </row>
    <row r="120" spans="93:100" thickTop="1" thickBot="1" x14ac:dyDescent="0.3">
      <c r="CO120" s="243" t="s">
        <v>373</v>
      </c>
      <c r="CP120" s="243" t="s">
        <v>365</v>
      </c>
      <c r="CQ120" s="244">
        <v>78.400000000000006</v>
      </c>
      <c r="CR120" s="244">
        <v>0.80500000000000005</v>
      </c>
      <c r="CS120" s="243">
        <v>97.36</v>
      </c>
      <c r="CT120" s="243" t="s">
        <v>384</v>
      </c>
      <c r="CU120" s="244" t="s">
        <v>385</v>
      </c>
      <c r="CV120" s="81" t="s">
        <v>385</v>
      </c>
    </row>
    <row r="121" spans="93:100" thickTop="1" thickBot="1" x14ac:dyDescent="0.3">
      <c r="CO121" s="243" t="s">
        <v>373</v>
      </c>
      <c r="CP121" s="243" t="s">
        <v>367</v>
      </c>
      <c r="CQ121" s="244">
        <v>5.5999999999999995E-4</v>
      </c>
      <c r="CR121" s="244">
        <v>6.08E-2</v>
      </c>
      <c r="CS121" s="243">
        <v>0.01</v>
      </c>
      <c r="CT121" s="243">
        <v>0.99</v>
      </c>
    </row>
    <row r="122" spans="93:100" thickTop="1" thickBot="1" x14ac:dyDescent="0.3">
      <c r="CO122" s="243" t="s">
        <v>373</v>
      </c>
      <c r="CP122" s="243" t="s">
        <v>369</v>
      </c>
      <c r="CQ122" s="244">
        <v>236</v>
      </c>
      <c r="CR122" s="244">
        <v>1.49</v>
      </c>
      <c r="CS122" s="243">
        <v>158.13999999999999</v>
      </c>
      <c r="CT122" s="243" t="s">
        <v>384</v>
      </c>
      <c r="CU122" s="243" t="s">
        <v>385</v>
      </c>
    </row>
  </sheetData>
  <mergeCells count="8">
    <mergeCell ref="F36:G36"/>
    <mergeCell ref="B1:H1"/>
    <mergeCell ref="B3:I3"/>
    <mergeCell ref="K3:U3"/>
    <mergeCell ref="W3:AH3"/>
    <mergeCell ref="L4:P4"/>
    <mergeCell ref="F33:G33"/>
    <mergeCell ref="F34:G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MK784"/>
  <sheetViews>
    <sheetView topLeftCell="A118" zoomScaleNormal="100" workbookViewId="0">
      <selection activeCell="B139" sqref="B139"/>
    </sheetView>
  </sheetViews>
  <sheetFormatPr defaultRowHeight="15" x14ac:dyDescent="0.25"/>
  <cols>
    <col min="1" max="1" width="9.140625" style="3"/>
    <col min="2" max="2" width="16.7109375" style="3" bestFit="1" customWidth="1"/>
    <col min="3" max="3" width="9.140625" style="3"/>
    <col min="4" max="4" width="20" style="3"/>
    <col min="5" max="1025" width="9.140625" style="3"/>
  </cols>
  <sheetData>
    <row r="1" spans="1:25" ht="20.25" customHeight="1" x14ac:dyDescent="0.25">
      <c r="A1" s="277" t="s">
        <v>164</v>
      </c>
      <c r="B1" s="277"/>
      <c r="C1" s="277"/>
      <c r="D1" s="277"/>
      <c r="E1" s="277"/>
      <c r="F1" s="277"/>
      <c r="G1" s="277"/>
      <c r="H1" s="277"/>
      <c r="I1" s="277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274" t="s">
        <v>168</v>
      </c>
      <c r="W5" s="274"/>
      <c r="X5" s="274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279" t="s">
        <v>171</v>
      </c>
      <c r="B7" s="279"/>
      <c r="C7" s="279"/>
      <c r="D7" s="279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24965.989411297625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13164.895212415577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x14ac:dyDescent="0.25">
      <c r="A12" s="96"/>
      <c r="B12" s="107" t="str">
        <f>'Gebouwgegevens Tabula 2zone'!K6</f>
        <v>W1</v>
      </c>
      <c r="C12" s="108">
        <f>VLOOKUP(B12,'Gebouwgegevens Tabula 2zone'!$K$5:$R$83,3,0)</f>
        <v>1</v>
      </c>
      <c r="D12" s="108" t="str">
        <f>VLOOKUP(B12,'Gebouwgegevens Tabula 2zone'!$K$5:$R$83,4,0)</f>
        <v>Wall External</v>
      </c>
      <c r="E12" s="108">
        <f>VLOOKUP(B12,'Gebouwgegevens Tabula 2zone'!$K$5:$R$83,5,0)</f>
        <v>69.641550000000009</v>
      </c>
      <c r="F12" s="108" t="str">
        <f>VLOOKUP(B12,'Gebouwgegevens Tabula 2zone'!$K$5:$R$83,6,0)</f>
        <v>front</v>
      </c>
      <c r="G12" s="108">
        <f>VLOOKUP(B12,'Gebouwgegevens Tabula 2zone'!$K$5:$R$83,7,0)</f>
        <v>2.2022341505875525</v>
      </c>
      <c r="H12" s="109">
        <f>VLOOKUP(B12,'Gebouwgegevens Tabula 2zone'!$K$5:$R$83,8,0)</f>
        <v>153.36699970985057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x14ac:dyDescent="0.25">
      <c r="A13" s="96"/>
      <c r="B13" s="107" t="str">
        <f>'Gebouwgegevens Tabula 2zone'!K7</f>
        <v>W2</v>
      </c>
      <c r="C13" s="108">
        <f>VLOOKUP(B13,'Gebouwgegevens Tabula 2zone'!$K$5:$R$83,3,0)</f>
        <v>1</v>
      </c>
      <c r="D13" s="108" t="str">
        <f>VLOOKUP(B13,'Gebouwgegevens Tabula 2zone'!$K$5:$R$83,4,0)</f>
        <v>Wall External</v>
      </c>
      <c r="E13" s="108">
        <f>VLOOKUP(B13,'Gebouwgegevens Tabula 2zone'!$K$5:$R$83,5,0)</f>
        <v>40.288499999999999</v>
      </c>
      <c r="F13" s="108" t="str">
        <f>VLOOKUP(B13,'Gebouwgegevens Tabula 2zone'!$K$5:$R$83,6,0)</f>
        <v>right</v>
      </c>
      <c r="G13" s="108">
        <f>VLOOKUP(B13,'Gebouwgegevens Tabula 2zone'!$K$5:$R$83,7,0)</f>
        <v>2.2022341505875525</v>
      </c>
      <c r="H13" s="109">
        <f>VLOOKUP(B13,'Gebouwgegevens Tabula 2zone'!$K$5:$R$83,8,0)</f>
        <v>88.724710575946602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x14ac:dyDescent="0.25">
      <c r="A14" s="96"/>
      <c r="B14" s="107" t="str">
        <f>'Gebouwgegevens Tabula 2zone'!K8</f>
        <v>W3</v>
      </c>
      <c r="C14" s="108">
        <f>VLOOKUP(B14,'Gebouwgegevens Tabula 2zone'!$K$5:$R$83,3,0)</f>
        <v>1</v>
      </c>
      <c r="D14" s="108" t="str">
        <f>VLOOKUP(B14,'Gebouwgegevens Tabula 2zone'!$K$5:$R$83,4,0)</f>
        <v>Wall External</v>
      </c>
      <c r="E14" s="108">
        <f>VLOOKUP(B14,'Gebouwgegevens Tabula 2zone'!$K$5:$R$83,5,0)</f>
        <v>69.641550000000009</v>
      </c>
      <c r="F14" s="108" t="str">
        <f>VLOOKUP(B14,'Gebouwgegevens Tabula 2zone'!$K$5:$R$83,6,0)</f>
        <v>back</v>
      </c>
      <c r="G14" s="108">
        <f>VLOOKUP(B14,'Gebouwgegevens Tabula 2zone'!$K$5:$R$83,7,0)</f>
        <v>2.2022341505875525</v>
      </c>
      <c r="H14" s="109">
        <f>VLOOKUP(B14,'Gebouwgegevens Tabula 2zone'!$K$5:$R$83,8,0)</f>
        <v>153.36699970985057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x14ac:dyDescent="0.25">
      <c r="A15" s="96"/>
      <c r="B15" s="107" t="str">
        <f>'Gebouwgegevens Tabula 2zone'!K9</f>
        <v>W4</v>
      </c>
      <c r="C15" s="108">
        <f>VLOOKUP(B15,'Gebouwgegevens Tabula 2zone'!$K$5:$R$83,3,0)</f>
        <v>1</v>
      </c>
      <c r="D15" s="108" t="str">
        <f>VLOOKUP(B15,'Gebouwgegevens Tabula 2zone'!$K$5:$R$83,4,0)</f>
        <v>Wall External</v>
      </c>
      <c r="E15" s="108">
        <f>VLOOKUP(B15,'Gebouwgegevens Tabula 2zone'!$K$5:$R$83,5,0)</f>
        <v>40.288499999999999</v>
      </c>
      <c r="F15" s="108" t="str">
        <f>VLOOKUP(B15,'Gebouwgegevens Tabula 2zone'!$K$5:$R$83,6,0)</f>
        <v>left</v>
      </c>
      <c r="G15" s="108">
        <f>VLOOKUP(B15,'Gebouwgegevens Tabula 2zone'!$K$5:$R$83,7,0)</f>
        <v>2.2022341505875525</v>
      </c>
      <c r="H15" s="109">
        <f>VLOOKUP(B15,'Gebouwgegevens Tabula 2zone'!$K$5:$R$83,8,0)</f>
        <v>88.724710575946602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x14ac:dyDescent="0.25">
      <c r="A16" s="96"/>
      <c r="B16" s="107" t="str">
        <f>'Gebouwgegevens Tabula 2zone'!K10</f>
        <v>W5</v>
      </c>
      <c r="C16" s="108">
        <f>VLOOKUP(B16,'Gebouwgegevens Tabula 2zone'!$K$5:$R$83,3,0)</f>
        <v>1</v>
      </c>
      <c r="D16" s="108" t="str">
        <f>VLOOKUP(B16,'Gebouwgegevens Tabula 2zone'!$K$5:$R$83,4,0)</f>
        <v>Window</v>
      </c>
      <c r="E16" s="108">
        <f>VLOOKUP(B16,'Gebouwgegevens Tabula 2zone'!$K$5:$R$83,5,0)</f>
        <v>7.56</v>
      </c>
      <c r="F16" s="108" t="str">
        <f>VLOOKUP(B16,'Gebouwgegevens Tabula 2zone'!$K$5:$R$83,6,0)</f>
        <v>front</v>
      </c>
      <c r="G16" s="108">
        <f>VLOOKUP(B16,'Gebouwgegevens Tabula 2zone'!$K$5:$R$83,7,0)</f>
        <v>5</v>
      </c>
      <c r="H16" s="109">
        <f>VLOOKUP(B16,'Gebouwgegevens Tabula 2zone'!$K$5:$R$83,8,0)</f>
        <v>37.799999999999997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x14ac:dyDescent="0.25">
      <c r="A17" s="96"/>
      <c r="B17" s="107" t="str">
        <f>'Gebouwgegevens Tabula 2zone'!K11</f>
        <v>W6</v>
      </c>
      <c r="C17" s="108">
        <f>VLOOKUP(B17,'Gebouwgegevens Tabula 2zone'!$K$5:$R$83,3,0)</f>
        <v>1</v>
      </c>
      <c r="D17" s="108" t="str">
        <f>VLOOKUP(B17,'Gebouwgegevens Tabula 2zone'!$K$5:$R$83,4,0)</f>
        <v>Window</v>
      </c>
      <c r="E17" s="108">
        <f>VLOOKUP(B17,'Gebouwgegevens Tabula 2zone'!$K$5:$R$83,5,0)</f>
        <v>6.51</v>
      </c>
      <c r="F17" s="108" t="str">
        <f>VLOOKUP(B17,'Gebouwgegevens Tabula 2zone'!$K$5:$R$83,6,0)</f>
        <v>right</v>
      </c>
      <c r="G17" s="108">
        <f>VLOOKUP(B17,'Gebouwgegevens Tabula 2zone'!$K$5:$R$83,7,0)</f>
        <v>5</v>
      </c>
      <c r="H17" s="109">
        <f>VLOOKUP(B17,'Gebouwgegevens Tabula 2zone'!$K$5:$R$83,8,0)</f>
        <v>32.549999999999997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Tabula 2zone'!K12</f>
        <v>W7</v>
      </c>
      <c r="C18" s="108">
        <f>VLOOKUP(B18,'Gebouwgegevens Tabula 2zone'!$K$5:$R$83,3,0)</f>
        <v>1</v>
      </c>
      <c r="D18" s="108" t="str">
        <f>VLOOKUP(B18,'Gebouwgegevens Tabula 2zone'!$K$5:$R$83,4,0)</f>
        <v>Window</v>
      </c>
      <c r="E18" s="108">
        <f>VLOOKUP(B18,'Gebouwgegevens Tabula 2zone'!$K$5:$R$83,5,0)</f>
        <v>8.5399999999999991</v>
      </c>
      <c r="F18" s="108" t="str">
        <f>VLOOKUP(B18,'Gebouwgegevens Tabula 2zone'!$K$5:$R$83,6,0)</f>
        <v>back</v>
      </c>
      <c r="G18" s="108">
        <f>VLOOKUP(B18,'Gebouwgegevens Tabula 2zone'!$K$5:$R$83,7,0)</f>
        <v>5</v>
      </c>
      <c r="H18" s="109">
        <f>VLOOKUP(B18,'Gebouwgegevens Tabula 2zone'!$K$5:$R$83,8,0)</f>
        <v>42.699999999999996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38130.884623713202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Tabula 2zone'!K13</f>
        <v>W8</v>
      </c>
      <c r="C19" s="108">
        <f>VLOOKUP(B19,'Gebouwgegevens Tabula 2zone'!$K$5:$R$83,3,0)</f>
        <v>1</v>
      </c>
      <c r="D19" s="108" t="str">
        <f>VLOOKUP(B19,'Gebouwgegevens Tabula 2zone'!$K$5:$R$83,4,0)</f>
        <v>Window</v>
      </c>
      <c r="E19" s="108">
        <f>VLOOKUP(B19,'Gebouwgegevens Tabula 2zone'!$K$5:$R$83,5,0)</f>
        <v>6.2299999999999995</v>
      </c>
      <c r="F19" s="108" t="str">
        <f>VLOOKUP(B19,'Gebouwgegevens Tabula 2zone'!$K$5:$R$83,6,0)</f>
        <v>left</v>
      </c>
      <c r="G19" s="108">
        <f>VLOOKUP(B19,'Gebouwgegevens Tabula 2zone'!$K$5:$R$83,7,0)</f>
        <v>5</v>
      </c>
      <c r="H19" s="109">
        <f>VLOOKUP(B19,'Gebouwgegevens Tabula 2zone'!$K$5:$R$83,8,0)</f>
        <v>31.15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Tabula 2zone'!$K$5:$R$83,3,0)</f>
        <v>1</v>
      </c>
      <c r="D21" s="108" t="str">
        <f>VLOOKUP(B21,'Gebouwgegevens Tabula 2zone'!$K$5:$R$83,4,0)</f>
        <v>Roof</v>
      </c>
      <c r="E21" s="108">
        <f>VLOOKUP(B21,'Gebouwgegevens Tabula 2zone'!$K$5:$R$83,5,0)</f>
        <v>0</v>
      </c>
      <c r="F21" s="108">
        <f>VLOOKUP(B21,'Gebouwgegevens Tabula 2zone'!$K$5:$R$83,6,0)</f>
        <v>0</v>
      </c>
      <c r="G21" s="108">
        <f>VLOOKUP(B21,'Gebouwgegevens Tabula 2zone'!$K$5:$R$83,7,0)</f>
        <v>1.714339326947635</v>
      </c>
      <c r="H21" s="109">
        <f>VLOOKUP(B21,'Gebouwgegevens Tabula 2zone'!$K$5:$R$83,8,0)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27462.588352427389</v>
      </c>
      <c r="X21" s="99"/>
      <c r="Y21" s="99"/>
    </row>
    <row r="22" spans="1:25" ht="16.5" customHeight="1" x14ac:dyDescent="0.25">
      <c r="A22" s="96"/>
      <c r="B22" s="107" t="str">
        <f>'Gebouwgegevens Allacker'!J16</f>
        <v>W11</v>
      </c>
      <c r="C22" s="108">
        <f>VLOOKUP(B22,'Gebouwgegevens Tabula 2zone'!$K$5:$R$83,3,0)</f>
        <v>1</v>
      </c>
      <c r="D22" s="108" t="str">
        <f>VLOOKUP(B22,'Gebouwgegevens Tabula 2zone'!$K$5:$R$83,4,0)</f>
        <v>Door</v>
      </c>
      <c r="E22" s="108">
        <f>VLOOKUP(B22,'Gebouwgegevens Tabula 2zone'!$K$5:$R$83,5,0)</f>
        <v>9.5</v>
      </c>
      <c r="F22" s="108">
        <f>VLOOKUP(B22,'Gebouwgegevens Tabula 2zone'!$K$5:$R$83,6,0)</f>
        <v>0</v>
      </c>
      <c r="G22" s="108">
        <f>VLOOKUP(B22,'Gebouwgegevens Tabula 2zone'!$K$5:$R$83,7,0)</f>
        <v>4</v>
      </c>
      <c r="H22" s="109">
        <f>VLOOKUP(B22,'Gebouwgegevens Tabula 2zone'!$K$5:$R$83,8,0)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Tabula 2zone'!$K$5:$R$83,3,0)</f>
        <v>1</v>
      </c>
      <c r="D28" s="118" t="str">
        <f>VLOOKUP(B28,'Gebouwgegevens Tabula 2zone'!$K$5:$R$83,4,0)</f>
        <v>Floor</v>
      </c>
      <c r="E28" s="118">
        <f>VLOOKUP(B28,'Gebouwgegevens Tabula 2zone'!$K$5:$R$83,5,0)</f>
        <v>134.30000000000001</v>
      </c>
      <c r="F28" s="118">
        <f>VLOOKUP(B28,'Gebouwgegevens Tabula 2zone'!$K$5:$R$83,7,0)</f>
        <v>2.8187919463087252</v>
      </c>
      <c r="G28" s="119">
        <f>VLOOKUP(B28,'Gebouwgegevens Tabula 2zone'!$K$5:$R$83,8,0)</f>
        <v>378.56375838926181</v>
      </c>
      <c r="H28" s="119">
        <f>N28/F28*1.45*(G33-12)/(G33+8)</f>
        <v>9.8099509265088466E-2</v>
      </c>
      <c r="I28" s="118">
        <f>'Gebouwgegevens Tabula 2zone'!O14</f>
        <v>134.30000000000001</v>
      </c>
      <c r="J28" s="117">
        <f>SQRT(I28)*4</f>
        <v>46.355150738618036</v>
      </c>
      <c r="K28" s="117">
        <f>SUM('Gebouwgegevens Tabula 2zone'!Z16:Z19)</f>
        <v>0.29500000000000004</v>
      </c>
      <c r="L28" s="120">
        <f>I28/(0.5*J28)</f>
        <v>5.7943938423272545</v>
      </c>
      <c r="M28" s="120">
        <f>K28+2*(1/F28)</f>
        <v>1.0045238095238096</v>
      </c>
      <c r="N28" s="121">
        <f>IF(M28&lt;L28,2*2/(PI()*L28+M28)*LN(PI()*L28/M28+1),2/(0.457*L28+M28))</f>
        <v>0.61449357034059904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>
        <f>1.1*W18</f>
        <v>41943.973086084523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 t="s">
        <v>98</v>
      </c>
      <c r="C33" s="123">
        <f>IF(VLOOKUP(B33,'Gebouwgegevens Tabula 2zone'!$K$5:$R$83,2,0)=B$6,VLOOKUP(B33,'Gebouwgegevens Tabula 2zone'!$K$5:$R$83,2,0),VLOOKUP(B33,'Gebouwgegevens Tabula 2zone'!$K$5:$R$83,3,0))</f>
        <v>1</v>
      </c>
      <c r="D33" s="123">
        <f>IF(VLOOKUP(B33,'Gebouwgegevens Tabula 2zone'!$K$5:$R$83,2,0)=B$6,VLOOKUP(B33,'Gebouwgegevens Tabula 2zone'!$K$5:$R$83,3,0),VLOOKUP(B33,'Gebouwgegevens Tabula 2zone'!$K$5:$R$83,2,0))</f>
        <v>2</v>
      </c>
      <c r="E33" s="123" t="str">
        <f>VLOOKUP(B33,'Gebouwgegevens Tabula 2zone'!$K$5:$R$83,4,0)</f>
        <v>Floor internal</v>
      </c>
      <c r="F33" s="123">
        <f>VLOOKUP(B33,'Gebouwgegevens Tabula 2zone'!$K$5:$R$83,5,0)</f>
        <v>144.69999999999999</v>
      </c>
      <c r="G33" s="123">
        <f>VLOOKUP('Verwarming Tabula 2zone'!C33,'Gebouwgegevens Tabula 2zone'!$B$34:$G$45,5,0)</f>
        <v>21</v>
      </c>
      <c r="H33" s="123">
        <f>VLOOKUP('Verwarming Tabula 2zone'!D33,'Gebouwgegevens Tabula 2zone'!$B$34:$G$45,5,0)</f>
        <v>18</v>
      </c>
      <c r="I33" s="123">
        <f>VLOOKUP(B33,'Gebouwgegevens Tabula 2zone'!$K$5:$R$83,7,0)</f>
        <v>1.2141280353200883</v>
      </c>
      <c r="J33" s="119">
        <f>VLOOKUP(B33,'Gebouwgegevens Tabula 2zone'!$K$5:$R$83,8,0)</f>
        <v>175.68432671081675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x14ac:dyDescent="0.25">
      <c r="A34" s="96"/>
      <c r="B34" s="122" t="s">
        <v>101</v>
      </c>
      <c r="C34" s="123">
        <f>IF(VLOOKUP(B34,'Gebouwgegevens Tabula 2zone'!$K$5:$R$83,2,0)=B$6,VLOOKUP(B34,'Gebouwgegevens Tabula 2zone'!$K$5:$R$83,2,0),VLOOKUP(B34,'Gebouwgegevens Tabula 2zone'!$K$5:$R$83,3,0))</f>
        <v>1</v>
      </c>
      <c r="D34" s="123">
        <f>IF(VLOOKUP(B34,'Gebouwgegevens Tabula 2zone'!$K$5:$R$83,2,0)=B$6,VLOOKUP(B34,'Gebouwgegevens Tabula 2zone'!$K$5:$R$83,3,0),VLOOKUP(B34,'Gebouwgegevens Tabula 2zone'!$K$5:$R$83,2,0))</f>
        <v>1</v>
      </c>
      <c r="E34" s="123" t="str">
        <f>VLOOKUP(B34,'Gebouwgegevens Tabula 2zone'!$K$5:$R$83,4,0)</f>
        <v>Wall internal</v>
      </c>
      <c r="F34" s="123">
        <f>VLOOKUP(B34,'Gebouwgegevens Tabula 2zone'!$K$5:$R$83,5,0)</f>
        <v>219.86010000000002</v>
      </c>
      <c r="G34" s="123">
        <f>VLOOKUP('Verwarming Tabula 2zone'!C34,'Gebouwgegevens Tabula 2zone'!$B$34:$G$45,5,0)</f>
        <v>21</v>
      </c>
      <c r="H34" s="123">
        <f>VLOOKUP('Verwarming Tabula 2zone'!D34,'Gebouwgegevens Tabula 2zone'!$B$34:$G$45,5,0)</f>
        <v>21</v>
      </c>
      <c r="I34" s="123">
        <f>VLOOKUP(B34,'Gebouwgegevens Tabula 2zone'!$K$5:$R$83,7,0)</f>
        <v>1.9926199261992623</v>
      </c>
      <c r="J34" s="119">
        <f>VLOOKUP(B34,'Gebouwgegevens Tabula 2zone'!$K$5:$R$83,8,0)</f>
        <v>438.09761623616248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721.69458018935086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20929.142825491173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279" t="s">
        <v>197</v>
      </c>
      <c r="B45" s="279"/>
      <c r="C45" s="279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f>'Tabula data'!B28</f>
        <v>14.080417754569192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B48/20*'Gebouwgegevens Tabula 2zone'!C34</f>
        <v>259.58890322580646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Tabula 2zone'!H34</f>
        <v>134.30000000000001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259.58890322580646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1.2508982335646652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88.260227096774202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2559.5465858064517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279" t="s">
        <v>213</v>
      </c>
      <c r="B63" s="279"/>
      <c r="C63" s="279"/>
      <c r="D63" s="27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11</v>
      </c>
      <c r="C65" s="58" t="s">
        <v>504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f>'Gebouwgegevens Tabula 2zone'!C7</f>
        <v>134.30000000000001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Tabula'!E35-'Verwarming Tabula 2zone'!$B$4)</f>
        <v>50.941379310344836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1477.3000000000002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860.89618659646987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24965.989411297625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279" t="s">
        <v>171</v>
      </c>
      <c r="B79" s="279"/>
      <c r="C79" s="279"/>
      <c r="D79" s="279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71</v>
      </c>
      <c r="C84" s="108">
        <f>VLOOKUP(B84,'Gebouwgegevens Tabula 2zone'!$K$5:$R$83,3,0)</f>
        <v>2</v>
      </c>
      <c r="D84" s="108" t="str">
        <f>VLOOKUP(B84,'Gebouwgegevens Tabula 2zone'!$K$5:$R$83,4,0)</f>
        <v>Wall External</v>
      </c>
      <c r="E84" s="108">
        <f>VLOOKUP(B84,'Gebouwgegevens Tabula 2zone'!$K$5:$R$83,5,0)</f>
        <v>0.7034500000000008</v>
      </c>
      <c r="F84" s="108" t="str">
        <f>VLOOKUP(B84,'Gebouwgegevens Tabula 2zone'!$K$5:$R$83,6,0)</f>
        <v>front</v>
      </c>
      <c r="G84" s="108">
        <f>VLOOKUP(B84,'Gebouwgegevens Tabula 2zone'!$K$5:$R$83,7,0)</f>
        <v>2.2022341505875525</v>
      </c>
      <c r="H84" s="109">
        <f>VLOOKUP(B84,'Gebouwgegevens Tabula 2zone'!$K$5:$R$83,8,0)</f>
        <v>1.5491616132308155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75</v>
      </c>
      <c r="C85" s="108">
        <f>VLOOKUP(B85,'Gebouwgegevens Tabula 2zone'!$K$5:$R$83,3,0)</f>
        <v>2</v>
      </c>
      <c r="D85" s="108" t="str">
        <f>VLOOKUP(B85,'Gebouwgegevens Tabula 2zone'!$K$5:$R$83,4,0)</f>
        <v>Wall External</v>
      </c>
      <c r="E85" s="108">
        <f>VLOOKUP(B85,'Gebouwgegevens Tabula 2zone'!$K$5:$R$83,5,0)</f>
        <v>17.266500000000004</v>
      </c>
      <c r="F85" s="108" t="str">
        <f>VLOOKUP(B85,'Gebouwgegevens Tabula 2zone'!$K$5:$R$83,6,0)</f>
        <v>right</v>
      </c>
      <c r="G85" s="108">
        <f>VLOOKUP(B85,'Gebouwgegevens Tabula 2zone'!$K$5:$R$83,7,0)</f>
        <v>2.2022341505875525</v>
      </c>
      <c r="H85" s="109">
        <f>VLOOKUP(B85,'Gebouwgegevens Tabula 2zone'!$K$5:$R$83,8,0)</f>
        <v>38.024875961119982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79</v>
      </c>
      <c r="C86" s="108">
        <f>VLOOKUP(B86,'Gebouwgegevens Tabula 2zone'!$K$5:$R$83,3,0)</f>
        <v>2</v>
      </c>
      <c r="D86" s="108" t="str">
        <f>VLOOKUP(B86,'Gebouwgegevens Tabula 2zone'!$K$5:$R$83,4,0)</f>
        <v>Wall External</v>
      </c>
      <c r="E86" s="108">
        <f>VLOOKUP(B86,'Gebouwgegevens Tabula 2zone'!$K$5:$R$83,5,0)</f>
        <v>0.7034500000000008</v>
      </c>
      <c r="F86" s="108" t="str">
        <f>VLOOKUP(B86,'Gebouwgegevens Tabula 2zone'!$K$5:$R$83,6,0)</f>
        <v>back</v>
      </c>
      <c r="G86" s="108">
        <f>VLOOKUP(B86,'Gebouwgegevens Tabula 2zone'!$K$5:$R$83,7,0)</f>
        <v>2.2022341505875525</v>
      </c>
      <c r="H86" s="109">
        <f>VLOOKUP(B86,'Gebouwgegevens Tabula 2zone'!$K$5:$R$83,8,0)</f>
        <v>1.5491616132308155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 t="s">
        <v>82</v>
      </c>
      <c r="C87" s="108">
        <f>VLOOKUP(B87,'Gebouwgegevens Tabula 2zone'!$K$5:$R$83,3,0)</f>
        <v>2</v>
      </c>
      <c r="D87" s="108" t="str">
        <f>VLOOKUP(B87,'Gebouwgegevens Tabula 2zone'!$K$5:$R$83,4,0)</f>
        <v>Wall External</v>
      </c>
      <c r="E87" s="108">
        <f>VLOOKUP(B87,'Gebouwgegevens Tabula 2zone'!$K$5:$R$83,5,0)</f>
        <v>17.266500000000004</v>
      </c>
      <c r="F87" s="108" t="str">
        <f>VLOOKUP(B87,'Gebouwgegevens Tabula 2zone'!$K$5:$R$83,6,0)</f>
        <v>left</v>
      </c>
      <c r="G87" s="108">
        <f>VLOOKUP(B87,'Gebouwgegevens Tabula 2zone'!$K$5:$R$83,7,0)</f>
        <v>2.2022341505875525</v>
      </c>
      <c r="H87" s="109">
        <f>VLOOKUP(B87,'Gebouwgegevens Tabula 2zone'!$K$5:$R$83,8,0)</f>
        <v>38.024875961119982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 t="s">
        <v>84</v>
      </c>
      <c r="C88" s="108">
        <f>VLOOKUP(B88,'Gebouwgegevens Tabula 2zone'!$K$5:$R$83,3,0)</f>
        <v>2</v>
      </c>
      <c r="D88" s="108" t="str">
        <f>VLOOKUP(B88,'Gebouwgegevens Tabula 2zone'!$K$5:$R$83,4,0)</f>
        <v>Window</v>
      </c>
      <c r="E88" s="108">
        <f>VLOOKUP(B88,'Gebouwgegevens Tabula 2zone'!$K$5:$R$83,5,0)</f>
        <v>3.2400000000000007</v>
      </c>
      <c r="F88" s="108" t="str">
        <f>VLOOKUP(B88,'Gebouwgegevens Tabula 2zone'!$K$5:$R$83,6,0)</f>
        <v>front</v>
      </c>
      <c r="G88" s="108">
        <f>VLOOKUP(B88,'Gebouwgegevens Tabula 2zone'!$K$5:$R$83,7,0)</f>
        <v>5</v>
      </c>
      <c r="H88" s="109">
        <f>VLOOKUP(B88,'Gebouwgegevens Tabula 2zone'!$K$5:$R$83,8,0)</f>
        <v>16.200000000000003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 t="s">
        <v>87</v>
      </c>
      <c r="C89" s="108">
        <f>VLOOKUP(B89,'Gebouwgegevens Tabula 2zone'!$K$5:$R$83,3,0)</f>
        <v>2</v>
      </c>
      <c r="D89" s="108" t="str">
        <f>VLOOKUP(B89,'Gebouwgegevens Tabula 2zone'!$K$5:$R$83,4,0)</f>
        <v>Window</v>
      </c>
      <c r="E89" s="108">
        <f>VLOOKUP(B89,'Gebouwgegevens Tabula 2zone'!$K$5:$R$83,5,0)</f>
        <v>2.7900000000000005</v>
      </c>
      <c r="F89" s="108" t="str">
        <f>VLOOKUP(B89,'Gebouwgegevens Tabula 2zone'!$K$5:$R$83,6,0)</f>
        <v>right</v>
      </c>
      <c r="G89" s="108">
        <f>VLOOKUP(B89,'Gebouwgegevens Tabula 2zone'!$K$5:$R$83,7,0)</f>
        <v>5</v>
      </c>
      <c r="H89" s="109">
        <f>VLOOKUP(B89,'Gebouwgegevens Tabula 2zone'!$K$5:$R$83,8,0)</f>
        <v>13.950000000000003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 t="s">
        <v>89</v>
      </c>
      <c r="C90" s="108">
        <f>VLOOKUP(B90,'Gebouwgegevens Tabula 2zone'!$K$5:$R$83,3,0)</f>
        <v>2</v>
      </c>
      <c r="D90" s="108" t="str">
        <f>VLOOKUP(B90,'Gebouwgegevens Tabula 2zone'!$K$5:$R$83,4,0)</f>
        <v>Window</v>
      </c>
      <c r="E90" s="108">
        <f>VLOOKUP(B90,'Gebouwgegevens Tabula 2zone'!$K$5:$R$83,5,0)</f>
        <v>3.66</v>
      </c>
      <c r="F90" s="108" t="str">
        <f>VLOOKUP(B90,'Gebouwgegevens Tabula 2zone'!$K$5:$R$83,6,0)</f>
        <v>back</v>
      </c>
      <c r="G90" s="108">
        <f>VLOOKUP(B90,'Gebouwgegevens Tabula 2zone'!$K$5:$R$83,7,0)</f>
        <v>5</v>
      </c>
      <c r="H90" s="109">
        <f>VLOOKUP(B90,'Gebouwgegevens Tabula 2zone'!$K$5:$R$83,8,0)</f>
        <v>18.3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 t="s">
        <v>92</v>
      </c>
      <c r="C91" s="108">
        <f>VLOOKUP(B91,'Gebouwgegevens Tabula 2zone'!$K$5:$R$83,3,0)</f>
        <v>2</v>
      </c>
      <c r="D91" s="108" t="str">
        <f>VLOOKUP(B91,'Gebouwgegevens Tabula 2zone'!$K$5:$R$83,4,0)</f>
        <v>Window</v>
      </c>
      <c r="E91" s="108">
        <f>VLOOKUP(B91,'Gebouwgegevens Tabula 2zone'!$K$5:$R$83,5,0)</f>
        <v>2.6700000000000004</v>
      </c>
      <c r="F91" s="108" t="str">
        <f>VLOOKUP(B91,'Gebouwgegevens Tabula 2zone'!$K$5:$R$83,6,0)</f>
        <v>left</v>
      </c>
      <c r="G91" s="108">
        <f>VLOOKUP(B91,'Gebouwgegevens Tabula 2zone'!$K$5:$R$83,7,0)</f>
        <v>5</v>
      </c>
      <c r="H91" s="109">
        <f>VLOOKUP(B91,'Gebouwgegevens Tabula 2zone'!$K$5:$R$83,8,0)</f>
        <v>13.350000000000001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 t="s">
        <v>96</v>
      </c>
      <c r="C92" s="108">
        <f>VLOOKUP(B92,'Gebouwgegevens Tabula 2zone'!$K$5:$R$83,3,0)</f>
        <v>2</v>
      </c>
      <c r="D92" s="108" t="str">
        <f>VLOOKUP(B92,'Gebouwgegevens Tabula 2zone'!$K$5:$R$83,4,0)</f>
        <v>Roof</v>
      </c>
      <c r="E92" s="108">
        <f>VLOOKUP(B92,'Gebouwgegevens Tabula 2zone'!$K$5:$R$83,5,0)</f>
        <v>158.4</v>
      </c>
      <c r="F92" s="108" t="str">
        <f>VLOOKUP(B92,'Gebouwgegevens Tabula 2zone'!$K$5:$R$83,6,0)</f>
        <v>front/back</v>
      </c>
      <c r="G92" s="108">
        <f>VLOOKUP(B92,'Gebouwgegevens Tabula 2zone'!$K$5:$R$83,7,0)</f>
        <v>1.714339326947635</v>
      </c>
      <c r="H92" s="109">
        <f>VLOOKUP(B92,'Gebouwgegevens Tabula 2zone'!$K$5:$R$83,8,0)</f>
        <v>271.5513493885054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98</v>
      </c>
      <c r="C108" s="123">
        <f>IF(VLOOKUP(B108,'Gebouwgegevens Tabula 2zone'!$K$5:$R$83,2,0)=$B$78,VLOOKUP(B108,'Gebouwgegevens Tabula 2zone'!$K$5:$R$83,2,0),VLOOKUP(B108,'Gebouwgegevens Tabula 2zone'!$K$5:$R$83,3,0))</f>
        <v>2</v>
      </c>
      <c r="D108" s="123">
        <f>IF(VLOOKUP(B108,'Gebouwgegevens Tabula 2zone'!$K$5:$R$83,2,0)=$B$78,VLOOKUP(B108,'Gebouwgegevens Tabula 2zone'!$K$5:$R$83,3,0),VLOOKUP(B108,'Gebouwgegevens Tabula 2zone'!$K$5:$R$83,2,0))</f>
        <v>1</v>
      </c>
      <c r="E108" s="123" t="str">
        <f>VLOOKUP(B108,'Gebouwgegevens Tabula 2zone'!$K$5:$R$83,4,0)</f>
        <v>Floor internal</v>
      </c>
      <c r="F108" s="123">
        <f>VLOOKUP(B108,'Gebouwgegevens Tabula 2zone'!$K$5:$R$83,5,0)</f>
        <v>144.69999999999999</v>
      </c>
      <c r="G108" s="123">
        <f>VLOOKUP('Verwarming Tabula 2zone'!C108,'Gebouwgegevens Tabula 2zone'!$B$34:$G$45,5,0)</f>
        <v>18</v>
      </c>
      <c r="H108" s="123">
        <f>VLOOKUP('Verwarming Tabula 2zone'!D108,'Gebouwgegevens Tabula 2zone'!$B$34:$G$45,5,0)</f>
        <v>21</v>
      </c>
      <c r="I108" s="123">
        <f>VLOOKUP(B108,'Gebouwgegevens Tabula 2zone'!$K$5:$R$83,7,0)</f>
        <v>1.2141280353200883</v>
      </c>
      <c r="J108" s="119">
        <f>VLOOKUP(B108,'Gebouwgegevens Tabula 2zone'!$K$5:$R$83,8,0)</f>
        <v>175.68432671081675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102</v>
      </c>
      <c r="C109" s="123">
        <f>IF(VLOOKUP(B109,'Gebouwgegevens Tabula 2zone'!$K$5:$R$83,2,0)=$B$78,VLOOKUP(B109,'Gebouwgegevens Tabula 2zone'!$K$5:$R$83,2,0),VLOOKUP(B109,'Gebouwgegevens Tabula 2zone'!$K$5:$R$83,3,0))</f>
        <v>2</v>
      </c>
      <c r="D109" s="123">
        <f>IF(VLOOKUP(B109,'Gebouwgegevens Tabula 2zone'!$K$5:$R$83,2,0)=$B$78,VLOOKUP(B109,'Gebouwgegevens Tabula 2zone'!$K$5:$R$83,3,0),VLOOKUP(B109,'Gebouwgegevens Tabula 2zone'!$K$5:$R$83,2,0))</f>
        <v>2</v>
      </c>
      <c r="E109" s="123" t="str">
        <f>VLOOKUP(B109,'Gebouwgegevens Tabula 2zone'!$K$5:$R$83,4,0)</f>
        <v>Wall internal</v>
      </c>
      <c r="F109" s="123">
        <f>VLOOKUP(B109,'Gebouwgegevens Tabula 2zone'!$K$5:$R$83,5,0)</f>
        <v>35.939900000000009</v>
      </c>
      <c r="G109" s="123">
        <f>VLOOKUP('Verwarming Tabula 2zone'!C109,'Gebouwgegevens Tabula 2zone'!$B$34:$G$45,5,0)</f>
        <v>18</v>
      </c>
      <c r="H109" s="123">
        <f>VLOOKUP('Verwarming Tabula 2zone'!D109,'Gebouwgegevens Tabula 2zone'!$B$34:$G$45,5,0)</f>
        <v>18</v>
      </c>
      <c r="I109" s="123">
        <f>VLOOKUP(B109,'Gebouwgegevens Tabula 2zone'!$K$5:$R$83,7,0)</f>
        <v>1.9926199261992623</v>
      </c>
      <c r="J109" s="119">
        <f>VLOOKUP(B109,'Gebouwgegevens Tabula 2zone'!$K$5:$R$83,8,0)</f>
        <v>71.614560885608881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392.2281560705743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10197.932057834932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279" t="s">
        <v>197</v>
      </c>
      <c r="B124" s="279"/>
      <c r="C124" s="279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f>'Tabula data'!B28</f>
        <v>14.080417754569192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Tabula 2zone'!$B$34:$G$45,2,0)*B127*B128*B129</f>
        <v>335.62931612903225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'Gebouwgegevens Tabula 2zone'!H35</f>
        <v>144.69999999999999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335.62931612903225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2.1044173613628123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0.34*(B138+B130)</f>
        <v>114.11396748387097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2966.9631545806451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279" t="s">
        <v>213</v>
      </c>
      <c r="B142" s="279"/>
      <c r="C142" s="279"/>
      <c r="D142" s="27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0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B133</f>
        <v>144.69999999999999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Tabula 2zone'!$B$4)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>
        <f>SUM(B121,B139,B146)</f>
        <v>506.34212355444527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13164.895212415577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279" t="s">
        <v>171</v>
      </c>
      <c r="B159" s="279"/>
      <c r="C159" s="279"/>
      <c r="D159" s="279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2zone'!C188,'Gebouwgegevens Allacker'!$A$35:$F$46,5,0)</f>
        <v>#N/A</v>
      </c>
      <c r="H188" s="123" t="e">
        <f>VLOOKUP('Verwarming Tabula 2zone'!D188,'Gebouwgegevens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2zone'!C189,'Gebouwgegevens Allacker'!$A$35:$F$46,5,0)</f>
        <v>#N/A</v>
      </c>
      <c r="H189" s="123" t="e">
        <f>VLOOKUP('Verwarming Tabula 2zone'!D189,'Gebouwgegevens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2zone'!C190,'Gebouwgegevens Allacker'!$A$35:$F$46,5,0)</f>
        <v>#N/A</v>
      </c>
      <c r="H190" s="123" t="e">
        <f>VLOOKUP('Verwarming Tabula 2zone'!D190,'Gebouwgegevens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279" t="s">
        <v>197</v>
      </c>
      <c r="B204" s="279"/>
      <c r="C204" s="279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279" t="s">
        <v>213</v>
      </c>
      <c r="B222" s="279"/>
      <c r="C222" s="279"/>
      <c r="D222" s="27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279" t="s">
        <v>171</v>
      </c>
      <c r="B238" s="279"/>
      <c r="C238" s="279"/>
      <c r="D238" s="279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2zone'!C267,'Gebouwgegevens Allacker'!$A$35:$F$46,5,0)</f>
        <v>#N/A</v>
      </c>
      <c r="H267" s="123" t="e">
        <f>VLOOKUP('Verwarming Tabula 2zone'!D267,'Gebouwgegevens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2zone'!C268,'Gebouwgegevens Allacker'!$A$35:$F$46,5,0)</f>
        <v>#N/A</v>
      </c>
      <c r="H268" s="123" t="e">
        <f>VLOOKUP('Verwarming Tabula 2zone'!D268,'Gebouwgegevens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2zone'!C269,'Gebouwgegevens Allacker'!$A$35:$F$46,5,0)</f>
        <v>#N/A</v>
      </c>
      <c r="H269" s="123" t="e">
        <f>VLOOKUP('Verwarming Tabula 2zone'!D269,'Gebouwgegevens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2zone'!C270,'Gebouwgegevens Allacker'!$A$35:$F$46,5,0)</f>
        <v>#N/A</v>
      </c>
      <c r="H270" s="123" t="e">
        <f>VLOOKUP('Verwarming Tabula 2zone'!D270,'Gebouwgegevens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279" t="s">
        <v>197</v>
      </c>
      <c r="B283" s="279"/>
      <c r="C283" s="279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279" t="s">
        <v>213</v>
      </c>
      <c r="B301" s="279"/>
      <c r="C301" s="279"/>
      <c r="D301" s="27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279" t="s">
        <v>171</v>
      </c>
      <c r="B317" s="279"/>
      <c r="C317" s="279"/>
      <c r="D317" s="279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2zone'!C346,'Gebouwgegevens Allacker'!$A$35:$F$46,5,0)</f>
        <v>#N/A</v>
      </c>
      <c r="H346" s="123" t="e">
        <f>VLOOKUP('Verwarming Tabula 2zone'!D346,'Gebouwgegevens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2zone'!C347,'Gebouwgegevens Allacker'!$A$35:$F$46,5,0)</f>
        <v>#N/A</v>
      </c>
      <c r="H347" s="123" t="e">
        <f>VLOOKUP('Verwarming Tabula 2zone'!D347,'Gebouwgegevens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2zone'!C348,'Gebouwgegevens Allacker'!$A$35:$F$46,5,0)</f>
        <v>#N/A</v>
      </c>
      <c r="H348" s="123" t="e">
        <f>VLOOKUP('Verwarming Tabula 2zone'!D348,'Gebouwgegevens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2zone'!C349,'Gebouwgegevens Allacker'!$A$35:$F$46,5,0)</f>
        <v>#N/A</v>
      </c>
      <c r="H349" s="123" t="e">
        <f>VLOOKUP('Verwarming Tabula 2zone'!D349,'Gebouwgegevens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2zone'!C350,'Gebouwgegevens Allacker'!$A$35:$F$46,5,0)</f>
        <v>#N/A</v>
      </c>
      <c r="H350" s="123" t="e">
        <f>VLOOKUP('Verwarming Tabula 2zone'!D350,'Gebouwgegevens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279" t="s">
        <v>197</v>
      </c>
      <c r="B362" s="279"/>
      <c r="C362" s="279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279" t="s">
        <v>213</v>
      </c>
      <c r="B380" s="279"/>
      <c r="C380" s="279"/>
      <c r="D380" s="27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279" t="s">
        <v>171</v>
      </c>
      <c r="B395" s="279"/>
      <c r="C395" s="279"/>
      <c r="D395" s="279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2zone'!C424,'Gebouwgegevens Allacker'!$A$35:$F$46,5,0)</f>
        <v>#N/A</v>
      </c>
      <c r="H424" s="123" t="e">
        <f>VLOOKUP('Verwarming Tabula 2zone'!D424,'Gebouwgegevens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2zone'!C425,'Gebouwgegevens Allacker'!$A$35:$F$46,5,0)</f>
        <v>#N/A</v>
      </c>
      <c r="H425" s="123" t="e">
        <f>VLOOKUP('Verwarming Tabula 2zone'!D425,'Gebouwgegevens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2zone'!C426,'Gebouwgegevens Allacker'!$A$35:$F$46,5,0)</f>
        <v>#N/A</v>
      </c>
      <c r="H426" s="123" t="e">
        <f>VLOOKUP('Verwarming Tabula 2zone'!D426,'Gebouwgegevens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2zone'!C427,'Gebouwgegevens Allacker'!$A$35:$F$46,5,0)</f>
        <v>#N/A</v>
      </c>
      <c r="H427" s="123" t="e">
        <f>VLOOKUP('Verwarming Tabula 2zone'!D427,'Gebouwgegevens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2zone'!C428,'Gebouwgegevens Allacker'!$A$35:$F$46,5,0)</f>
        <v>#N/A</v>
      </c>
      <c r="H428" s="123" t="e">
        <f>VLOOKUP('Verwarming Tabula 2zone'!D428,'Gebouwgegevens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279" t="s">
        <v>197</v>
      </c>
      <c r="B440" s="279"/>
      <c r="C440" s="279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279" t="s">
        <v>213</v>
      </c>
      <c r="B458" s="279"/>
      <c r="C458" s="279"/>
      <c r="D458" s="27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279" t="s">
        <v>171</v>
      </c>
      <c r="B473" s="279"/>
      <c r="C473" s="279"/>
      <c r="D473" s="279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2zone'!C502,'Gebouwgegevens Allacker'!$A$35:$F$46,5,0)</f>
        <v>#N/A</v>
      </c>
      <c r="H502" s="123" t="e">
        <f>VLOOKUP('Verwarming Tabula 2zone'!D502,'Gebouwgegevens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2zone'!C503,'Gebouwgegevens Allacker'!$A$35:$F$46,5,0)</f>
        <v>#N/A</v>
      </c>
      <c r="H503" s="123" t="e">
        <f>VLOOKUP('Verwarming Tabula 2zone'!D503,'Gebouwgegevens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2zone'!C504,'Gebouwgegevens Allacker'!$A$35:$F$46,5,0)</f>
        <v>#N/A</v>
      </c>
      <c r="H504" s="123" t="e">
        <f>VLOOKUP('Verwarming Tabula 2zone'!D504,'Gebouwgegevens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279" t="s">
        <v>197</v>
      </c>
      <c r="B518" s="279"/>
      <c r="C518" s="279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279" t="s">
        <v>213</v>
      </c>
      <c r="B536" s="279"/>
      <c r="C536" s="279"/>
      <c r="D536" s="27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279" t="s">
        <v>171</v>
      </c>
      <c r="B552" s="279"/>
      <c r="C552" s="279"/>
      <c r="D552" s="279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2zone'!C581,'Gebouwgegevens Allacker'!$A$35:$F$46,5,0)</f>
        <v>#N/A</v>
      </c>
      <c r="H581" s="123" t="e">
        <f>VLOOKUP('Verwarming Tabula 2zone'!D581,'Gebouwgegevens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2zone'!C582,'Gebouwgegevens Allacker'!$A$35:$F$46,5,0)</f>
        <v>#N/A</v>
      </c>
      <c r="H582" s="123" t="e">
        <f>VLOOKUP('Verwarming Tabula 2zone'!D582,'Gebouwgegevens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2zone'!C583,'Gebouwgegevens Allacker'!$A$35:$F$46,5,0)</f>
        <v>#N/A</v>
      </c>
      <c r="H583" s="123" t="e">
        <f>VLOOKUP('Verwarming Tabula 2zone'!D583,'Gebouwgegevens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279" t="s">
        <v>197</v>
      </c>
      <c r="B597" s="279"/>
      <c r="C597" s="279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279" t="s">
        <v>213</v>
      </c>
      <c r="B615" s="279"/>
      <c r="C615" s="279"/>
      <c r="D615" s="27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279" t="s">
        <v>171</v>
      </c>
      <c r="B631" s="279"/>
      <c r="C631" s="279"/>
      <c r="D631" s="279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2zone'!C660,'Gebouwgegevens Allacker'!$A$35:$F$46,5,0)</f>
        <v>#N/A</v>
      </c>
      <c r="H660" s="123" t="e">
        <f>VLOOKUP('Verwarming Tabula 2zone'!D660,'Gebouwgegevens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2zone'!C661,'Gebouwgegevens Allacker'!$A$35:$F$46,5,0)</f>
        <v>#N/A</v>
      </c>
      <c r="H661" s="123" t="e">
        <f>VLOOKUP('Verwarming Tabula 2zone'!D661,'Gebouwgegevens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279" t="s">
        <v>197</v>
      </c>
      <c r="B676" s="279"/>
      <c r="C676" s="279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279" t="s">
        <v>213</v>
      </c>
      <c r="B694" s="279"/>
      <c r="C694" s="279"/>
      <c r="D694" s="27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279" t="s">
        <v>171</v>
      </c>
      <c r="B710" s="279"/>
      <c r="C710" s="279"/>
      <c r="D710" s="279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2zone'!C739,'Gebouwgegevens Allacker'!$A$35:$F$46,5,0)</f>
        <v>#N/A</v>
      </c>
      <c r="H739" s="123" t="e">
        <f>VLOOKUP('Verwarming Tabula 2zone'!D739,'Gebouwgegevens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2zone'!C740,'Gebouwgegevens Allacker'!$A$35:$F$46,5,0)</f>
        <v>#N/A</v>
      </c>
      <c r="H740" s="123" t="e">
        <f>VLOOKUP('Verwarming Tabula 2zone'!D740,'Gebouwgegevens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2zone'!C741,'Gebouwgegevens Allacker'!$A$35:$F$46,5,0)</f>
        <v>#N/A</v>
      </c>
      <c r="H741" s="123" t="e">
        <f>VLOOKUP('Verwarming Tabula 2zone'!D741,'Gebouwgegevens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2zone'!C742,'Gebouwgegevens Allacker'!$A$35:$F$46,5,0)</f>
        <v>#N/A</v>
      </c>
      <c r="H742" s="123" t="e">
        <f>VLOOKUP('Verwarming Tabula 2zone'!D742,'Gebouwgegevens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2zone'!C743,'Gebouwgegevens Allacker'!$A$35:$F$46,5,0)</f>
        <v>#N/A</v>
      </c>
      <c r="H743" s="123" t="e">
        <f>VLOOKUP('Verwarming Tabula 2zone'!D743,'Gebouwgegevens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2zone'!C744,'Gebouwgegevens Allacker'!$A$35:$F$46,5,0)</f>
        <v>#N/A</v>
      </c>
      <c r="H744" s="123" t="e">
        <f>VLOOKUP('Verwarming Tabula 2zone'!D744,'Gebouwgegevens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2zone'!C745,'Gebouwgegevens Allacker'!$A$35:$F$46,5,0)</f>
        <v>#N/A</v>
      </c>
      <c r="H745" s="123" t="e">
        <f>VLOOKUP('Verwarming Tabula 2zone'!D745,'Gebouwgegevens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2zone'!C746,'Gebouwgegevens Allacker'!$A$35:$F$46,5,0)</f>
        <v>#N/A</v>
      </c>
      <c r="H746" s="123" t="e">
        <f>VLOOKUP('Verwarming Tabula 2zone'!D746,'Gebouwgegevens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2zone'!C747,'Gebouwgegevens Allacker'!$A$35:$F$46,5,0)</f>
        <v>#N/A</v>
      </c>
      <c r="H747" s="123" t="e">
        <f>VLOOKUP('Verwarming Tabula 2zone'!D747,'Gebouwgegevens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2zone'!C748,'Gebouwgegevens Allacker'!$A$35:$F$46,5,0)</f>
        <v>#N/A</v>
      </c>
      <c r="H748" s="123" t="e">
        <f>VLOOKUP('Verwarming Tabula 2zone'!D748,'Gebouwgegevens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2zone'!C749,'Gebouwgegevens Allacker'!$A$35:$F$46,5,0)</f>
        <v>#N/A</v>
      </c>
      <c r="H749" s="123" t="e">
        <f>VLOOKUP('Verwarming Tabula 2zone'!D749,'Gebouwgegevens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2zone'!C750,'Gebouwgegevens Allacker'!$A$35:$F$46,5,0)</f>
        <v>#N/A</v>
      </c>
      <c r="H750" s="123" t="e">
        <f>VLOOKUP('Verwarming Tabula 2zone'!D750,'Gebouwgegevens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279" t="s">
        <v>197</v>
      </c>
      <c r="B755" s="279"/>
      <c r="C755" s="279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279" t="s">
        <v>213</v>
      </c>
      <c r="B773" s="279"/>
      <c r="C773" s="279"/>
      <c r="D773" s="27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="85" zoomScaleNormal="85" workbookViewId="0">
      <selection activeCell="S17" sqref="S17"/>
    </sheetView>
  </sheetViews>
  <sheetFormatPr defaultColWidth="9.140625" defaultRowHeight="15" x14ac:dyDescent="0.25"/>
  <cols>
    <col min="1" max="1" width="9.140625" style="152"/>
    <col min="2" max="2" width="16.7109375" style="152" bestFit="1" customWidth="1"/>
    <col min="3" max="1025" width="9.140625" style="152"/>
    <col min="1026" max="16384" width="9.140625" style="81"/>
  </cols>
  <sheetData>
    <row r="1" spans="1:25" ht="20.25" customHeight="1" x14ac:dyDescent="0.25">
      <c r="A1" s="277" t="s">
        <v>164</v>
      </c>
      <c r="B1" s="277"/>
      <c r="C1" s="277"/>
      <c r="D1" s="277"/>
      <c r="E1" s="277"/>
      <c r="F1" s="277"/>
      <c r="G1" s="277"/>
      <c r="H1" s="277"/>
      <c r="I1" s="277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54"/>
      <c r="W4" s="254"/>
      <c r="X4" s="254"/>
      <c r="Y4" s="95"/>
    </row>
    <row r="5" spans="1:25" ht="18" customHeight="1" thickTop="1" thickBot="1" x14ac:dyDescent="0.3">
      <c r="A5" s="94"/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95"/>
      <c r="U5" s="96"/>
      <c r="V5" s="274" t="s">
        <v>168</v>
      </c>
      <c r="W5" s="274"/>
      <c r="X5" s="274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54"/>
      <c r="Y6" s="97"/>
    </row>
    <row r="7" spans="1:25" ht="16.5" customHeight="1" thickTop="1" x14ac:dyDescent="0.25">
      <c r="A7" s="279" t="s">
        <v>171</v>
      </c>
      <c r="B7" s="279"/>
      <c r="C7" s="279"/>
      <c r="D7" s="279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95"/>
      <c r="U7" s="96"/>
      <c r="V7" s="102">
        <f>B6</f>
        <v>1</v>
      </c>
      <c r="W7" s="103">
        <f>B73</f>
        <v>7843.842294432402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3116.3660901633157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2zone Ref 1'!K6</f>
        <v>W1</v>
      </c>
      <c r="C12" s="108">
        <f>VLOOKUP(B12,'Tabula 2zone Ref 1'!$K$5:$R$83,3,0)</f>
        <v>1</v>
      </c>
      <c r="D12" s="108" t="str">
        <f>VLOOKUP(B12,'Tabula 2zone Ref 1'!$K$5:$R$83,4,0)</f>
        <v>Wall External</v>
      </c>
      <c r="E12" s="108">
        <f>VLOOKUP(B12,'Tabula 2zone Ref 1'!$K$5:$R$83,5,0)</f>
        <v>69.641550000000009</v>
      </c>
      <c r="F12" s="108" t="str">
        <f>VLOOKUP(B12,'Tabula 2zone Ref 1'!$K$5:$R$83,6,0)</f>
        <v>front</v>
      </c>
      <c r="G12" s="108">
        <f>VLOOKUP(B12,'Tabula 2zone Ref 1'!$K$5:$R$83,7,0)</f>
        <v>0.29666979362101314</v>
      </c>
      <c r="H12" s="109">
        <f>VLOOKUP(B12,'Tabula 2zone Ref 1'!$K$5:$R$83,8,0)</f>
        <v>20.660544265947472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2zone Ref 1'!K7</f>
        <v>W2</v>
      </c>
      <c r="C13" s="108">
        <f>VLOOKUP(B13,'Tabula 2zone Ref 1'!$K$5:$R$83,3,0)</f>
        <v>1</v>
      </c>
      <c r="D13" s="108" t="str">
        <f>VLOOKUP(B13,'Tabula 2zone Ref 1'!$K$5:$R$83,4,0)</f>
        <v>Wall External</v>
      </c>
      <c r="E13" s="108">
        <f>VLOOKUP(B13,'Tabula 2zone Ref 1'!$K$5:$R$83,5,0)</f>
        <v>40.288499999999999</v>
      </c>
      <c r="F13" s="108" t="str">
        <f>VLOOKUP(B13,'Tabula 2zone Ref 1'!$K$5:$R$83,6,0)</f>
        <v>right</v>
      </c>
      <c r="G13" s="108">
        <f>VLOOKUP(B13,'Tabula 2zone Ref 1'!$K$5:$R$83,7,0)</f>
        <v>0.29666979362101314</v>
      </c>
      <c r="H13" s="109">
        <f>VLOOKUP(B13,'Tabula 2zone Ref 1'!$K$5:$R$83,8,0)</f>
        <v>11.952380980300187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2zone Ref 1'!K8</f>
        <v>W3</v>
      </c>
      <c r="C14" s="108">
        <f>VLOOKUP(B14,'Tabula 2zone Ref 1'!$K$5:$R$83,3,0)</f>
        <v>1</v>
      </c>
      <c r="D14" s="108" t="str">
        <f>VLOOKUP(B14,'Tabula 2zone Ref 1'!$K$5:$R$83,4,0)</f>
        <v>Wall External</v>
      </c>
      <c r="E14" s="108">
        <f>VLOOKUP(B14,'Tabula 2zone Ref 1'!$K$5:$R$83,5,0)</f>
        <v>69.641550000000009</v>
      </c>
      <c r="F14" s="108" t="str">
        <f>VLOOKUP(B14,'Tabula 2zone Ref 1'!$K$5:$R$83,6,0)</f>
        <v>back</v>
      </c>
      <c r="G14" s="108">
        <f>VLOOKUP(B14,'Tabula 2zone Ref 1'!$K$5:$R$83,7,0)</f>
        <v>0.29666979362101314</v>
      </c>
      <c r="H14" s="109">
        <f>VLOOKUP(B14,'Tabula 2zone Ref 1'!$K$5:$R$83,8,0)</f>
        <v>20.660544265947472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2zone Ref 1'!K9</f>
        <v>W4</v>
      </c>
      <c r="C15" s="108">
        <f>VLOOKUP(B15,'Tabula 2zone Ref 1'!$K$5:$R$83,3,0)</f>
        <v>1</v>
      </c>
      <c r="D15" s="108" t="str">
        <f>VLOOKUP(B15,'Tabula 2zone Ref 1'!$K$5:$R$83,4,0)</f>
        <v>Wall External</v>
      </c>
      <c r="E15" s="108">
        <f>VLOOKUP(B15,'Tabula 2zone Ref 1'!$K$5:$R$83,5,0)</f>
        <v>40.288499999999999</v>
      </c>
      <c r="F15" s="108" t="str">
        <f>VLOOKUP(B15,'Tabula 2zone Ref 1'!$K$5:$R$83,6,0)</f>
        <v>left</v>
      </c>
      <c r="G15" s="108">
        <f>VLOOKUP(B15,'Tabula 2zone Ref 1'!$K$5:$R$83,7,0)</f>
        <v>0.29666979362101314</v>
      </c>
      <c r="H15" s="109">
        <f>VLOOKUP(B15,'Tabula 2zone Ref 1'!$K$5:$R$83,8,0)</f>
        <v>11.952380980300187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2zone Ref 1'!K10</f>
        <v>W5</v>
      </c>
      <c r="C16" s="108">
        <f>VLOOKUP(B16,'Tabula 2zone Ref 1'!$K$5:$R$83,3,0)</f>
        <v>1</v>
      </c>
      <c r="D16" s="108" t="str">
        <f>VLOOKUP(B16,'Tabula 2zone Ref 1'!$K$5:$R$83,4,0)</f>
        <v>Window</v>
      </c>
      <c r="E16" s="108">
        <f>VLOOKUP(B16,'Tabula 2zone Ref 1'!$K$5:$R$83,5,0)</f>
        <v>7.56</v>
      </c>
      <c r="F16" s="108" t="str">
        <f>VLOOKUP(B16,'Tabula 2zone Ref 1'!$K$5:$R$83,6,0)</f>
        <v>front</v>
      </c>
      <c r="G16" s="108">
        <f>VLOOKUP(B16,'Tabula 2zone Ref 1'!$K$5:$R$83,7,0)</f>
        <v>2</v>
      </c>
      <c r="H16" s="109">
        <f>VLOOKUP(B16,'Tabula 2zone Ref 1'!$K$5:$R$83,8,0)</f>
        <v>15.12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2zone Ref 1'!K11</f>
        <v>W6</v>
      </c>
      <c r="C17" s="108">
        <f>VLOOKUP(B17,'Tabula 2zone Ref 1'!$K$5:$R$83,3,0)</f>
        <v>1</v>
      </c>
      <c r="D17" s="108" t="str">
        <f>VLOOKUP(B17,'Tabula 2zone Ref 1'!$K$5:$R$83,4,0)</f>
        <v>Window</v>
      </c>
      <c r="E17" s="108">
        <f>VLOOKUP(B17,'Tabula 2zone Ref 1'!$K$5:$R$83,5,0)</f>
        <v>6.51</v>
      </c>
      <c r="F17" s="108" t="str">
        <f>VLOOKUP(B17,'Tabula 2zone Ref 1'!$K$5:$R$83,6,0)</f>
        <v>right</v>
      </c>
      <c r="G17" s="108">
        <f>VLOOKUP(B17,'Tabula 2zone Ref 1'!$K$5:$R$83,7,0)</f>
        <v>2</v>
      </c>
      <c r="H17" s="109">
        <f>VLOOKUP(B17,'Tabula 2zone Ref 1'!$K$5:$R$83,8,0)</f>
        <v>13.02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2zone Ref 1'!K12</f>
        <v>W7</v>
      </c>
      <c r="C18" s="108">
        <f>VLOOKUP(B18,'Tabula 2zone Ref 1'!$K$5:$R$83,3,0)</f>
        <v>1</v>
      </c>
      <c r="D18" s="108" t="str">
        <f>VLOOKUP(B18,'Tabula 2zone Ref 1'!$K$5:$R$83,4,0)</f>
        <v>Window</v>
      </c>
      <c r="E18" s="108">
        <f>VLOOKUP(B18,'Tabula 2zone Ref 1'!$K$5:$R$83,5,0)</f>
        <v>8.5399999999999991</v>
      </c>
      <c r="F18" s="108" t="str">
        <f>VLOOKUP(B18,'Tabula 2zone Ref 1'!$K$5:$R$83,6,0)</f>
        <v>back</v>
      </c>
      <c r="G18" s="108">
        <f>VLOOKUP(B18,'Tabula 2zone Ref 1'!$K$5:$R$83,7,0)</f>
        <v>2</v>
      </c>
      <c r="H18" s="109">
        <f>VLOOKUP(B18,'Tabula 2zone Ref 1'!$K$5:$R$83,8,0)</f>
        <v>17.079999999999998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10960.208384595717</v>
      </c>
      <c r="X18" s="254" t="s">
        <v>172</v>
      </c>
      <c r="Y18" s="97"/>
    </row>
    <row r="19" spans="1:25" ht="16.5" customHeight="1" thickTop="1" thickBot="1" x14ac:dyDescent="0.3">
      <c r="A19" s="96"/>
      <c r="B19" s="107" t="str">
        <f>'Tabula 2zone Ref 1'!K13</f>
        <v>W8</v>
      </c>
      <c r="C19" s="108">
        <f>VLOOKUP(B19,'Tabula 2zone Ref 1'!$K$5:$R$83,3,0)</f>
        <v>1</v>
      </c>
      <c r="D19" s="108" t="str">
        <f>VLOOKUP(B19,'Tabula 2zone Ref 1'!$K$5:$R$83,4,0)</f>
        <v>Window</v>
      </c>
      <c r="E19" s="108">
        <f>VLOOKUP(B19,'Tabula 2zone Ref 1'!$K$5:$R$83,5,0)</f>
        <v>6.2299999999999995</v>
      </c>
      <c r="F19" s="108" t="str">
        <f>VLOOKUP(B19,'Tabula 2zone Ref 1'!$K$5:$R$83,6,0)</f>
        <v>left</v>
      </c>
      <c r="G19" s="108">
        <f>VLOOKUP(B19,'Tabula 2zone Ref 1'!$K$5:$R$83,7,0)</f>
        <v>2</v>
      </c>
      <c r="H19" s="109">
        <f>VLOOKUP(B19,'Tabula 2zone Ref 1'!$K$5:$R$83,8,0)</f>
        <v>12.459999999999999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2zone Ref 1'!$K$5:$R$83,3,0)</f>
        <v>1</v>
      </c>
      <c r="D21" s="108" t="str">
        <f>VLOOKUP(B21,'Tabula 2zone Ref 1'!$K$5:$R$83,4,0)</f>
        <v>Roof</v>
      </c>
      <c r="E21" s="108">
        <f>VLOOKUP(B21,'Tabula 2zone Ref 1'!$K$5:$R$83,5,0)</f>
        <v>0</v>
      </c>
      <c r="F21" s="108">
        <f>VLOOKUP(B21,'Tabula 2zone Ref 1'!$K$5:$R$83,6,0)</f>
        <v>0</v>
      </c>
      <c r="G21" s="108">
        <f>VLOOKUP(B21,'Tabula 2zone Ref 1'!$K$5:$R$83,7,0)</f>
        <v>0.27481053799679722</v>
      </c>
      <c r="H21" s="109">
        <f>VLOOKUP(B21,'Tabula 2zone Ref 1'!$K$5:$R$83,8,0)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8628.2265238756427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2zone Ref 1'!$K$5:$R$83,3,0)</f>
        <v>1</v>
      </c>
      <c r="D22" s="108" t="str">
        <f>VLOOKUP(B22,'Tabula 2zone Ref 1'!$K$5:$R$83,4,0)</f>
        <v>Door</v>
      </c>
      <c r="E22" s="108">
        <f>VLOOKUP(B22,'Tabula 2zone Ref 1'!$K$5:$R$83,5,0)</f>
        <v>9.5</v>
      </c>
      <c r="F22" s="108">
        <f>VLOOKUP(B22,'Tabula 2zone Ref 1'!$K$5:$R$83,6,0)</f>
        <v>0</v>
      </c>
      <c r="G22" s="108">
        <f>VLOOKUP(B22,'Tabula 2zone Ref 1'!$K$5:$R$83,7,0)</f>
        <v>4</v>
      </c>
      <c r="H22" s="109">
        <f>VLOOKUP(B22,'Tabula 2zone Ref 1'!$K$5:$R$83,8,0)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2zone Ref 1'!$K$5:$R$83,3,0)</f>
        <v>1</v>
      </c>
      <c r="D28" s="118" t="str">
        <f>VLOOKUP(B28,'Tabula 2zone Ref 1'!$K$5:$R$83,4,0)</f>
        <v>Floor</v>
      </c>
      <c r="E28" s="118">
        <f>VLOOKUP(B28,'Tabula 2zone Ref 1'!$K$5:$R$83,5,0)</f>
        <v>134.30000000000001</v>
      </c>
      <c r="F28" s="118">
        <f>VLOOKUP(B28,'Tabula 2zone Ref 1'!$K$5:$R$83,7,0)</f>
        <v>0.25127131319174395</v>
      </c>
      <c r="G28" s="119">
        <f>VLOOKUP(B28,'Tabula 2zone Ref 1'!$K$5:$R$83,8,0)</f>
        <v>33.745737361651216</v>
      </c>
      <c r="H28" s="119">
        <f>N28/F28*1.45/29*9</f>
        <v>0.32702720890084447</v>
      </c>
      <c r="I28" s="118">
        <f>'Tabula 2zone Ref 1'!O14</f>
        <v>134.30000000000001</v>
      </c>
      <c r="J28" s="117">
        <f>SQRT(I28)*4</f>
        <v>46.355150738618036</v>
      </c>
      <c r="K28" s="117">
        <f>SUM('Tabula 2zone Ref 1'!Z16:Z19)</f>
        <v>0.34499999999999997</v>
      </c>
      <c r="L28" s="120">
        <f>I28/(0.5*J28)</f>
        <v>5.7943938423272545</v>
      </c>
      <c r="M28" s="120">
        <f>K28+2*(1/F28)</f>
        <v>8.3045238095238094</v>
      </c>
      <c r="N28" s="121">
        <f>IF(M28&lt;L28,2*2/(PI()*L28+M28)*LN(PI()*L28/M28+1),2/(0.457*L28+M28))</f>
        <v>0.18260568051099105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2">
        <f>1.1*W18</f>
        <v>12056.22922305529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2zone Ref 1'!$K$5:$R$83,2,0)=B$6,VLOOKUP(B33,'Tabula 2zone Ref 1'!$K$5:$R$83,2,0),VLOOKUP(B33,'Tabula 2zone Ref 1'!$K$5:$R$83,3,0))</f>
        <v>1</v>
      </c>
      <c r="D33" s="123">
        <f>IF(VLOOKUP(B33,'Tabula 2zone Ref 1'!$K$5:$R$83,2,0)=B$6,VLOOKUP(B33,'Tabula 2zone Ref 1'!$K$5:$R$83,3,0),VLOOKUP(B33,'Tabula 2zone Ref 1'!$K$5:$R$83,2,0))</f>
        <v>2</v>
      </c>
      <c r="E33" s="123" t="str">
        <f>VLOOKUP(B33,'Tabula 2zone Ref 1'!$K$5:$R$83,4,0)</f>
        <v>Floor internal</v>
      </c>
      <c r="F33" s="123">
        <f>VLOOKUP(B33,'Tabula 2zone Ref 1'!$K$5:$R$83,5,0)</f>
        <v>144.69999999999999</v>
      </c>
      <c r="G33" s="123">
        <f>VLOOKUP('Verwarming Tabula 2zone Ref1'!C33,'Tabula 2zone Ref 1'!$B$34:$G$45,5,0)</f>
        <v>21</v>
      </c>
      <c r="H33" s="123">
        <f>VLOOKUP('Verwarming Tabula 2zone Ref1'!D33,'Tabula 2zone Ref 1'!$B$34:$G$45,5,0)</f>
        <v>18</v>
      </c>
      <c r="I33" s="123">
        <f>VLOOKUP(B33,'Tabula 2zone Ref 1'!$K$5:$R$83,7,0)</f>
        <v>1.2141280353200883</v>
      </c>
      <c r="J33" s="119">
        <f>VLOOKUP(B33,'Tabula 2zone Ref 1'!$K$5:$R$83,8,0)</f>
        <v>175.68432671081675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2zone Ref 1'!$K$5:$R$83,2,0)=B$6,VLOOKUP(B34,'Tabula 2zone Ref 1'!$K$5:$R$83,2,0),VLOOKUP(B34,'Tabula 2zone Ref 1'!$K$5:$R$83,3,0))</f>
        <v>1</v>
      </c>
      <c r="D34" s="123">
        <f>IF(VLOOKUP(B34,'Tabula 2zone Ref 1'!$K$5:$R$83,2,0)=B$6,VLOOKUP(B34,'Tabula 2zone Ref 1'!$K$5:$R$83,3,0),VLOOKUP(B34,'Tabula 2zone Ref 1'!$K$5:$R$83,2,0))</f>
        <v>1</v>
      </c>
      <c r="E34" s="123" t="str">
        <f>VLOOKUP(B34,'Tabula 2zone Ref 1'!$K$5:$R$83,4,0)</f>
        <v>Wall internal</v>
      </c>
      <c r="F34" s="123">
        <f>VLOOKUP(B34,'Tabula 2zone Ref 1'!$K$5:$R$83,5,0)</f>
        <v>219.86010000000002</v>
      </c>
      <c r="G34" s="123">
        <f>VLOOKUP('Verwarming Tabula 2zone Ref1'!C34,'Tabula 2zone Ref 1'!$B$34:$G$45,5,0)</f>
        <v>21</v>
      </c>
      <c r="H34" s="123">
        <f>VLOOKUP('Verwarming Tabula 2zone Ref1'!D34,'Tabula 2zone Ref 1'!$B$34:$G$45,5,0)</f>
        <v>21</v>
      </c>
      <c r="I34" s="123">
        <f>VLOOKUP(B34,'Tabula 2zone Ref 1'!$K$5:$R$83,7,0)</f>
        <v>1.9926199261992623</v>
      </c>
      <c r="J34" s="119">
        <f>VLOOKUP(B34,'Tabula 2zone Ref 1'!$K$5:$R$83,8,0)</f>
        <v>438.09761623616248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190.11586548839946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5513.3600991635849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279" t="s">
        <v>197</v>
      </c>
      <c r="B45" s="279"/>
      <c r="C45" s="279"/>
      <c r="D45" s="126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data'!E28</f>
        <v>4.693472584856397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2zone Ref 1'!C34</f>
        <v>86.529634408602149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2zone Ref 1'!H34</f>
        <v>134.30000000000001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86.529634408602149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0.41696607785488843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29.420075698924734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853.18219526881728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279" t="s">
        <v>213</v>
      </c>
      <c r="B63" s="279"/>
      <c r="C63" s="279"/>
      <c r="D63" s="27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2zone Ref 1'!C7</f>
        <v>134.30000000000001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Ref1'!$B$4)</f>
        <v>50.941379310344836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1477.3000000000002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270.47732049766904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7843.842294432402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54"/>
      <c r="C77" s="254"/>
      <c r="D77" s="25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279" t="s">
        <v>171</v>
      </c>
      <c r="B79" s="279"/>
      <c r="C79" s="279"/>
      <c r="D79" s="279"/>
      <c r="E79" s="254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2zone Ref 1'!$K$5:$R$83,3,0)</f>
        <v>2</v>
      </c>
      <c r="D84" s="108" t="str">
        <f>VLOOKUP(B84,'Tabula 2zone Ref 1'!$K$5:$R$83,4,0)</f>
        <v>Wall External</v>
      </c>
      <c r="E84" s="108">
        <f>VLOOKUP(B84,'Tabula 2zone Ref 1'!$K$5:$R$83,5,0)</f>
        <v>0.7034500000000008</v>
      </c>
      <c r="F84" s="108" t="str">
        <f>VLOOKUP(B84,'Tabula 2zone Ref 1'!$K$5:$R$83,6,0)</f>
        <v>front</v>
      </c>
      <c r="G84" s="108">
        <f>VLOOKUP(B84,'Tabula 2zone Ref 1'!$K$5:$R$83,7,0)</f>
        <v>0.29666979362101314</v>
      </c>
      <c r="H84" s="109">
        <f>VLOOKUP(B84,'Tabula 2zone Ref 1'!$K$5:$R$83,8,0)</f>
        <v>0.20869236632270194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2zone Ref 1'!$K$5:$R$83,3,0)</f>
        <v>2</v>
      </c>
      <c r="D85" s="108" t="str">
        <f>VLOOKUP(B85,'Tabula 2zone Ref 1'!$K$5:$R$83,4,0)</f>
        <v>Wall External</v>
      </c>
      <c r="E85" s="108">
        <f>VLOOKUP(B85,'Tabula 2zone Ref 1'!$K$5:$R$83,5,0)</f>
        <v>17.266500000000004</v>
      </c>
      <c r="F85" s="108" t="str">
        <f>VLOOKUP(B85,'Tabula 2zone Ref 1'!$K$5:$R$83,6,0)</f>
        <v>right</v>
      </c>
      <c r="G85" s="108">
        <f>VLOOKUP(B85,'Tabula 2zone Ref 1'!$K$5:$R$83,7,0)</f>
        <v>0.29666979362101314</v>
      </c>
      <c r="H85" s="109">
        <f>VLOOKUP(B85,'Tabula 2zone Ref 1'!$K$5:$R$83,8,0)</f>
        <v>5.1224489915572251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2zone Ref 1'!$K$5:$R$83,3,0)</f>
        <v>2</v>
      </c>
      <c r="D86" s="108" t="str">
        <f>VLOOKUP(B86,'Tabula 2zone Ref 1'!$K$5:$R$83,4,0)</f>
        <v>Wall External</v>
      </c>
      <c r="E86" s="108">
        <f>VLOOKUP(B86,'Tabula 2zone Ref 1'!$K$5:$R$83,5,0)</f>
        <v>0.7034500000000008</v>
      </c>
      <c r="F86" s="108" t="str">
        <f>VLOOKUP(B86,'Tabula 2zone Ref 1'!$K$5:$R$83,6,0)</f>
        <v>back</v>
      </c>
      <c r="G86" s="108">
        <f>VLOOKUP(B86,'Tabula 2zone Ref 1'!$K$5:$R$83,7,0)</f>
        <v>0.29666979362101314</v>
      </c>
      <c r="H86" s="109">
        <f>VLOOKUP(B86,'Tabula 2zone Ref 1'!$K$5:$R$83,8,0)</f>
        <v>0.20869236632270194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2zone Ref 1'!$K$5:$R$83,3,0)</f>
        <v>2</v>
      </c>
      <c r="D87" s="108" t="str">
        <f>VLOOKUP(B87,'Tabula 2zone Ref 1'!$K$5:$R$83,4,0)</f>
        <v>Wall External</v>
      </c>
      <c r="E87" s="108">
        <f>VLOOKUP(B87,'Tabula 2zone Ref 1'!$K$5:$R$83,5,0)</f>
        <v>17.266500000000004</v>
      </c>
      <c r="F87" s="108" t="str">
        <f>VLOOKUP(B87,'Tabula 2zone Ref 1'!$K$5:$R$83,6,0)</f>
        <v>left</v>
      </c>
      <c r="G87" s="108">
        <f>VLOOKUP(B87,'Tabula 2zone Ref 1'!$K$5:$R$83,7,0)</f>
        <v>0.29666979362101314</v>
      </c>
      <c r="H87" s="109">
        <f>VLOOKUP(B87,'Tabula 2zone Ref 1'!$K$5:$R$83,8,0)</f>
        <v>5.1224489915572251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2zone Ref 1'!$K$5:$R$83,3,0)</f>
        <v>2</v>
      </c>
      <c r="D88" s="108" t="str">
        <f>VLOOKUP(B88,'Tabula 2zone Ref 1'!$K$5:$R$83,4,0)</f>
        <v>Window</v>
      </c>
      <c r="E88" s="108">
        <f>VLOOKUP(B88,'Tabula 2zone Ref 1'!$K$5:$R$83,5,0)</f>
        <v>3.2400000000000007</v>
      </c>
      <c r="F88" s="108" t="str">
        <f>VLOOKUP(B88,'Tabula 2zone Ref 1'!$K$5:$R$83,6,0)</f>
        <v>front</v>
      </c>
      <c r="G88" s="108">
        <f>VLOOKUP(B88,'Tabula 2zone Ref 1'!$K$5:$R$83,7,0)</f>
        <v>2</v>
      </c>
      <c r="H88" s="109">
        <f>VLOOKUP(B88,'Tabula 2zone Ref 1'!$K$5:$R$83,8,0)</f>
        <v>6.4800000000000013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2zone Ref 1'!$K$5:$R$83,3,0)</f>
        <v>2</v>
      </c>
      <c r="D89" s="108" t="str">
        <f>VLOOKUP(B89,'Tabula 2zone Ref 1'!$K$5:$R$83,4,0)</f>
        <v>Window</v>
      </c>
      <c r="E89" s="108">
        <f>VLOOKUP(B89,'Tabula 2zone Ref 1'!$K$5:$R$83,5,0)</f>
        <v>2.7900000000000005</v>
      </c>
      <c r="F89" s="108" t="str">
        <f>VLOOKUP(B89,'Tabula 2zone Ref 1'!$K$5:$R$83,6,0)</f>
        <v>right</v>
      </c>
      <c r="G89" s="108">
        <f>VLOOKUP(B89,'Tabula 2zone Ref 1'!$K$5:$R$83,7,0)</f>
        <v>2</v>
      </c>
      <c r="H89" s="109">
        <f>VLOOKUP(B89,'Tabula 2zone Ref 1'!$K$5:$R$83,8,0)</f>
        <v>5.580000000000001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2zone Ref 1'!$K$5:$R$83,3,0)</f>
        <v>2</v>
      </c>
      <c r="D90" s="108" t="str">
        <f>VLOOKUP(B90,'Tabula 2zone Ref 1'!$K$5:$R$83,4,0)</f>
        <v>Window</v>
      </c>
      <c r="E90" s="108">
        <f>VLOOKUP(B90,'Tabula 2zone Ref 1'!$K$5:$R$83,5,0)</f>
        <v>3.66</v>
      </c>
      <c r="F90" s="108" t="str">
        <f>VLOOKUP(B90,'Tabula 2zone Ref 1'!$K$5:$R$83,6,0)</f>
        <v>back</v>
      </c>
      <c r="G90" s="108">
        <f>VLOOKUP(B90,'Tabula 2zone Ref 1'!$K$5:$R$83,7,0)</f>
        <v>2</v>
      </c>
      <c r="H90" s="109">
        <f>VLOOKUP(B90,'Tabula 2zone Ref 1'!$K$5:$R$83,8,0)</f>
        <v>7.32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2zone Ref 1'!$K$5:$R$83,3,0)</f>
        <v>2</v>
      </c>
      <c r="D91" s="108" t="str">
        <f>VLOOKUP(B91,'Tabula 2zone Ref 1'!$K$5:$R$83,4,0)</f>
        <v>Window</v>
      </c>
      <c r="E91" s="108">
        <f>VLOOKUP(B91,'Tabula 2zone Ref 1'!$K$5:$R$83,5,0)</f>
        <v>2.6700000000000004</v>
      </c>
      <c r="F91" s="108" t="str">
        <f>VLOOKUP(B91,'Tabula 2zone Ref 1'!$K$5:$R$83,6,0)</f>
        <v>left</v>
      </c>
      <c r="G91" s="108">
        <f>VLOOKUP(B91,'Tabula 2zone Ref 1'!$K$5:$R$83,7,0)</f>
        <v>2</v>
      </c>
      <c r="H91" s="109">
        <f>VLOOKUP(B91,'Tabula 2zone Ref 1'!$K$5:$R$83,8,0)</f>
        <v>5.3400000000000007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2zone Ref 1'!$K$5:$R$83,3,0)</f>
        <v>2</v>
      </c>
      <c r="D92" s="108" t="str">
        <f>VLOOKUP(B92,'Tabula 2zone Ref 1'!$K$5:$R$83,4,0)</f>
        <v>Roof</v>
      </c>
      <c r="E92" s="108">
        <f>VLOOKUP(B92,'Tabula 2zone Ref 1'!$K$5:$R$83,5,0)</f>
        <v>158.4</v>
      </c>
      <c r="F92" s="108" t="str">
        <f>VLOOKUP(B92,'Tabula 2zone Ref 1'!$K$5:$R$83,6,0)</f>
        <v>front/back</v>
      </c>
      <c r="G92" s="108">
        <f>VLOOKUP(B92,'Tabula 2zone Ref 1'!$K$5:$R$83,7,0)</f>
        <v>0.27481053799679722</v>
      </c>
      <c r="H92" s="109">
        <f>VLOOKUP(B92,'Tabula 2zone Ref 1'!$K$5:$R$83,8,0)</f>
        <v>43.529989218692684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2zone Ref 1'!$K$5:$R$83,2,0)=$B$78,VLOOKUP(B108,'Tabula 2zone Ref 1'!$K$5:$R$83,2,0),VLOOKUP(B108,'Tabula 2zone Ref 1'!$K$5:$R$83,3,0))</f>
        <v>2</v>
      </c>
      <c r="D108" s="123">
        <f>IF(VLOOKUP(B108,'Tabula 2zone Ref 1'!$K$5:$R$83,2,0)=$B$78,VLOOKUP(B108,'Tabula 2zone Ref 1'!$K$5:$R$83,3,0),VLOOKUP(B108,'Tabula 2zone Ref 1'!$K$5:$R$83,2,0))</f>
        <v>1</v>
      </c>
      <c r="E108" s="123" t="str">
        <f>VLOOKUP(B108,'Tabula 2zone Ref 1'!$K$5:$R$83,4,0)</f>
        <v>Floor internal</v>
      </c>
      <c r="F108" s="123">
        <f>VLOOKUP(B108,'Tabula 2zone Ref 1'!$K$5:$R$83,5,0)</f>
        <v>144.69999999999999</v>
      </c>
      <c r="G108" s="123">
        <f>VLOOKUP('Verwarming Tabula 2zone Ref1'!C108,'Tabula 2zone Ref 1'!$B$34:$G$45,5,0)</f>
        <v>18</v>
      </c>
      <c r="H108" s="123">
        <f>VLOOKUP('Verwarming Tabula 2zone Ref1'!D108,'Tabula 2zone Ref 1'!$B$34:$G$45,5,0)</f>
        <v>21</v>
      </c>
      <c r="I108" s="123">
        <f>VLOOKUP(B108,'Tabula 2zone Ref 1'!$K$5:$R$83,7,0)</f>
        <v>1.2141280353200883</v>
      </c>
      <c r="J108" s="119">
        <f>VLOOKUP(B108,'Tabula 2zone Ref 1'!$K$5:$R$83,8,0)</f>
        <v>175.68432671081675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2zone Ref 1'!$K$5:$R$83,2,0)=$B$78,VLOOKUP(B109,'Tabula 2zone Ref 1'!$K$5:$R$83,2,0),VLOOKUP(B109,'Tabula 2zone Ref 1'!$K$5:$R$83,3,0))</f>
        <v>2</v>
      </c>
      <c r="D109" s="123">
        <f>IF(VLOOKUP(B109,'Tabula 2zone Ref 1'!$K$5:$R$83,2,0)=$B$78,VLOOKUP(B109,'Tabula 2zone Ref 1'!$K$5:$R$83,3,0),VLOOKUP(B109,'Tabula 2zone Ref 1'!$K$5:$R$83,2,0))</f>
        <v>2</v>
      </c>
      <c r="E109" s="123" t="str">
        <f>VLOOKUP(B109,'Tabula 2zone Ref 1'!$K$5:$R$83,4,0)</f>
        <v>Wall internal</v>
      </c>
      <c r="F109" s="123">
        <f>VLOOKUP(B109,'Tabula 2zone Ref 1'!$K$5:$R$83,5,0)</f>
        <v>35.939900000000009</v>
      </c>
      <c r="G109" s="123">
        <f>VLOOKUP('Verwarming Tabula 2zone Ref1'!C109,'Tabula 2zone Ref 1'!$B$34:$G$45,5,0)</f>
        <v>18</v>
      </c>
      <c r="H109" s="123">
        <f>VLOOKUP('Verwarming Tabula 2zone Ref1'!D109,'Tabula 2zone Ref 1'!$B$34:$G$45,5,0)</f>
        <v>18</v>
      </c>
      <c r="I109" s="123">
        <f>VLOOKUP(B109,'Tabula 2zone Ref 1'!$K$5:$R$83,7,0)</f>
        <v>1.9926199261992623</v>
      </c>
      <c r="J109" s="119">
        <f>VLOOKUP(B109,'Tabula 2zone Ref 1'!$K$5:$R$83,8,0)</f>
        <v>71.614560885608881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58.641003467819843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1524.6660901633159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279" t="s">
        <v>197</v>
      </c>
      <c r="B124" s="279"/>
      <c r="C124" s="279"/>
      <c r="D124" s="126" t="s">
        <v>225</v>
      </c>
      <c r="E124" s="254"/>
      <c r="F124" s="254"/>
      <c r="G124" s="254"/>
      <c r="H124" s="254"/>
      <c r="I124" s="254"/>
      <c r="J124" s="254"/>
      <c r="K124" s="254"/>
      <c r="L124" s="254"/>
      <c r="M124" s="254"/>
      <c r="N124" s="254"/>
      <c r="O124" s="254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B48</f>
        <v>4.693472584856397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2zone Ref 1'!$B$34:$G$45,2,0)*B127*B128*B129</f>
        <v>111.87643870967742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2zone Ref 1'!H35</f>
        <v>144.69999999999999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111.87643870967742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0.70147245378760403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0.34*(B134)</f>
        <v>0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0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279" t="s">
        <v>213</v>
      </c>
      <c r="B142" s="279"/>
      <c r="C142" s="279"/>
      <c r="D142" s="27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144.69999999999999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Ref1'!$B$4)</f>
        <v>198.96249999999998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1591.6999999999998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257.60350346781979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3116.3660901633157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54"/>
      <c r="C157" s="254"/>
      <c r="D157" s="254"/>
      <c r="E157" s="254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279" t="s">
        <v>171</v>
      </c>
      <c r="B159" s="279"/>
      <c r="C159" s="279"/>
      <c r="D159" s="279"/>
      <c r="E159" s="254"/>
      <c r="F159" s="254"/>
      <c r="G159" s="254"/>
      <c r="H159" s="254"/>
      <c r="I159" s="254"/>
      <c r="J159" s="254"/>
      <c r="K159" s="254"/>
      <c r="L159" s="254"/>
      <c r="M159" s="254"/>
      <c r="N159" s="254"/>
      <c r="O159" s="254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Ref1'!C188,'Gebouwgegevens Allacker'!$A$35:$F$46,5,0)</f>
        <v>#N/A</v>
      </c>
      <c r="H188" s="123" t="e">
        <f>VLOOKUP('Verwarming Tabula 2zone Ref1'!D188,'Gebouwgegevens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Ref1'!C189,'Gebouwgegevens Allacker'!$A$35:$F$46,5,0)</f>
        <v>#N/A</v>
      </c>
      <c r="H189" s="123" t="e">
        <f>VLOOKUP('Verwarming Tabula 2zone Ref1'!D189,'Gebouwgegevens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Ref1'!C190,'Gebouwgegevens Allacker'!$A$35:$F$46,5,0)</f>
        <v>#N/A</v>
      </c>
      <c r="H190" s="123" t="e">
        <f>VLOOKUP('Verwarming Tabula 2zone Ref1'!D190,'Gebouwgegevens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279" t="s">
        <v>197</v>
      </c>
      <c r="B204" s="279"/>
      <c r="C204" s="279"/>
      <c r="D204" s="126" t="s">
        <v>225</v>
      </c>
      <c r="E204" s="254"/>
      <c r="F204" s="254"/>
      <c r="G204" s="254"/>
      <c r="H204" s="254"/>
      <c r="I204" s="254"/>
      <c r="J204" s="254"/>
      <c r="K204" s="254"/>
      <c r="L204" s="254"/>
      <c r="M204" s="254"/>
      <c r="N204" s="254"/>
      <c r="O204" s="254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279" t="s">
        <v>213</v>
      </c>
      <c r="B222" s="279"/>
      <c r="C222" s="279"/>
      <c r="D222" s="27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2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Ref1'!$B$4)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54"/>
      <c r="C236" s="254"/>
      <c r="D236" s="254"/>
      <c r="E236" s="254"/>
      <c r="F236" s="254"/>
      <c r="G236" s="254"/>
      <c r="H236" s="254"/>
      <c r="I236" s="254"/>
      <c r="J236" s="254"/>
      <c r="K236" s="254"/>
      <c r="L236" s="254"/>
      <c r="M236" s="254"/>
      <c r="N236" s="254"/>
      <c r="O236" s="254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279" t="s">
        <v>171</v>
      </c>
      <c r="B238" s="279"/>
      <c r="C238" s="279"/>
      <c r="D238" s="279"/>
      <c r="E238" s="254"/>
      <c r="F238" s="254"/>
      <c r="G238" s="254"/>
      <c r="H238" s="254"/>
      <c r="I238" s="254"/>
      <c r="J238" s="254"/>
      <c r="K238" s="254"/>
      <c r="L238" s="254"/>
      <c r="M238" s="254"/>
      <c r="N238" s="254"/>
      <c r="O238" s="254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Ref1'!C267,'Gebouwgegevens Allacker'!$A$35:$F$46,5,0)</f>
        <v>#N/A</v>
      </c>
      <c r="H267" s="123" t="e">
        <f>VLOOKUP('Verwarming Tabula 2zone Ref1'!D267,'Gebouwgegevens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Ref1'!C268,'Gebouwgegevens Allacker'!$A$35:$F$46,5,0)</f>
        <v>#N/A</v>
      </c>
      <c r="H268" s="123" t="e">
        <f>VLOOKUP('Verwarming Tabula 2zone Ref1'!D268,'Gebouwgegevens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Ref1'!C269,'Gebouwgegevens Allacker'!$A$35:$F$46,5,0)</f>
        <v>#N/A</v>
      </c>
      <c r="H269" s="123" t="e">
        <f>VLOOKUP('Verwarming Tabula 2zone Ref1'!D269,'Gebouwgegevens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Ref1'!C270,'Gebouwgegevens Allacker'!$A$35:$F$46,5,0)</f>
        <v>#N/A</v>
      </c>
      <c r="H270" s="123" t="e">
        <f>VLOOKUP('Verwarming Tabula 2zone Ref1'!D270,'Gebouwgegevens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279" t="s">
        <v>197</v>
      </c>
      <c r="B283" s="279"/>
      <c r="C283" s="279"/>
      <c r="D283" s="126" t="s">
        <v>225</v>
      </c>
      <c r="E283" s="254"/>
      <c r="F283" s="254"/>
      <c r="G283" s="254"/>
      <c r="H283" s="254"/>
      <c r="I283" s="254"/>
      <c r="J283" s="254"/>
      <c r="K283" s="254"/>
      <c r="L283" s="254"/>
      <c r="M283" s="254"/>
      <c r="N283" s="254"/>
      <c r="O283" s="254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279" t="s">
        <v>213</v>
      </c>
      <c r="B301" s="279"/>
      <c r="C301" s="279"/>
      <c r="D301" s="27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2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Ref1'!$B$4)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54"/>
      <c r="C315" s="254"/>
      <c r="D315" s="254"/>
      <c r="E315" s="254"/>
      <c r="F315" s="254"/>
      <c r="G315" s="254"/>
      <c r="H315" s="254"/>
      <c r="I315" s="254"/>
      <c r="J315" s="254"/>
      <c r="K315" s="254"/>
      <c r="L315" s="254"/>
      <c r="M315" s="254"/>
      <c r="N315" s="254"/>
      <c r="O315" s="254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279" t="s">
        <v>171</v>
      </c>
      <c r="B317" s="279"/>
      <c r="C317" s="279"/>
      <c r="D317" s="279"/>
      <c r="E317" s="254"/>
      <c r="F317" s="254"/>
      <c r="G317" s="254"/>
      <c r="H317" s="254"/>
      <c r="I317" s="254"/>
      <c r="J317" s="254"/>
      <c r="K317" s="254"/>
      <c r="L317" s="254"/>
      <c r="M317" s="254"/>
      <c r="N317" s="254"/>
      <c r="O317" s="254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Ref1'!C346,'Gebouwgegevens Allacker'!$A$35:$F$46,5,0)</f>
        <v>#N/A</v>
      </c>
      <c r="H346" s="123" t="e">
        <f>VLOOKUP('Verwarming Tabula 2zone Ref1'!D346,'Gebouwgegevens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Ref1'!C347,'Gebouwgegevens Allacker'!$A$35:$F$46,5,0)</f>
        <v>#N/A</v>
      </c>
      <c r="H347" s="123" t="e">
        <f>VLOOKUP('Verwarming Tabula 2zone Ref1'!D347,'Gebouwgegevens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Ref1'!C348,'Gebouwgegevens Allacker'!$A$35:$F$46,5,0)</f>
        <v>#N/A</v>
      </c>
      <c r="H348" s="123" t="e">
        <f>VLOOKUP('Verwarming Tabula 2zone Ref1'!D348,'Gebouwgegevens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Ref1'!C349,'Gebouwgegevens Allacker'!$A$35:$F$46,5,0)</f>
        <v>#N/A</v>
      </c>
      <c r="H349" s="123" t="e">
        <f>VLOOKUP('Verwarming Tabula 2zone Ref1'!D349,'Gebouwgegevens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Ref1'!C350,'Gebouwgegevens Allacker'!$A$35:$F$46,5,0)</f>
        <v>#N/A</v>
      </c>
      <c r="H350" s="123" t="e">
        <f>VLOOKUP('Verwarming Tabula 2zone Ref1'!D350,'Gebouwgegevens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279" t="s">
        <v>197</v>
      </c>
      <c r="B362" s="279"/>
      <c r="C362" s="279"/>
      <c r="D362" s="126" t="s">
        <v>225</v>
      </c>
      <c r="E362" s="254"/>
      <c r="F362" s="254"/>
      <c r="G362" s="254"/>
      <c r="H362" s="254"/>
      <c r="I362" s="254"/>
      <c r="J362" s="254"/>
      <c r="K362" s="254"/>
      <c r="L362" s="254"/>
      <c r="M362" s="254"/>
      <c r="N362" s="254"/>
      <c r="O362" s="254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279" t="s">
        <v>213</v>
      </c>
      <c r="B380" s="279"/>
      <c r="C380" s="279"/>
      <c r="D380" s="27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2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Ref1'!$B$4)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54"/>
      <c r="C393" s="254"/>
      <c r="D393" s="254"/>
      <c r="E393" s="254"/>
      <c r="F393" s="254"/>
      <c r="G393" s="254"/>
      <c r="H393" s="254"/>
      <c r="I393" s="254"/>
      <c r="J393" s="254"/>
      <c r="K393" s="254"/>
      <c r="L393" s="254"/>
      <c r="M393" s="254"/>
      <c r="N393" s="254"/>
      <c r="O393" s="254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279" t="s">
        <v>171</v>
      </c>
      <c r="B395" s="279"/>
      <c r="C395" s="279"/>
      <c r="D395" s="279"/>
      <c r="E395" s="254"/>
      <c r="F395" s="254"/>
      <c r="G395" s="254"/>
      <c r="H395" s="254"/>
      <c r="I395" s="254"/>
      <c r="J395" s="254"/>
      <c r="K395" s="254"/>
      <c r="L395" s="254"/>
      <c r="M395" s="254"/>
      <c r="N395" s="254"/>
      <c r="O395" s="254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Ref1'!C424,'Gebouwgegevens Allacker'!$A$35:$F$46,5,0)</f>
        <v>#N/A</v>
      </c>
      <c r="H424" s="123" t="e">
        <f>VLOOKUP('Verwarming Tabula 2zone Ref1'!D424,'Gebouwgegevens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Ref1'!C425,'Gebouwgegevens Allacker'!$A$35:$F$46,5,0)</f>
        <v>#N/A</v>
      </c>
      <c r="H425" s="123" t="e">
        <f>VLOOKUP('Verwarming Tabula 2zone Ref1'!D425,'Gebouwgegevens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Ref1'!C426,'Gebouwgegevens Allacker'!$A$35:$F$46,5,0)</f>
        <v>#N/A</v>
      </c>
      <c r="H426" s="123" t="e">
        <f>VLOOKUP('Verwarming Tabula 2zone Ref1'!D426,'Gebouwgegevens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Ref1'!C427,'Gebouwgegevens Allacker'!$A$35:$F$46,5,0)</f>
        <v>#N/A</v>
      </c>
      <c r="H427" s="123" t="e">
        <f>VLOOKUP('Verwarming Tabula 2zone Ref1'!D427,'Gebouwgegevens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Ref1'!C428,'Gebouwgegevens Allacker'!$A$35:$F$46,5,0)</f>
        <v>#N/A</v>
      </c>
      <c r="H428" s="123" t="e">
        <f>VLOOKUP('Verwarming Tabula 2zone Ref1'!D428,'Gebouwgegevens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279" t="s">
        <v>197</v>
      </c>
      <c r="B440" s="279"/>
      <c r="C440" s="279"/>
      <c r="D440" s="126" t="s">
        <v>225</v>
      </c>
      <c r="E440" s="254"/>
      <c r="F440" s="254"/>
      <c r="G440" s="254"/>
      <c r="H440" s="254"/>
      <c r="I440" s="254"/>
      <c r="J440" s="254"/>
      <c r="K440" s="254"/>
      <c r="L440" s="254"/>
      <c r="M440" s="254"/>
      <c r="N440" s="254"/>
      <c r="O440" s="254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279" t="s">
        <v>213</v>
      </c>
      <c r="B458" s="279"/>
      <c r="C458" s="279"/>
      <c r="D458" s="27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2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Ref1'!$B$4)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54"/>
      <c r="C471" s="254"/>
      <c r="D471" s="254"/>
      <c r="E471" s="254"/>
      <c r="F471" s="254"/>
      <c r="G471" s="254"/>
      <c r="H471" s="254"/>
      <c r="I471" s="254"/>
      <c r="J471" s="254"/>
      <c r="K471" s="254"/>
      <c r="L471" s="254"/>
      <c r="M471" s="254"/>
      <c r="N471" s="254"/>
      <c r="O471" s="254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279" t="s">
        <v>171</v>
      </c>
      <c r="B473" s="279"/>
      <c r="C473" s="279"/>
      <c r="D473" s="279"/>
      <c r="E473" s="254"/>
      <c r="F473" s="254"/>
      <c r="G473" s="254"/>
      <c r="H473" s="254"/>
      <c r="I473" s="254"/>
      <c r="J473" s="254"/>
      <c r="K473" s="254"/>
      <c r="L473" s="254"/>
      <c r="M473" s="254"/>
      <c r="N473" s="254"/>
      <c r="O473" s="254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Ref1'!C502,'Gebouwgegevens Allacker'!$A$35:$F$46,5,0)</f>
        <v>#N/A</v>
      </c>
      <c r="H502" s="123" t="e">
        <f>VLOOKUP('Verwarming Tabula 2zone Ref1'!D502,'Gebouwgegevens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Ref1'!C503,'Gebouwgegevens Allacker'!$A$35:$F$46,5,0)</f>
        <v>#N/A</v>
      </c>
      <c r="H503" s="123" t="e">
        <f>VLOOKUP('Verwarming Tabula 2zone Ref1'!D503,'Gebouwgegevens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Ref1'!C504,'Gebouwgegevens Allacker'!$A$35:$F$46,5,0)</f>
        <v>#N/A</v>
      </c>
      <c r="H504" s="123" t="e">
        <f>VLOOKUP('Verwarming Tabula 2zone Ref1'!D504,'Gebouwgegevens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279" t="s">
        <v>197</v>
      </c>
      <c r="B518" s="279"/>
      <c r="C518" s="279"/>
      <c r="D518" s="126" t="s">
        <v>225</v>
      </c>
      <c r="E518" s="254"/>
      <c r="F518" s="254"/>
      <c r="G518" s="254"/>
      <c r="H518" s="254"/>
      <c r="I518" s="254"/>
      <c r="J518" s="254"/>
      <c r="K518" s="254"/>
      <c r="L518" s="254"/>
      <c r="M518" s="254"/>
      <c r="N518" s="254"/>
      <c r="O518" s="254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279" t="s">
        <v>213</v>
      </c>
      <c r="B536" s="279"/>
      <c r="C536" s="279"/>
      <c r="D536" s="27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Ref1'!$B$4)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54"/>
      <c r="C550" s="254"/>
      <c r="D550" s="254"/>
      <c r="E550" s="254"/>
      <c r="F550" s="254"/>
      <c r="G550" s="254"/>
      <c r="H550" s="254"/>
      <c r="I550" s="254"/>
      <c r="J550" s="254"/>
      <c r="K550" s="254"/>
      <c r="L550" s="254"/>
      <c r="M550" s="254"/>
      <c r="N550" s="254"/>
      <c r="O550" s="254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279" t="s">
        <v>171</v>
      </c>
      <c r="B552" s="279"/>
      <c r="C552" s="279"/>
      <c r="D552" s="279"/>
      <c r="E552" s="254"/>
      <c r="F552" s="254"/>
      <c r="G552" s="254"/>
      <c r="H552" s="254"/>
      <c r="I552" s="254"/>
      <c r="J552" s="254"/>
      <c r="K552" s="254"/>
      <c r="L552" s="254"/>
      <c r="M552" s="254"/>
      <c r="N552" s="254"/>
      <c r="O552" s="254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Ref1'!C581,'Gebouwgegevens Allacker'!$A$35:$F$46,5,0)</f>
        <v>#N/A</v>
      </c>
      <c r="H581" s="123" t="e">
        <f>VLOOKUP('Verwarming Tabula 2zone Ref1'!D581,'Gebouwgegevens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Ref1'!C582,'Gebouwgegevens Allacker'!$A$35:$F$46,5,0)</f>
        <v>#N/A</v>
      </c>
      <c r="H582" s="123" t="e">
        <f>VLOOKUP('Verwarming Tabula 2zone Ref1'!D582,'Gebouwgegevens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Ref1'!C583,'Gebouwgegevens Allacker'!$A$35:$F$46,5,0)</f>
        <v>#N/A</v>
      </c>
      <c r="H583" s="123" t="e">
        <f>VLOOKUP('Verwarming Tabula 2zone Ref1'!D583,'Gebouwgegevens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279" t="s">
        <v>197</v>
      </c>
      <c r="B597" s="279"/>
      <c r="C597" s="279"/>
      <c r="D597" s="126" t="s">
        <v>225</v>
      </c>
      <c r="E597" s="254"/>
      <c r="F597" s="254"/>
      <c r="G597" s="254"/>
      <c r="H597" s="254"/>
      <c r="I597" s="254"/>
      <c r="J597" s="254"/>
      <c r="K597" s="254"/>
      <c r="L597" s="254"/>
      <c r="M597" s="254"/>
      <c r="N597" s="254"/>
      <c r="O597" s="254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279" t="s">
        <v>213</v>
      </c>
      <c r="B615" s="279"/>
      <c r="C615" s="279"/>
      <c r="D615" s="27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2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Ref1'!$B$4)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54"/>
      <c r="C629" s="254"/>
      <c r="D629" s="254"/>
      <c r="E629" s="254"/>
      <c r="F629" s="254"/>
      <c r="G629" s="254"/>
      <c r="H629" s="254"/>
      <c r="I629" s="254"/>
      <c r="J629" s="254"/>
      <c r="K629" s="254"/>
      <c r="L629" s="254"/>
      <c r="M629" s="254"/>
      <c r="N629" s="254"/>
      <c r="O629" s="254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279" t="s">
        <v>171</v>
      </c>
      <c r="B631" s="279"/>
      <c r="C631" s="279"/>
      <c r="D631" s="279"/>
      <c r="E631" s="254"/>
      <c r="F631" s="254"/>
      <c r="G631" s="254"/>
      <c r="H631" s="254"/>
      <c r="I631" s="254"/>
      <c r="J631" s="254"/>
      <c r="K631" s="254"/>
      <c r="L631" s="254"/>
      <c r="M631" s="254"/>
      <c r="N631" s="254"/>
      <c r="O631" s="254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Ref1'!C660,'Gebouwgegevens Allacker'!$A$35:$F$46,5,0)</f>
        <v>#N/A</v>
      </c>
      <c r="H660" s="123" t="e">
        <f>VLOOKUP('Verwarming Tabula 2zone Ref1'!D660,'Gebouwgegevens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Ref1'!C661,'Gebouwgegevens Allacker'!$A$35:$F$46,5,0)</f>
        <v>#N/A</v>
      </c>
      <c r="H661" s="123" t="e">
        <f>VLOOKUP('Verwarming Tabula 2zone Ref1'!D661,'Gebouwgegevens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279" t="s">
        <v>197</v>
      </c>
      <c r="B676" s="279"/>
      <c r="C676" s="279"/>
      <c r="D676" s="126" t="s">
        <v>225</v>
      </c>
      <c r="E676" s="254"/>
      <c r="F676" s="254"/>
      <c r="G676" s="254"/>
      <c r="H676" s="254"/>
      <c r="I676" s="254"/>
      <c r="J676" s="254"/>
      <c r="K676" s="254"/>
      <c r="L676" s="254"/>
      <c r="M676" s="254"/>
      <c r="N676" s="254"/>
      <c r="O676" s="254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279" t="s">
        <v>213</v>
      </c>
      <c r="B694" s="279"/>
      <c r="C694" s="279"/>
      <c r="D694" s="27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2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Ref1'!$B$4)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54"/>
      <c r="C708" s="254"/>
      <c r="D708" s="254"/>
      <c r="E708" s="254"/>
      <c r="F708" s="254"/>
      <c r="G708" s="254"/>
      <c r="H708" s="254"/>
      <c r="I708" s="254"/>
      <c r="J708" s="254"/>
      <c r="K708" s="254"/>
      <c r="L708" s="254"/>
      <c r="M708" s="254"/>
      <c r="N708" s="254"/>
      <c r="O708" s="254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279" t="s">
        <v>171</v>
      </c>
      <c r="B710" s="279"/>
      <c r="C710" s="279"/>
      <c r="D710" s="279"/>
      <c r="E710" s="254"/>
      <c r="F710" s="254"/>
      <c r="G710" s="254"/>
      <c r="H710" s="254"/>
      <c r="I710" s="254"/>
      <c r="J710" s="254"/>
      <c r="K710" s="254"/>
      <c r="L710" s="254"/>
      <c r="M710" s="254"/>
      <c r="N710" s="254"/>
      <c r="O710" s="254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Ref1'!C739,'Gebouwgegevens Allacker'!$A$35:$F$46,5,0)</f>
        <v>#N/A</v>
      </c>
      <c r="H739" s="123" t="e">
        <f>VLOOKUP('Verwarming Tabula 2zone Ref1'!D739,'Gebouwgegevens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Ref1'!C740,'Gebouwgegevens Allacker'!$A$35:$F$46,5,0)</f>
        <v>#N/A</v>
      </c>
      <c r="H740" s="123" t="e">
        <f>VLOOKUP('Verwarming Tabula 2zone Ref1'!D740,'Gebouwgegevens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Ref1'!C741,'Gebouwgegevens Allacker'!$A$35:$F$46,5,0)</f>
        <v>#N/A</v>
      </c>
      <c r="H741" s="123" t="e">
        <f>VLOOKUP('Verwarming Tabula 2zone Ref1'!D741,'Gebouwgegevens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Ref1'!C742,'Gebouwgegevens Allacker'!$A$35:$F$46,5,0)</f>
        <v>#N/A</v>
      </c>
      <c r="H742" s="123" t="e">
        <f>VLOOKUP('Verwarming Tabula 2zone Ref1'!D742,'Gebouwgegevens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Ref1'!C743,'Gebouwgegevens Allacker'!$A$35:$F$46,5,0)</f>
        <v>#N/A</v>
      </c>
      <c r="H743" s="123" t="e">
        <f>VLOOKUP('Verwarming Tabula 2zone Ref1'!D743,'Gebouwgegevens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Ref1'!C744,'Gebouwgegevens Allacker'!$A$35:$F$46,5,0)</f>
        <v>#N/A</v>
      </c>
      <c r="H744" s="123" t="e">
        <f>VLOOKUP('Verwarming Tabula 2zone Ref1'!D744,'Gebouwgegevens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Ref1'!C745,'Gebouwgegevens Allacker'!$A$35:$F$46,5,0)</f>
        <v>#N/A</v>
      </c>
      <c r="H745" s="123" t="e">
        <f>VLOOKUP('Verwarming Tabula 2zone Ref1'!D745,'Gebouwgegevens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Ref1'!C746,'Gebouwgegevens Allacker'!$A$35:$F$46,5,0)</f>
        <v>#N/A</v>
      </c>
      <c r="H746" s="123" t="e">
        <f>VLOOKUP('Verwarming Tabula 2zone Ref1'!D746,'Gebouwgegevens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Ref1'!C747,'Gebouwgegevens Allacker'!$A$35:$F$46,5,0)</f>
        <v>#N/A</v>
      </c>
      <c r="H747" s="123" t="e">
        <f>VLOOKUP('Verwarming Tabula 2zone Ref1'!D747,'Gebouwgegevens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Ref1'!C748,'Gebouwgegevens Allacker'!$A$35:$F$46,5,0)</f>
        <v>#N/A</v>
      </c>
      <c r="H748" s="123" t="e">
        <f>VLOOKUP('Verwarming Tabula 2zone Ref1'!D748,'Gebouwgegevens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Ref1'!C749,'Gebouwgegevens Allacker'!$A$35:$F$46,5,0)</f>
        <v>#N/A</v>
      </c>
      <c r="H749" s="123" t="e">
        <f>VLOOKUP('Verwarming Tabula 2zone Ref1'!D749,'Gebouwgegevens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Ref1'!C750,'Gebouwgegevens Allacker'!$A$35:$F$46,5,0)</f>
        <v>#N/A</v>
      </c>
      <c r="H750" s="123" t="e">
        <f>VLOOKUP('Verwarming Tabula 2zone Ref1'!D750,'Gebouwgegevens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279" t="s">
        <v>197</v>
      </c>
      <c r="B755" s="279"/>
      <c r="C755" s="279"/>
      <c r="D755" s="126" t="s">
        <v>225</v>
      </c>
      <c r="E755" s="254"/>
      <c r="F755" s="254"/>
      <c r="G755" s="254"/>
      <c r="H755" s="254"/>
      <c r="I755" s="254"/>
      <c r="J755" s="254"/>
      <c r="K755" s="254"/>
      <c r="L755" s="254"/>
      <c r="M755" s="254"/>
      <c r="N755" s="254"/>
      <c r="O755" s="254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279" t="s">
        <v>213</v>
      </c>
      <c r="B773" s="279"/>
      <c r="C773" s="279"/>
      <c r="D773" s="27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2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Ref1'!$B$4)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597:C597"/>
    <mergeCell ref="A615:D615"/>
    <mergeCell ref="A631:D631"/>
    <mergeCell ref="A676:C676"/>
    <mergeCell ref="A694:D694"/>
    <mergeCell ref="A710:D710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L1" zoomScaleNormal="100" workbookViewId="0">
      <selection activeCell="W9" sqref="W9:W16"/>
    </sheetView>
  </sheetViews>
  <sheetFormatPr defaultColWidth="9.140625" defaultRowHeight="15" x14ac:dyDescent="0.25"/>
  <cols>
    <col min="1" max="1" width="9.140625" style="152"/>
    <col min="2" max="2" width="16.7109375" style="152" bestFit="1" customWidth="1"/>
    <col min="3" max="1025" width="9.140625" style="152"/>
    <col min="1026" max="16384" width="9.140625" style="81"/>
  </cols>
  <sheetData>
    <row r="1" spans="1:25" ht="20.25" customHeight="1" x14ac:dyDescent="0.25">
      <c r="A1" s="277" t="s">
        <v>164</v>
      </c>
      <c r="B1" s="277"/>
      <c r="C1" s="277"/>
      <c r="D1" s="277"/>
      <c r="E1" s="277"/>
      <c r="F1" s="277"/>
      <c r="G1" s="277"/>
      <c r="H1" s="277"/>
      <c r="I1" s="277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52"/>
      <c r="W4" s="252"/>
      <c r="X4" s="252"/>
      <c r="Y4" s="95"/>
    </row>
    <row r="5" spans="1:25" ht="18" customHeight="1" thickTop="1" thickBot="1" x14ac:dyDescent="0.3">
      <c r="A5" s="94"/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95"/>
      <c r="U5" s="96"/>
      <c r="V5" s="274" t="s">
        <v>168</v>
      </c>
      <c r="W5" s="274"/>
      <c r="X5" s="274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52"/>
      <c r="Y6" s="97"/>
    </row>
    <row r="7" spans="1:25" ht="16.5" customHeight="1" thickTop="1" x14ac:dyDescent="0.25">
      <c r="A7" s="279" t="s">
        <v>171</v>
      </c>
      <c r="B7" s="279"/>
      <c r="C7" s="279"/>
      <c r="D7" s="279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95"/>
      <c r="U7" s="96"/>
      <c r="V7" s="102">
        <f>B6</f>
        <v>1</v>
      </c>
      <c r="W7" s="103">
        <f>B73</f>
        <v>6089.095458927688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3276.0042171788282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2zone Ref 2 (LE)'!K6</f>
        <v>W1</v>
      </c>
      <c r="C12" s="108">
        <f>VLOOKUP(B12,'Tabula 2zone Ref 2 (LE)'!$K$5:$R$83,3,0)</f>
        <v>1</v>
      </c>
      <c r="D12" s="108" t="str">
        <f>VLOOKUP(B12,'Tabula 2zone Ref 2 (LE)'!$K$5:$R$83,4,0)</f>
        <v>Wall External</v>
      </c>
      <c r="E12" s="108">
        <f>VLOOKUP(B12,'Tabula 2zone Ref 2 (LE)'!$K$5:$R$83,5,0)</f>
        <v>69.641550000000009</v>
      </c>
      <c r="F12" s="108" t="str">
        <f>VLOOKUP(B12,'Tabula 2zone Ref 2 (LE)'!$K$5:$R$83,6,0)</f>
        <v>front</v>
      </c>
      <c r="G12" s="108">
        <f>VLOOKUP(B12,'Tabula 2zone Ref 2 (LE)'!$K$5:$R$83,7,0)</f>
        <v>0.18334883383860953</v>
      </c>
      <c r="H12" s="109">
        <f>VLOOKUP(B12,'Tabula 2zone Ref 2 (LE)'!$K$5:$R$83,8,0)</f>
        <v>12.768696979213219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2zone Ref 2 (LE)'!K7</f>
        <v>W2</v>
      </c>
      <c r="C13" s="108">
        <f>VLOOKUP(B13,'Tabula 2zone Ref 2 (LE)'!$K$5:$R$83,3,0)</f>
        <v>1</v>
      </c>
      <c r="D13" s="108" t="str">
        <f>VLOOKUP(B13,'Tabula 2zone Ref 2 (LE)'!$K$5:$R$83,4,0)</f>
        <v>Wall External</v>
      </c>
      <c r="E13" s="108">
        <f>VLOOKUP(B13,'Tabula 2zone Ref 2 (LE)'!$K$5:$R$83,5,0)</f>
        <v>40.288499999999999</v>
      </c>
      <c r="F13" s="108" t="str">
        <f>VLOOKUP(B13,'Tabula 2zone Ref 2 (LE)'!$K$5:$R$83,6,0)</f>
        <v>right</v>
      </c>
      <c r="G13" s="108">
        <f>VLOOKUP(B13,'Tabula 2zone Ref 2 (LE)'!$K$5:$R$83,7,0)</f>
        <v>0.18334883383860953</v>
      </c>
      <c r="H13" s="109">
        <f>VLOOKUP(B13,'Tabula 2zone Ref 2 (LE)'!$K$5:$R$83,8,0)</f>
        <v>7.38684949210682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2zone Ref 2 (LE)'!K8</f>
        <v>W3</v>
      </c>
      <c r="C14" s="108">
        <f>VLOOKUP(B14,'Tabula 2zone Ref 2 (LE)'!$K$5:$R$83,3,0)</f>
        <v>1</v>
      </c>
      <c r="D14" s="108" t="str">
        <f>VLOOKUP(B14,'Tabula 2zone Ref 2 (LE)'!$K$5:$R$83,4,0)</f>
        <v>Wall External</v>
      </c>
      <c r="E14" s="108">
        <f>VLOOKUP(B14,'Tabula 2zone Ref 2 (LE)'!$K$5:$R$83,5,0)</f>
        <v>69.641550000000009</v>
      </c>
      <c r="F14" s="108" t="str">
        <f>VLOOKUP(B14,'Tabula 2zone Ref 2 (LE)'!$K$5:$R$83,6,0)</f>
        <v>back</v>
      </c>
      <c r="G14" s="108">
        <f>VLOOKUP(B14,'Tabula 2zone Ref 2 (LE)'!$K$5:$R$83,7,0)</f>
        <v>0.18334883383860953</v>
      </c>
      <c r="H14" s="109">
        <f>VLOOKUP(B14,'Tabula 2zone Ref 2 (LE)'!$K$5:$R$83,8,0)</f>
        <v>12.768696979213219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2zone Ref 2 (LE)'!K9</f>
        <v>W4</v>
      </c>
      <c r="C15" s="108">
        <f>VLOOKUP(B15,'Tabula 2zone Ref 2 (LE)'!$K$5:$R$83,3,0)</f>
        <v>1</v>
      </c>
      <c r="D15" s="108" t="str">
        <f>VLOOKUP(B15,'Tabula 2zone Ref 2 (LE)'!$K$5:$R$83,4,0)</f>
        <v>Wall External</v>
      </c>
      <c r="E15" s="108">
        <f>VLOOKUP(B15,'Tabula 2zone Ref 2 (LE)'!$K$5:$R$83,5,0)</f>
        <v>40.288499999999999</v>
      </c>
      <c r="F15" s="108" t="str">
        <f>VLOOKUP(B15,'Tabula 2zone Ref 2 (LE)'!$K$5:$R$83,6,0)</f>
        <v>left</v>
      </c>
      <c r="G15" s="108">
        <f>VLOOKUP(B15,'Tabula 2zone Ref 2 (LE)'!$K$5:$R$83,7,0)</f>
        <v>0.18334883383860953</v>
      </c>
      <c r="H15" s="109">
        <f>VLOOKUP(B15,'Tabula 2zone Ref 2 (LE)'!$K$5:$R$83,8,0)</f>
        <v>7.38684949210682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2zone Ref 2 (LE)'!K10</f>
        <v>W5</v>
      </c>
      <c r="C16" s="108">
        <f>VLOOKUP(B16,'Tabula 2zone Ref 2 (LE)'!$K$5:$R$83,3,0)</f>
        <v>1</v>
      </c>
      <c r="D16" s="108" t="str">
        <f>VLOOKUP(B16,'Tabula 2zone Ref 2 (LE)'!$K$5:$R$83,4,0)</f>
        <v>Window</v>
      </c>
      <c r="E16" s="108">
        <f>VLOOKUP(B16,'Tabula 2zone Ref 2 (LE)'!$K$5:$R$83,5,0)</f>
        <v>7.56</v>
      </c>
      <c r="F16" s="108" t="str">
        <f>VLOOKUP(B16,'Tabula 2zone Ref 2 (LE)'!$K$5:$R$83,6,0)</f>
        <v>front</v>
      </c>
      <c r="G16" s="108">
        <f>VLOOKUP(B16,'Tabula 2zone Ref 2 (LE)'!$K$5:$R$83,7,0)</f>
        <v>1.1000000000000001</v>
      </c>
      <c r="H16" s="109">
        <f>VLOOKUP(B16,'Tabula 2zone Ref 2 (LE)'!$K$5:$R$83,8,0)</f>
        <v>8.3160000000000007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2zone Ref 2 (LE)'!K11</f>
        <v>W6</v>
      </c>
      <c r="C17" s="108">
        <f>VLOOKUP(B17,'Tabula 2zone Ref 2 (LE)'!$K$5:$R$83,3,0)</f>
        <v>1</v>
      </c>
      <c r="D17" s="108" t="str">
        <f>VLOOKUP(B17,'Tabula 2zone Ref 2 (LE)'!$K$5:$R$83,4,0)</f>
        <v>Window</v>
      </c>
      <c r="E17" s="108">
        <f>VLOOKUP(B17,'Tabula 2zone Ref 2 (LE)'!$K$5:$R$83,5,0)</f>
        <v>6.51</v>
      </c>
      <c r="F17" s="108" t="str">
        <f>VLOOKUP(B17,'Tabula 2zone Ref 2 (LE)'!$K$5:$R$83,6,0)</f>
        <v>right</v>
      </c>
      <c r="G17" s="108">
        <f>VLOOKUP(B17,'Tabula 2zone Ref 2 (LE)'!$K$5:$R$83,7,0)</f>
        <v>1.1000000000000001</v>
      </c>
      <c r="H17" s="109">
        <f>VLOOKUP(B17,'Tabula 2zone Ref 2 (LE)'!$K$5:$R$83,8,0)</f>
        <v>7.1610000000000005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2zone Ref 2 (LE)'!K12</f>
        <v>W7</v>
      </c>
      <c r="C18" s="108">
        <f>VLOOKUP(B18,'Tabula 2zone Ref 2 (LE)'!$K$5:$R$83,3,0)</f>
        <v>1</v>
      </c>
      <c r="D18" s="108" t="str">
        <f>VLOOKUP(B18,'Tabula 2zone Ref 2 (LE)'!$K$5:$R$83,4,0)</f>
        <v>Window</v>
      </c>
      <c r="E18" s="108">
        <f>VLOOKUP(B18,'Tabula 2zone Ref 2 (LE)'!$K$5:$R$83,5,0)</f>
        <v>8.5399999999999991</v>
      </c>
      <c r="F18" s="108" t="str">
        <f>VLOOKUP(B18,'Tabula 2zone Ref 2 (LE)'!$K$5:$R$83,6,0)</f>
        <v>back</v>
      </c>
      <c r="G18" s="108">
        <f>VLOOKUP(B18,'Tabula 2zone Ref 2 (LE)'!$K$5:$R$83,7,0)</f>
        <v>1.1000000000000001</v>
      </c>
      <c r="H18" s="109">
        <f>VLOOKUP(B18,'Tabula 2zone Ref 2 (LE)'!$K$5:$R$83,8,0)</f>
        <v>9.3940000000000001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9365.0996761065162</v>
      </c>
      <c r="X18" s="252" t="s">
        <v>172</v>
      </c>
      <c r="Y18" s="97"/>
    </row>
    <row r="19" spans="1:25" ht="16.5" customHeight="1" thickTop="1" thickBot="1" x14ac:dyDescent="0.3">
      <c r="A19" s="96"/>
      <c r="B19" s="107" t="str">
        <f>'Tabula 2zone Ref 2 (LE)'!K13</f>
        <v>W8</v>
      </c>
      <c r="C19" s="108">
        <f>VLOOKUP(B19,'Tabula 2zone Ref 2 (LE)'!$K$5:$R$83,3,0)</f>
        <v>1</v>
      </c>
      <c r="D19" s="108" t="str">
        <f>VLOOKUP(B19,'Tabula 2zone Ref 2 (LE)'!$K$5:$R$83,4,0)</f>
        <v>Window</v>
      </c>
      <c r="E19" s="108">
        <f>VLOOKUP(B19,'Tabula 2zone Ref 2 (LE)'!$K$5:$R$83,5,0)</f>
        <v>6.2299999999999995</v>
      </c>
      <c r="F19" s="108" t="str">
        <f>VLOOKUP(B19,'Tabula 2zone Ref 2 (LE)'!$K$5:$R$83,6,0)</f>
        <v>left</v>
      </c>
      <c r="G19" s="108">
        <f>VLOOKUP(B19,'Tabula 2zone Ref 2 (LE)'!$K$5:$R$83,7,0)</f>
        <v>1.1000000000000001</v>
      </c>
      <c r="H19" s="109">
        <f>VLOOKUP(B19,'Tabula 2zone Ref 2 (LE)'!$K$5:$R$83,8,0)</f>
        <v>6.8529999999999998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2zone Ref 2 (LE)'!$K$5:$R$83,3,0)</f>
        <v>1</v>
      </c>
      <c r="D21" s="108" t="str">
        <f>VLOOKUP(B21,'Tabula 2zone Ref 2 (LE)'!$K$5:$R$83,4,0)</f>
        <v>Roof</v>
      </c>
      <c r="E21" s="108">
        <f>VLOOKUP(B21,'Tabula 2zone Ref 2 (LE)'!$K$5:$R$83,5,0)</f>
        <v>0</v>
      </c>
      <c r="F21" s="108">
        <f>VLOOKUP(B21,'Tabula 2zone Ref 2 (LE)'!$K$5:$R$83,6,0)</f>
        <v>0</v>
      </c>
      <c r="G21" s="108">
        <f>VLOOKUP(B21,'Tabula 2zone Ref 2 (LE)'!$K$5:$R$83,7,0)</f>
        <v>0.14117683417924493</v>
      </c>
      <c r="H21" s="109">
        <f>VLOOKUP(B21,'Tabula 2zone Ref 2 (LE)'!$K$5:$R$83,8,0)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6698.0050048204575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2zone Ref 2 (LE)'!$K$5:$R$83,3,0)</f>
        <v>1</v>
      </c>
      <c r="D22" s="108" t="str">
        <f>VLOOKUP(B22,'Tabula 2zone Ref 2 (LE)'!$K$5:$R$83,4,0)</f>
        <v>Door</v>
      </c>
      <c r="E22" s="108">
        <f>VLOOKUP(B22,'Tabula 2zone Ref 2 (LE)'!$K$5:$R$83,5,0)</f>
        <v>9.5</v>
      </c>
      <c r="F22" s="108">
        <f>VLOOKUP(B22,'Tabula 2zone Ref 2 (LE)'!$K$5:$R$83,6,0)</f>
        <v>0</v>
      </c>
      <c r="G22" s="108">
        <f>VLOOKUP(B22,'Tabula 2zone Ref 2 (LE)'!$K$5:$R$83,7,0)</f>
        <v>4</v>
      </c>
      <c r="H22" s="109">
        <f>VLOOKUP(B22,'Tabula 2zone Ref 2 (LE)'!$K$5:$R$83,8,0)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2zone Ref 2 (LE)'!$K$5:$R$83,3,0)</f>
        <v>1</v>
      </c>
      <c r="D28" s="118" t="str">
        <f>VLOOKUP(B28,'Tabula 2zone Ref 2 (LE)'!$K$5:$R$83,4,0)</f>
        <v>Floor</v>
      </c>
      <c r="E28" s="118">
        <f>VLOOKUP(B28,'Tabula 2zone Ref 2 (LE)'!$K$5:$R$83,5,0)</f>
        <v>134.30000000000001</v>
      </c>
      <c r="F28" s="118">
        <f>VLOOKUP(B28,'Tabula 2zone Ref 2 (LE)'!$K$5:$R$83,7,0)</f>
        <v>0.17975604536700196</v>
      </c>
      <c r="G28" s="119">
        <f>VLOOKUP(B28,'Tabula 2zone Ref 2 (LE)'!$K$5:$R$83,8,0)</f>
        <v>24.141236892788367</v>
      </c>
      <c r="H28" s="119">
        <f>N28/F28*1.45/29*9</f>
        <v>0.35335626972674566</v>
      </c>
      <c r="I28" s="118">
        <f>'Tabula 2zone Ref 2 (LE)'!O14</f>
        <v>134.30000000000001</v>
      </c>
      <c r="J28" s="117">
        <f>SQRT(I28)*4</f>
        <v>46.355150738618036</v>
      </c>
      <c r="K28" s="117">
        <f>SUM('Tabula 2zone Ref 2 (LE)'!Z16:Z19)</f>
        <v>0.39500000000000002</v>
      </c>
      <c r="L28" s="120">
        <f>I28/(0.5*J28)</f>
        <v>5.7943938423272545</v>
      </c>
      <c r="M28" s="120">
        <f>K28+2*(1/F28)</f>
        <v>11.521190476190474</v>
      </c>
      <c r="N28" s="121">
        <f>IF(M28&lt;L28,2*2/(PI()*L28+M28)*LN(PI()*L28/M28+1),2/(0.457*L28+M28))</f>
        <v>0.14115094589270105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2">
        <f>1.1*W18</f>
        <v>10301.609643717169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2zone Ref 2 (LE)'!$K$5:$R$83,2,0)=B$6,VLOOKUP(B33,'Tabula 2zone Ref 2 (LE)'!$K$5:$R$83,2,0),VLOOKUP(B33,'Tabula 2zone Ref 2 (LE)'!$K$5:$R$83,3,0))</f>
        <v>1</v>
      </c>
      <c r="D33" s="123">
        <f>IF(VLOOKUP(B33,'Tabula 2zone Ref 2 (LE)'!$K$5:$R$83,2,0)=B$6,VLOOKUP(B33,'Tabula 2zone Ref 2 (LE)'!$K$5:$R$83,3,0),VLOOKUP(B33,'Tabula 2zone Ref 2 (LE)'!$K$5:$R$83,2,0))</f>
        <v>2</v>
      </c>
      <c r="E33" s="123" t="str">
        <f>VLOOKUP(B33,'Tabula 2zone Ref 2 (LE)'!$K$5:$R$83,4,0)</f>
        <v>Floor internal</v>
      </c>
      <c r="F33" s="123">
        <f>VLOOKUP(B33,'Tabula 2zone Ref 2 (LE)'!$K$5:$R$83,5,0)</f>
        <v>144.69999999999999</v>
      </c>
      <c r="G33" s="123">
        <f>VLOOKUP('Verwarming Tabula 2zone Ref2 LE'!C33,'Tabula 2zone Ref 2 (LE)'!$B$34:$G$45,5,0)</f>
        <v>21</v>
      </c>
      <c r="H33" s="123">
        <f>VLOOKUP('Verwarming Tabula 2zone Ref2 LE'!D33,'Tabula 2zone Ref 2 (LE)'!$B$34:$G$45,5,0)</f>
        <v>18</v>
      </c>
      <c r="I33" s="123">
        <f>VLOOKUP(B33,'Tabula 2zone Ref 2 (LE)'!$K$5:$R$83,7,0)</f>
        <v>1.2141280353200883</v>
      </c>
      <c r="J33" s="119">
        <f>VLOOKUP(B33,'Tabula 2zone Ref 2 (LE)'!$K$5:$R$83,8,0)</f>
        <v>175.68432671081675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2zone Ref 2 (LE)'!$K$5:$R$83,2,0)=B$6,VLOOKUP(B34,'Tabula 2zone Ref 2 (LE)'!$K$5:$R$83,2,0),VLOOKUP(B34,'Tabula 2zone Ref 2 (LE)'!$K$5:$R$83,3,0))</f>
        <v>1</v>
      </c>
      <c r="D34" s="123">
        <f>IF(VLOOKUP(B34,'Tabula 2zone Ref 2 (LE)'!$K$5:$R$83,2,0)=B$6,VLOOKUP(B34,'Tabula 2zone Ref 2 (LE)'!$K$5:$R$83,3,0),VLOOKUP(B34,'Tabula 2zone Ref 2 (LE)'!$K$5:$R$83,2,0))</f>
        <v>1</v>
      </c>
      <c r="E34" s="123" t="str">
        <f>VLOOKUP(B34,'Tabula 2zone Ref 2 (LE)'!$K$5:$R$83,4,0)</f>
        <v>Wall internal</v>
      </c>
      <c r="F34" s="123">
        <f>VLOOKUP(B34,'Tabula 2zone Ref 2 (LE)'!$K$5:$R$83,5,0)</f>
        <v>219.86010000000002</v>
      </c>
      <c r="G34" s="123">
        <f>VLOOKUP('Verwarming Tabula 2zone Ref2 LE'!C34,'Tabula 2zone Ref 2 (LE)'!$B$34:$G$45,5,0)</f>
        <v>21</v>
      </c>
      <c r="H34" s="123">
        <f>VLOOKUP('Verwarming Tabula 2zone Ref2 LE'!D34,'Tabula 2zone Ref 2 (LE)'!$B$34:$G$45,5,0)</f>
        <v>21</v>
      </c>
      <c r="I34" s="123">
        <f>VLOOKUP(B34,'Tabula 2zone Ref 2 (LE)'!$K$5:$R$83,7,0)</f>
        <v>1.9926199261992623</v>
      </c>
      <c r="J34" s="119">
        <f>VLOOKUP(B34,'Tabula 2zone Ref 2 (LE)'!$K$5:$R$83,8,0)</f>
        <v>438.09761623616248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136.73979105188789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3965.453940504749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279" t="s">
        <v>197</v>
      </c>
      <c r="B45" s="279"/>
      <c r="C45" s="279"/>
      <c r="D45" s="126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data'!F28</f>
        <v>1.9556135770234988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2zone Ref 2 (LE)'!C34</f>
        <v>36.054014336917568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2zone Ref 2 (LE)'!H34</f>
        <v>134.30000000000001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f>0.4*'Tabula 2zone Ref 2 (LE)'!C34*(1-F55)</f>
        <v>29.497863799283152</v>
      </c>
      <c r="C55" s="119" t="s">
        <v>206</v>
      </c>
      <c r="D55" s="99"/>
      <c r="E55" s="99" t="s">
        <v>209</v>
      </c>
      <c r="F55" s="99">
        <v>0.8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65.551878136200713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0.31587917491254286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22.287638566308242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646.34151842293898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279" t="s">
        <v>213</v>
      </c>
      <c r="B63" s="279"/>
      <c r="C63" s="279"/>
      <c r="D63" s="27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2zone Ref 2 (LE)'!C7</f>
        <v>134.30000000000001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Ref2 LE'!$B$4)</f>
        <v>50.941379310344836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1477.3000000000002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209.96880892854097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6089.095458927688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52"/>
      <c r="C77" s="252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279" t="s">
        <v>171</v>
      </c>
      <c r="B79" s="279"/>
      <c r="C79" s="279"/>
      <c r="D79" s="279"/>
      <c r="E79" s="252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2zone Ref 2 (LE)'!$K$5:$R$83,3,0)</f>
        <v>2</v>
      </c>
      <c r="D84" s="108" t="str">
        <f>VLOOKUP(B84,'Tabula 2zone Ref 2 (LE)'!$K$5:$R$83,4,0)</f>
        <v>Wall External</v>
      </c>
      <c r="E84" s="108">
        <f>VLOOKUP(B84,'Tabula 2zone Ref 2 (LE)'!$K$5:$R$83,5,0)</f>
        <v>0.7034500000000008</v>
      </c>
      <c r="F84" s="108" t="str">
        <f>VLOOKUP(B84,'Tabula 2zone Ref 2 (LE)'!$K$5:$R$83,6,0)</f>
        <v>front</v>
      </c>
      <c r="G84" s="108">
        <f>VLOOKUP(B84,'Tabula 2zone Ref 2 (LE)'!$K$5:$R$83,7,0)</f>
        <v>0.18334883383860953</v>
      </c>
      <c r="H84" s="109">
        <f>VLOOKUP(B84,'Tabula 2zone Ref 2 (LE)'!$K$5:$R$83,8,0)</f>
        <v>0.12897673716377003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2zone Ref 2 (LE)'!$K$5:$R$83,3,0)</f>
        <v>2</v>
      </c>
      <c r="D85" s="108" t="str">
        <f>VLOOKUP(B85,'Tabula 2zone Ref 2 (LE)'!$K$5:$R$83,4,0)</f>
        <v>Wall External</v>
      </c>
      <c r="E85" s="108">
        <f>VLOOKUP(B85,'Tabula 2zone Ref 2 (LE)'!$K$5:$R$83,5,0)</f>
        <v>17.266500000000004</v>
      </c>
      <c r="F85" s="108" t="str">
        <f>VLOOKUP(B85,'Tabula 2zone Ref 2 (LE)'!$K$5:$R$83,6,0)</f>
        <v>right</v>
      </c>
      <c r="G85" s="108">
        <f>VLOOKUP(B85,'Tabula 2zone Ref 2 (LE)'!$K$5:$R$83,7,0)</f>
        <v>0.18334883383860953</v>
      </c>
      <c r="H85" s="109">
        <f>VLOOKUP(B85,'Tabula 2zone Ref 2 (LE)'!$K$5:$R$83,8,0)</f>
        <v>3.1657926394743523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2zone Ref 2 (LE)'!$K$5:$R$83,3,0)</f>
        <v>2</v>
      </c>
      <c r="D86" s="108" t="str">
        <f>VLOOKUP(B86,'Tabula 2zone Ref 2 (LE)'!$K$5:$R$83,4,0)</f>
        <v>Wall External</v>
      </c>
      <c r="E86" s="108">
        <f>VLOOKUP(B86,'Tabula 2zone Ref 2 (LE)'!$K$5:$R$83,5,0)</f>
        <v>0.7034500000000008</v>
      </c>
      <c r="F86" s="108" t="str">
        <f>VLOOKUP(B86,'Tabula 2zone Ref 2 (LE)'!$K$5:$R$83,6,0)</f>
        <v>back</v>
      </c>
      <c r="G86" s="108">
        <f>VLOOKUP(B86,'Tabula 2zone Ref 2 (LE)'!$K$5:$R$83,7,0)</f>
        <v>0.18334883383860953</v>
      </c>
      <c r="H86" s="109">
        <f>VLOOKUP(B86,'Tabula 2zone Ref 2 (LE)'!$K$5:$R$83,8,0)</f>
        <v>0.12897673716377003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2zone Ref 2 (LE)'!$K$5:$R$83,3,0)</f>
        <v>2</v>
      </c>
      <c r="D87" s="108" t="str">
        <f>VLOOKUP(B87,'Tabula 2zone Ref 2 (LE)'!$K$5:$R$83,4,0)</f>
        <v>Wall External</v>
      </c>
      <c r="E87" s="108">
        <f>VLOOKUP(B87,'Tabula 2zone Ref 2 (LE)'!$K$5:$R$83,5,0)</f>
        <v>17.266500000000004</v>
      </c>
      <c r="F87" s="108" t="str">
        <f>VLOOKUP(B87,'Tabula 2zone Ref 2 (LE)'!$K$5:$R$83,6,0)</f>
        <v>left</v>
      </c>
      <c r="G87" s="108">
        <f>VLOOKUP(B87,'Tabula 2zone Ref 2 (LE)'!$K$5:$R$83,7,0)</f>
        <v>0.18334883383860953</v>
      </c>
      <c r="H87" s="109">
        <f>VLOOKUP(B87,'Tabula 2zone Ref 2 (LE)'!$K$5:$R$83,8,0)</f>
        <v>3.1657926394743523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2zone Ref 2 (LE)'!$K$5:$R$83,3,0)</f>
        <v>2</v>
      </c>
      <c r="D88" s="108" t="str">
        <f>VLOOKUP(B88,'Tabula 2zone Ref 2 (LE)'!$K$5:$R$83,4,0)</f>
        <v>Window</v>
      </c>
      <c r="E88" s="108">
        <f>VLOOKUP(B88,'Tabula 2zone Ref 2 (LE)'!$K$5:$R$83,5,0)</f>
        <v>3.2400000000000007</v>
      </c>
      <c r="F88" s="108" t="str">
        <f>VLOOKUP(B88,'Tabula 2zone Ref 2 (LE)'!$K$5:$R$83,6,0)</f>
        <v>front</v>
      </c>
      <c r="G88" s="108">
        <f>VLOOKUP(B88,'Tabula 2zone Ref 2 (LE)'!$K$5:$R$83,7,0)</f>
        <v>1.1000000000000001</v>
      </c>
      <c r="H88" s="109">
        <f>VLOOKUP(B88,'Tabula 2zone Ref 2 (LE)'!$K$5:$R$83,8,0)</f>
        <v>3.5640000000000009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2zone Ref 2 (LE)'!$K$5:$R$83,3,0)</f>
        <v>2</v>
      </c>
      <c r="D89" s="108" t="str">
        <f>VLOOKUP(B89,'Tabula 2zone Ref 2 (LE)'!$K$5:$R$83,4,0)</f>
        <v>Window</v>
      </c>
      <c r="E89" s="108">
        <f>VLOOKUP(B89,'Tabula 2zone Ref 2 (LE)'!$K$5:$R$83,5,0)</f>
        <v>2.7900000000000005</v>
      </c>
      <c r="F89" s="108" t="str">
        <f>VLOOKUP(B89,'Tabula 2zone Ref 2 (LE)'!$K$5:$R$83,6,0)</f>
        <v>right</v>
      </c>
      <c r="G89" s="108">
        <f>VLOOKUP(B89,'Tabula 2zone Ref 2 (LE)'!$K$5:$R$83,7,0)</f>
        <v>1.1000000000000001</v>
      </c>
      <c r="H89" s="109">
        <f>VLOOKUP(B89,'Tabula 2zone Ref 2 (LE)'!$K$5:$R$83,8,0)</f>
        <v>3.0690000000000008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2zone Ref 2 (LE)'!$K$5:$R$83,3,0)</f>
        <v>2</v>
      </c>
      <c r="D90" s="108" t="str">
        <f>VLOOKUP(B90,'Tabula 2zone Ref 2 (LE)'!$K$5:$R$83,4,0)</f>
        <v>Window</v>
      </c>
      <c r="E90" s="108">
        <f>VLOOKUP(B90,'Tabula 2zone Ref 2 (LE)'!$K$5:$R$83,5,0)</f>
        <v>3.66</v>
      </c>
      <c r="F90" s="108" t="str">
        <f>VLOOKUP(B90,'Tabula 2zone Ref 2 (LE)'!$K$5:$R$83,6,0)</f>
        <v>back</v>
      </c>
      <c r="G90" s="108">
        <f>VLOOKUP(B90,'Tabula 2zone Ref 2 (LE)'!$K$5:$R$83,7,0)</f>
        <v>1.1000000000000001</v>
      </c>
      <c r="H90" s="109">
        <f>VLOOKUP(B90,'Tabula 2zone Ref 2 (LE)'!$K$5:$R$83,8,0)</f>
        <v>4.0260000000000007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2zone Ref 2 (LE)'!$K$5:$R$83,3,0)</f>
        <v>2</v>
      </c>
      <c r="D91" s="108" t="str">
        <f>VLOOKUP(B91,'Tabula 2zone Ref 2 (LE)'!$K$5:$R$83,4,0)</f>
        <v>Window</v>
      </c>
      <c r="E91" s="108">
        <f>VLOOKUP(B91,'Tabula 2zone Ref 2 (LE)'!$K$5:$R$83,5,0)</f>
        <v>2.6700000000000004</v>
      </c>
      <c r="F91" s="108" t="str">
        <f>VLOOKUP(B91,'Tabula 2zone Ref 2 (LE)'!$K$5:$R$83,6,0)</f>
        <v>left</v>
      </c>
      <c r="G91" s="108">
        <f>VLOOKUP(B91,'Tabula 2zone Ref 2 (LE)'!$K$5:$R$83,7,0)</f>
        <v>1.1000000000000001</v>
      </c>
      <c r="H91" s="109">
        <f>VLOOKUP(B91,'Tabula 2zone Ref 2 (LE)'!$K$5:$R$83,8,0)</f>
        <v>2.9370000000000007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2zone Ref 2 (LE)'!$K$5:$R$83,3,0)</f>
        <v>2</v>
      </c>
      <c r="D92" s="108" t="str">
        <f>VLOOKUP(B92,'Tabula 2zone Ref 2 (LE)'!$K$5:$R$83,4,0)</f>
        <v>Roof</v>
      </c>
      <c r="E92" s="108">
        <f>VLOOKUP(B92,'Tabula 2zone Ref 2 (LE)'!$K$5:$R$83,5,0)</f>
        <v>158.4</v>
      </c>
      <c r="F92" s="108" t="str">
        <f>VLOOKUP(B92,'Tabula 2zone Ref 2 (LE)'!$K$5:$R$83,6,0)</f>
        <v>front/back</v>
      </c>
      <c r="G92" s="108">
        <f>VLOOKUP(B92,'Tabula 2zone Ref 2 (LE)'!$K$5:$R$83,7,0)</f>
        <v>0.14117683417924493</v>
      </c>
      <c r="H92" s="109">
        <f>VLOOKUP(B92,'Tabula 2zone Ref 2 (LE)'!$K$5:$R$83,8,0)</f>
        <v>22.362410533992396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2zone Ref 2 (LE)'!$K$5:$R$83,2,0)=$B$78,VLOOKUP(B108,'Tabula 2zone Ref 2 (LE)'!$K$5:$R$83,2,0),VLOOKUP(B108,'Tabula 2zone Ref 2 (LE)'!$K$5:$R$83,3,0))</f>
        <v>2</v>
      </c>
      <c r="D108" s="123">
        <f>IF(VLOOKUP(B108,'Tabula 2zone Ref 2 (LE)'!$K$5:$R$83,2,0)=$B$78,VLOOKUP(B108,'Tabula 2zone Ref 2 (LE)'!$K$5:$R$83,3,0),VLOOKUP(B108,'Tabula 2zone Ref 2 (LE)'!$K$5:$R$83,2,0))</f>
        <v>1</v>
      </c>
      <c r="E108" s="123" t="str">
        <f>VLOOKUP(B108,'Tabula 2zone Ref 2 (LE)'!$K$5:$R$83,4,0)</f>
        <v>Floor internal</v>
      </c>
      <c r="F108" s="123">
        <f>VLOOKUP(B108,'Tabula 2zone Ref 2 (LE)'!$K$5:$R$83,5,0)</f>
        <v>144.69999999999999</v>
      </c>
      <c r="G108" s="123">
        <f>VLOOKUP('Verwarming Tabula 2zone Ref2 LE'!C108,'Tabula 2zone Ref 2 (LE)'!$B$34:$G$45,5,0)</f>
        <v>18</v>
      </c>
      <c r="H108" s="123">
        <f>VLOOKUP('Verwarming Tabula 2zone Ref2 LE'!D108,'Tabula 2zone Ref 2 (LE)'!$B$34:$G$45,5,0)</f>
        <v>21</v>
      </c>
      <c r="I108" s="123">
        <f>VLOOKUP(B108,'Tabula 2zone Ref 2 (LE)'!$K$5:$R$83,7,0)</f>
        <v>1.2141280353200883</v>
      </c>
      <c r="J108" s="119">
        <f>VLOOKUP(B108,'Tabula 2zone Ref 2 (LE)'!$K$5:$R$83,8,0)</f>
        <v>175.68432671081675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2zone Ref 2 (LE)'!$K$5:$R$83,2,0)=$B$78,VLOOKUP(B109,'Tabula 2zone Ref 2 (LE)'!$K$5:$R$83,2,0),VLOOKUP(B109,'Tabula 2zone Ref 2 (LE)'!$K$5:$R$83,3,0))</f>
        <v>2</v>
      </c>
      <c r="D109" s="123">
        <f>IF(VLOOKUP(B109,'Tabula 2zone Ref 2 (LE)'!$K$5:$R$83,2,0)=$B$78,VLOOKUP(B109,'Tabula 2zone Ref 2 (LE)'!$K$5:$R$83,3,0),VLOOKUP(B109,'Tabula 2zone Ref 2 (LE)'!$K$5:$R$83,2,0))</f>
        <v>2</v>
      </c>
      <c r="E109" s="123" t="str">
        <f>VLOOKUP(B109,'Tabula 2zone Ref 2 (LE)'!$K$5:$R$83,4,0)</f>
        <v>Wall internal</v>
      </c>
      <c r="F109" s="123">
        <f>VLOOKUP(B109,'Tabula 2zone Ref 2 (LE)'!$K$5:$R$83,5,0)</f>
        <v>35.939900000000009</v>
      </c>
      <c r="G109" s="123">
        <f>VLOOKUP('Verwarming Tabula 2zone Ref2 LE'!C109,'Tabula 2zone Ref 2 (LE)'!$B$34:$G$45,5,0)</f>
        <v>18</v>
      </c>
      <c r="H109" s="123">
        <f>VLOOKUP('Verwarming Tabula 2zone Ref2 LE'!D109,'Tabula 2zone Ref 2 (LE)'!$B$34:$G$45,5,0)</f>
        <v>18</v>
      </c>
      <c r="I109" s="123">
        <f>VLOOKUP(B109,'Tabula 2zone Ref 2 (LE)'!$K$5:$R$83,7,0)</f>
        <v>1.9926199261992623</v>
      </c>
      <c r="J109" s="119">
        <f>VLOOKUP(B109,'Tabula 2zone Ref 2 (LE)'!$K$5:$R$83,8,0)</f>
        <v>71.614560885608881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22.276680820635942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579.19370133653445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279" t="s">
        <v>197</v>
      </c>
      <c r="B124" s="279"/>
      <c r="C124" s="279"/>
      <c r="D124" s="126" t="s">
        <v>225</v>
      </c>
      <c r="E124" s="252"/>
      <c r="F124" s="252"/>
      <c r="G124" s="252"/>
      <c r="H124" s="252"/>
      <c r="I124" s="252"/>
      <c r="J124" s="252"/>
      <c r="K124" s="252"/>
      <c r="L124" s="252"/>
      <c r="M124" s="252"/>
      <c r="N124" s="252"/>
      <c r="O124" s="252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B48</f>
        <v>1.9556135770234988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2zone Ref 2 (LE)'!$B$34:$G$45,2,0)*B127*B128*B129</f>
        <v>46.615182795698928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2zone Ref 2 (LE)'!H35</f>
        <v>144.69999999999999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f>0.4*'Tabula 2zone Ref 2 (LE)'!C35*(1-F55)</f>
        <v>31.782136200716842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78.397318996415777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0.49155622364325696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0.34*(B137+B130)</f>
        <v>42.504250609319001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1105.110515842294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279" t="s">
        <v>213</v>
      </c>
      <c r="B142" s="279"/>
      <c r="C142" s="279"/>
      <c r="D142" s="27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144.69999999999999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Ref2 LE'!$B$4)</f>
        <v>198.96249999999998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1591.6999999999998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263.74343142995491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3276.0042171788282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52"/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252"/>
      <c r="O157" s="252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279" t="s">
        <v>171</v>
      </c>
      <c r="B159" s="279"/>
      <c r="C159" s="279"/>
      <c r="D159" s="279"/>
      <c r="E159" s="252"/>
      <c r="F159" s="252"/>
      <c r="G159" s="252"/>
      <c r="H159" s="252"/>
      <c r="I159" s="252"/>
      <c r="J159" s="252"/>
      <c r="K159" s="252"/>
      <c r="L159" s="252"/>
      <c r="M159" s="252"/>
      <c r="N159" s="252"/>
      <c r="O159" s="252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Ref2 LE'!C188,'Gebouwgegevens Allacker'!$A$35:$F$46,5,0)</f>
        <v>#N/A</v>
      </c>
      <c r="H188" s="123" t="e">
        <f>VLOOKUP('Verwarming Tabula 2zone Ref2 LE'!D188,'Gebouwgegevens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Ref2 LE'!C189,'Gebouwgegevens Allacker'!$A$35:$F$46,5,0)</f>
        <v>#N/A</v>
      </c>
      <c r="H189" s="123" t="e">
        <f>VLOOKUP('Verwarming Tabula 2zone Ref2 LE'!D189,'Gebouwgegevens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Ref2 LE'!C190,'Gebouwgegevens Allacker'!$A$35:$F$46,5,0)</f>
        <v>#N/A</v>
      </c>
      <c r="H190" s="123" t="e">
        <f>VLOOKUP('Verwarming Tabula 2zone Ref2 LE'!D190,'Gebouwgegevens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279" t="s">
        <v>197</v>
      </c>
      <c r="B204" s="279"/>
      <c r="C204" s="279"/>
      <c r="D204" s="126" t="s">
        <v>225</v>
      </c>
      <c r="E204" s="252"/>
      <c r="F204" s="252"/>
      <c r="G204" s="252"/>
      <c r="H204" s="252"/>
      <c r="I204" s="252"/>
      <c r="J204" s="252"/>
      <c r="K204" s="252"/>
      <c r="L204" s="252"/>
      <c r="M204" s="252"/>
      <c r="N204" s="252"/>
      <c r="O204" s="252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279" t="s">
        <v>213</v>
      </c>
      <c r="B222" s="279"/>
      <c r="C222" s="279"/>
      <c r="D222" s="27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2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Ref2 LE'!$B$4)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52"/>
      <c r="C236" s="252"/>
      <c r="D236" s="252"/>
      <c r="E236" s="252"/>
      <c r="F236" s="252"/>
      <c r="G236" s="252"/>
      <c r="H236" s="252"/>
      <c r="I236" s="252"/>
      <c r="J236" s="252"/>
      <c r="K236" s="252"/>
      <c r="L236" s="252"/>
      <c r="M236" s="252"/>
      <c r="N236" s="252"/>
      <c r="O236" s="252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279" t="s">
        <v>171</v>
      </c>
      <c r="B238" s="279"/>
      <c r="C238" s="279"/>
      <c r="D238" s="279"/>
      <c r="E238" s="252"/>
      <c r="F238" s="252"/>
      <c r="G238" s="252"/>
      <c r="H238" s="252"/>
      <c r="I238" s="252"/>
      <c r="J238" s="252"/>
      <c r="K238" s="252"/>
      <c r="L238" s="252"/>
      <c r="M238" s="252"/>
      <c r="N238" s="252"/>
      <c r="O238" s="252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Ref2 LE'!C267,'Gebouwgegevens Allacker'!$A$35:$F$46,5,0)</f>
        <v>#N/A</v>
      </c>
      <c r="H267" s="123" t="e">
        <f>VLOOKUP('Verwarming Tabula 2zone Ref2 LE'!D267,'Gebouwgegevens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Ref2 LE'!C268,'Gebouwgegevens Allacker'!$A$35:$F$46,5,0)</f>
        <v>#N/A</v>
      </c>
      <c r="H268" s="123" t="e">
        <f>VLOOKUP('Verwarming Tabula 2zone Ref2 LE'!D268,'Gebouwgegevens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Ref2 LE'!C269,'Gebouwgegevens Allacker'!$A$35:$F$46,5,0)</f>
        <v>#N/A</v>
      </c>
      <c r="H269" s="123" t="e">
        <f>VLOOKUP('Verwarming Tabula 2zone Ref2 LE'!D269,'Gebouwgegevens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Ref2 LE'!C270,'Gebouwgegevens Allacker'!$A$35:$F$46,5,0)</f>
        <v>#N/A</v>
      </c>
      <c r="H270" s="123" t="e">
        <f>VLOOKUP('Verwarming Tabula 2zone Ref2 LE'!D270,'Gebouwgegevens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279" t="s">
        <v>197</v>
      </c>
      <c r="B283" s="279"/>
      <c r="C283" s="279"/>
      <c r="D283" s="126" t="s">
        <v>225</v>
      </c>
      <c r="E283" s="252"/>
      <c r="F283" s="252"/>
      <c r="G283" s="252"/>
      <c r="H283" s="252"/>
      <c r="I283" s="252"/>
      <c r="J283" s="252"/>
      <c r="K283" s="252"/>
      <c r="L283" s="252"/>
      <c r="M283" s="252"/>
      <c r="N283" s="252"/>
      <c r="O283" s="252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279" t="s">
        <v>213</v>
      </c>
      <c r="B301" s="279"/>
      <c r="C301" s="279"/>
      <c r="D301" s="27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2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Ref2 LE'!$B$4)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52"/>
      <c r="C315" s="252"/>
      <c r="D315" s="252"/>
      <c r="E315" s="252"/>
      <c r="F315" s="252"/>
      <c r="G315" s="252"/>
      <c r="H315" s="252"/>
      <c r="I315" s="252"/>
      <c r="J315" s="252"/>
      <c r="K315" s="252"/>
      <c r="L315" s="252"/>
      <c r="M315" s="252"/>
      <c r="N315" s="252"/>
      <c r="O315" s="252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279" t="s">
        <v>171</v>
      </c>
      <c r="B317" s="279"/>
      <c r="C317" s="279"/>
      <c r="D317" s="279"/>
      <c r="E317" s="252"/>
      <c r="F317" s="252"/>
      <c r="G317" s="252"/>
      <c r="H317" s="252"/>
      <c r="I317" s="252"/>
      <c r="J317" s="252"/>
      <c r="K317" s="252"/>
      <c r="L317" s="252"/>
      <c r="M317" s="252"/>
      <c r="N317" s="252"/>
      <c r="O317" s="252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Ref2 LE'!C346,'Gebouwgegevens Allacker'!$A$35:$F$46,5,0)</f>
        <v>#N/A</v>
      </c>
      <c r="H346" s="123" t="e">
        <f>VLOOKUP('Verwarming Tabula 2zone Ref2 LE'!D346,'Gebouwgegevens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Ref2 LE'!C347,'Gebouwgegevens Allacker'!$A$35:$F$46,5,0)</f>
        <v>#N/A</v>
      </c>
      <c r="H347" s="123" t="e">
        <f>VLOOKUP('Verwarming Tabula 2zone Ref2 LE'!D347,'Gebouwgegevens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Ref2 LE'!C348,'Gebouwgegevens Allacker'!$A$35:$F$46,5,0)</f>
        <v>#N/A</v>
      </c>
      <c r="H348" s="123" t="e">
        <f>VLOOKUP('Verwarming Tabula 2zone Ref2 LE'!D348,'Gebouwgegevens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Ref2 LE'!C349,'Gebouwgegevens Allacker'!$A$35:$F$46,5,0)</f>
        <v>#N/A</v>
      </c>
      <c r="H349" s="123" t="e">
        <f>VLOOKUP('Verwarming Tabula 2zone Ref2 LE'!D349,'Gebouwgegevens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Ref2 LE'!C350,'Gebouwgegevens Allacker'!$A$35:$F$46,5,0)</f>
        <v>#N/A</v>
      </c>
      <c r="H350" s="123" t="e">
        <f>VLOOKUP('Verwarming Tabula 2zone Ref2 LE'!D350,'Gebouwgegevens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279" t="s">
        <v>197</v>
      </c>
      <c r="B362" s="279"/>
      <c r="C362" s="279"/>
      <c r="D362" s="126" t="s">
        <v>225</v>
      </c>
      <c r="E362" s="252"/>
      <c r="F362" s="252"/>
      <c r="G362" s="252"/>
      <c r="H362" s="252"/>
      <c r="I362" s="252"/>
      <c r="J362" s="252"/>
      <c r="K362" s="252"/>
      <c r="L362" s="252"/>
      <c r="M362" s="252"/>
      <c r="N362" s="252"/>
      <c r="O362" s="252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279" t="s">
        <v>213</v>
      </c>
      <c r="B380" s="279"/>
      <c r="C380" s="279"/>
      <c r="D380" s="27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2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Ref2 LE'!$B$4)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52"/>
      <c r="C393" s="252"/>
      <c r="D393" s="252"/>
      <c r="E393" s="252"/>
      <c r="F393" s="252"/>
      <c r="G393" s="252"/>
      <c r="H393" s="252"/>
      <c r="I393" s="252"/>
      <c r="J393" s="252"/>
      <c r="K393" s="252"/>
      <c r="L393" s="252"/>
      <c r="M393" s="252"/>
      <c r="N393" s="252"/>
      <c r="O393" s="252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279" t="s">
        <v>171</v>
      </c>
      <c r="B395" s="279"/>
      <c r="C395" s="279"/>
      <c r="D395" s="279"/>
      <c r="E395" s="252"/>
      <c r="F395" s="252"/>
      <c r="G395" s="252"/>
      <c r="H395" s="252"/>
      <c r="I395" s="252"/>
      <c r="J395" s="252"/>
      <c r="K395" s="252"/>
      <c r="L395" s="252"/>
      <c r="M395" s="252"/>
      <c r="N395" s="252"/>
      <c r="O395" s="252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Ref2 LE'!C424,'Gebouwgegevens Allacker'!$A$35:$F$46,5,0)</f>
        <v>#N/A</v>
      </c>
      <c r="H424" s="123" t="e">
        <f>VLOOKUP('Verwarming Tabula 2zone Ref2 LE'!D424,'Gebouwgegevens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Ref2 LE'!C425,'Gebouwgegevens Allacker'!$A$35:$F$46,5,0)</f>
        <v>#N/A</v>
      </c>
      <c r="H425" s="123" t="e">
        <f>VLOOKUP('Verwarming Tabula 2zone Ref2 LE'!D425,'Gebouwgegevens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Ref2 LE'!C426,'Gebouwgegevens Allacker'!$A$35:$F$46,5,0)</f>
        <v>#N/A</v>
      </c>
      <c r="H426" s="123" t="e">
        <f>VLOOKUP('Verwarming Tabula 2zone Ref2 LE'!D426,'Gebouwgegevens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Ref2 LE'!C427,'Gebouwgegevens Allacker'!$A$35:$F$46,5,0)</f>
        <v>#N/A</v>
      </c>
      <c r="H427" s="123" t="e">
        <f>VLOOKUP('Verwarming Tabula 2zone Ref2 LE'!D427,'Gebouwgegevens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Ref2 LE'!C428,'Gebouwgegevens Allacker'!$A$35:$F$46,5,0)</f>
        <v>#N/A</v>
      </c>
      <c r="H428" s="123" t="e">
        <f>VLOOKUP('Verwarming Tabula 2zone Ref2 LE'!D428,'Gebouwgegevens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279" t="s">
        <v>197</v>
      </c>
      <c r="B440" s="279"/>
      <c r="C440" s="279"/>
      <c r="D440" s="126" t="s">
        <v>225</v>
      </c>
      <c r="E440" s="252"/>
      <c r="F440" s="252"/>
      <c r="G440" s="252"/>
      <c r="H440" s="252"/>
      <c r="I440" s="252"/>
      <c r="J440" s="252"/>
      <c r="K440" s="252"/>
      <c r="L440" s="252"/>
      <c r="M440" s="252"/>
      <c r="N440" s="252"/>
      <c r="O440" s="252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279" t="s">
        <v>213</v>
      </c>
      <c r="B458" s="279"/>
      <c r="C458" s="279"/>
      <c r="D458" s="27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2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Ref2 LE'!$B$4)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52"/>
      <c r="C471" s="252"/>
      <c r="D471" s="252"/>
      <c r="E471" s="252"/>
      <c r="F471" s="252"/>
      <c r="G471" s="252"/>
      <c r="H471" s="252"/>
      <c r="I471" s="252"/>
      <c r="J471" s="252"/>
      <c r="K471" s="252"/>
      <c r="L471" s="252"/>
      <c r="M471" s="252"/>
      <c r="N471" s="252"/>
      <c r="O471" s="252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279" t="s">
        <v>171</v>
      </c>
      <c r="B473" s="279"/>
      <c r="C473" s="279"/>
      <c r="D473" s="279"/>
      <c r="E473" s="252"/>
      <c r="F473" s="252"/>
      <c r="G473" s="252"/>
      <c r="H473" s="252"/>
      <c r="I473" s="252"/>
      <c r="J473" s="252"/>
      <c r="K473" s="252"/>
      <c r="L473" s="252"/>
      <c r="M473" s="252"/>
      <c r="N473" s="252"/>
      <c r="O473" s="252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Ref2 LE'!C502,'Gebouwgegevens Allacker'!$A$35:$F$46,5,0)</f>
        <v>#N/A</v>
      </c>
      <c r="H502" s="123" t="e">
        <f>VLOOKUP('Verwarming Tabula 2zone Ref2 LE'!D502,'Gebouwgegevens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Ref2 LE'!C503,'Gebouwgegevens Allacker'!$A$35:$F$46,5,0)</f>
        <v>#N/A</v>
      </c>
      <c r="H503" s="123" t="e">
        <f>VLOOKUP('Verwarming Tabula 2zone Ref2 LE'!D503,'Gebouwgegevens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Ref2 LE'!C504,'Gebouwgegevens Allacker'!$A$35:$F$46,5,0)</f>
        <v>#N/A</v>
      </c>
      <c r="H504" s="123" t="e">
        <f>VLOOKUP('Verwarming Tabula 2zone Ref2 LE'!D504,'Gebouwgegevens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279" t="s">
        <v>197</v>
      </c>
      <c r="B518" s="279"/>
      <c r="C518" s="279"/>
      <c r="D518" s="126" t="s">
        <v>225</v>
      </c>
      <c r="E518" s="252"/>
      <c r="F518" s="252"/>
      <c r="G518" s="252"/>
      <c r="H518" s="252"/>
      <c r="I518" s="252"/>
      <c r="J518" s="252"/>
      <c r="K518" s="252"/>
      <c r="L518" s="252"/>
      <c r="M518" s="252"/>
      <c r="N518" s="252"/>
      <c r="O518" s="252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279" t="s">
        <v>213</v>
      </c>
      <c r="B536" s="279"/>
      <c r="C536" s="279"/>
      <c r="D536" s="27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Ref2 LE'!$B$4)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52"/>
      <c r="C550" s="252"/>
      <c r="D550" s="252"/>
      <c r="E550" s="252"/>
      <c r="F550" s="252"/>
      <c r="G550" s="252"/>
      <c r="H550" s="252"/>
      <c r="I550" s="252"/>
      <c r="J550" s="252"/>
      <c r="K550" s="252"/>
      <c r="L550" s="252"/>
      <c r="M550" s="252"/>
      <c r="N550" s="252"/>
      <c r="O550" s="252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279" t="s">
        <v>171</v>
      </c>
      <c r="B552" s="279"/>
      <c r="C552" s="279"/>
      <c r="D552" s="279"/>
      <c r="E552" s="252"/>
      <c r="F552" s="252"/>
      <c r="G552" s="252"/>
      <c r="H552" s="252"/>
      <c r="I552" s="252"/>
      <c r="J552" s="252"/>
      <c r="K552" s="252"/>
      <c r="L552" s="252"/>
      <c r="M552" s="252"/>
      <c r="N552" s="252"/>
      <c r="O552" s="252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Ref2 LE'!C581,'Gebouwgegevens Allacker'!$A$35:$F$46,5,0)</f>
        <v>#N/A</v>
      </c>
      <c r="H581" s="123" t="e">
        <f>VLOOKUP('Verwarming Tabula 2zone Ref2 LE'!D581,'Gebouwgegevens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Ref2 LE'!C582,'Gebouwgegevens Allacker'!$A$35:$F$46,5,0)</f>
        <v>#N/A</v>
      </c>
      <c r="H582" s="123" t="e">
        <f>VLOOKUP('Verwarming Tabula 2zone Ref2 LE'!D582,'Gebouwgegevens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Ref2 LE'!C583,'Gebouwgegevens Allacker'!$A$35:$F$46,5,0)</f>
        <v>#N/A</v>
      </c>
      <c r="H583" s="123" t="e">
        <f>VLOOKUP('Verwarming Tabula 2zone Ref2 LE'!D583,'Gebouwgegevens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279" t="s">
        <v>197</v>
      </c>
      <c r="B597" s="279"/>
      <c r="C597" s="279"/>
      <c r="D597" s="126" t="s">
        <v>225</v>
      </c>
      <c r="E597" s="252"/>
      <c r="F597" s="252"/>
      <c r="G597" s="252"/>
      <c r="H597" s="252"/>
      <c r="I597" s="252"/>
      <c r="J597" s="252"/>
      <c r="K597" s="252"/>
      <c r="L597" s="252"/>
      <c r="M597" s="252"/>
      <c r="N597" s="252"/>
      <c r="O597" s="252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279" t="s">
        <v>213</v>
      </c>
      <c r="B615" s="279"/>
      <c r="C615" s="279"/>
      <c r="D615" s="27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2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Ref2 LE'!$B$4)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52"/>
      <c r="C629" s="252"/>
      <c r="D629" s="252"/>
      <c r="E629" s="252"/>
      <c r="F629" s="252"/>
      <c r="G629" s="252"/>
      <c r="H629" s="252"/>
      <c r="I629" s="252"/>
      <c r="J629" s="252"/>
      <c r="K629" s="252"/>
      <c r="L629" s="252"/>
      <c r="M629" s="252"/>
      <c r="N629" s="252"/>
      <c r="O629" s="252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279" t="s">
        <v>171</v>
      </c>
      <c r="B631" s="279"/>
      <c r="C631" s="279"/>
      <c r="D631" s="279"/>
      <c r="E631" s="252"/>
      <c r="F631" s="252"/>
      <c r="G631" s="252"/>
      <c r="H631" s="252"/>
      <c r="I631" s="252"/>
      <c r="J631" s="252"/>
      <c r="K631" s="252"/>
      <c r="L631" s="252"/>
      <c r="M631" s="252"/>
      <c r="N631" s="252"/>
      <c r="O631" s="252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Ref2 LE'!C660,'Gebouwgegevens Allacker'!$A$35:$F$46,5,0)</f>
        <v>#N/A</v>
      </c>
      <c r="H660" s="123" t="e">
        <f>VLOOKUP('Verwarming Tabula 2zone Ref2 LE'!D660,'Gebouwgegevens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Ref2 LE'!C661,'Gebouwgegevens Allacker'!$A$35:$F$46,5,0)</f>
        <v>#N/A</v>
      </c>
      <c r="H661" s="123" t="e">
        <f>VLOOKUP('Verwarming Tabula 2zone Ref2 LE'!D661,'Gebouwgegevens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279" t="s">
        <v>197</v>
      </c>
      <c r="B676" s="279"/>
      <c r="C676" s="279"/>
      <c r="D676" s="126" t="s">
        <v>225</v>
      </c>
      <c r="E676" s="252"/>
      <c r="F676" s="252"/>
      <c r="G676" s="252"/>
      <c r="H676" s="252"/>
      <c r="I676" s="252"/>
      <c r="J676" s="252"/>
      <c r="K676" s="252"/>
      <c r="L676" s="252"/>
      <c r="M676" s="252"/>
      <c r="N676" s="252"/>
      <c r="O676" s="252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279" t="s">
        <v>213</v>
      </c>
      <c r="B694" s="279"/>
      <c r="C694" s="279"/>
      <c r="D694" s="27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2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Ref2 LE'!$B$4)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52"/>
      <c r="C708" s="252"/>
      <c r="D708" s="252"/>
      <c r="E708" s="252"/>
      <c r="F708" s="252"/>
      <c r="G708" s="252"/>
      <c r="H708" s="252"/>
      <c r="I708" s="252"/>
      <c r="J708" s="252"/>
      <c r="K708" s="252"/>
      <c r="L708" s="252"/>
      <c r="M708" s="252"/>
      <c r="N708" s="252"/>
      <c r="O708" s="252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279" t="s">
        <v>171</v>
      </c>
      <c r="B710" s="279"/>
      <c r="C710" s="279"/>
      <c r="D710" s="279"/>
      <c r="E710" s="252"/>
      <c r="F710" s="252"/>
      <c r="G710" s="252"/>
      <c r="H710" s="252"/>
      <c r="I710" s="252"/>
      <c r="J710" s="252"/>
      <c r="K710" s="252"/>
      <c r="L710" s="252"/>
      <c r="M710" s="252"/>
      <c r="N710" s="252"/>
      <c r="O710" s="252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Ref2 LE'!C739,'Gebouwgegevens Allacker'!$A$35:$F$46,5,0)</f>
        <v>#N/A</v>
      </c>
      <c r="H739" s="123" t="e">
        <f>VLOOKUP('Verwarming Tabula 2zone Ref2 LE'!D739,'Gebouwgegevens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Ref2 LE'!C740,'Gebouwgegevens Allacker'!$A$35:$F$46,5,0)</f>
        <v>#N/A</v>
      </c>
      <c r="H740" s="123" t="e">
        <f>VLOOKUP('Verwarming Tabula 2zone Ref2 LE'!D740,'Gebouwgegevens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Ref2 LE'!C741,'Gebouwgegevens Allacker'!$A$35:$F$46,5,0)</f>
        <v>#N/A</v>
      </c>
      <c r="H741" s="123" t="e">
        <f>VLOOKUP('Verwarming Tabula 2zone Ref2 LE'!D741,'Gebouwgegevens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Ref2 LE'!C742,'Gebouwgegevens Allacker'!$A$35:$F$46,5,0)</f>
        <v>#N/A</v>
      </c>
      <c r="H742" s="123" t="e">
        <f>VLOOKUP('Verwarming Tabula 2zone Ref2 LE'!D742,'Gebouwgegevens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Ref2 LE'!C743,'Gebouwgegevens Allacker'!$A$35:$F$46,5,0)</f>
        <v>#N/A</v>
      </c>
      <c r="H743" s="123" t="e">
        <f>VLOOKUP('Verwarming Tabula 2zone Ref2 LE'!D743,'Gebouwgegevens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Ref2 LE'!C744,'Gebouwgegevens Allacker'!$A$35:$F$46,5,0)</f>
        <v>#N/A</v>
      </c>
      <c r="H744" s="123" t="e">
        <f>VLOOKUP('Verwarming Tabula 2zone Ref2 LE'!D744,'Gebouwgegevens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Ref2 LE'!C745,'Gebouwgegevens Allacker'!$A$35:$F$46,5,0)</f>
        <v>#N/A</v>
      </c>
      <c r="H745" s="123" t="e">
        <f>VLOOKUP('Verwarming Tabula 2zone Ref2 LE'!D745,'Gebouwgegevens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Ref2 LE'!C746,'Gebouwgegevens Allacker'!$A$35:$F$46,5,0)</f>
        <v>#N/A</v>
      </c>
      <c r="H746" s="123" t="e">
        <f>VLOOKUP('Verwarming Tabula 2zone Ref2 LE'!D746,'Gebouwgegevens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Ref2 LE'!C747,'Gebouwgegevens Allacker'!$A$35:$F$46,5,0)</f>
        <v>#N/A</v>
      </c>
      <c r="H747" s="123" t="e">
        <f>VLOOKUP('Verwarming Tabula 2zone Ref2 LE'!D747,'Gebouwgegevens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Ref2 LE'!C748,'Gebouwgegevens Allacker'!$A$35:$F$46,5,0)</f>
        <v>#N/A</v>
      </c>
      <c r="H748" s="123" t="e">
        <f>VLOOKUP('Verwarming Tabula 2zone Ref2 LE'!D748,'Gebouwgegevens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Ref2 LE'!C749,'Gebouwgegevens Allacker'!$A$35:$F$46,5,0)</f>
        <v>#N/A</v>
      </c>
      <c r="H749" s="123" t="e">
        <f>VLOOKUP('Verwarming Tabula 2zone Ref2 LE'!D749,'Gebouwgegevens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Ref2 LE'!C750,'Gebouwgegevens Allacker'!$A$35:$F$46,5,0)</f>
        <v>#N/A</v>
      </c>
      <c r="H750" s="123" t="e">
        <f>VLOOKUP('Verwarming Tabula 2zone Ref2 LE'!D750,'Gebouwgegevens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279" t="s">
        <v>197</v>
      </c>
      <c r="B755" s="279"/>
      <c r="C755" s="279"/>
      <c r="D755" s="126" t="s">
        <v>225</v>
      </c>
      <c r="E755" s="252"/>
      <c r="F755" s="252"/>
      <c r="G755" s="252"/>
      <c r="H755" s="252"/>
      <c r="I755" s="252"/>
      <c r="J755" s="252"/>
      <c r="K755" s="252"/>
      <c r="L755" s="252"/>
      <c r="M755" s="252"/>
      <c r="N755" s="252"/>
      <c r="O755" s="252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279" t="s">
        <v>213</v>
      </c>
      <c r="B773" s="279"/>
      <c r="C773" s="279"/>
      <c r="D773" s="27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2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Ref2 LE'!$B$4)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755:C755"/>
    <mergeCell ref="A773:D773"/>
    <mergeCell ref="A597:C597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topLeftCell="A115" zoomScale="70" zoomScaleNormal="70" workbookViewId="0">
      <selection activeCell="A142" sqref="A142:D142"/>
    </sheetView>
  </sheetViews>
  <sheetFormatPr defaultColWidth="9.140625" defaultRowHeight="15" x14ac:dyDescent="0.25"/>
  <cols>
    <col min="1" max="1" width="9.140625" style="152"/>
    <col min="2" max="2" width="16.7109375" style="152" bestFit="1" customWidth="1"/>
    <col min="3" max="1025" width="9.140625" style="152"/>
    <col min="1026" max="16384" width="9.140625" style="81"/>
  </cols>
  <sheetData>
    <row r="1" spans="1:25" ht="20.25" customHeight="1" x14ac:dyDescent="0.25">
      <c r="A1" s="277" t="s">
        <v>164</v>
      </c>
      <c r="B1" s="277"/>
      <c r="C1" s="277"/>
      <c r="D1" s="277"/>
      <c r="E1" s="277"/>
      <c r="F1" s="277"/>
      <c r="G1" s="277"/>
      <c r="H1" s="277"/>
      <c r="I1" s="277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57"/>
      <c r="W4" s="257"/>
      <c r="X4" s="257"/>
      <c r="Y4" s="95"/>
    </row>
    <row r="5" spans="1:25" ht="18" customHeight="1" thickTop="1" thickBot="1" x14ac:dyDescent="0.3">
      <c r="A5" s="94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95"/>
      <c r="U5" s="96"/>
      <c r="V5" s="274" t="s">
        <v>168</v>
      </c>
      <c r="W5" s="274"/>
      <c r="X5" s="274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57"/>
      <c r="Y6" s="97"/>
    </row>
    <row r="7" spans="1:25" ht="16.5" customHeight="1" thickTop="1" x14ac:dyDescent="0.25">
      <c r="A7" s="279" t="s">
        <v>171</v>
      </c>
      <c r="B7" s="279"/>
      <c r="C7" s="279"/>
      <c r="D7" s="279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95"/>
      <c r="U7" s="96"/>
      <c r="V7" s="102">
        <f>B6</f>
        <v>1</v>
      </c>
      <c r="W7" s="103">
        <f>B73</f>
        <v>20621.638232956615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6014.8911994167283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RefULG1'!K6</f>
        <v>W1</v>
      </c>
      <c r="C12" s="108">
        <f>VLOOKUP(B12,'Tabula RefULG1'!$K$5:$R$83,3,0)</f>
        <v>1</v>
      </c>
      <c r="D12" s="108" t="str">
        <f>VLOOKUP(B12,'Tabula RefULG1'!$K$5:$R$83,4,0)</f>
        <v>Wall External</v>
      </c>
      <c r="E12" s="108">
        <f>VLOOKUP(B12,'Tabula RefULG1'!$K$5:$R$83,5,0)</f>
        <v>69.641550000000009</v>
      </c>
      <c r="F12" s="108" t="str">
        <f>VLOOKUP(B12,'Tabula RefULG1'!$K$5:$R$83,6,0)</f>
        <v>front</v>
      </c>
      <c r="G12" s="108">
        <f>VLOOKUP(B12,'Tabula RefULG1'!$K$5:$R$83,7,0)</f>
        <v>2.2022341505875525</v>
      </c>
      <c r="H12" s="109">
        <f>VLOOKUP(B12,'Tabula RefULG1'!$K$5:$R$83,8,0)</f>
        <v>153.36699970985057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RefULG1'!K7</f>
        <v>W2</v>
      </c>
      <c r="C13" s="108">
        <f>VLOOKUP(B13,'Tabula RefULG1'!$K$5:$R$83,3,0)</f>
        <v>1</v>
      </c>
      <c r="D13" s="108" t="str">
        <f>VLOOKUP(B13,'Tabula RefULG1'!$K$5:$R$83,4,0)</f>
        <v>Wall External</v>
      </c>
      <c r="E13" s="108">
        <f>VLOOKUP(B13,'Tabula RefULG1'!$K$5:$R$83,5,0)</f>
        <v>40.288499999999999</v>
      </c>
      <c r="F13" s="108" t="str">
        <f>VLOOKUP(B13,'Tabula RefULG1'!$K$5:$R$83,6,0)</f>
        <v>right</v>
      </c>
      <c r="G13" s="108">
        <f>VLOOKUP(B13,'Tabula RefULG1'!$K$5:$R$83,7,0)</f>
        <v>2.2022341505875525</v>
      </c>
      <c r="H13" s="109">
        <f>VLOOKUP(B13,'Tabula RefULG1'!$K$5:$R$83,8,0)</f>
        <v>88.724710575946602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RefULG1'!K8</f>
        <v>W3</v>
      </c>
      <c r="C14" s="108">
        <f>VLOOKUP(B14,'Tabula RefULG1'!$K$5:$R$83,3,0)</f>
        <v>1</v>
      </c>
      <c r="D14" s="108" t="str">
        <f>VLOOKUP(B14,'Tabula RefULG1'!$K$5:$R$83,4,0)</f>
        <v>Wall External</v>
      </c>
      <c r="E14" s="108">
        <f>VLOOKUP(B14,'Tabula RefULG1'!$K$5:$R$83,5,0)</f>
        <v>69.641550000000009</v>
      </c>
      <c r="F14" s="108" t="str">
        <f>VLOOKUP(B14,'Tabula RefULG1'!$K$5:$R$83,6,0)</f>
        <v>back</v>
      </c>
      <c r="G14" s="108">
        <f>VLOOKUP(B14,'Tabula RefULG1'!$K$5:$R$83,7,0)</f>
        <v>2.2022341505875525</v>
      </c>
      <c r="H14" s="109">
        <f>VLOOKUP(B14,'Tabula RefULG1'!$K$5:$R$83,8,0)</f>
        <v>153.36699970985057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RefULG1'!K9</f>
        <v>W4</v>
      </c>
      <c r="C15" s="108">
        <f>VLOOKUP(B15,'Tabula RefULG1'!$K$5:$R$83,3,0)</f>
        <v>1</v>
      </c>
      <c r="D15" s="108" t="str">
        <f>VLOOKUP(B15,'Tabula RefULG1'!$K$5:$R$83,4,0)</f>
        <v>Wall External</v>
      </c>
      <c r="E15" s="108">
        <f>VLOOKUP(B15,'Tabula RefULG1'!$K$5:$R$83,5,0)</f>
        <v>40.288499999999999</v>
      </c>
      <c r="F15" s="108" t="str">
        <f>VLOOKUP(B15,'Tabula RefULG1'!$K$5:$R$83,6,0)</f>
        <v>left</v>
      </c>
      <c r="G15" s="108">
        <f>VLOOKUP(B15,'Tabula RefULG1'!$K$5:$R$83,7,0)</f>
        <v>2.2022341505875525</v>
      </c>
      <c r="H15" s="109">
        <f>VLOOKUP(B15,'Tabula RefULG1'!$K$5:$R$83,8,0)</f>
        <v>88.724710575946602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RefULG1'!K10</f>
        <v>W5</v>
      </c>
      <c r="C16" s="108">
        <f>VLOOKUP(B16,'Tabula RefULG1'!$K$5:$R$83,3,0)</f>
        <v>1</v>
      </c>
      <c r="D16" s="108" t="str">
        <f>VLOOKUP(B16,'Tabula RefULG1'!$K$5:$R$83,4,0)</f>
        <v>Window</v>
      </c>
      <c r="E16" s="108">
        <f>VLOOKUP(B16,'Tabula RefULG1'!$K$5:$R$83,5,0)</f>
        <v>7.56</v>
      </c>
      <c r="F16" s="108" t="str">
        <f>VLOOKUP(B16,'Tabula RefULG1'!$K$5:$R$83,6,0)</f>
        <v>front</v>
      </c>
      <c r="G16" s="108">
        <f>VLOOKUP(B16,'Tabula RefULG1'!$K$5:$R$83,7,0)</f>
        <v>2</v>
      </c>
      <c r="H16" s="109">
        <f>VLOOKUP(B16,'Tabula RefULG1'!$K$5:$R$83,8,0)</f>
        <v>15.12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RefULG1'!K11</f>
        <v>W6</v>
      </c>
      <c r="C17" s="108">
        <f>VLOOKUP(B17,'Tabula RefULG1'!$K$5:$R$83,3,0)</f>
        <v>1</v>
      </c>
      <c r="D17" s="108" t="str">
        <f>VLOOKUP(B17,'Tabula RefULG1'!$K$5:$R$83,4,0)</f>
        <v>Window</v>
      </c>
      <c r="E17" s="108">
        <f>VLOOKUP(B17,'Tabula RefULG1'!$K$5:$R$83,5,0)</f>
        <v>6.51</v>
      </c>
      <c r="F17" s="108" t="str">
        <f>VLOOKUP(B17,'Tabula RefULG1'!$K$5:$R$83,6,0)</f>
        <v>right</v>
      </c>
      <c r="G17" s="108">
        <f>VLOOKUP(B17,'Tabula RefULG1'!$K$5:$R$83,7,0)</f>
        <v>2</v>
      </c>
      <c r="H17" s="109">
        <f>VLOOKUP(B17,'Tabula RefULG1'!$K$5:$R$83,8,0)</f>
        <v>13.02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RefULG1'!K12</f>
        <v>W7</v>
      </c>
      <c r="C18" s="108">
        <f>VLOOKUP(B18,'Tabula RefULG1'!$K$5:$R$83,3,0)</f>
        <v>1</v>
      </c>
      <c r="D18" s="108" t="str">
        <f>VLOOKUP(B18,'Tabula RefULG1'!$K$5:$R$83,4,0)</f>
        <v>Window</v>
      </c>
      <c r="E18" s="108">
        <f>VLOOKUP(B18,'Tabula RefULG1'!$K$5:$R$83,5,0)</f>
        <v>8.5399999999999991</v>
      </c>
      <c r="F18" s="108" t="str">
        <f>VLOOKUP(B18,'Tabula RefULG1'!$K$5:$R$83,6,0)</f>
        <v>back</v>
      </c>
      <c r="G18" s="108">
        <f>VLOOKUP(B18,'Tabula RefULG1'!$K$5:$R$83,7,0)</f>
        <v>2</v>
      </c>
      <c r="H18" s="109">
        <f>VLOOKUP(B18,'Tabula RefULG1'!$K$5:$R$83,8,0)</f>
        <v>17.079999999999998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26636.529432373343</v>
      </c>
      <c r="X18" s="257" t="s">
        <v>172</v>
      </c>
      <c r="Y18" s="97"/>
    </row>
    <row r="19" spans="1:25" ht="16.5" customHeight="1" thickTop="1" thickBot="1" x14ac:dyDescent="0.3">
      <c r="A19" s="96"/>
      <c r="B19" s="107" t="str">
        <f>'Tabula RefULG1'!K13</f>
        <v>W8</v>
      </c>
      <c r="C19" s="108">
        <f>VLOOKUP(B19,'Tabula RefULG1'!$K$5:$R$83,3,0)</f>
        <v>1</v>
      </c>
      <c r="D19" s="108" t="str">
        <f>VLOOKUP(B19,'Tabula RefULG1'!$K$5:$R$83,4,0)</f>
        <v>Window</v>
      </c>
      <c r="E19" s="108">
        <f>VLOOKUP(B19,'Tabula RefULG1'!$K$5:$R$83,5,0)</f>
        <v>6.2299999999999995</v>
      </c>
      <c r="F19" s="108" t="str">
        <f>VLOOKUP(B19,'Tabula RefULG1'!$K$5:$R$83,6,0)</f>
        <v>left</v>
      </c>
      <c r="G19" s="108">
        <f>VLOOKUP(B19,'Tabula RefULG1'!$K$5:$R$83,7,0)</f>
        <v>2</v>
      </c>
      <c r="H19" s="109">
        <f>VLOOKUP(B19,'Tabula RefULG1'!$K$5:$R$83,8,0)</f>
        <v>12.459999999999999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RefULG1'!$K$5:$R$83,3,0)</f>
        <v>1</v>
      </c>
      <c r="D21" s="108" t="str">
        <f>VLOOKUP(B21,'Tabula RefULG1'!$K$5:$R$83,4,0)</f>
        <v>Roof</v>
      </c>
      <c r="E21" s="108">
        <f>VLOOKUP(B21,'Tabula RefULG1'!$K$5:$R$83,5,0)</f>
        <v>0</v>
      </c>
      <c r="F21" s="108">
        <f>VLOOKUP(B21,'Tabula RefULG1'!$K$5:$R$83,6,0)</f>
        <v>0</v>
      </c>
      <c r="G21" s="108">
        <f>VLOOKUP(B21,'Tabula RefULG1'!$K$5:$R$83,7,0)</f>
        <v>0.27481053799679722</v>
      </c>
      <c r="H21" s="109">
        <f>VLOOKUP(B21,'Tabula RefULG1'!$K$5:$R$83,8,0)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22683.80205625228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RefULG1'!$K$5:$R$83,3,0)</f>
        <v>1</v>
      </c>
      <c r="D22" s="108" t="str">
        <f>VLOOKUP(B22,'Tabula RefULG1'!$K$5:$R$83,4,0)</f>
        <v>Door</v>
      </c>
      <c r="E22" s="108">
        <f>VLOOKUP(B22,'Tabula RefULG1'!$K$5:$R$83,5,0)</f>
        <v>9.5</v>
      </c>
      <c r="F22" s="108">
        <f>VLOOKUP(B22,'Tabula RefULG1'!$K$5:$R$83,6,0)</f>
        <v>0</v>
      </c>
      <c r="G22" s="108">
        <f>VLOOKUP(B22,'Tabula RefULG1'!$K$5:$R$83,7,0)</f>
        <v>4</v>
      </c>
      <c r="H22" s="109">
        <f>VLOOKUP(B22,'Tabula RefULG1'!$K$5:$R$83,8,0)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RefULG1'!$K$5:$R$83,3,0)</f>
        <v>1</v>
      </c>
      <c r="D28" s="118" t="str">
        <f>VLOOKUP(B28,'Tabula RefULG1'!$K$5:$R$83,4,0)</f>
        <v>Floor</v>
      </c>
      <c r="E28" s="118">
        <f>VLOOKUP(B28,'Tabula RefULG1'!$K$5:$R$83,5,0)</f>
        <v>134.30000000000001</v>
      </c>
      <c r="F28" s="118">
        <f>VLOOKUP(B28,'Tabula RefULG1'!$K$5:$R$83,7,0)</f>
        <v>2.8187919463087252</v>
      </c>
      <c r="G28" s="119">
        <f>VLOOKUP(B28,'Tabula RefULG1'!$K$5:$R$83,8,0)</f>
        <v>378.56375838926181</v>
      </c>
      <c r="H28" s="119">
        <f>N28/F28*1.45/29*9</f>
        <v>9.809950926508848E-2</v>
      </c>
      <c r="I28" s="118">
        <f>'Tabula RefULG1'!O14</f>
        <v>134.30000000000001</v>
      </c>
      <c r="J28" s="117">
        <f>SQRT(I28)*4</f>
        <v>46.355150738618036</v>
      </c>
      <c r="K28" s="117">
        <f>SUM('Tabula RefULG1'!Z16:Z19)</f>
        <v>0.29500000000000004</v>
      </c>
      <c r="L28" s="120">
        <f>I28/(0.5*J28)</f>
        <v>5.7943938423272545</v>
      </c>
      <c r="M28" s="120">
        <f>K28+2*(1/F28)</f>
        <v>1.0045238095238096</v>
      </c>
      <c r="N28" s="121">
        <f>IF(M28&lt;L28,2*2/(PI()*L28+M28)*LN(PI()*L28/M28+1),2/(0.457*L28+M28))</f>
        <v>0.61449357034059904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2">
        <f>1.1*W18</f>
        <v>29300.182375610679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RefULG1'!$K$5:$R$83,2,0)=B$6,VLOOKUP(B33,'Tabula RefULG1'!$K$5:$R$83,2,0),VLOOKUP(B33,'Tabula RefULG1'!$K$5:$R$83,3,0))</f>
        <v>1</v>
      </c>
      <c r="D33" s="123">
        <f>IF(VLOOKUP(B33,'Tabula RefULG1'!$K$5:$R$83,2,0)=B$6,VLOOKUP(B33,'Tabula RefULG1'!$K$5:$R$83,3,0),VLOOKUP(B33,'Tabula RefULG1'!$K$5:$R$83,2,0))</f>
        <v>2</v>
      </c>
      <c r="E33" s="123" t="str">
        <f>VLOOKUP(B33,'Tabula RefULG1'!$K$5:$R$83,4,0)</f>
        <v>Floor internal</v>
      </c>
      <c r="F33" s="123">
        <f>VLOOKUP(B33,'Tabula RefULG1'!$K$5:$R$83,5,0)</f>
        <v>144.69999999999999</v>
      </c>
      <c r="G33" s="123">
        <f>VLOOKUP('Verwarming Tabula 2zone RefULG1'!C33,'Tabula RefULG1'!$B$34:$G$45,5,0)</f>
        <v>21</v>
      </c>
      <c r="H33" s="123">
        <f>VLOOKUP('Verwarming Tabula 2zone RefULG1'!D33,'Tabula RefULG1'!$B$34:$G$45,5,0)</f>
        <v>18</v>
      </c>
      <c r="I33" s="123">
        <f>VLOOKUP(B33,'Tabula RefULG1'!$K$5:$R$83,7,0)</f>
        <v>0.91717620900500274</v>
      </c>
      <c r="J33" s="119">
        <f>VLOOKUP(B33,'Tabula RefULG1'!$K$5:$R$83,8,0)</f>
        <v>132.71539744302387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RefULG1'!$K$5:$R$83,2,0)=B$6,VLOOKUP(B34,'Tabula RefULG1'!$K$5:$R$83,2,0),VLOOKUP(B34,'Tabula RefULG1'!$K$5:$R$83,3,0))</f>
        <v>1</v>
      </c>
      <c r="D34" s="123">
        <f>IF(VLOOKUP(B34,'Tabula RefULG1'!$K$5:$R$83,2,0)=B$6,VLOOKUP(B34,'Tabula RefULG1'!$K$5:$R$83,3,0),VLOOKUP(B34,'Tabula RefULG1'!$K$5:$R$83,2,0))</f>
        <v>1</v>
      </c>
      <c r="E34" s="123" t="str">
        <f>VLOOKUP(B34,'Tabula RefULG1'!$K$5:$R$83,4,0)</f>
        <v>Wall internal</v>
      </c>
      <c r="F34" s="123">
        <f>VLOOKUP(B34,'Tabula RefULG1'!$K$5:$R$83,5,0)</f>
        <v>219.86010000000002</v>
      </c>
      <c r="G34" s="123">
        <f>VLOOKUP('Verwarming Tabula 2zone RefULG1'!C34,'Tabula RefULG1'!$B$34:$G$45,5,0)</f>
        <v>21</v>
      </c>
      <c r="H34" s="123">
        <f>VLOOKUP('Verwarming Tabula 2zone RefULG1'!D34,'Tabula RefULG1'!$B$34:$G$45,5,0)</f>
        <v>21</v>
      </c>
      <c r="I34" s="123">
        <f>VLOOKUP(B34,'Tabula RefULG1'!$K$5:$R$83,7,0)</f>
        <v>1.330049261083744</v>
      </c>
      <c r="J34" s="119">
        <f>VLOOKUP(B34,'Tabula RefULG1'!$K$5:$R$83,8,0)</f>
        <v>292.42476354679809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630.72951854095857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18291.156037687797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279" t="s">
        <v>197</v>
      </c>
      <c r="B45" s="279"/>
      <c r="C45" s="279"/>
      <c r="D45" s="126"/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data'!E28</f>
        <v>4.693472584856397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RefULG1'!C34</f>
        <v>86.529634408602149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RefULG1'!H34</f>
        <v>134.30000000000001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86.529634408602149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0.41696607785488843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29.420075698924734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853.18219526881728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279" t="s">
        <v>213</v>
      </c>
      <c r="B63" s="279"/>
      <c r="C63" s="279"/>
      <c r="D63" s="27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RefULG1'!C7</f>
        <v>134.30000000000001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RefULG1'!$B$4)</f>
        <v>50.941379310344836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1477.3000000000002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711.09097355022811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20621.638232956615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279" t="s">
        <v>171</v>
      </c>
      <c r="B79" s="279"/>
      <c r="C79" s="279"/>
      <c r="D79" s="279"/>
      <c r="E79" s="257"/>
      <c r="F79" s="257"/>
      <c r="G79" s="257"/>
      <c r="H79" s="257"/>
      <c r="I79" s="257"/>
      <c r="J79" s="257"/>
      <c r="K79" s="257"/>
      <c r="L79" s="257"/>
      <c r="M79" s="257"/>
      <c r="N79" s="257"/>
      <c r="O79" s="257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RefULG1'!$K$5:$R$83,3,0)</f>
        <v>2</v>
      </c>
      <c r="D84" s="108" t="str">
        <f>VLOOKUP(B84,'Tabula RefULG1'!$K$5:$R$83,4,0)</f>
        <v>Wall External</v>
      </c>
      <c r="E84" s="108">
        <f>VLOOKUP(B84,'Tabula RefULG1'!$K$5:$R$83,5,0)</f>
        <v>0.7034500000000008</v>
      </c>
      <c r="F84" s="108" t="str">
        <f>VLOOKUP(B84,'Tabula RefULG1'!$K$5:$R$83,6,0)</f>
        <v>front</v>
      </c>
      <c r="G84" s="108">
        <f>VLOOKUP(B84,'Tabula RefULG1'!$K$5:$R$83,7,0)</f>
        <v>2.2022341505875525</v>
      </c>
      <c r="H84" s="109">
        <f>VLOOKUP(B84,'Tabula RefULG1'!$K$5:$R$83,8,0)</f>
        <v>1.5491616132308155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RefULG1'!$K$5:$R$83,3,0)</f>
        <v>2</v>
      </c>
      <c r="D85" s="108" t="str">
        <f>VLOOKUP(B85,'Tabula RefULG1'!$K$5:$R$83,4,0)</f>
        <v>Wall External</v>
      </c>
      <c r="E85" s="108">
        <f>VLOOKUP(B85,'Tabula RefULG1'!$K$5:$R$83,5,0)</f>
        <v>17.266500000000004</v>
      </c>
      <c r="F85" s="108" t="str">
        <f>VLOOKUP(B85,'Tabula RefULG1'!$K$5:$R$83,6,0)</f>
        <v>right</v>
      </c>
      <c r="G85" s="108">
        <f>VLOOKUP(B85,'Tabula RefULG1'!$K$5:$R$83,7,0)</f>
        <v>2.2022341505875525</v>
      </c>
      <c r="H85" s="109">
        <f>VLOOKUP(B85,'Tabula RefULG1'!$K$5:$R$83,8,0)</f>
        <v>38.024875961119982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RefULG1'!$K$5:$R$83,3,0)</f>
        <v>2</v>
      </c>
      <c r="D86" s="108" t="str">
        <f>VLOOKUP(B86,'Tabula RefULG1'!$K$5:$R$83,4,0)</f>
        <v>Wall External</v>
      </c>
      <c r="E86" s="108">
        <f>VLOOKUP(B86,'Tabula RefULG1'!$K$5:$R$83,5,0)</f>
        <v>0.7034500000000008</v>
      </c>
      <c r="F86" s="108" t="str">
        <f>VLOOKUP(B86,'Tabula RefULG1'!$K$5:$R$83,6,0)</f>
        <v>back</v>
      </c>
      <c r="G86" s="108">
        <f>VLOOKUP(B86,'Tabula RefULG1'!$K$5:$R$83,7,0)</f>
        <v>2.2022341505875525</v>
      </c>
      <c r="H86" s="109">
        <f>VLOOKUP(B86,'Tabula RefULG1'!$K$5:$R$83,8,0)</f>
        <v>1.5491616132308155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RefULG1'!$K$5:$R$83,3,0)</f>
        <v>2</v>
      </c>
      <c r="D87" s="108" t="str">
        <f>VLOOKUP(B87,'Tabula RefULG1'!$K$5:$R$83,4,0)</f>
        <v>Wall External</v>
      </c>
      <c r="E87" s="108">
        <f>VLOOKUP(B87,'Tabula RefULG1'!$K$5:$R$83,5,0)</f>
        <v>17.266500000000004</v>
      </c>
      <c r="F87" s="108" t="str">
        <f>VLOOKUP(B87,'Tabula RefULG1'!$K$5:$R$83,6,0)</f>
        <v>left</v>
      </c>
      <c r="G87" s="108">
        <f>VLOOKUP(B87,'Tabula RefULG1'!$K$5:$R$83,7,0)</f>
        <v>2.2022341505875525</v>
      </c>
      <c r="H87" s="109">
        <f>VLOOKUP(B87,'Tabula RefULG1'!$K$5:$R$83,8,0)</f>
        <v>38.024875961119982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RefULG1'!$K$5:$R$83,3,0)</f>
        <v>2</v>
      </c>
      <c r="D88" s="108" t="str">
        <f>VLOOKUP(B88,'Tabula RefULG1'!$K$5:$R$83,4,0)</f>
        <v>Window</v>
      </c>
      <c r="E88" s="108">
        <f>VLOOKUP(B88,'Tabula RefULG1'!$K$5:$R$83,5,0)</f>
        <v>3.2400000000000007</v>
      </c>
      <c r="F88" s="108" t="str">
        <f>VLOOKUP(B88,'Tabula RefULG1'!$K$5:$R$83,6,0)</f>
        <v>front</v>
      </c>
      <c r="G88" s="108">
        <f>VLOOKUP(B88,'Tabula RefULG1'!$K$5:$R$83,7,0)</f>
        <v>2</v>
      </c>
      <c r="H88" s="109">
        <f>VLOOKUP(B88,'Tabula RefULG1'!$K$5:$R$83,8,0)</f>
        <v>6.4800000000000013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RefULG1'!$K$5:$R$83,3,0)</f>
        <v>2</v>
      </c>
      <c r="D89" s="108" t="str">
        <f>VLOOKUP(B89,'Tabula RefULG1'!$K$5:$R$83,4,0)</f>
        <v>Window</v>
      </c>
      <c r="E89" s="108">
        <f>VLOOKUP(B89,'Tabula RefULG1'!$K$5:$R$83,5,0)</f>
        <v>2.7900000000000005</v>
      </c>
      <c r="F89" s="108" t="str">
        <f>VLOOKUP(B89,'Tabula RefULG1'!$K$5:$R$83,6,0)</f>
        <v>right</v>
      </c>
      <c r="G89" s="108">
        <f>VLOOKUP(B89,'Tabula RefULG1'!$K$5:$R$83,7,0)</f>
        <v>2</v>
      </c>
      <c r="H89" s="109">
        <f>VLOOKUP(B89,'Tabula RefULG1'!$K$5:$R$83,8,0)</f>
        <v>5.580000000000001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RefULG1'!$K$5:$R$83,3,0)</f>
        <v>2</v>
      </c>
      <c r="D90" s="108" t="str">
        <f>VLOOKUP(B90,'Tabula RefULG1'!$K$5:$R$83,4,0)</f>
        <v>Window</v>
      </c>
      <c r="E90" s="108">
        <f>VLOOKUP(B90,'Tabula RefULG1'!$K$5:$R$83,5,0)</f>
        <v>3.66</v>
      </c>
      <c r="F90" s="108" t="str">
        <f>VLOOKUP(B90,'Tabula RefULG1'!$K$5:$R$83,6,0)</f>
        <v>back</v>
      </c>
      <c r="G90" s="108">
        <f>VLOOKUP(B90,'Tabula RefULG1'!$K$5:$R$83,7,0)</f>
        <v>2</v>
      </c>
      <c r="H90" s="109">
        <f>VLOOKUP(B90,'Tabula RefULG1'!$K$5:$R$83,8,0)</f>
        <v>7.32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RefULG1'!$K$5:$R$83,3,0)</f>
        <v>2</v>
      </c>
      <c r="D91" s="108" t="str">
        <f>VLOOKUP(B91,'Tabula RefULG1'!$K$5:$R$83,4,0)</f>
        <v>Window</v>
      </c>
      <c r="E91" s="108">
        <f>VLOOKUP(B91,'Tabula RefULG1'!$K$5:$R$83,5,0)</f>
        <v>2.6700000000000004</v>
      </c>
      <c r="F91" s="108" t="str">
        <f>VLOOKUP(B91,'Tabula RefULG1'!$K$5:$R$83,6,0)</f>
        <v>left</v>
      </c>
      <c r="G91" s="108">
        <f>VLOOKUP(B91,'Tabula RefULG1'!$K$5:$R$83,7,0)</f>
        <v>2</v>
      </c>
      <c r="H91" s="109">
        <f>VLOOKUP(B91,'Tabula RefULG1'!$K$5:$R$83,8,0)</f>
        <v>5.3400000000000007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RefULG1'!$K$5:$R$83,3,0)</f>
        <v>2</v>
      </c>
      <c r="D92" s="108" t="str">
        <f>VLOOKUP(B92,'Tabula RefULG1'!$K$5:$R$83,4,0)</f>
        <v>Roof</v>
      </c>
      <c r="E92" s="108">
        <f>VLOOKUP(B92,'Tabula RefULG1'!$K$5:$R$83,5,0)</f>
        <v>158.4</v>
      </c>
      <c r="F92" s="108" t="str">
        <f>VLOOKUP(B92,'Tabula RefULG1'!$K$5:$R$83,6,0)</f>
        <v>front/back</v>
      </c>
      <c r="G92" s="108">
        <f>VLOOKUP(B92,'Tabula RefULG1'!$K$5:$R$83,7,0)</f>
        <v>0.27481053799679722</v>
      </c>
      <c r="H92" s="109">
        <f>VLOOKUP(B92,'Tabula RefULG1'!$K$5:$R$83,8,0)</f>
        <v>43.529989218692684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RefULG1'!$K$5:$R$83,2,0)=$B$78,VLOOKUP(B108,'Tabula RefULG1'!$K$5:$R$83,2,0),VLOOKUP(B108,'Tabula RefULG1'!$K$5:$R$83,3,0))</f>
        <v>2</v>
      </c>
      <c r="D108" s="123">
        <f>IF(VLOOKUP(B108,'Tabula RefULG1'!$K$5:$R$83,2,0)=$B$78,VLOOKUP(B108,'Tabula RefULG1'!$K$5:$R$83,3,0),VLOOKUP(B108,'Tabula RefULG1'!$K$5:$R$83,2,0))</f>
        <v>1</v>
      </c>
      <c r="E108" s="123" t="str">
        <f>VLOOKUP(B108,'Tabula RefULG1'!$K$5:$R$83,4,0)</f>
        <v>Floor internal</v>
      </c>
      <c r="F108" s="123">
        <f>VLOOKUP(B108,'Tabula RefULG1'!$K$5:$R$83,5,0)</f>
        <v>144.69999999999999</v>
      </c>
      <c r="G108" s="123">
        <f>VLOOKUP('Verwarming Tabula 2zone RefULG1'!C108,'Tabula RefULG1'!$B$34:$G$45,5,0)</f>
        <v>18</v>
      </c>
      <c r="H108" s="123">
        <f>VLOOKUP('Verwarming Tabula 2zone RefULG1'!D108,'Tabula RefULG1'!$B$34:$G$45,5,0)</f>
        <v>21</v>
      </c>
      <c r="I108" s="123">
        <f>VLOOKUP(B108,'Tabula RefULG1'!$K$5:$R$83,7,0)</f>
        <v>0.91717620900500274</v>
      </c>
      <c r="J108" s="119">
        <f>VLOOKUP(B108,'Tabula RefULG1'!$K$5:$R$83,8,0)</f>
        <v>132.71539744302387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RefULG1'!$K$5:$R$83,2,0)=$B$78,VLOOKUP(B109,'Tabula RefULG1'!$K$5:$R$83,2,0),VLOOKUP(B109,'Tabula RefULG1'!$K$5:$R$83,3,0))</f>
        <v>2</v>
      </c>
      <c r="D109" s="123">
        <f>IF(VLOOKUP(B109,'Tabula RefULG1'!$K$5:$R$83,2,0)=$B$78,VLOOKUP(B109,'Tabula RefULG1'!$K$5:$R$83,3,0),VLOOKUP(B109,'Tabula RefULG1'!$K$5:$R$83,2,0))</f>
        <v>2</v>
      </c>
      <c r="E109" s="123" t="str">
        <f>VLOOKUP(B109,'Tabula RefULG1'!$K$5:$R$83,4,0)</f>
        <v>Wall internal</v>
      </c>
      <c r="F109" s="123">
        <f>VLOOKUP(B109,'Tabula RefULG1'!$K$5:$R$83,5,0)</f>
        <v>35.939900000000009</v>
      </c>
      <c r="G109" s="123">
        <f>VLOOKUP('Verwarming Tabula 2zone RefULG1'!C109,'Tabula RefULG1'!$B$34:$G$45,5,0)</f>
        <v>18</v>
      </c>
      <c r="H109" s="123">
        <f>VLOOKUP('Verwarming Tabula 2zone RefULG1'!D109,'Tabula RefULG1'!$B$34:$G$45,5,0)</f>
        <v>18</v>
      </c>
      <c r="I109" s="123">
        <f>VLOOKUP(B109,'Tabula RefULG1'!$K$5:$R$83,7,0)</f>
        <v>1.330049261083744</v>
      </c>
      <c r="J109" s="119">
        <f>VLOOKUP(B109,'Tabula RefULG1'!$K$5:$R$83,8,0)</f>
        <v>47.801837438423661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132.08474927781461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3434.20348122318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279" t="s">
        <v>197</v>
      </c>
      <c r="B124" s="279"/>
      <c r="C124" s="279"/>
      <c r="D124" s="126" t="s">
        <v>225</v>
      </c>
      <c r="E124" s="257"/>
      <c r="F124" s="257"/>
      <c r="G124" s="257"/>
      <c r="H124" s="257"/>
      <c r="I124" s="257"/>
      <c r="J124" s="257"/>
      <c r="K124" s="257"/>
      <c r="L124" s="257"/>
      <c r="M124" s="257"/>
      <c r="N124" s="257"/>
      <c r="O124" s="257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B48</f>
        <v>4.693472584856397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RefULG1'!$B$34:$G$45,2,0)*B127*B128*B129</f>
        <v>111.87643870967742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RefULG1'!H35</f>
        <v>144.69999999999999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111.87643870967742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0.70147245378760403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0.34*(B138+B130)</f>
        <v>38.037989161290326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988.98771819354852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279" t="s">
        <v>213</v>
      </c>
      <c r="B142" s="279"/>
      <c r="C142" s="279"/>
      <c r="D142" s="27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144.69999999999999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RefULG1'!$B$4)</f>
        <v>198.96249999999998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1591.6999999999998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369.0852384391049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6014.8911994167283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57"/>
      <c r="C157" s="257"/>
      <c r="D157" s="257"/>
      <c r="E157" s="257"/>
      <c r="F157" s="257"/>
      <c r="G157" s="257"/>
      <c r="H157" s="257"/>
      <c r="I157" s="257"/>
      <c r="J157" s="257"/>
      <c r="K157" s="257"/>
      <c r="L157" s="257"/>
      <c r="M157" s="257"/>
      <c r="N157" s="257"/>
      <c r="O157" s="257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279" t="s">
        <v>171</v>
      </c>
      <c r="B159" s="279"/>
      <c r="C159" s="279"/>
      <c r="D159" s="279"/>
      <c r="E159" s="257"/>
      <c r="F159" s="257"/>
      <c r="G159" s="257"/>
      <c r="H159" s="257"/>
      <c r="I159" s="257"/>
      <c r="J159" s="257"/>
      <c r="K159" s="257"/>
      <c r="L159" s="257"/>
      <c r="M159" s="257"/>
      <c r="N159" s="257"/>
      <c r="O159" s="257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RefULG1'!C188,'Gebouwgegevens Allacker'!$A$35:$F$46,5,0)</f>
        <v>#N/A</v>
      </c>
      <c r="H188" s="123" t="e">
        <f>VLOOKUP('Verwarming Tabula 2zone RefULG1'!D188,'Gebouwgegevens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RefULG1'!C189,'Gebouwgegevens Allacker'!$A$35:$F$46,5,0)</f>
        <v>#N/A</v>
      </c>
      <c r="H189" s="123" t="e">
        <f>VLOOKUP('Verwarming Tabula 2zone RefULG1'!D189,'Gebouwgegevens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RefULG1'!C190,'Gebouwgegevens Allacker'!$A$35:$F$46,5,0)</f>
        <v>#N/A</v>
      </c>
      <c r="H190" s="123" t="e">
        <f>VLOOKUP('Verwarming Tabula 2zone RefULG1'!D190,'Gebouwgegevens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279" t="s">
        <v>197</v>
      </c>
      <c r="B204" s="279"/>
      <c r="C204" s="279"/>
      <c r="D204" s="126" t="s">
        <v>225</v>
      </c>
      <c r="E204" s="257"/>
      <c r="F204" s="257"/>
      <c r="G204" s="257"/>
      <c r="H204" s="257"/>
      <c r="I204" s="257"/>
      <c r="J204" s="257"/>
      <c r="K204" s="257"/>
      <c r="L204" s="257"/>
      <c r="M204" s="257"/>
      <c r="N204" s="257"/>
      <c r="O204" s="257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279" t="s">
        <v>213</v>
      </c>
      <c r="B222" s="279"/>
      <c r="C222" s="279"/>
      <c r="D222" s="27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2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RefULG1'!$B$4)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57"/>
      <c r="C236" s="257"/>
      <c r="D236" s="257"/>
      <c r="E236" s="257"/>
      <c r="F236" s="257"/>
      <c r="G236" s="257"/>
      <c r="H236" s="257"/>
      <c r="I236" s="257"/>
      <c r="J236" s="257"/>
      <c r="K236" s="257"/>
      <c r="L236" s="257"/>
      <c r="M236" s="257"/>
      <c r="N236" s="257"/>
      <c r="O236" s="257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279" t="s">
        <v>171</v>
      </c>
      <c r="B238" s="279"/>
      <c r="C238" s="279"/>
      <c r="D238" s="279"/>
      <c r="E238" s="257"/>
      <c r="F238" s="257"/>
      <c r="G238" s="257"/>
      <c r="H238" s="257"/>
      <c r="I238" s="257"/>
      <c r="J238" s="257"/>
      <c r="K238" s="257"/>
      <c r="L238" s="257"/>
      <c r="M238" s="257"/>
      <c r="N238" s="257"/>
      <c r="O238" s="257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RefULG1'!C267,'Gebouwgegevens Allacker'!$A$35:$F$46,5,0)</f>
        <v>#N/A</v>
      </c>
      <c r="H267" s="123" t="e">
        <f>VLOOKUP('Verwarming Tabula 2zone RefULG1'!D267,'Gebouwgegevens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RefULG1'!C268,'Gebouwgegevens Allacker'!$A$35:$F$46,5,0)</f>
        <v>#N/A</v>
      </c>
      <c r="H268" s="123" t="e">
        <f>VLOOKUP('Verwarming Tabula 2zone RefULG1'!D268,'Gebouwgegevens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RefULG1'!C269,'Gebouwgegevens Allacker'!$A$35:$F$46,5,0)</f>
        <v>#N/A</v>
      </c>
      <c r="H269" s="123" t="e">
        <f>VLOOKUP('Verwarming Tabula 2zone RefULG1'!D269,'Gebouwgegevens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RefULG1'!C270,'Gebouwgegevens Allacker'!$A$35:$F$46,5,0)</f>
        <v>#N/A</v>
      </c>
      <c r="H270" s="123" t="e">
        <f>VLOOKUP('Verwarming Tabula 2zone RefULG1'!D270,'Gebouwgegevens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279" t="s">
        <v>197</v>
      </c>
      <c r="B283" s="279"/>
      <c r="C283" s="279"/>
      <c r="D283" s="126" t="s">
        <v>225</v>
      </c>
      <c r="E283" s="257"/>
      <c r="F283" s="257"/>
      <c r="G283" s="257"/>
      <c r="H283" s="257"/>
      <c r="I283" s="257"/>
      <c r="J283" s="257"/>
      <c r="K283" s="257"/>
      <c r="L283" s="257"/>
      <c r="M283" s="257"/>
      <c r="N283" s="257"/>
      <c r="O283" s="257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279" t="s">
        <v>213</v>
      </c>
      <c r="B301" s="279"/>
      <c r="C301" s="279"/>
      <c r="D301" s="27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2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RefULG1'!$B$4)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57"/>
      <c r="C315" s="257"/>
      <c r="D315" s="257"/>
      <c r="E315" s="257"/>
      <c r="F315" s="257"/>
      <c r="G315" s="257"/>
      <c r="H315" s="257"/>
      <c r="I315" s="257"/>
      <c r="J315" s="257"/>
      <c r="K315" s="257"/>
      <c r="L315" s="257"/>
      <c r="M315" s="257"/>
      <c r="N315" s="257"/>
      <c r="O315" s="257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279" t="s">
        <v>171</v>
      </c>
      <c r="B317" s="279"/>
      <c r="C317" s="279"/>
      <c r="D317" s="279"/>
      <c r="E317" s="257"/>
      <c r="F317" s="257"/>
      <c r="G317" s="257"/>
      <c r="H317" s="257"/>
      <c r="I317" s="257"/>
      <c r="J317" s="257"/>
      <c r="K317" s="257"/>
      <c r="L317" s="257"/>
      <c r="M317" s="257"/>
      <c r="N317" s="257"/>
      <c r="O317" s="257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RefULG1'!C346,'Gebouwgegevens Allacker'!$A$35:$F$46,5,0)</f>
        <v>#N/A</v>
      </c>
      <c r="H346" s="123" t="e">
        <f>VLOOKUP('Verwarming Tabula 2zone RefULG1'!D346,'Gebouwgegevens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RefULG1'!C347,'Gebouwgegevens Allacker'!$A$35:$F$46,5,0)</f>
        <v>#N/A</v>
      </c>
      <c r="H347" s="123" t="e">
        <f>VLOOKUP('Verwarming Tabula 2zone RefULG1'!D347,'Gebouwgegevens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RefULG1'!C348,'Gebouwgegevens Allacker'!$A$35:$F$46,5,0)</f>
        <v>#N/A</v>
      </c>
      <c r="H348" s="123" t="e">
        <f>VLOOKUP('Verwarming Tabula 2zone RefULG1'!D348,'Gebouwgegevens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RefULG1'!C349,'Gebouwgegevens Allacker'!$A$35:$F$46,5,0)</f>
        <v>#N/A</v>
      </c>
      <c r="H349" s="123" t="e">
        <f>VLOOKUP('Verwarming Tabula 2zone RefULG1'!D349,'Gebouwgegevens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RefULG1'!C350,'Gebouwgegevens Allacker'!$A$35:$F$46,5,0)</f>
        <v>#N/A</v>
      </c>
      <c r="H350" s="123" t="e">
        <f>VLOOKUP('Verwarming Tabula 2zone RefULG1'!D350,'Gebouwgegevens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279" t="s">
        <v>197</v>
      </c>
      <c r="B362" s="279"/>
      <c r="C362" s="279"/>
      <c r="D362" s="126" t="s">
        <v>225</v>
      </c>
      <c r="E362" s="257"/>
      <c r="F362" s="257"/>
      <c r="G362" s="257"/>
      <c r="H362" s="257"/>
      <c r="I362" s="257"/>
      <c r="J362" s="257"/>
      <c r="K362" s="257"/>
      <c r="L362" s="257"/>
      <c r="M362" s="257"/>
      <c r="N362" s="257"/>
      <c r="O362" s="257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279" t="s">
        <v>213</v>
      </c>
      <c r="B380" s="279"/>
      <c r="C380" s="279"/>
      <c r="D380" s="27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2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RefULG1'!$B$4)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57"/>
      <c r="C393" s="257"/>
      <c r="D393" s="257"/>
      <c r="E393" s="257"/>
      <c r="F393" s="257"/>
      <c r="G393" s="257"/>
      <c r="H393" s="257"/>
      <c r="I393" s="257"/>
      <c r="J393" s="257"/>
      <c r="K393" s="257"/>
      <c r="L393" s="257"/>
      <c r="M393" s="257"/>
      <c r="N393" s="257"/>
      <c r="O393" s="257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279" t="s">
        <v>171</v>
      </c>
      <c r="B395" s="279"/>
      <c r="C395" s="279"/>
      <c r="D395" s="279"/>
      <c r="E395" s="257"/>
      <c r="F395" s="257"/>
      <c r="G395" s="257"/>
      <c r="H395" s="257"/>
      <c r="I395" s="257"/>
      <c r="J395" s="257"/>
      <c r="K395" s="257"/>
      <c r="L395" s="257"/>
      <c r="M395" s="257"/>
      <c r="N395" s="257"/>
      <c r="O395" s="257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RefULG1'!C424,'Gebouwgegevens Allacker'!$A$35:$F$46,5,0)</f>
        <v>#N/A</v>
      </c>
      <c r="H424" s="123" t="e">
        <f>VLOOKUP('Verwarming Tabula 2zone RefULG1'!D424,'Gebouwgegevens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RefULG1'!C425,'Gebouwgegevens Allacker'!$A$35:$F$46,5,0)</f>
        <v>#N/A</v>
      </c>
      <c r="H425" s="123" t="e">
        <f>VLOOKUP('Verwarming Tabula 2zone RefULG1'!D425,'Gebouwgegevens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RefULG1'!C426,'Gebouwgegevens Allacker'!$A$35:$F$46,5,0)</f>
        <v>#N/A</v>
      </c>
      <c r="H426" s="123" t="e">
        <f>VLOOKUP('Verwarming Tabula 2zone RefULG1'!D426,'Gebouwgegevens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RefULG1'!C427,'Gebouwgegevens Allacker'!$A$35:$F$46,5,0)</f>
        <v>#N/A</v>
      </c>
      <c r="H427" s="123" t="e">
        <f>VLOOKUP('Verwarming Tabula 2zone RefULG1'!D427,'Gebouwgegevens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RefULG1'!C428,'Gebouwgegevens Allacker'!$A$35:$F$46,5,0)</f>
        <v>#N/A</v>
      </c>
      <c r="H428" s="123" t="e">
        <f>VLOOKUP('Verwarming Tabula 2zone RefULG1'!D428,'Gebouwgegevens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279" t="s">
        <v>197</v>
      </c>
      <c r="B440" s="279"/>
      <c r="C440" s="279"/>
      <c r="D440" s="126" t="s">
        <v>225</v>
      </c>
      <c r="E440" s="257"/>
      <c r="F440" s="257"/>
      <c r="G440" s="257"/>
      <c r="H440" s="257"/>
      <c r="I440" s="257"/>
      <c r="J440" s="257"/>
      <c r="K440" s="257"/>
      <c r="L440" s="257"/>
      <c r="M440" s="257"/>
      <c r="N440" s="257"/>
      <c r="O440" s="257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279" t="s">
        <v>213</v>
      </c>
      <c r="B458" s="279"/>
      <c r="C458" s="279"/>
      <c r="D458" s="27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2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RefULG1'!$B$4)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57"/>
      <c r="C471" s="257"/>
      <c r="D471" s="257"/>
      <c r="E471" s="257"/>
      <c r="F471" s="257"/>
      <c r="G471" s="257"/>
      <c r="H471" s="257"/>
      <c r="I471" s="257"/>
      <c r="J471" s="257"/>
      <c r="K471" s="257"/>
      <c r="L471" s="257"/>
      <c r="M471" s="257"/>
      <c r="N471" s="257"/>
      <c r="O471" s="257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279" t="s">
        <v>171</v>
      </c>
      <c r="B473" s="279"/>
      <c r="C473" s="279"/>
      <c r="D473" s="279"/>
      <c r="E473" s="257"/>
      <c r="F473" s="257"/>
      <c r="G473" s="257"/>
      <c r="H473" s="257"/>
      <c r="I473" s="257"/>
      <c r="J473" s="257"/>
      <c r="K473" s="257"/>
      <c r="L473" s="257"/>
      <c r="M473" s="257"/>
      <c r="N473" s="257"/>
      <c r="O473" s="257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RefULG1'!C502,'Gebouwgegevens Allacker'!$A$35:$F$46,5,0)</f>
        <v>#N/A</v>
      </c>
      <c r="H502" s="123" t="e">
        <f>VLOOKUP('Verwarming Tabula 2zone RefULG1'!D502,'Gebouwgegevens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RefULG1'!C503,'Gebouwgegevens Allacker'!$A$35:$F$46,5,0)</f>
        <v>#N/A</v>
      </c>
      <c r="H503" s="123" t="e">
        <f>VLOOKUP('Verwarming Tabula 2zone RefULG1'!D503,'Gebouwgegevens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RefULG1'!C504,'Gebouwgegevens Allacker'!$A$35:$F$46,5,0)</f>
        <v>#N/A</v>
      </c>
      <c r="H504" s="123" t="e">
        <f>VLOOKUP('Verwarming Tabula 2zone RefULG1'!D504,'Gebouwgegevens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279" t="s">
        <v>197</v>
      </c>
      <c r="B518" s="279"/>
      <c r="C518" s="279"/>
      <c r="D518" s="126" t="s">
        <v>225</v>
      </c>
      <c r="E518" s="257"/>
      <c r="F518" s="257"/>
      <c r="G518" s="257"/>
      <c r="H518" s="257"/>
      <c r="I518" s="257"/>
      <c r="J518" s="257"/>
      <c r="K518" s="257"/>
      <c r="L518" s="257"/>
      <c r="M518" s="257"/>
      <c r="N518" s="257"/>
      <c r="O518" s="257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279" t="s">
        <v>213</v>
      </c>
      <c r="B536" s="279"/>
      <c r="C536" s="279"/>
      <c r="D536" s="27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RefULG1'!$B$4)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57"/>
      <c r="C550" s="257"/>
      <c r="D550" s="257"/>
      <c r="E550" s="257"/>
      <c r="F550" s="257"/>
      <c r="G550" s="257"/>
      <c r="H550" s="257"/>
      <c r="I550" s="257"/>
      <c r="J550" s="257"/>
      <c r="K550" s="257"/>
      <c r="L550" s="257"/>
      <c r="M550" s="257"/>
      <c r="N550" s="257"/>
      <c r="O550" s="257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279" t="s">
        <v>171</v>
      </c>
      <c r="B552" s="279"/>
      <c r="C552" s="279"/>
      <c r="D552" s="279"/>
      <c r="E552" s="257"/>
      <c r="F552" s="257"/>
      <c r="G552" s="257"/>
      <c r="H552" s="257"/>
      <c r="I552" s="257"/>
      <c r="J552" s="257"/>
      <c r="K552" s="257"/>
      <c r="L552" s="257"/>
      <c r="M552" s="257"/>
      <c r="N552" s="257"/>
      <c r="O552" s="257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RefULG1'!C581,'Gebouwgegevens Allacker'!$A$35:$F$46,5,0)</f>
        <v>#N/A</v>
      </c>
      <c r="H581" s="123" t="e">
        <f>VLOOKUP('Verwarming Tabula 2zone RefULG1'!D581,'Gebouwgegevens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RefULG1'!C582,'Gebouwgegevens Allacker'!$A$35:$F$46,5,0)</f>
        <v>#N/A</v>
      </c>
      <c r="H582" s="123" t="e">
        <f>VLOOKUP('Verwarming Tabula 2zone RefULG1'!D582,'Gebouwgegevens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RefULG1'!C583,'Gebouwgegevens Allacker'!$A$35:$F$46,5,0)</f>
        <v>#N/A</v>
      </c>
      <c r="H583" s="123" t="e">
        <f>VLOOKUP('Verwarming Tabula 2zone RefULG1'!D583,'Gebouwgegevens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279" t="s">
        <v>197</v>
      </c>
      <c r="B597" s="279"/>
      <c r="C597" s="279"/>
      <c r="D597" s="126" t="s">
        <v>225</v>
      </c>
      <c r="E597" s="257"/>
      <c r="F597" s="257"/>
      <c r="G597" s="257"/>
      <c r="H597" s="257"/>
      <c r="I597" s="257"/>
      <c r="J597" s="257"/>
      <c r="K597" s="257"/>
      <c r="L597" s="257"/>
      <c r="M597" s="257"/>
      <c r="N597" s="257"/>
      <c r="O597" s="257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279" t="s">
        <v>213</v>
      </c>
      <c r="B615" s="279"/>
      <c r="C615" s="279"/>
      <c r="D615" s="27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2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RefULG1'!$B$4)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57"/>
      <c r="C629" s="257"/>
      <c r="D629" s="257"/>
      <c r="E629" s="257"/>
      <c r="F629" s="257"/>
      <c r="G629" s="257"/>
      <c r="H629" s="257"/>
      <c r="I629" s="257"/>
      <c r="J629" s="257"/>
      <c r="K629" s="257"/>
      <c r="L629" s="257"/>
      <c r="M629" s="257"/>
      <c r="N629" s="257"/>
      <c r="O629" s="257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279" t="s">
        <v>171</v>
      </c>
      <c r="B631" s="279"/>
      <c r="C631" s="279"/>
      <c r="D631" s="279"/>
      <c r="E631" s="257"/>
      <c r="F631" s="257"/>
      <c r="G631" s="257"/>
      <c r="H631" s="257"/>
      <c r="I631" s="257"/>
      <c r="J631" s="257"/>
      <c r="K631" s="257"/>
      <c r="L631" s="257"/>
      <c r="M631" s="257"/>
      <c r="N631" s="257"/>
      <c r="O631" s="257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RefULG1'!C660,'Gebouwgegevens Allacker'!$A$35:$F$46,5,0)</f>
        <v>#N/A</v>
      </c>
      <c r="H660" s="123" t="e">
        <f>VLOOKUP('Verwarming Tabula 2zone RefULG1'!D660,'Gebouwgegevens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RefULG1'!C661,'Gebouwgegevens Allacker'!$A$35:$F$46,5,0)</f>
        <v>#N/A</v>
      </c>
      <c r="H661" s="123" t="e">
        <f>VLOOKUP('Verwarming Tabula 2zone RefULG1'!D661,'Gebouwgegevens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279" t="s">
        <v>197</v>
      </c>
      <c r="B676" s="279"/>
      <c r="C676" s="279"/>
      <c r="D676" s="126" t="s">
        <v>225</v>
      </c>
      <c r="E676" s="257"/>
      <c r="F676" s="257"/>
      <c r="G676" s="257"/>
      <c r="H676" s="257"/>
      <c r="I676" s="257"/>
      <c r="J676" s="257"/>
      <c r="K676" s="257"/>
      <c r="L676" s="257"/>
      <c r="M676" s="257"/>
      <c r="N676" s="257"/>
      <c r="O676" s="257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279" t="s">
        <v>213</v>
      </c>
      <c r="B694" s="279"/>
      <c r="C694" s="279"/>
      <c r="D694" s="27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2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RefULG1'!$B$4)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57"/>
      <c r="C708" s="257"/>
      <c r="D708" s="257"/>
      <c r="E708" s="257"/>
      <c r="F708" s="257"/>
      <c r="G708" s="257"/>
      <c r="H708" s="257"/>
      <c r="I708" s="257"/>
      <c r="J708" s="257"/>
      <c r="K708" s="257"/>
      <c r="L708" s="257"/>
      <c r="M708" s="257"/>
      <c r="N708" s="257"/>
      <c r="O708" s="257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279" t="s">
        <v>171</v>
      </c>
      <c r="B710" s="279"/>
      <c r="C710" s="279"/>
      <c r="D710" s="279"/>
      <c r="E710" s="257"/>
      <c r="F710" s="257"/>
      <c r="G710" s="257"/>
      <c r="H710" s="257"/>
      <c r="I710" s="257"/>
      <c r="J710" s="257"/>
      <c r="K710" s="257"/>
      <c r="L710" s="257"/>
      <c r="M710" s="257"/>
      <c r="N710" s="257"/>
      <c r="O710" s="257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RefULG1'!C739,'Gebouwgegevens Allacker'!$A$35:$F$46,5,0)</f>
        <v>#N/A</v>
      </c>
      <c r="H739" s="123" t="e">
        <f>VLOOKUP('Verwarming Tabula 2zone RefULG1'!D739,'Gebouwgegevens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RefULG1'!C740,'Gebouwgegevens Allacker'!$A$35:$F$46,5,0)</f>
        <v>#N/A</v>
      </c>
      <c r="H740" s="123" t="e">
        <f>VLOOKUP('Verwarming Tabula 2zone RefULG1'!D740,'Gebouwgegevens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RefULG1'!C741,'Gebouwgegevens Allacker'!$A$35:$F$46,5,0)</f>
        <v>#N/A</v>
      </c>
      <c r="H741" s="123" t="e">
        <f>VLOOKUP('Verwarming Tabula 2zone RefULG1'!D741,'Gebouwgegevens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RefULG1'!C742,'Gebouwgegevens Allacker'!$A$35:$F$46,5,0)</f>
        <v>#N/A</v>
      </c>
      <c r="H742" s="123" t="e">
        <f>VLOOKUP('Verwarming Tabula 2zone RefULG1'!D742,'Gebouwgegevens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RefULG1'!C743,'Gebouwgegevens Allacker'!$A$35:$F$46,5,0)</f>
        <v>#N/A</v>
      </c>
      <c r="H743" s="123" t="e">
        <f>VLOOKUP('Verwarming Tabula 2zone RefULG1'!D743,'Gebouwgegevens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RefULG1'!C744,'Gebouwgegevens Allacker'!$A$35:$F$46,5,0)</f>
        <v>#N/A</v>
      </c>
      <c r="H744" s="123" t="e">
        <f>VLOOKUP('Verwarming Tabula 2zone RefULG1'!D744,'Gebouwgegevens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RefULG1'!C745,'Gebouwgegevens Allacker'!$A$35:$F$46,5,0)</f>
        <v>#N/A</v>
      </c>
      <c r="H745" s="123" t="e">
        <f>VLOOKUP('Verwarming Tabula 2zone RefULG1'!D745,'Gebouwgegevens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RefULG1'!C746,'Gebouwgegevens Allacker'!$A$35:$F$46,5,0)</f>
        <v>#N/A</v>
      </c>
      <c r="H746" s="123" t="e">
        <f>VLOOKUP('Verwarming Tabula 2zone RefULG1'!D746,'Gebouwgegevens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RefULG1'!C747,'Gebouwgegevens Allacker'!$A$35:$F$46,5,0)</f>
        <v>#N/A</v>
      </c>
      <c r="H747" s="123" t="e">
        <f>VLOOKUP('Verwarming Tabula 2zone RefULG1'!D747,'Gebouwgegevens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RefULG1'!C748,'Gebouwgegevens Allacker'!$A$35:$F$46,5,0)</f>
        <v>#N/A</v>
      </c>
      <c r="H748" s="123" t="e">
        <f>VLOOKUP('Verwarming Tabula 2zone RefULG1'!D748,'Gebouwgegevens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RefULG1'!C749,'Gebouwgegevens Allacker'!$A$35:$F$46,5,0)</f>
        <v>#N/A</v>
      </c>
      <c r="H749" s="123" t="e">
        <f>VLOOKUP('Verwarming Tabula 2zone RefULG1'!D749,'Gebouwgegevens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RefULG1'!C750,'Gebouwgegevens Allacker'!$A$35:$F$46,5,0)</f>
        <v>#N/A</v>
      </c>
      <c r="H750" s="123" t="e">
        <f>VLOOKUP('Verwarming Tabula 2zone RefULG1'!D750,'Gebouwgegevens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279" t="s">
        <v>197</v>
      </c>
      <c r="B755" s="279"/>
      <c r="C755" s="279"/>
      <c r="D755" s="126" t="s">
        <v>225</v>
      </c>
      <c r="E755" s="257"/>
      <c r="F755" s="257"/>
      <c r="G755" s="257"/>
      <c r="H755" s="257"/>
      <c r="I755" s="257"/>
      <c r="J755" s="257"/>
      <c r="K755" s="257"/>
      <c r="L755" s="257"/>
      <c r="M755" s="257"/>
      <c r="N755" s="257"/>
      <c r="O755" s="257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279" t="s">
        <v>213</v>
      </c>
      <c r="B773" s="279"/>
      <c r="C773" s="279"/>
      <c r="D773" s="27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2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RefULG1'!$B$4)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755:C755"/>
    <mergeCell ref="A773:D773"/>
    <mergeCell ref="A597:C597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4"/>
  <sheetViews>
    <sheetView zoomScaleNormal="100" workbookViewId="0">
      <selection activeCell="D13" sqref="D13"/>
    </sheetView>
  </sheetViews>
  <sheetFormatPr defaultColWidth="9.140625" defaultRowHeight="15" x14ac:dyDescent="0.25"/>
  <cols>
    <col min="1" max="1" width="9.140625" style="152"/>
    <col min="2" max="2" width="16.7109375" style="152" bestFit="1" customWidth="1"/>
    <col min="3" max="1025" width="9.140625" style="152"/>
    <col min="1026" max="16384" width="9.140625" style="81"/>
  </cols>
  <sheetData>
    <row r="1" spans="1:25" ht="20.25" customHeight="1" x14ac:dyDescent="0.25">
      <c r="A1" s="277" t="s">
        <v>164</v>
      </c>
      <c r="B1" s="277"/>
      <c r="C1" s="277"/>
      <c r="D1" s="277"/>
      <c r="E1" s="277"/>
      <c r="F1" s="277"/>
      <c r="G1" s="277"/>
      <c r="H1" s="277"/>
      <c r="I1" s="277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thickBot="1" x14ac:dyDescent="0.3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thickTop="1" thickBot="1" x14ac:dyDescent="0.3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257"/>
      <c r="W4" s="257"/>
      <c r="X4" s="257"/>
      <c r="Y4" s="95"/>
    </row>
    <row r="5" spans="1:25" ht="18" customHeight="1" thickTop="1" thickBot="1" x14ac:dyDescent="0.3">
      <c r="A5" s="94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95"/>
      <c r="U5" s="96"/>
      <c r="V5" s="274" t="s">
        <v>168</v>
      </c>
      <c r="W5" s="274"/>
      <c r="X5" s="274"/>
      <c r="Y5" s="97"/>
    </row>
    <row r="6" spans="1:25" ht="18.75" customHeight="1" thickTop="1" thickBot="1" x14ac:dyDescent="0.35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257"/>
      <c r="Y6" s="97"/>
    </row>
    <row r="7" spans="1:25" ht="16.5" customHeight="1" thickTop="1" x14ac:dyDescent="0.25">
      <c r="A7" s="279" t="s">
        <v>171</v>
      </c>
      <c r="B7" s="279"/>
      <c r="C7" s="279"/>
      <c r="D7" s="279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95"/>
      <c r="U7" s="96"/>
      <c r="V7" s="102">
        <f>B6</f>
        <v>1</v>
      </c>
      <c r="W7" s="103">
        <f>B73</f>
        <v>7714.9355066290227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>
        <f>B152</f>
        <v>5223.248314353792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/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/>
      <c r="X10" s="99" t="s">
        <v>172</v>
      </c>
      <c r="Y10" s="97"/>
    </row>
    <row r="11" spans="1:25" ht="15.75" customHeight="1" thickBot="1" x14ac:dyDescent="0.3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/>
      <c r="X11" s="99" t="s">
        <v>172</v>
      </c>
      <c r="Y11" s="97"/>
    </row>
    <row r="12" spans="1:25" ht="16.5" customHeight="1" thickTop="1" thickBot="1" x14ac:dyDescent="0.3">
      <c r="A12" s="96"/>
      <c r="B12" s="107" t="str">
        <f>'Tabula RefULG2'!K6</f>
        <v>W1</v>
      </c>
      <c r="C12" s="108">
        <f>VLOOKUP(B12,'Tabula RefULG2'!$K$5:$R$83,3,0)</f>
        <v>1</v>
      </c>
      <c r="D12" s="108" t="str">
        <f>VLOOKUP(B12,'Tabula RefULG2'!$K$5:$R$83,4,0)</f>
        <v>Wall External</v>
      </c>
      <c r="E12" s="108">
        <f>VLOOKUP(B12,'Tabula RefULG2'!$K$5:$R$83,5,0)</f>
        <v>69.641550000000009</v>
      </c>
      <c r="F12" s="108" t="str">
        <f>VLOOKUP(B12,'Tabula RefULG2'!$K$5:$R$83,6,0)</f>
        <v>front</v>
      </c>
      <c r="G12" s="108">
        <f>VLOOKUP(B12,'Tabula RefULG2'!$K$5:$R$83,7,0)</f>
        <v>0.29666979362101314</v>
      </c>
      <c r="H12" s="109">
        <f>VLOOKUP(B12,'Tabula RefULG2'!$K$5:$R$83,8,0)</f>
        <v>20.660544265947472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/>
      <c r="X12" s="99" t="s">
        <v>172</v>
      </c>
      <c r="Y12" s="97"/>
    </row>
    <row r="13" spans="1:25" ht="16.5" customHeight="1" thickTop="1" thickBot="1" x14ac:dyDescent="0.3">
      <c r="A13" s="96"/>
      <c r="B13" s="107" t="str">
        <f>'Tabula RefULG2'!K7</f>
        <v>W2</v>
      </c>
      <c r="C13" s="108">
        <f>VLOOKUP(B13,'Tabula RefULG2'!$K$5:$R$83,3,0)</f>
        <v>1</v>
      </c>
      <c r="D13" s="108" t="str">
        <f>VLOOKUP(B13,'Tabula RefULG2'!$K$5:$R$83,4,0)</f>
        <v>Wall External</v>
      </c>
      <c r="E13" s="108">
        <f>VLOOKUP(B13,'Tabula RefULG2'!$K$5:$R$83,5,0)</f>
        <v>40.288499999999999</v>
      </c>
      <c r="F13" s="108" t="str">
        <f>VLOOKUP(B13,'Tabula RefULG2'!$K$5:$R$83,6,0)</f>
        <v>right</v>
      </c>
      <c r="G13" s="108">
        <f>VLOOKUP(B13,'Tabula RefULG2'!$K$5:$R$83,7,0)</f>
        <v>0.29666979362101314</v>
      </c>
      <c r="H13" s="109">
        <f>VLOOKUP(B13,'Tabula RefULG2'!$K$5:$R$83,8,0)</f>
        <v>11.952380980300187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/>
      <c r="X13" s="99" t="s">
        <v>172</v>
      </c>
      <c r="Y13" s="97"/>
    </row>
    <row r="14" spans="1:25" ht="16.5" customHeight="1" thickTop="1" thickBot="1" x14ac:dyDescent="0.3">
      <c r="A14" s="96"/>
      <c r="B14" s="107" t="str">
        <f>'Tabula RefULG2'!K8</f>
        <v>W3</v>
      </c>
      <c r="C14" s="108">
        <f>VLOOKUP(B14,'Tabula RefULG2'!$K$5:$R$83,3,0)</f>
        <v>1</v>
      </c>
      <c r="D14" s="108" t="str">
        <f>VLOOKUP(B14,'Tabula RefULG2'!$K$5:$R$83,4,0)</f>
        <v>Wall External</v>
      </c>
      <c r="E14" s="108">
        <f>VLOOKUP(B14,'Tabula RefULG2'!$K$5:$R$83,5,0)</f>
        <v>69.641550000000009</v>
      </c>
      <c r="F14" s="108" t="str">
        <f>VLOOKUP(B14,'Tabula RefULG2'!$K$5:$R$83,6,0)</f>
        <v>back</v>
      </c>
      <c r="G14" s="108">
        <f>VLOOKUP(B14,'Tabula RefULG2'!$K$5:$R$83,7,0)</f>
        <v>0.29666979362101314</v>
      </c>
      <c r="H14" s="109">
        <f>VLOOKUP(B14,'Tabula RefULG2'!$K$5:$R$83,8,0)</f>
        <v>20.660544265947472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/>
      <c r="X14" s="99" t="s">
        <v>172</v>
      </c>
      <c r="Y14" s="97"/>
    </row>
    <row r="15" spans="1:25" ht="16.5" customHeight="1" thickTop="1" thickBot="1" x14ac:dyDescent="0.3">
      <c r="A15" s="96"/>
      <c r="B15" s="107" t="str">
        <f>'Tabula RefULG2'!K9</f>
        <v>W4</v>
      </c>
      <c r="C15" s="108">
        <f>VLOOKUP(B15,'Tabula RefULG2'!$K$5:$R$83,3,0)</f>
        <v>1</v>
      </c>
      <c r="D15" s="108" t="str">
        <f>VLOOKUP(B15,'Tabula RefULG2'!$K$5:$R$83,4,0)</f>
        <v>Wall External</v>
      </c>
      <c r="E15" s="108">
        <f>VLOOKUP(B15,'Tabula RefULG2'!$K$5:$R$83,5,0)</f>
        <v>40.288499999999999</v>
      </c>
      <c r="F15" s="108" t="str">
        <f>VLOOKUP(B15,'Tabula RefULG2'!$K$5:$R$83,6,0)</f>
        <v>left</v>
      </c>
      <c r="G15" s="108">
        <f>VLOOKUP(B15,'Tabula RefULG2'!$K$5:$R$83,7,0)</f>
        <v>0.29666979362101314</v>
      </c>
      <c r="H15" s="109">
        <f>VLOOKUP(B15,'Tabula RefULG2'!$K$5:$R$83,8,0)</f>
        <v>11.952380980300187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/>
      <c r="X15" s="99" t="s">
        <v>172</v>
      </c>
      <c r="Y15" s="97"/>
    </row>
    <row r="16" spans="1:25" ht="16.5" customHeight="1" thickTop="1" thickBot="1" x14ac:dyDescent="0.3">
      <c r="A16" s="96"/>
      <c r="B16" s="107" t="str">
        <f>'Tabula RefULG2'!K10</f>
        <v>W5</v>
      </c>
      <c r="C16" s="108">
        <f>VLOOKUP(B16,'Tabula RefULG2'!$K$5:$R$83,3,0)</f>
        <v>1</v>
      </c>
      <c r="D16" s="108" t="str">
        <f>VLOOKUP(B16,'Tabula RefULG2'!$K$5:$R$83,4,0)</f>
        <v>Window</v>
      </c>
      <c r="E16" s="108">
        <f>VLOOKUP(B16,'Tabula RefULG2'!$K$5:$R$83,5,0)</f>
        <v>7.56</v>
      </c>
      <c r="F16" s="108" t="str">
        <f>VLOOKUP(B16,'Tabula RefULG2'!$K$5:$R$83,6,0)</f>
        <v>front</v>
      </c>
      <c r="G16" s="108">
        <f>VLOOKUP(B16,'Tabula RefULG2'!$K$5:$R$83,7,0)</f>
        <v>2</v>
      </c>
      <c r="H16" s="109">
        <f>VLOOKUP(B16,'Tabula RefULG2'!$K$5:$R$83,8,0)</f>
        <v>15.12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/>
      <c r="X16" s="99" t="s">
        <v>172</v>
      </c>
      <c r="Y16" s="97"/>
    </row>
    <row r="17" spans="1:25" ht="16.5" customHeight="1" thickTop="1" thickBot="1" x14ac:dyDescent="0.3">
      <c r="A17" s="96"/>
      <c r="B17" s="107" t="str">
        <f>'Tabula RefULG2'!K11</f>
        <v>W6</v>
      </c>
      <c r="C17" s="108">
        <f>VLOOKUP(B17,'Tabula RefULG2'!$K$5:$R$83,3,0)</f>
        <v>1</v>
      </c>
      <c r="D17" s="108" t="str">
        <f>VLOOKUP(B17,'Tabula RefULG2'!$K$5:$R$83,4,0)</f>
        <v>Window</v>
      </c>
      <c r="E17" s="108">
        <f>VLOOKUP(B17,'Tabula RefULG2'!$K$5:$R$83,5,0)</f>
        <v>6.51</v>
      </c>
      <c r="F17" s="108" t="str">
        <f>VLOOKUP(B17,'Tabula RefULG2'!$K$5:$R$83,6,0)</f>
        <v>right</v>
      </c>
      <c r="G17" s="108">
        <f>VLOOKUP(B17,'Tabula RefULG2'!$K$5:$R$83,7,0)</f>
        <v>2</v>
      </c>
      <c r="H17" s="109">
        <f>VLOOKUP(B17,'Tabula RefULG2'!$K$5:$R$83,8,0)</f>
        <v>13.02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thickTop="1" thickBot="1" x14ac:dyDescent="0.3">
      <c r="A18" s="96"/>
      <c r="B18" s="107" t="str">
        <f>'Tabula RefULG2'!K12</f>
        <v>W7</v>
      </c>
      <c r="C18" s="108">
        <f>VLOOKUP(B18,'Tabula RefULG2'!$K$5:$R$83,3,0)</f>
        <v>1</v>
      </c>
      <c r="D18" s="108" t="str">
        <f>VLOOKUP(B18,'Tabula RefULG2'!$K$5:$R$83,4,0)</f>
        <v>Window</v>
      </c>
      <c r="E18" s="108">
        <f>VLOOKUP(B18,'Tabula RefULG2'!$K$5:$R$83,5,0)</f>
        <v>8.5399999999999991</v>
      </c>
      <c r="F18" s="108" t="str">
        <f>VLOOKUP(B18,'Tabula RefULG2'!$K$5:$R$83,6,0)</f>
        <v>back</v>
      </c>
      <c r="G18" s="108">
        <f>VLOOKUP(B18,'Tabula RefULG2'!$K$5:$R$83,7,0)</f>
        <v>2</v>
      </c>
      <c r="H18" s="109">
        <f>VLOOKUP(B18,'Tabula RefULG2'!$K$5:$R$83,8,0)</f>
        <v>17.079999999999998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>
        <f>SUM(W7:W16)</f>
        <v>12938.183820982815</v>
      </c>
      <c r="X18" s="257" t="s">
        <v>172</v>
      </c>
      <c r="Y18" s="97"/>
    </row>
    <row r="19" spans="1:25" ht="16.5" customHeight="1" thickTop="1" thickBot="1" x14ac:dyDescent="0.3">
      <c r="A19" s="96"/>
      <c r="B19" s="107" t="str">
        <f>'Tabula RefULG2'!K13</f>
        <v>W8</v>
      </c>
      <c r="C19" s="108">
        <f>VLOOKUP(B19,'Tabula RefULG2'!$K$5:$R$83,3,0)</f>
        <v>1</v>
      </c>
      <c r="D19" s="108" t="str">
        <f>VLOOKUP(B19,'Tabula RefULG2'!$K$5:$R$83,4,0)</f>
        <v>Window</v>
      </c>
      <c r="E19" s="108">
        <f>VLOOKUP(B19,'Tabula RefULG2'!$K$5:$R$83,5,0)</f>
        <v>6.2299999999999995</v>
      </c>
      <c r="F19" s="108" t="str">
        <f>VLOOKUP(B19,'Tabula RefULG2'!$K$5:$R$83,6,0)</f>
        <v>left</v>
      </c>
      <c r="G19" s="108">
        <f>VLOOKUP(B19,'Tabula RefULG2'!$K$5:$R$83,7,0)</f>
        <v>2</v>
      </c>
      <c r="H19" s="109">
        <f>VLOOKUP(B19,'Tabula RefULG2'!$K$5:$R$83,8,0)</f>
        <v>12.459999999999999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thickTop="1" thickBot="1" x14ac:dyDescent="0.3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thickTop="1" thickBot="1" x14ac:dyDescent="0.3">
      <c r="A21" s="96"/>
      <c r="B21" s="107" t="str">
        <f>'Gebouwgegevens Allacker'!J15</f>
        <v>W10</v>
      </c>
      <c r="C21" s="108">
        <f>VLOOKUP(B21,'Tabula RefULG2'!$K$5:$R$83,3,0)</f>
        <v>1</v>
      </c>
      <c r="D21" s="108" t="str">
        <f>VLOOKUP(B21,'Tabula RefULG2'!$K$5:$R$83,4,0)</f>
        <v>Roof</v>
      </c>
      <c r="E21" s="108">
        <f>VLOOKUP(B21,'Tabula RefULG2'!$K$5:$R$83,5,0)</f>
        <v>0</v>
      </c>
      <c r="F21" s="108">
        <f>VLOOKUP(B21,'Tabula RefULG2'!$K$5:$R$83,6,0)</f>
        <v>0</v>
      </c>
      <c r="G21" s="108">
        <f>VLOOKUP(B21,'Tabula RefULG2'!$K$5:$R$83,7,0)</f>
        <v>0.27481053799679722</v>
      </c>
      <c r="H21" s="109">
        <f>VLOOKUP(B21,'Tabula RefULG2'!$K$5:$R$83,8,0)</f>
        <v>0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8486.4290572919253</v>
      </c>
      <c r="X21" s="99"/>
      <c r="Y21" s="99"/>
    </row>
    <row r="22" spans="1:25" ht="16.5" customHeight="1" thickTop="1" thickBot="1" x14ac:dyDescent="0.3">
      <c r="A22" s="96"/>
      <c r="B22" s="107" t="str">
        <f>'Gebouwgegevens Allacker'!J16</f>
        <v>W11</v>
      </c>
      <c r="C22" s="108">
        <f>VLOOKUP(B22,'Tabula RefULG2'!$K$5:$R$83,3,0)</f>
        <v>1</v>
      </c>
      <c r="D22" s="108" t="str">
        <f>VLOOKUP(B22,'Tabula RefULG2'!$K$5:$R$83,4,0)</f>
        <v>Door</v>
      </c>
      <c r="E22" s="108">
        <f>VLOOKUP(B22,'Tabula RefULG2'!$K$5:$R$83,5,0)</f>
        <v>9.5</v>
      </c>
      <c r="F22" s="108">
        <f>VLOOKUP(B22,'Tabula RefULG2'!$K$5:$R$83,6,0)</f>
        <v>0</v>
      </c>
      <c r="G22" s="108">
        <f>VLOOKUP(B22,'Tabula RefULG2'!$K$5:$R$83,7,0)</f>
        <v>4</v>
      </c>
      <c r="H22" s="109">
        <f>VLOOKUP(B22,'Tabula RefULG2'!$K$5:$R$83,8,0)</f>
        <v>38</v>
      </c>
      <c r="I22" s="109">
        <v>1</v>
      </c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thickTop="1" thickBot="1" x14ac:dyDescent="0.3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thickTop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thickBot="1" x14ac:dyDescent="0.3">
      <c r="A28" s="96"/>
      <c r="B28" s="117" t="s">
        <v>61</v>
      </c>
      <c r="C28" s="118">
        <f>VLOOKUP(B28,'Tabula RefULG2'!$K$5:$R$83,3,0)</f>
        <v>1</v>
      </c>
      <c r="D28" s="118" t="str">
        <f>VLOOKUP(B28,'Tabula RefULG2'!$K$5:$R$83,4,0)</f>
        <v>Floor</v>
      </c>
      <c r="E28" s="118">
        <f>VLOOKUP(B28,'Tabula RefULG2'!$K$5:$R$83,5,0)</f>
        <v>134.30000000000001</v>
      </c>
      <c r="F28" s="118">
        <f>VLOOKUP(B28,'Tabula RefULG2'!$K$5:$R$83,7,0)</f>
        <v>0.25127131319174395</v>
      </c>
      <c r="G28" s="119">
        <f>VLOOKUP(B28,'Tabula RefULG2'!$K$5:$R$83,8,0)</f>
        <v>33.745737361651216</v>
      </c>
      <c r="H28" s="119">
        <f>N28/F28*1.45/29*9</f>
        <v>0.32702720890084447</v>
      </c>
      <c r="I28" s="118">
        <f>'Tabula RefULG2'!O14</f>
        <v>134.30000000000001</v>
      </c>
      <c r="J28" s="117">
        <f>SQRT(I28)*4</f>
        <v>46.355150738618036</v>
      </c>
      <c r="K28" s="117">
        <f>SUM('Tabula RefULG2'!Z16:Z19)</f>
        <v>0.34499999999999997</v>
      </c>
      <c r="L28" s="120">
        <f>I28/(0.5*J28)</f>
        <v>5.7943938423272545</v>
      </c>
      <c r="M28" s="120">
        <f>K28+2*(1/F28)</f>
        <v>8.3045238095238094</v>
      </c>
      <c r="N28" s="121">
        <f>IF(M28&lt;L28,2*2/(PI()*L28+M28)*LN(PI()*L28/M28+1),2/(0.457*L28+M28))</f>
        <v>0.18260568051099105</v>
      </c>
      <c r="O28" s="99"/>
      <c r="P28" s="97"/>
    </row>
    <row r="29" spans="1:25" ht="15.75" customHeight="1" thickTop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152">
        <f>1.1*W18</f>
        <v>14232.002203081098</v>
      </c>
    </row>
    <row r="32" spans="1:25" ht="15.75" customHeight="1" thickBot="1" x14ac:dyDescent="0.3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thickTop="1" thickBot="1" x14ac:dyDescent="0.3">
      <c r="A33" s="96"/>
      <c r="B33" s="122" t="s">
        <v>98</v>
      </c>
      <c r="C33" s="123">
        <f>IF(VLOOKUP(B33,'Tabula RefULG2'!$K$5:$R$83,2,0)=B$6,VLOOKUP(B33,'Tabula RefULG2'!$K$5:$R$83,2,0),VLOOKUP(B33,'Tabula RefULG2'!$K$5:$R$83,3,0))</f>
        <v>1</v>
      </c>
      <c r="D33" s="123">
        <f>IF(VLOOKUP(B33,'Tabula RefULG2'!$K$5:$R$83,2,0)=B$6,VLOOKUP(B33,'Tabula RefULG2'!$K$5:$R$83,3,0),VLOOKUP(B33,'Tabula RefULG2'!$K$5:$R$83,2,0))</f>
        <v>2</v>
      </c>
      <c r="E33" s="123" t="str">
        <f>VLOOKUP(B33,'Tabula RefULG2'!$K$5:$R$83,4,0)</f>
        <v>Floor internal</v>
      </c>
      <c r="F33" s="123">
        <f>VLOOKUP(B33,'Tabula RefULG2'!$K$5:$R$83,5,0)</f>
        <v>144.69999999999999</v>
      </c>
      <c r="G33" s="123">
        <f>VLOOKUP('Verwarming Tabula 2zone RefULG2'!C33,'Tabula RefULG2'!$B$34:$G$45,5,0)</f>
        <v>21</v>
      </c>
      <c r="H33" s="123">
        <f>VLOOKUP('Verwarming Tabula 2zone RefULG2'!D33,'Tabula RefULG2'!$B$34:$G$45,5,0)</f>
        <v>18</v>
      </c>
      <c r="I33" s="123">
        <f>VLOOKUP(B33,'Tabula RefULG2'!$K$5:$R$83,7,0)</f>
        <v>0.91717620900500274</v>
      </c>
      <c r="J33" s="119">
        <f>VLOOKUP(B33,'Tabula RefULG2'!$K$5:$R$83,8,0)</f>
        <v>132.71539744302387</v>
      </c>
      <c r="K33" s="119">
        <f>(G33-H33)/(G33-$B$4)</f>
        <v>0.10344827586206896</v>
      </c>
      <c r="L33" s="99"/>
      <c r="M33" s="99"/>
      <c r="N33" s="99"/>
      <c r="O33" s="99"/>
      <c r="P33" s="97"/>
    </row>
    <row r="34" spans="1:16" ht="16.5" customHeight="1" thickTop="1" thickBot="1" x14ac:dyDescent="0.3">
      <c r="A34" s="96"/>
      <c r="B34" s="122" t="s">
        <v>101</v>
      </c>
      <c r="C34" s="123">
        <f>IF(VLOOKUP(B34,'Tabula RefULG2'!$K$5:$R$83,2,0)=B$6,VLOOKUP(B34,'Tabula RefULG2'!$K$5:$R$83,2,0),VLOOKUP(B34,'Tabula RefULG2'!$K$5:$R$83,3,0))</f>
        <v>1</v>
      </c>
      <c r="D34" s="123">
        <f>IF(VLOOKUP(B34,'Tabula RefULG2'!$K$5:$R$83,2,0)=B$6,VLOOKUP(B34,'Tabula RefULG2'!$K$5:$R$83,3,0),VLOOKUP(B34,'Tabula RefULG2'!$K$5:$R$83,2,0))</f>
        <v>1</v>
      </c>
      <c r="E34" s="123" t="str">
        <f>VLOOKUP(B34,'Tabula RefULG2'!$K$5:$R$83,4,0)</f>
        <v>Wall internal</v>
      </c>
      <c r="F34" s="123">
        <f>VLOOKUP(B34,'Tabula RefULG2'!$K$5:$R$83,5,0)</f>
        <v>219.86010000000002</v>
      </c>
      <c r="G34" s="123">
        <f>VLOOKUP('Verwarming Tabula 2zone RefULG2'!C34,'Tabula RefULG2'!$B$34:$G$45,5,0)</f>
        <v>21</v>
      </c>
      <c r="H34" s="123">
        <f>VLOOKUP('Verwarming Tabula 2zone RefULG2'!D34,'Tabula RefULG2'!$B$34:$G$45,5,0)</f>
        <v>21</v>
      </c>
      <c r="I34" s="123">
        <f>VLOOKUP(B34,'Tabula RefULG2'!$K$5:$R$83,7,0)</f>
        <v>1.330049261083744</v>
      </c>
      <c r="J34" s="119">
        <f>VLOOKUP(B34,'Tabula RefULG2'!$K$5:$R$83,8,0)</f>
        <v>292.42476354679809</v>
      </c>
      <c r="K34" s="119">
        <f>(G34-H34)/(G34-$B$4)</f>
        <v>0</v>
      </c>
      <c r="L34" s="99"/>
      <c r="M34" s="99"/>
      <c r="N34" s="99"/>
      <c r="O34" s="99"/>
      <c r="P34" s="97"/>
    </row>
    <row r="35" spans="1:16" ht="16.5" customHeight="1" thickTop="1" thickBot="1" x14ac:dyDescent="0.3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thickTop="1" thickBot="1" x14ac:dyDescent="0.3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thickTop="1" thickBot="1" x14ac:dyDescent="0.3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thickTop="1" thickBot="1" x14ac:dyDescent="0.3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thickTop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SUMPRODUCT(H12:H22,I12:I22)+SUMPRODUCT(G28,H28)+SUMPRODUCT(J33:J38,K33:K38)</f>
        <v>185.6708038400071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5384.4533113602056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thickBot="1" x14ac:dyDescent="0.3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thickTop="1" x14ac:dyDescent="0.25">
      <c r="A45" s="279" t="s">
        <v>197</v>
      </c>
      <c r="B45" s="279"/>
      <c r="C45" s="279"/>
      <c r="D45" s="126"/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thickBot="1" x14ac:dyDescent="0.3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thickTop="1" thickBot="1" x14ac:dyDescent="0.3">
      <c r="A48" s="128" t="s">
        <v>199</v>
      </c>
      <c r="B48" s="122">
        <f>'Tabula data'!E28</f>
        <v>4.693472584856397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thickTop="1" thickBot="1" x14ac:dyDescent="0.3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thickTop="1" thickBot="1" x14ac:dyDescent="0.3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thickTop="1" x14ac:dyDescent="0.25">
      <c r="A51" s="125" t="s">
        <v>205</v>
      </c>
      <c r="B51" s="119">
        <f>B48/20*'Tabula RefULG2'!C34</f>
        <v>86.529634408602149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'Tabula RefULG2'!H34</f>
        <v>134.30000000000001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v>0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86.529634408602149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0.41696607785488843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29.420075698924734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853.18219526881728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thickBot="1" x14ac:dyDescent="0.3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thickTop="1" x14ac:dyDescent="0.25">
      <c r="A63" s="279" t="s">
        <v>213</v>
      </c>
      <c r="B63" s="279"/>
      <c r="C63" s="279"/>
      <c r="D63" s="27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thickBot="1" x14ac:dyDescent="0.3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thickTop="1" thickBot="1" x14ac:dyDescent="0.3">
      <c r="A65" s="128" t="s">
        <v>214</v>
      </c>
      <c r="B65" s="122">
        <v>11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thickTop="1" thickBot="1" x14ac:dyDescent="0.3">
      <c r="A66" s="128" t="s">
        <v>113</v>
      </c>
      <c r="B66" s="122">
        <f>'Tabula RefULG2'!C7</f>
        <v>134.30000000000001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thickTop="1" x14ac:dyDescent="0.25">
      <c r="A67" s="125" t="s">
        <v>216</v>
      </c>
      <c r="B67" s="119">
        <f>B68/('Gebouwgegevens Tabula'!E35-'Verwarming Tabula 2zone RefULG2'!$B$4)</f>
        <v>50.941379310344836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1477.3000000000002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thickBot="1" x14ac:dyDescent="0.3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thickTop="1" thickBot="1" x14ac:dyDescent="0.3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thickTop="1" x14ac:dyDescent="0.25">
      <c r="A72" s="125" t="s">
        <v>218</v>
      </c>
      <c r="B72" s="119">
        <f>SUM(B42,B60,B67)</f>
        <v>266.03225884927667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7714.9355066290227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thickBot="1" x14ac:dyDescent="0.3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thickTop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thickBot="1" x14ac:dyDescent="0.3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thickTop="1" thickBot="1" x14ac:dyDescent="0.3">
      <c r="A77" s="94"/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95"/>
    </row>
    <row r="78" spans="1:16" ht="17.25" customHeight="1" thickTop="1" thickBot="1" x14ac:dyDescent="0.35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thickTop="1" x14ac:dyDescent="0.25">
      <c r="A79" s="279" t="s">
        <v>171</v>
      </c>
      <c r="B79" s="279"/>
      <c r="C79" s="279"/>
      <c r="D79" s="279"/>
      <c r="E79" s="257"/>
      <c r="F79" s="257"/>
      <c r="G79" s="257"/>
      <c r="H79" s="257"/>
      <c r="I79" s="257"/>
      <c r="J79" s="257"/>
      <c r="K79" s="257"/>
      <c r="L79" s="257"/>
      <c r="M79" s="257"/>
      <c r="N79" s="257"/>
      <c r="O79" s="257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thickBot="1" x14ac:dyDescent="0.3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thickTop="1" thickBot="1" x14ac:dyDescent="0.3">
      <c r="A84" s="96"/>
      <c r="B84" s="107" t="s">
        <v>71</v>
      </c>
      <c r="C84" s="108">
        <f>VLOOKUP(B84,'Tabula RefULG2'!$K$5:$R$83,3,0)</f>
        <v>2</v>
      </c>
      <c r="D84" s="108" t="str">
        <f>VLOOKUP(B84,'Tabula RefULG2'!$K$5:$R$83,4,0)</f>
        <v>Wall External</v>
      </c>
      <c r="E84" s="108">
        <f>VLOOKUP(B84,'Tabula RefULG2'!$K$5:$R$83,5,0)</f>
        <v>0.7034500000000008</v>
      </c>
      <c r="F84" s="108" t="str">
        <f>VLOOKUP(B84,'Tabula RefULG2'!$K$5:$R$83,6,0)</f>
        <v>front</v>
      </c>
      <c r="G84" s="108">
        <f>VLOOKUP(B84,'Tabula RefULG2'!$K$5:$R$83,7,0)</f>
        <v>0.29666979362101314</v>
      </c>
      <c r="H84" s="109">
        <f>VLOOKUP(B84,'Tabula RefULG2'!$K$5:$R$83,8,0)</f>
        <v>0.20869236632270194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thickTop="1" thickBot="1" x14ac:dyDescent="0.3">
      <c r="A85" s="96"/>
      <c r="B85" s="107" t="s">
        <v>75</v>
      </c>
      <c r="C85" s="108">
        <f>VLOOKUP(B85,'Tabula RefULG2'!$K$5:$R$83,3,0)</f>
        <v>2</v>
      </c>
      <c r="D85" s="108" t="str">
        <f>VLOOKUP(B85,'Tabula RefULG2'!$K$5:$R$83,4,0)</f>
        <v>Wall External</v>
      </c>
      <c r="E85" s="108">
        <f>VLOOKUP(B85,'Tabula RefULG2'!$K$5:$R$83,5,0)</f>
        <v>17.266500000000004</v>
      </c>
      <c r="F85" s="108" t="str">
        <f>VLOOKUP(B85,'Tabula RefULG2'!$K$5:$R$83,6,0)</f>
        <v>right</v>
      </c>
      <c r="G85" s="108">
        <f>VLOOKUP(B85,'Tabula RefULG2'!$K$5:$R$83,7,0)</f>
        <v>0.29666979362101314</v>
      </c>
      <c r="H85" s="109">
        <f>VLOOKUP(B85,'Tabula RefULG2'!$K$5:$R$83,8,0)</f>
        <v>5.1224489915572251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thickTop="1" thickBot="1" x14ac:dyDescent="0.3">
      <c r="A86" s="96"/>
      <c r="B86" s="107" t="s">
        <v>79</v>
      </c>
      <c r="C86" s="108">
        <f>VLOOKUP(B86,'Tabula RefULG2'!$K$5:$R$83,3,0)</f>
        <v>2</v>
      </c>
      <c r="D86" s="108" t="str">
        <f>VLOOKUP(B86,'Tabula RefULG2'!$K$5:$R$83,4,0)</f>
        <v>Wall External</v>
      </c>
      <c r="E86" s="108">
        <f>VLOOKUP(B86,'Tabula RefULG2'!$K$5:$R$83,5,0)</f>
        <v>0.7034500000000008</v>
      </c>
      <c r="F86" s="108" t="str">
        <f>VLOOKUP(B86,'Tabula RefULG2'!$K$5:$R$83,6,0)</f>
        <v>back</v>
      </c>
      <c r="G86" s="108">
        <f>VLOOKUP(B86,'Tabula RefULG2'!$K$5:$R$83,7,0)</f>
        <v>0.29666979362101314</v>
      </c>
      <c r="H86" s="109">
        <f>VLOOKUP(B86,'Tabula RefULG2'!$K$5:$R$83,8,0)</f>
        <v>0.20869236632270194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thickTop="1" thickBot="1" x14ac:dyDescent="0.3">
      <c r="A87" s="96"/>
      <c r="B87" s="107" t="s">
        <v>82</v>
      </c>
      <c r="C87" s="108">
        <f>VLOOKUP(B87,'Tabula RefULG2'!$K$5:$R$83,3,0)</f>
        <v>2</v>
      </c>
      <c r="D87" s="108" t="str">
        <f>VLOOKUP(B87,'Tabula RefULG2'!$K$5:$R$83,4,0)</f>
        <v>Wall External</v>
      </c>
      <c r="E87" s="108">
        <f>VLOOKUP(B87,'Tabula RefULG2'!$K$5:$R$83,5,0)</f>
        <v>17.266500000000004</v>
      </c>
      <c r="F87" s="108" t="str">
        <f>VLOOKUP(B87,'Tabula RefULG2'!$K$5:$R$83,6,0)</f>
        <v>left</v>
      </c>
      <c r="G87" s="108">
        <f>VLOOKUP(B87,'Tabula RefULG2'!$K$5:$R$83,7,0)</f>
        <v>0.29666979362101314</v>
      </c>
      <c r="H87" s="109">
        <f>VLOOKUP(B87,'Tabula RefULG2'!$K$5:$R$83,8,0)</f>
        <v>5.1224489915572251</v>
      </c>
      <c r="I87" s="109">
        <v>1</v>
      </c>
      <c r="J87" s="99"/>
      <c r="K87" s="99"/>
      <c r="L87" s="99"/>
      <c r="M87" s="99"/>
      <c r="N87" s="99"/>
      <c r="O87" s="99"/>
      <c r="P87" s="97"/>
    </row>
    <row r="88" spans="1:16" ht="16.5" customHeight="1" thickTop="1" thickBot="1" x14ac:dyDescent="0.3">
      <c r="A88" s="96"/>
      <c r="B88" s="107" t="s">
        <v>84</v>
      </c>
      <c r="C88" s="108">
        <f>VLOOKUP(B88,'Tabula RefULG2'!$K$5:$R$83,3,0)</f>
        <v>2</v>
      </c>
      <c r="D88" s="108" t="str">
        <f>VLOOKUP(B88,'Tabula RefULG2'!$K$5:$R$83,4,0)</f>
        <v>Window</v>
      </c>
      <c r="E88" s="108">
        <f>VLOOKUP(B88,'Tabula RefULG2'!$K$5:$R$83,5,0)</f>
        <v>3.2400000000000007</v>
      </c>
      <c r="F88" s="108" t="str">
        <f>VLOOKUP(B88,'Tabula RefULG2'!$K$5:$R$83,6,0)</f>
        <v>front</v>
      </c>
      <c r="G88" s="108">
        <f>VLOOKUP(B88,'Tabula RefULG2'!$K$5:$R$83,7,0)</f>
        <v>2</v>
      </c>
      <c r="H88" s="109">
        <f>VLOOKUP(B88,'Tabula RefULG2'!$K$5:$R$83,8,0)</f>
        <v>6.4800000000000013</v>
      </c>
      <c r="I88" s="109">
        <v>1</v>
      </c>
      <c r="J88" s="99"/>
      <c r="K88" s="99"/>
      <c r="L88" s="99"/>
      <c r="M88" s="99"/>
      <c r="N88" s="99"/>
      <c r="O88" s="99"/>
      <c r="P88" s="97"/>
    </row>
    <row r="89" spans="1:16" ht="16.5" customHeight="1" thickTop="1" thickBot="1" x14ac:dyDescent="0.3">
      <c r="A89" s="96"/>
      <c r="B89" s="107" t="s">
        <v>87</v>
      </c>
      <c r="C89" s="108">
        <f>VLOOKUP(B89,'Tabula RefULG2'!$K$5:$R$83,3,0)</f>
        <v>2</v>
      </c>
      <c r="D89" s="108" t="str">
        <f>VLOOKUP(B89,'Tabula RefULG2'!$K$5:$R$83,4,0)</f>
        <v>Window</v>
      </c>
      <c r="E89" s="108">
        <f>VLOOKUP(B89,'Tabula RefULG2'!$K$5:$R$83,5,0)</f>
        <v>2.7900000000000005</v>
      </c>
      <c r="F89" s="108" t="str">
        <f>VLOOKUP(B89,'Tabula RefULG2'!$K$5:$R$83,6,0)</f>
        <v>right</v>
      </c>
      <c r="G89" s="108">
        <f>VLOOKUP(B89,'Tabula RefULG2'!$K$5:$R$83,7,0)</f>
        <v>2</v>
      </c>
      <c r="H89" s="109">
        <f>VLOOKUP(B89,'Tabula RefULG2'!$K$5:$R$83,8,0)</f>
        <v>5.580000000000001</v>
      </c>
      <c r="I89" s="109">
        <v>1</v>
      </c>
      <c r="J89" s="99"/>
      <c r="K89" s="99"/>
      <c r="L89" s="99"/>
      <c r="M89" s="99"/>
      <c r="N89" s="99"/>
      <c r="O89" s="99"/>
      <c r="P89" s="97"/>
    </row>
    <row r="90" spans="1:16" ht="16.5" customHeight="1" thickTop="1" thickBot="1" x14ac:dyDescent="0.3">
      <c r="A90" s="96"/>
      <c r="B90" s="107" t="s">
        <v>89</v>
      </c>
      <c r="C90" s="108">
        <f>VLOOKUP(B90,'Tabula RefULG2'!$K$5:$R$83,3,0)</f>
        <v>2</v>
      </c>
      <c r="D90" s="108" t="str">
        <f>VLOOKUP(B90,'Tabula RefULG2'!$K$5:$R$83,4,0)</f>
        <v>Window</v>
      </c>
      <c r="E90" s="108">
        <f>VLOOKUP(B90,'Tabula RefULG2'!$K$5:$R$83,5,0)</f>
        <v>3.66</v>
      </c>
      <c r="F90" s="108" t="str">
        <f>VLOOKUP(B90,'Tabula RefULG2'!$K$5:$R$83,6,0)</f>
        <v>back</v>
      </c>
      <c r="G90" s="108">
        <f>VLOOKUP(B90,'Tabula RefULG2'!$K$5:$R$83,7,0)</f>
        <v>2</v>
      </c>
      <c r="H90" s="109">
        <f>VLOOKUP(B90,'Tabula RefULG2'!$K$5:$R$83,8,0)</f>
        <v>7.32</v>
      </c>
      <c r="I90" s="109">
        <v>1</v>
      </c>
      <c r="J90" s="99"/>
      <c r="K90" s="99"/>
      <c r="L90" s="99"/>
      <c r="M90" s="99"/>
      <c r="N90" s="99"/>
      <c r="O90" s="99"/>
      <c r="P90" s="97"/>
    </row>
    <row r="91" spans="1:16" ht="16.5" customHeight="1" thickTop="1" thickBot="1" x14ac:dyDescent="0.3">
      <c r="A91" s="96"/>
      <c r="B91" s="107" t="s">
        <v>92</v>
      </c>
      <c r="C91" s="108">
        <f>VLOOKUP(B91,'Tabula RefULG2'!$K$5:$R$83,3,0)</f>
        <v>2</v>
      </c>
      <c r="D91" s="108" t="str">
        <f>VLOOKUP(B91,'Tabula RefULG2'!$K$5:$R$83,4,0)</f>
        <v>Window</v>
      </c>
      <c r="E91" s="108">
        <f>VLOOKUP(B91,'Tabula RefULG2'!$K$5:$R$83,5,0)</f>
        <v>2.6700000000000004</v>
      </c>
      <c r="F91" s="108" t="str">
        <f>VLOOKUP(B91,'Tabula RefULG2'!$K$5:$R$83,6,0)</f>
        <v>left</v>
      </c>
      <c r="G91" s="108">
        <f>VLOOKUP(B91,'Tabula RefULG2'!$K$5:$R$83,7,0)</f>
        <v>2</v>
      </c>
      <c r="H91" s="109">
        <f>VLOOKUP(B91,'Tabula RefULG2'!$K$5:$R$83,8,0)</f>
        <v>5.3400000000000007</v>
      </c>
      <c r="I91" s="109">
        <v>1</v>
      </c>
      <c r="J91" s="99"/>
      <c r="K91" s="99"/>
      <c r="L91" s="99"/>
      <c r="M91" s="99"/>
      <c r="N91" s="99"/>
      <c r="O91" s="99"/>
      <c r="P91" s="97"/>
    </row>
    <row r="92" spans="1:16" ht="16.5" customHeight="1" thickTop="1" thickBot="1" x14ac:dyDescent="0.3">
      <c r="A92" s="96"/>
      <c r="B92" s="107" t="s">
        <v>96</v>
      </c>
      <c r="C92" s="108">
        <f>VLOOKUP(B92,'Tabula RefULG2'!$K$5:$R$83,3,0)</f>
        <v>2</v>
      </c>
      <c r="D92" s="108" t="str">
        <f>VLOOKUP(B92,'Tabula RefULG2'!$K$5:$R$83,4,0)</f>
        <v>Roof</v>
      </c>
      <c r="E92" s="108">
        <f>VLOOKUP(B92,'Tabula RefULG2'!$K$5:$R$83,5,0)</f>
        <v>158.4</v>
      </c>
      <c r="F92" s="108" t="str">
        <f>VLOOKUP(B92,'Tabula RefULG2'!$K$5:$R$83,6,0)</f>
        <v>front/back</v>
      </c>
      <c r="G92" s="108">
        <f>VLOOKUP(B92,'Tabula RefULG2'!$K$5:$R$83,7,0)</f>
        <v>0.27481053799679722</v>
      </c>
      <c r="H92" s="109">
        <f>VLOOKUP(B92,'Tabula RefULG2'!$K$5:$R$83,8,0)</f>
        <v>43.529989218692684</v>
      </c>
      <c r="I92" s="109">
        <v>1</v>
      </c>
      <c r="J92" s="99"/>
      <c r="K92" s="99"/>
      <c r="L92" s="99"/>
      <c r="M92" s="99"/>
      <c r="N92" s="99"/>
      <c r="O92" s="99"/>
      <c r="P92" s="97"/>
    </row>
    <row r="93" spans="1:16" ht="16.5" customHeight="1" thickTop="1" thickBot="1" x14ac:dyDescent="0.3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thickTop="1" thickBot="1" x14ac:dyDescent="0.3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thickTop="1" thickBot="1" x14ac:dyDescent="0.3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thickTop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thickBot="1" x14ac:dyDescent="0.3">
      <c r="A100" s="96"/>
      <c r="B100" s="117"/>
      <c r="C100" s="118"/>
      <c r="D100" s="118"/>
      <c r="E100" s="118"/>
      <c r="F100" s="118"/>
      <c r="G100" s="119"/>
      <c r="H100" s="119"/>
      <c r="I100" s="118"/>
      <c r="J100" s="117"/>
      <c r="K100" s="117"/>
      <c r="L100" s="120"/>
      <c r="M100" s="120"/>
      <c r="N100" s="121"/>
      <c r="O100" s="99"/>
      <c r="P100" s="97"/>
    </row>
    <row r="101" spans="1:16" ht="18.75" customHeight="1" thickTop="1" thickBot="1" x14ac:dyDescent="0.3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thickTop="1" thickBot="1" x14ac:dyDescent="0.3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thickTop="1" thickBot="1" x14ac:dyDescent="0.3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thickTop="1" thickBot="1" x14ac:dyDescent="0.3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thickTop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thickBot="1" x14ac:dyDescent="0.3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thickTop="1" thickBot="1" x14ac:dyDescent="0.3">
      <c r="A108" s="96"/>
      <c r="B108" s="122" t="s">
        <v>98</v>
      </c>
      <c r="C108" s="123">
        <f>IF(VLOOKUP(B108,'Tabula RefULG2'!$K$5:$R$83,2,0)=$B$78,VLOOKUP(B108,'Tabula RefULG2'!$K$5:$R$83,2,0),VLOOKUP(B108,'Tabula RefULG2'!$K$5:$R$83,3,0))</f>
        <v>2</v>
      </c>
      <c r="D108" s="123">
        <f>IF(VLOOKUP(B108,'Tabula RefULG2'!$K$5:$R$83,2,0)=$B$78,VLOOKUP(B108,'Tabula RefULG2'!$K$5:$R$83,3,0),VLOOKUP(B108,'Tabula RefULG2'!$K$5:$R$83,2,0))</f>
        <v>1</v>
      </c>
      <c r="E108" s="123" t="str">
        <f>VLOOKUP(B108,'Tabula RefULG2'!$K$5:$R$83,4,0)</f>
        <v>Floor internal</v>
      </c>
      <c r="F108" s="123">
        <f>VLOOKUP(B108,'Tabula RefULG2'!$K$5:$R$83,5,0)</f>
        <v>144.69999999999999</v>
      </c>
      <c r="G108" s="123">
        <f>VLOOKUP('Verwarming Tabula 2zone RefULG2'!C108,'Tabula RefULG2'!$B$34:$G$45,5,0)</f>
        <v>18</v>
      </c>
      <c r="H108" s="123">
        <f>VLOOKUP('Verwarming Tabula 2zone RefULG2'!D108,'Tabula RefULG2'!$B$34:$G$45,5,0)</f>
        <v>21</v>
      </c>
      <c r="I108" s="123">
        <f>VLOOKUP(B108,'Tabula RefULG2'!$K$5:$R$83,7,0)</f>
        <v>0.91717620900500274</v>
      </c>
      <c r="J108" s="119">
        <f>VLOOKUP(B108,'Tabula RefULG2'!$K$5:$R$83,8,0)</f>
        <v>132.71539744302387</v>
      </c>
      <c r="K108" s="119">
        <f>(G108-H108)/(G108-$B$4)</f>
        <v>-0.11538461538461539</v>
      </c>
      <c r="L108" s="99"/>
      <c r="M108" s="99"/>
      <c r="N108" s="99"/>
      <c r="O108" s="99"/>
      <c r="P108" s="97"/>
    </row>
    <row r="109" spans="1:16" ht="16.5" customHeight="1" thickTop="1" thickBot="1" x14ac:dyDescent="0.3">
      <c r="A109" s="96"/>
      <c r="B109" s="122" t="s">
        <v>102</v>
      </c>
      <c r="C109" s="123">
        <f>IF(VLOOKUP(B109,'Tabula RefULG2'!$K$5:$R$83,2,0)=$B$78,VLOOKUP(B109,'Tabula RefULG2'!$K$5:$R$83,2,0),VLOOKUP(B109,'Tabula RefULG2'!$K$5:$R$83,3,0))</f>
        <v>2</v>
      </c>
      <c r="D109" s="123">
        <f>IF(VLOOKUP(B109,'Tabula RefULG2'!$K$5:$R$83,2,0)=$B$78,VLOOKUP(B109,'Tabula RefULG2'!$K$5:$R$83,3,0),VLOOKUP(B109,'Tabula RefULG2'!$K$5:$R$83,2,0))</f>
        <v>2</v>
      </c>
      <c r="E109" s="123" t="str">
        <f>VLOOKUP(B109,'Tabula RefULG2'!$K$5:$R$83,4,0)</f>
        <v>Wall internal</v>
      </c>
      <c r="F109" s="123">
        <f>VLOOKUP(B109,'Tabula RefULG2'!$K$5:$R$83,5,0)</f>
        <v>35.939900000000009</v>
      </c>
      <c r="G109" s="123">
        <f>VLOOKUP('Verwarming Tabula 2zone RefULG2'!C109,'Tabula RefULG2'!$B$34:$G$45,5,0)</f>
        <v>18</v>
      </c>
      <c r="H109" s="123">
        <f>VLOOKUP('Verwarming Tabula 2zone RefULG2'!D109,'Tabula RefULG2'!$B$34:$G$45,5,0)</f>
        <v>18</v>
      </c>
      <c r="I109" s="123">
        <f>VLOOKUP(B109,'Tabula RefULG2'!$K$5:$R$83,7,0)</f>
        <v>1.330049261083744</v>
      </c>
      <c r="J109" s="119">
        <f>VLOOKUP(B109,'Tabula RefULG2'!$K$5:$R$83,8,0)</f>
        <v>47.801837438423661</v>
      </c>
      <c r="K109" s="119">
        <f>(G109-H109)/(G109-$B$4)</f>
        <v>0</v>
      </c>
      <c r="L109" s="99"/>
      <c r="M109" s="99"/>
      <c r="N109" s="99"/>
      <c r="O109" s="99"/>
      <c r="P109" s="97"/>
    </row>
    <row r="110" spans="1:16" ht="16.5" customHeight="1" thickTop="1" thickBot="1" x14ac:dyDescent="0.3">
      <c r="A110" s="96"/>
      <c r="B110" s="122"/>
      <c r="C110" s="123"/>
      <c r="D110" s="123"/>
      <c r="E110" s="123"/>
      <c r="F110" s="123"/>
      <c r="G110" s="123"/>
      <c r="H110" s="123"/>
      <c r="I110" s="123"/>
      <c r="J110" s="119"/>
      <c r="K110" s="119"/>
      <c r="L110" s="99"/>
      <c r="M110" s="99"/>
      <c r="N110" s="99"/>
      <c r="O110" s="99"/>
      <c r="P110" s="97"/>
    </row>
    <row r="111" spans="1:16" ht="16.5" customHeight="1" thickTop="1" thickBot="1" x14ac:dyDescent="0.3">
      <c r="A111" s="96"/>
      <c r="B111" s="93"/>
      <c r="C111" s="123"/>
      <c r="D111" s="123"/>
      <c r="E111" s="123"/>
      <c r="F111" s="123"/>
      <c r="G111" s="123"/>
      <c r="H111" s="123"/>
      <c r="I111" s="123"/>
      <c r="J111" s="119"/>
      <c r="K111" s="119"/>
      <c r="L111" s="99"/>
      <c r="M111" s="99"/>
      <c r="N111" s="99"/>
      <c r="O111" s="99"/>
      <c r="P111" s="97"/>
    </row>
    <row r="112" spans="1:16" ht="16.5" customHeight="1" thickTop="1" thickBot="1" x14ac:dyDescent="0.3">
      <c r="A112" s="96"/>
      <c r="B112" s="124"/>
      <c r="C112" s="140"/>
      <c r="D112" s="123"/>
      <c r="E112" s="123"/>
      <c r="F112" s="123"/>
      <c r="G112" s="123"/>
      <c r="H112" s="123"/>
      <c r="I112" s="123"/>
      <c r="J112" s="119"/>
      <c r="K112" s="119"/>
      <c r="L112" s="99"/>
      <c r="M112" s="99"/>
      <c r="N112" s="99"/>
      <c r="O112" s="99"/>
      <c r="P112" s="97"/>
    </row>
    <row r="113" spans="1:16" ht="16.5" customHeight="1" thickTop="1" thickBot="1" x14ac:dyDescent="0.3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thickTop="1" thickBot="1" x14ac:dyDescent="0.3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thickTop="1" thickBot="1" x14ac:dyDescent="0.3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thickTop="1" thickBot="1" x14ac:dyDescent="0.3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thickTop="1" thickBot="1" x14ac:dyDescent="0.3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thickTop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>
        <f>SUMPRODUCT(H84:H95,I84:I95)+SUMPRODUCT(G100:G104,H100:H104)+SUMPRODUCT(J108:J117,K108:K117)</f>
        <v>63.598956844872873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>
        <f>B121*(G109-$B$4)</f>
        <v>1653.5728779666947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thickBot="1" x14ac:dyDescent="0.3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thickTop="1" x14ac:dyDescent="0.25">
      <c r="A124" s="279" t="s">
        <v>197</v>
      </c>
      <c r="B124" s="279"/>
      <c r="C124" s="279"/>
      <c r="D124" s="126" t="s">
        <v>225</v>
      </c>
      <c r="E124" s="257"/>
      <c r="F124" s="257"/>
      <c r="G124" s="257"/>
      <c r="H124" s="257"/>
      <c r="I124" s="257"/>
      <c r="J124" s="257"/>
      <c r="K124" s="257"/>
      <c r="L124" s="257"/>
      <c r="M124" s="257"/>
      <c r="N124" s="257"/>
      <c r="O124" s="257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thickBot="1" x14ac:dyDescent="0.3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thickTop="1" thickBot="1" x14ac:dyDescent="0.3">
      <c r="A127" s="128" t="s">
        <v>199</v>
      </c>
      <c r="B127" s="122">
        <f>B48</f>
        <v>4.693472584856397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thickTop="1" thickBot="1" x14ac:dyDescent="0.3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thickTop="1" thickBot="1" x14ac:dyDescent="0.3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thickTop="1" x14ac:dyDescent="0.25">
      <c r="A130" s="125" t="s">
        <v>205</v>
      </c>
      <c r="B130" s="119">
        <f>2*VLOOKUP(B78,'Tabula RefULG2'!$B$34:$G$45,2,0)*B127*B128*B129</f>
        <v>111.87643870967742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'Tabula RefULG2'!H35</f>
        <v>144.69999999999999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SUM(B130,B134)</f>
        <v>111.87643870967742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0.70147245378760403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0.34*(B137+B130)</f>
        <v>76.075978322580653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B139*(G109-$B$4)</f>
        <v>1977.975436387097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thickBot="1" x14ac:dyDescent="0.3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thickTop="1" x14ac:dyDescent="0.25">
      <c r="A142" s="279" t="s">
        <v>213</v>
      </c>
      <c r="B142" s="279"/>
      <c r="C142" s="279"/>
      <c r="D142" s="27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thickBot="1" x14ac:dyDescent="0.3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thickTop="1" thickBot="1" x14ac:dyDescent="0.3">
      <c r="A144" s="128" t="s">
        <v>214</v>
      </c>
      <c r="B144" s="122">
        <v>11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thickTop="1" thickBot="1" x14ac:dyDescent="0.3">
      <c r="A145" s="128" t="s">
        <v>113</v>
      </c>
      <c r="B145" s="122">
        <f>B133</f>
        <v>144.69999999999999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thickTop="1" x14ac:dyDescent="0.25">
      <c r="A146" s="125" t="s">
        <v>216</v>
      </c>
      <c r="B146" s="119">
        <f>B147/('Gebouwgegevens Allacker'!E100-'Verwarming Tabula 2zone RefULG2'!$B$4)</f>
        <v>198.96249999999998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1591.6999999999998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thickBot="1" x14ac:dyDescent="0.3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thickTop="1" thickBot="1" x14ac:dyDescent="0.3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thickTop="1" x14ac:dyDescent="0.25">
      <c r="A151" s="125" t="s">
        <v>218</v>
      </c>
      <c r="B151" s="119">
        <f>SUM(B121,B139,B146)</f>
        <v>338.63743516745353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>
        <f>SUM(B122,B140,B147)</f>
        <v>5223.248314353792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thickBot="1" x14ac:dyDescent="0.3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thickTop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thickBot="1" x14ac:dyDescent="0.3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thickTop="1" thickBot="1" x14ac:dyDescent="0.3">
      <c r="A157" s="94"/>
      <c r="B157" s="257"/>
      <c r="C157" s="257"/>
      <c r="D157" s="257"/>
      <c r="E157" s="257"/>
      <c r="F157" s="257"/>
      <c r="G157" s="257"/>
      <c r="H157" s="257"/>
      <c r="I157" s="257"/>
      <c r="J157" s="257"/>
      <c r="K157" s="257"/>
      <c r="L157" s="257"/>
      <c r="M157" s="257"/>
      <c r="N157" s="257"/>
      <c r="O157" s="257"/>
      <c r="P157" s="95"/>
    </row>
    <row r="158" spans="1:16" ht="17.25" customHeight="1" thickTop="1" thickBot="1" x14ac:dyDescent="0.35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thickTop="1" x14ac:dyDescent="0.25">
      <c r="A159" s="279" t="s">
        <v>171</v>
      </c>
      <c r="B159" s="279"/>
      <c r="C159" s="279"/>
      <c r="D159" s="279"/>
      <c r="E159" s="257"/>
      <c r="F159" s="257"/>
      <c r="G159" s="257"/>
      <c r="H159" s="257"/>
      <c r="I159" s="257"/>
      <c r="J159" s="257"/>
      <c r="K159" s="257"/>
      <c r="L159" s="257"/>
      <c r="M159" s="257"/>
      <c r="N159" s="257"/>
      <c r="O159" s="257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thickBot="1" x14ac:dyDescent="0.3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thickTop="1" thickBot="1" x14ac:dyDescent="0.3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thickTop="1" thickBot="1" x14ac:dyDescent="0.3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thickTop="1" thickBot="1" x14ac:dyDescent="0.3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thickTop="1" thickBot="1" x14ac:dyDescent="0.3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thickTop="1" thickBot="1" x14ac:dyDescent="0.3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thickTop="1" thickBot="1" x14ac:dyDescent="0.3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thickTop="1" thickBot="1" x14ac:dyDescent="0.3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thickTop="1" thickBot="1" x14ac:dyDescent="0.3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thickTop="1" thickBot="1" x14ac:dyDescent="0.3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thickTop="1" thickBot="1" x14ac:dyDescent="0.3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thickTop="1" thickBot="1" x14ac:dyDescent="0.3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thickTop="1" thickBot="1" x14ac:dyDescent="0.3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thickTop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thickBot="1" x14ac:dyDescent="0.3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thickTop="1" thickBot="1" x14ac:dyDescent="0.3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thickTop="1" thickBot="1" x14ac:dyDescent="0.3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thickTop="1" thickBot="1" x14ac:dyDescent="0.3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thickTop="1" thickBot="1" x14ac:dyDescent="0.3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thickTop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thickBot="1" x14ac:dyDescent="0.3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thickTop="1" thickBot="1" x14ac:dyDescent="0.3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 2zone RefULG2'!C188,'Gebouwgegevens Allacker'!$A$35:$F$46,5,0)</f>
        <v>#N/A</v>
      </c>
      <c r="H188" s="123" t="e">
        <f>VLOOKUP('Verwarming Tabula 2zone RefULG2'!D188,'Gebouwgegevens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thickTop="1" thickBot="1" x14ac:dyDescent="0.3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 2zone RefULG2'!C189,'Gebouwgegevens Allacker'!$A$35:$F$46,5,0)</f>
        <v>#N/A</v>
      </c>
      <c r="H189" s="123" t="e">
        <f>VLOOKUP('Verwarming Tabula 2zone RefULG2'!D189,'Gebouwgegevens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thickTop="1" thickBot="1" x14ac:dyDescent="0.3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 2zone RefULG2'!C190,'Gebouwgegevens Allacker'!$A$35:$F$46,5,0)</f>
        <v>#N/A</v>
      </c>
      <c r="H190" s="123" t="e">
        <f>VLOOKUP('Verwarming Tabula 2zone RefULG2'!D190,'Gebouwgegevens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thickTop="1" thickBot="1" x14ac:dyDescent="0.3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thickTop="1" thickBot="1" x14ac:dyDescent="0.3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thickTop="1" thickBot="1" x14ac:dyDescent="0.3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thickTop="1" thickBot="1" x14ac:dyDescent="0.3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thickTop="1" thickBot="1" x14ac:dyDescent="0.3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thickTop="1" thickBot="1" x14ac:dyDescent="0.3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thickTop="1" thickBot="1" x14ac:dyDescent="0.3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thickTop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thickBot="1" x14ac:dyDescent="0.3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thickTop="1" x14ac:dyDescent="0.25">
      <c r="A204" s="279" t="s">
        <v>197</v>
      </c>
      <c r="B204" s="279"/>
      <c r="C204" s="279"/>
      <c r="D204" s="126" t="s">
        <v>225</v>
      </c>
      <c r="E204" s="257"/>
      <c r="F204" s="257"/>
      <c r="G204" s="257"/>
      <c r="H204" s="257"/>
      <c r="I204" s="257"/>
      <c r="J204" s="257"/>
      <c r="K204" s="257"/>
      <c r="L204" s="257"/>
      <c r="M204" s="257"/>
      <c r="N204" s="257"/>
      <c r="O204" s="257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thickBot="1" x14ac:dyDescent="0.3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thickTop="1" thickBot="1" x14ac:dyDescent="0.3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thickTop="1" thickBot="1" x14ac:dyDescent="0.3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thickTop="1" thickBot="1" x14ac:dyDescent="0.3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thickTop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thickBot="1" x14ac:dyDescent="0.3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thickTop="1" x14ac:dyDescent="0.25">
      <c r="A222" s="279" t="s">
        <v>213</v>
      </c>
      <c r="B222" s="279"/>
      <c r="C222" s="279"/>
      <c r="D222" s="27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thickBot="1" x14ac:dyDescent="0.3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thickTop="1" thickBot="1" x14ac:dyDescent="0.3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thickTop="1" x14ac:dyDescent="0.25">
      <c r="A225" s="152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 2zone RefULG2'!$B$4)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thickBot="1" x14ac:dyDescent="0.3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thickTop="1" thickBot="1" x14ac:dyDescent="0.3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thickTop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thickBot="1" x14ac:dyDescent="0.3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thickTop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thickBot="1" x14ac:dyDescent="0.3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thickTop="1" thickBot="1" x14ac:dyDescent="0.3">
      <c r="A236" s="94"/>
      <c r="B236" s="257"/>
      <c r="C236" s="257"/>
      <c r="D236" s="257"/>
      <c r="E236" s="257"/>
      <c r="F236" s="257"/>
      <c r="G236" s="257"/>
      <c r="H236" s="257"/>
      <c r="I236" s="257"/>
      <c r="J236" s="257"/>
      <c r="K236" s="257"/>
      <c r="L236" s="257"/>
      <c r="M236" s="257"/>
      <c r="N236" s="257"/>
      <c r="O236" s="257"/>
      <c r="P236" s="95"/>
    </row>
    <row r="237" spans="1:16" ht="17.25" customHeight="1" thickTop="1" thickBot="1" x14ac:dyDescent="0.35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thickTop="1" x14ac:dyDescent="0.25">
      <c r="A238" s="279" t="s">
        <v>171</v>
      </c>
      <c r="B238" s="279"/>
      <c r="C238" s="279"/>
      <c r="D238" s="279"/>
      <c r="E238" s="257"/>
      <c r="F238" s="257"/>
      <c r="G238" s="257"/>
      <c r="H238" s="257"/>
      <c r="I238" s="257"/>
      <c r="J238" s="257"/>
      <c r="K238" s="257"/>
      <c r="L238" s="257"/>
      <c r="M238" s="257"/>
      <c r="N238" s="257"/>
      <c r="O238" s="257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thickBot="1" x14ac:dyDescent="0.3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thickTop="1" thickBot="1" x14ac:dyDescent="0.3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thickTop="1" thickBot="1" x14ac:dyDescent="0.3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thickTop="1" thickBot="1" x14ac:dyDescent="0.3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thickTop="1" thickBot="1" x14ac:dyDescent="0.3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thickTop="1" thickBot="1" x14ac:dyDescent="0.3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thickTop="1" thickBot="1" x14ac:dyDescent="0.3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thickTop="1" thickBot="1" x14ac:dyDescent="0.3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thickTop="1" thickBot="1" x14ac:dyDescent="0.3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thickTop="1" thickBot="1" x14ac:dyDescent="0.3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thickTop="1" thickBot="1" x14ac:dyDescent="0.3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thickTop="1" thickBot="1" x14ac:dyDescent="0.3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thickTop="1" thickBot="1" x14ac:dyDescent="0.3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thickTop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thickBot="1" x14ac:dyDescent="0.3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thickTop="1" thickBot="1" x14ac:dyDescent="0.3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thickTop="1" thickBot="1" x14ac:dyDescent="0.3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thickTop="1" thickBot="1" x14ac:dyDescent="0.3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thickTop="1" thickBot="1" x14ac:dyDescent="0.3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thickTop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thickBot="1" x14ac:dyDescent="0.3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thickTop="1" thickBot="1" x14ac:dyDescent="0.3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 2zone RefULG2'!C267,'Gebouwgegevens Allacker'!$A$35:$F$46,5,0)</f>
        <v>#N/A</v>
      </c>
      <c r="H267" s="123" t="e">
        <f>VLOOKUP('Verwarming Tabula 2zone RefULG2'!D267,'Gebouwgegevens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thickTop="1" thickBot="1" x14ac:dyDescent="0.3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 2zone RefULG2'!C268,'Gebouwgegevens Allacker'!$A$35:$F$46,5,0)</f>
        <v>#N/A</v>
      </c>
      <c r="H268" s="123" t="e">
        <f>VLOOKUP('Verwarming Tabula 2zone RefULG2'!D268,'Gebouwgegevens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thickTop="1" thickBot="1" x14ac:dyDescent="0.3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 2zone RefULG2'!C269,'Gebouwgegevens Allacker'!$A$35:$F$46,5,0)</f>
        <v>#N/A</v>
      </c>
      <c r="H269" s="123" t="e">
        <f>VLOOKUP('Verwarming Tabula 2zone RefULG2'!D269,'Gebouwgegevens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thickTop="1" thickBot="1" x14ac:dyDescent="0.3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 2zone RefULG2'!C270,'Gebouwgegevens Allacker'!$A$35:$F$46,5,0)</f>
        <v>#N/A</v>
      </c>
      <c r="H270" s="123" t="e">
        <f>VLOOKUP('Verwarming Tabula 2zone RefULG2'!D270,'Gebouwgegevens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thickTop="1" thickBot="1" x14ac:dyDescent="0.3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thickTop="1" thickBot="1" x14ac:dyDescent="0.3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thickTop="1" thickBot="1" x14ac:dyDescent="0.3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thickTop="1" thickBot="1" x14ac:dyDescent="0.3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thickTop="1" thickBot="1" x14ac:dyDescent="0.3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thickTop="1" thickBot="1" x14ac:dyDescent="0.3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thickTop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thickBot="1" x14ac:dyDescent="0.3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thickTop="1" x14ac:dyDescent="0.25">
      <c r="A283" s="279" t="s">
        <v>197</v>
      </c>
      <c r="B283" s="279"/>
      <c r="C283" s="279"/>
      <c r="D283" s="126" t="s">
        <v>225</v>
      </c>
      <c r="E283" s="257"/>
      <c r="F283" s="257"/>
      <c r="G283" s="257"/>
      <c r="H283" s="257"/>
      <c r="I283" s="257"/>
      <c r="J283" s="257"/>
      <c r="K283" s="257"/>
      <c r="L283" s="257"/>
      <c r="M283" s="257"/>
      <c r="N283" s="257"/>
      <c r="O283" s="257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thickBot="1" x14ac:dyDescent="0.3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thickTop="1" thickBot="1" x14ac:dyDescent="0.3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thickTop="1" thickBot="1" x14ac:dyDescent="0.3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thickTop="1" thickBot="1" x14ac:dyDescent="0.3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thickTop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thickBot="1" x14ac:dyDescent="0.3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thickTop="1" x14ac:dyDescent="0.25">
      <c r="A301" s="279" t="s">
        <v>213</v>
      </c>
      <c r="B301" s="279"/>
      <c r="C301" s="279"/>
      <c r="D301" s="27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thickBot="1" x14ac:dyDescent="0.3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thickTop="1" thickBot="1" x14ac:dyDescent="0.3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thickTop="1" x14ac:dyDescent="0.25">
      <c r="A304" s="152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 2zone RefULG2'!$B$4)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thickBot="1" x14ac:dyDescent="0.3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thickTop="1" thickBot="1" x14ac:dyDescent="0.3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thickTop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thickBot="1" x14ac:dyDescent="0.3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thickTop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thickBot="1" x14ac:dyDescent="0.3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thickTop="1" thickBot="1" x14ac:dyDescent="0.3">
      <c r="A315" s="94"/>
      <c r="B315" s="257"/>
      <c r="C315" s="257"/>
      <c r="D315" s="257"/>
      <c r="E315" s="257"/>
      <c r="F315" s="257"/>
      <c r="G315" s="257"/>
      <c r="H315" s="257"/>
      <c r="I315" s="257"/>
      <c r="J315" s="257"/>
      <c r="K315" s="257"/>
      <c r="L315" s="257"/>
      <c r="M315" s="257"/>
      <c r="N315" s="257"/>
      <c r="O315" s="257"/>
      <c r="P315" s="95"/>
    </row>
    <row r="316" spans="1:16" ht="17.25" customHeight="1" thickTop="1" thickBot="1" x14ac:dyDescent="0.35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thickTop="1" x14ac:dyDescent="0.25">
      <c r="A317" s="279" t="s">
        <v>171</v>
      </c>
      <c r="B317" s="279"/>
      <c r="C317" s="279"/>
      <c r="D317" s="279"/>
      <c r="E317" s="257"/>
      <c r="F317" s="257"/>
      <c r="G317" s="257"/>
      <c r="H317" s="257"/>
      <c r="I317" s="257"/>
      <c r="J317" s="257"/>
      <c r="K317" s="257"/>
      <c r="L317" s="257"/>
      <c r="M317" s="257"/>
      <c r="N317" s="257"/>
      <c r="O317" s="257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thickBot="1" x14ac:dyDescent="0.3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thickTop="1" thickBot="1" x14ac:dyDescent="0.3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thickTop="1" thickBot="1" x14ac:dyDescent="0.3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thickTop="1" thickBot="1" x14ac:dyDescent="0.3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thickTop="1" thickBot="1" x14ac:dyDescent="0.3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thickTop="1" thickBot="1" x14ac:dyDescent="0.3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thickTop="1" thickBot="1" x14ac:dyDescent="0.3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thickTop="1" thickBot="1" x14ac:dyDescent="0.3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thickTop="1" thickBot="1" x14ac:dyDescent="0.3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thickTop="1" thickBot="1" x14ac:dyDescent="0.3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thickTop="1" thickBot="1" x14ac:dyDescent="0.3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thickTop="1" thickBot="1" x14ac:dyDescent="0.3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thickTop="1" thickBot="1" x14ac:dyDescent="0.3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thickTop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thickBot="1" x14ac:dyDescent="0.3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thickTop="1" thickBot="1" x14ac:dyDescent="0.3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thickTop="1" thickBot="1" x14ac:dyDescent="0.3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thickTop="1" thickBot="1" x14ac:dyDescent="0.3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thickTop="1" thickBot="1" x14ac:dyDescent="0.3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thickTop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thickBot="1" x14ac:dyDescent="0.3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thickTop="1" thickBot="1" x14ac:dyDescent="0.3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 2zone RefULG2'!C346,'Gebouwgegevens Allacker'!$A$35:$F$46,5,0)</f>
        <v>#N/A</v>
      </c>
      <c r="H346" s="123" t="e">
        <f>VLOOKUP('Verwarming Tabula 2zone RefULG2'!D346,'Gebouwgegevens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thickTop="1" thickBot="1" x14ac:dyDescent="0.3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 2zone RefULG2'!C347,'Gebouwgegevens Allacker'!$A$35:$F$46,5,0)</f>
        <v>#N/A</v>
      </c>
      <c r="H347" s="123" t="e">
        <f>VLOOKUP('Verwarming Tabula 2zone RefULG2'!D347,'Gebouwgegevens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thickTop="1" thickBot="1" x14ac:dyDescent="0.3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 2zone RefULG2'!C348,'Gebouwgegevens Allacker'!$A$35:$F$46,5,0)</f>
        <v>#N/A</v>
      </c>
      <c r="H348" s="123" t="e">
        <f>VLOOKUP('Verwarming Tabula 2zone RefULG2'!D348,'Gebouwgegevens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thickTop="1" thickBot="1" x14ac:dyDescent="0.3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 2zone RefULG2'!C349,'Gebouwgegevens Allacker'!$A$35:$F$46,5,0)</f>
        <v>#N/A</v>
      </c>
      <c r="H349" s="123" t="e">
        <f>VLOOKUP('Verwarming Tabula 2zone RefULG2'!D349,'Gebouwgegevens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thickTop="1" thickBot="1" x14ac:dyDescent="0.3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 2zone RefULG2'!C350,'Gebouwgegevens Allacker'!$A$35:$F$46,5,0)</f>
        <v>#N/A</v>
      </c>
      <c r="H350" s="123" t="e">
        <f>VLOOKUP('Verwarming Tabula 2zone RefULG2'!D350,'Gebouwgegevens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thickTop="1" thickBot="1" x14ac:dyDescent="0.3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thickTop="1" thickBot="1" x14ac:dyDescent="0.3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thickTop="1" thickBot="1" x14ac:dyDescent="0.3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thickTop="1" thickBot="1" x14ac:dyDescent="0.3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thickTop="1" thickBot="1" x14ac:dyDescent="0.3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thickTop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thickBot="1" x14ac:dyDescent="0.3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thickTop="1" x14ac:dyDescent="0.25">
      <c r="A362" s="279" t="s">
        <v>197</v>
      </c>
      <c r="B362" s="279"/>
      <c r="C362" s="279"/>
      <c r="D362" s="126" t="s">
        <v>225</v>
      </c>
      <c r="E362" s="257"/>
      <c r="F362" s="257"/>
      <c r="G362" s="257"/>
      <c r="H362" s="257"/>
      <c r="I362" s="257"/>
      <c r="J362" s="257"/>
      <c r="K362" s="257"/>
      <c r="L362" s="257"/>
      <c r="M362" s="257"/>
      <c r="N362" s="257"/>
      <c r="O362" s="257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thickBot="1" x14ac:dyDescent="0.3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thickTop="1" thickBot="1" x14ac:dyDescent="0.3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thickTop="1" thickBot="1" x14ac:dyDescent="0.3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thickTop="1" thickBot="1" x14ac:dyDescent="0.3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thickTop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thickBot="1" x14ac:dyDescent="0.3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thickTop="1" x14ac:dyDescent="0.25">
      <c r="A380" s="279" t="s">
        <v>213</v>
      </c>
      <c r="B380" s="279"/>
      <c r="C380" s="279"/>
      <c r="D380" s="27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thickBot="1" x14ac:dyDescent="0.3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thickTop="1" thickBot="1" x14ac:dyDescent="0.3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thickTop="1" x14ac:dyDescent="0.25">
      <c r="A383" s="152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 2zone RefULG2'!$B$4)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thickBot="1" x14ac:dyDescent="0.3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thickTop="1" thickBot="1" x14ac:dyDescent="0.3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thickTop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thickBot="1" x14ac:dyDescent="0.3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thickTop="1" thickBot="1" x14ac:dyDescent="0.3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thickTop="1" thickBot="1" x14ac:dyDescent="0.3">
      <c r="A393" s="94"/>
      <c r="B393" s="257"/>
      <c r="C393" s="257"/>
      <c r="D393" s="257"/>
      <c r="E393" s="257"/>
      <c r="F393" s="257"/>
      <c r="G393" s="257"/>
      <c r="H393" s="257"/>
      <c r="I393" s="257"/>
      <c r="J393" s="257"/>
      <c r="K393" s="257"/>
      <c r="L393" s="257"/>
      <c r="M393" s="257"/>
      <c r="N393" s="257"/>
      <c r="O393" s="257"/>
      <c r="P393" s="95"/>
    </row>
    <row r="394" spans="1:16" ht="17.25" customHeight="1" thickTop="1" thickBot="1" x14ac:dyDescent="0.35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thickTop="1" x14ac:dyDescent="0.25">
      <c r="A395" s="279" t="s">
        <v>171</v>
      </c>
      <c r="B395" s="279"/>
      <c r="C395" s="279"/>
      <c r="D395" s="279"/>
      <c r="E395" s="257"/>
      <c r="F395" s="257"/>
      <c r="G395" s="257"/>
      <c r="H395" s="257"/>
      <c r="I395" s="257"/>
      <c r="J395" s="257"/>
      <c r="K395" s="257"/>
      <c r="L395" s="257"/>
      <c r="M395" s="257"/>
      <c r="N395" s="257"/>
      <c r="O395" s="257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thickBot="1" x14ac:dyDescent="0.3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thickTop="1" thickBot="1" x14ac:dyDescent="0.3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thickTop="1" thickBot="1" x14ac:dyDescent="0.3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thickTop="1" thickBot="1" x14ac:dyDescent="0.3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thickTop="1" thickBot="1" x14ac:dyDescent="0.3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thickTop="1" thickBot="1" x14ac:dyDescent="0.3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thickTop="1" thickBot="1" x14ac:dyDescent="0.3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thickTop="1" thickBot="1" x14ac:dyDescent="0.3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thickTop="1" thickBot="1" x14ac:dyDescent="0.3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thickTop="1" thickBot="1" x14ac:dyDescent="0.3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thickTop="1" thickBot="1" x14ac:dyDescent="0.3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thickTop="1" thickBot="1" x14ac:dyDescent="0.3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thickTop="1" thickBot="1" x14ac:dyDescent="0.3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thickTop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thickBot="1" x14ac:dyDescent="0.3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thickTop="1" thickBot="1" x14ac:dyDescent="0.3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thickTop="1" thickBot="1" x14ac:dyDescent="0.3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thickTop="1" thickBot="1" x14ac:dyDescent="0.3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thickTop="1" thickBot="1" x14ac:dyDescent="0.3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thickTop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thickBot="1" x14ac:dyDescent="0.3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thickTop="1" thickBot="1" x14ac:dyDescent="0.3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 2zone RefULG2'!C424,'Gebouwgegevens Allacker'!$A$35:$F$46,5,0)</f>
        <v>#N/A</v>
      </c>
      <c r="H424" s="123" t="e">
        <f>VLOOKUP('Verwarming Tabula 2zone RefULG2'!D424,'Gebouwgegevens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thickTop="1" thickBot="1" x14ac:dyDescent="0.3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 2zone RefULG2'!C425,'Gebouwgegevens Allacker'!$A$35:$F$46,5,0)</f>
        <v>#N/A</v>
      </c>
      <c r="H425" s="123" t="e">
        <f>VLOOKUP('Verwarming Tabula 2zone RefULG2'!D425,'Gebouwgegevens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thickTop="1" thickBot="1" x14ac:dyDescent="0.3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 2zone RefULG2'!C426,'Gebouwgegevens Allacker'!$A$35:$F$46,5,0)</f>
        <v>#N/A</v>
      </c>
      <c r="H426" s="123" t="e">
        <f>VLOOKUP('Verwarming Tabula 2zone RefULG2'!D426,'Gebouwgegevens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thickTop="1" thickBot="1" x14ac:dyDescent="0.3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 2zone RefULG2'!C427,'Gebouwgegevens Allacker'!$A$35:$F$46,5,0)</f>
        <v>#N/A</v>
      </c>
      <c r="H427" s="123" t="e">
        <f>VLOOKUP('Verwarming Tabula 2zone RefULG2'!D427,'Gebouwgegevens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thickTop="1" thickBot="1" x14ac:dyDescent="0.3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 2zone RefULG2'!C428,'Gebouwgegevens Allacker'!$A$35:$F$46,5,0)</f>
        <v>#N/A</v>
      </c>
      <c r="H428" s="123" t="e">
        <f>VLOOKUP('Verwarming Tabula 2zone RefULG2'!D428,'Gebouwgegevens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thickTop="1" thickBot="1" x14ac:dyDescent="0.3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thickTop="1" thickBot="1" x14ac:dyDescent="0.3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thickTop="1" thickBot="1" x14ac:dyDescent="0.3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thickTop="1" thickBot="1" x14ac:dyDescent="0.3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thickTop="1" thickBot="1" x14ac:dyDescent="0.3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thickTop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thickBot="1" x14ac:dyDescent="0.3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thickTop="1" x14ac:dyDescent="0.25">
      <c r="A440" s="279" t="s">
        <v>197</v>
      </c>
      <c r="B440" s="279"/>
      <c r="C440" s="279"/>
      <c r="D440" s="126" t="s">
        <v>225</v>
      </c>
      <c r="E440" s="257"/>
      <c r="F440" s="257"/>
      <c r="G440" s="257"/>
      <c r="H440" s="257"/>
      <c r="I440" s="257"/>
      <c r="J440" s="257"/>
      <c r="K440" s="257"/>
      <c r="L440" s="257"/>
      <c r="M440" s="257"/>
      <c r="N440" s="257"/>
      <c r="O440" s="257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thickBot="1" x14ac:dyDescent="0.3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thickTop="1" thickBot="1" x14ac:dyDescent="0.3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thickTop="1" thickBot="1" x14ac:dyDescent="0.3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thickTop="1" thickBot="1" x14ac:dyDescent="0.3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thickTop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thickBot="1" x14ac:dyDescent="0.3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thickTop="1" x14ac:dyDescent="0.25">
      <c r="A458" s="279" t="s">
        <v>213</v>
      </c>
      <c r="B458" s="279"/>
      <c r="C458" s="279"/>
      <c r="D458" s="27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thickBot="1" x14ac:dyDescent="0.3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thickTop="1" thickBot="1" x14ac:dyDescent="0.3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thickTop="1" x14ac:dyDescent="0.25">
      <c r="A461" s="152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 2zone RefULG2'!$B$4)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thickBot="1" x14ac:dyDescent="0.3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thickTop="1" thickBot="1" x14ac:dyDescent="0.3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thickTop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thickBot="1" x14ac:dyDescent="0.3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thickTop="1" thickBot="1" x14ac:dyDescent="0.3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thickTop="1" thickBot="1" x14ac:dyDescent="0.3">
      <c r="A471" s="94"/>
      <c r="B471" s="257"/>
      <c r="C471" s="257"/>
      <c r="D471" s="257"/>
      <c r="E471" s="257"/>
      <c r="F471" s="257"/>
      <c r="G471" s="257"/>
      <c r="H471" s="257"/>
      <c r="I471" s="257"/>
      <c r="J471" s="257"/>
      <c r="K471" s="257"/>
      <c r="L471" s="257"/>
      <c r="M471" s="257"/>
      <c r="N471" s="257"/>
      <c r="O471" s="257"/>
      <c r="P471" s="95"/>
    </row>
    <row r="472" spans="1:16" ht="17.25" customHeight="1" thickTop="1" thickBot="1" x14ac:dyDescent="0.35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thickTop="1" x14ac:dyDescent="0.25">
      <c r="A473" s="279" t="s">
        <v>171</v>
      </c>
      <c r="B473" s="279"/>
      <c r="C473" s="279"/>
      <c r="D473" s="279"/>
      <c r="E473" s="257"/>
      <c r="F473" s="257"/>
      <c r="G473" s="257"/>
      <c r="H473" s="257"/>
      <c r="I473" s="257"/>
      <c r="J473" s="257"/>
      <c r="K473" s="257"/>
      <c r="L473" s="257"/>
      <c r="M473" s="257"/>
      <c r="N473" s="257"/>
      <c r="O473" s="257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thickBot="1" x14ac:dyDescent="0.3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thickTop="1" thickBot="1" x14ac:dyDescent="0.3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thickTop="1" thickBot="1" x14ac:dyDescent="0.3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thickTop="1" thickBot="1" x14ac:dyDescent="0.3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thickTop="1" thickBot="1" x14ac:dyDescent="0.3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thickTop="1" thickBot="1" x14ac:dyDescent="0.3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thickTop="1" thickBot="1" x14ac:dyDescent="0.3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thickTop="1" thickBot="1" x14ac:dyDescent="0.3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thickTop="1" thickBot="1" x14ac:dyDescent="0.3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thickTop="1" thickBot="1" x14ac:dyDescent="0.3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thickTop="1" thickBot="1" x14ac:dyDescent="0.3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thickTop="1" thickBot="1" x14ac:dyDescent="0.3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thickTop="1" thickBot="1" x14ac:dyDescent="0.3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thickTop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thickBot="1" x14ac:dyDescent="0.3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thickTop="1" thickBot="1" x14ac:dyDescent="0.3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thickTop="1" thickBot="1" x14ac:dyDescent="0.3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thickTop="1" thickBot="1" x14ac:dyDescent="0.3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thickTop="1" thickBot="1" x14ac:dyDescent="0.3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thickTop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thickBot="1" x14ac:dyDescent="0.3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thickTop="1" thickBot="1" x14ac:dyDescent="0.3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 2zone RefULG2'!C502,'Gebouwgegevens Allacker'!$A$35:$F$46,5,0)</f>
        <v>#N/A</v>
      </c>
      <c r="H502" s="123" t="e">
        <f>VLOOKUP('Verwarming Tabula 2zone RefULG2'!D502,'Gebouwgegevens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thickTop="1" thickBot="1" x14ac:dyDescent="0.3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 2zone RefULG2'!C503,'Gebouwgegevens Allacker'!$A$35:$F$46,5,0)</f>
        <v>#N/A</v>
      </c>
      <c r="H503" s="123" t="e">
        <f>VLOOKUP('Verwarming Tabula 2zone RefULG2'!D503,'Gebouwgegevens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thickTop="1" thickBot="1" x14ac:dyDescent="0.3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 2zone RefULG2'!C504,'Gebouwgegevens Allacker'!$A$35:$F$46,5,0)</f>
        <v>#N/A</v>
      </c>
      <c r="H504" s="123" t="e">
        <f>VLOOKUP('Verwarming Tabula 2zone RefULG2'!D504,'Gebouwgegevens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thickTop="1" thickBot="1" x14ac:dyDescent="0.3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thickTop="1" thickBot="1" x14ac:dyDescent="0.3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thickTop="1" thickBot="1" x14ac:dyDescent="0.3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thickTop="1" thickBot="1" x14ac:dyDescent="0.3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thickTop="1" thickBot="1" x14ac:dyDescent="0.3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thickTop="1" thickBot="1" x14ac:dyDescent="0.3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thickTop="1" thickBot="1" x14ac:dyDescent="0.3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thickTop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thickBot="1" x14ac:dyDescent="0.3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thickTop="1" x14ac:dyDescent="0.25">
      <c r="A518" s="279" t="s">
        <v>197</v>
      </c>
      <c r="B518" s="279"/>
      <c r="C518" s="279"/>
      <c r="D518" s="126" t="s">
        <v>225</v>
      </c>
      <c r="E518" s="257"/>
      <c r="F518" s="257"/>
      <c r="G518" s="257"/>
      <c r="H518" s="257"/>
      <c r="I518" s="257"/>
      <c r="J518" s="257"/>
      <c r="K518" s="257"/>
      <c r="L518" s="257"/>
      <c r="M518" s="257"/>
      <c r="N518" s="257"/>
      <c r="O518" s="257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thickBot="1" x14ac:dyDescent="0.3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thickTop="1" thickBot="1" x14ac:dyDescent="0.3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thickTop="1" thickBot="1" x14ac:dyDescent="0.3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thickTop="1" thickBot="1" x14ac:dyDescent="0.3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thickTop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thickBot="1" x14ac:dyDescent="0.3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thickTop="1" x14ac:dyDescent="0.25">
      <c r="A536" s="279" t="s">
        <v>213</v>
      </c>
      <c r="B536" s="279"/>
      <c r="C536" s="279"/>
      <c r="D536" s="27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thickBot="1" x14ac:dyDescent="0.3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thickTop="1" thickBot="1" x14ac:dyDescent="0.3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thickTop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 2zone RefULG2'!$B$4)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thickBot="1" x14ac:dyDescent="0.3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thickTop="1" thickBot="1" x14ac:dyDescent="0.3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thickTop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thickBot="1" x14ac:dyDescent="0.3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thickTop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thickBot="1" x14ac:dyDescent="0.3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thickTop="1" thickBot="1" x14ac:dyDescent="0.3">
      <c r="A550" s="94"/>
      <c r="B550" s="257"/>
      <c r="C550" s="257"/>
      <c r="D550" s="257"/>
      <c r="E550" s="257"/>
      <c r="F550" s="257"/>
      <c r="G550" s="257"/>
      <c r="H550" s="257"/>
      <c r="I550" s="257"/>
      <c r="J550" s="257"/>
      <c r="K550" s="257"/>
      <c r="L550" s="257"/>
      <c r="M550" s="257"/>
      <c r="N550" s="257"/>
      <c r="O550" s="257"/>
      <c r="P550" s="95"/>
    </row>
    <row r="551" spans="1:16" ht="17.25" customHeight="1" thickTop="1" thickBot="1" x14ac:dyDescent="0.35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thickTop="1" x14ac:dyDescent="0.25">
      <c r="A552" s="279" t="s">
        <v>171</v>
      </c>
      <c r="B552" s="279"/>
      <c r="C552" s="279"/>
      <c r="D552" s="279"/>
      <c r="E552" s="257"/>
      <c r="F552" s="257"/>
      <c r="G552" s="257"/>
      <c r="H552" s="257"/>
      <c r="I552" s="257"/>
      <c r="J552" s="257"/>
      <c r="K552" s="257"/>
      <c r="L552" s="257"/>
      <c r="M552" s="257"/>
      <c r="N552" s="257"/>
      <c r="O552" s="257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thickBot="1" x14ac:dyDescent="0.3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thickTop="1" thickBot="1" x14ac:dyDescent="0.3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thickTop="1" thickBot="1" x14ac:dyDescent="0.3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thickTop="1" thickBot="1" x14ac:dyDescent="0.3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thickTop="1" thickBot="1" x14ac:dyDescent="0.3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thickTop="1" thickBot="1" x14ac:dyDescent="0.3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thickTop="1" thickBot="1" x14ac:dyDescent="0.3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thickTop="1" thickBot="1" x14ac:dyDescent="0.3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thickTop="1" thickBot="1" x14ac:dyDescent="0.3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thickTop="1" thickBot="1" x14ac:dyDescent="0.3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thickTop="1" thickBot="1" x14ac:dyDescent="0.3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thickTop="1" thickBot="1" x14ac:dyDescent="0.3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thickTop="1" thickBot="1" x14ac:dyDescent="0.3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thickTop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thickBot="1" x14ac:dyDescent="0.3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thickTop="1" thickBot="1" x14ac:dyDescent="0.3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thickTop="1" thickBot="1" x14ac:dyDescent="0.3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thickTop="1" thickBot="1" x14ac:dyDescent="0.3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thickTop="1" thickBot="1" x14ac:dyDescent="0.3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thickTop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thickBot="1" x14ac:dyDescent="0.3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thickTop="1" thickBot="1" x14ac:dyDescent="0.3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 2zone RefULG2'!C581,'Gebouwgegevens Allacker'!$A$35:$F$46,5,0)</f>
        <v>#N/A</v>
      </c>
      <c r="H581" s="123" t="e">
        <f>VLOOKUP('Verwarming Tabula 2zone RefULG2'!D581,'Gebouwgegevens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thickTop="1" thickBot="1" x14ac:dyDescent="0.3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 2zone RefULG2'!C582,'Gebouwgegevens Allacker'!$A$35:$F$46,5,0)</f>
        <v>#N/A</v>
      </c>
      <c r="H582" s="123" t="e">
        <f>VLOOKUP('Verwarming Tabula 2zone RefULG2'!D582,'Gebouwgegevens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thickTop="1" thickBot="1" x14ac:dyDescent="0.3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 2zone RefULG2'!C583,'Gebouwgegevens Allacker'!$A$35:$F$46,5,0)</f>
        <v>#N/A</v>
      </c>
      <c r="H583" s="123" t="e">
        <f>VLOOKUP('Verwarming Tabula 2zone RefULG2'!D583,'Gebouwgegevens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thickTop="1" thickBot="1" x14ac:dyDescent="0.3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thickTop="1" thickBot="1" x14ac:dyDescent="0.3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thickTop="1" thickBot="1" x14ac:dyDescent="0.3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thickTop="1" thickBot="1" x14ac:dyDescent="0.3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thickTop="1" thickBot="1" x14ac:dyDescent="0.3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thickTop="1" thickBot="1" x14ac:dyDescent="0.3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thickTop="1" thickBot="1" x14ac:dyDescent="0.3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thickTop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thickBot="1" x14ac:dyDescent="0.3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thickTop="1" x14ac:dyDescent="0.25">
      <c r="A597" s="279" t="s">
        <v>197</v>
      </c>
      <c r="B597" s="279"/>
      <c r="C597" s="279"/>
      <c r="D597" s="126" t="s">
        <v>225</v>
      </c>
      <c r="E597" s="257"/>
      <c r="F597" s="257"/>
      <c r="G597" s="257"/>
      <c r="H597" s="257"/>
      <c r="I597" s="257"/>
      <c r="J597" s="257"/>
      <c r="K597" s="257"/>
      <c r="L597" s="257"/>
      <c r="M597" s="257"/>
      <c r="N597" s="257"/>
      <c r="O597" s="257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thickBot="1" x14ac:dyDescent="0.3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thickTop="1" thickBot="1" x14ac:dyDescent="0.3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thickTop="1" thickBot="1" x14ac:dyDescent="0.3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thickTop="1" thickBot="1" x14ac:dyDescent="0.3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thickTop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thickBot="1" x14ac:dyDescent="0.3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thickTop="1" x14ac:dyDescent="0.25">
      <c r="A615" s="279" t="s">
        <v>213</v>
      </c>
      <c r="B615" s="279"/>
      <c r="C615" s="279"/>
      <c r="D615" s="27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thickBot="1" x14ac:dyDescent="0.3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thickTop="1" thickBot="1" x14ac:dyDescent="0.3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thickTop="1" x14ac:dyDescent="0.25">
      <c r="A618" s="152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 2zone RefULG2'!$B$4)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thickBot="1" x14ac:dyDescent="0.3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thickTop="1" thickBot="1" x14ac:dyDescent="0.3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thickTop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thickBot="1" x14ac:dyDescent="0.3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thickTop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thickBot="1" x14ac:dyDescent="0.3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thickTop="1" thickBot="1" x14ac:dyDescent="0.3">
      <c r="A629" s="94"/>
      <c r="B629" s="257"/>
      <c r="C629" s="257"/>
      <c r="D629" s="257"/>
      <c r="E629" s="257"/>
      <c r="F629" s="257"/>
      <c r="G629" s="257"/>
      <c r="H629" s="257"/>
      <c r="I629" s="257"/>
      <c r="J629" s="257"/>
      <c r="K629" s="257"/>
      <c r="L629" s="257"/>
      <c r="M629" s="257"/>
      <c r="N629" s="257"/>
      <c r="O629" s="257"/>
      <c r="P629" s="95"/>
    </row>
    <row r="630" spans="1:16" ht="17.25" customHeight="1" thickTop="1" thickBot="1" x14ac:dyDescent="0.35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thickTop="1" x14ac:dyDescent="0.25">
      <c r="A631" s="279" t="s">
        <v>171</v>
      </c>
      <c r="B631" s="279"/>
      <c r="C631" s="279"/>
      <c r="D631" s="279"/>
      <c r="E631" s="257"/>
      <c r="F631" s="257"/>
      <c r="G631" s="257"/>
      <c r="H631" s="257"/>
      <c r="I631" s="257"/>
      <c r="J631" s="257"/>
      <c r="K631" s="257"/>
      <c r="L631" s="257"/>
      <c r="M631" s="257"/>
      <c r="N631" s="257"/>
      <c r="O631" s="257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thickBot="1" x14ac:dyDescent="0.3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thickTop="1" thickBot="1" x14ac:dyDescent="0.3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thickTop="1" thickBot="1" x14ac:dyDescent="0.3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thickTop="1" thickBot="1" x14ac:dyDescent="0.3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thickTop="1" thickBot="1" x14ac:dyDescent="0.3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thickTop="1" thickBot="1" x14ac:dyDescent="0.3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thickTop="1" thickBot="1" x14ac:dyDescent="0.3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thickTop="1" thickBot="1" x14ac:dyDescent="0.3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thickTop="1" thickBot="1" x14ac:dyDescent="0.3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thickTop="1" thickBot="1" x14ac:dyDescent="0.3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thickTop="1" thickBot="1" x14ac:dyDescent="0.3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thickTop="1" thickBot="1" x14ac:dyDescent="0.3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thickTop="1" thickBot="1" x14ac:dyDescent="0.3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thickTop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thickBot="1" x14ac:dyDescent="0.3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thickTop="1" thickBot="1" x14ac:dyDescent="0.3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thickTop="1" thickBot="1" x14ac:dyDescent="0.3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thickTop="1" thickBot="1" x14ac:dyDescent="0.3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thickTop="1" thickBot="1" x14ac:dyDescent="0.3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thickTop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thickBot="1" x14ac:dyDescent="0.3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thickTop="1" thickBot="1" x14ac:dyDescent="0.3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 2zone RefULG2'!C660,'Gebouwgegevens Allacker'!$A$35:$F$46,5,0)</f>
        <v>#N/A</v>
      </c>
      <c r="H660" s="123" t="e">
        <f>VLOOKUP('Verwarming Tabula 2zone RefULG2'!D660,'Gebouwgegevens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thickTop="1" thickBot="1" x14ac:dyDescent="0.3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 2zone RefULG2'!C661,'Gebouwgegevens Allacker'!$A$35:$F$46,5,0)</f>
        <v>#N/A</v>
      </c>
      <c r="H661" s="123" t="e">
        <f>VLOOKUP('Verwarming Tabula 2zone RefULG2'!D661,'Gebouwgegevens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thickTop="1" thickBot="1" x14ac:dyDescent="0.3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thickTop="1" thickBot="1" x14ac:dyDescent="0.3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thickTop="1" thickBot="1" x14ac:dyDescent="0.3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thickTop="1" thickBot="1" x14ac:dyDescent="0.3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thickTop="1" thickBot="1" x14ac:dyDescent="0.3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thickTop="1" thickBot="1" x14ac:dyDescent="0.3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thickTop="1" thickBot="1" x14ac:dyDescent="0.3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thickTop="1" thickBot="1" x14ac:dyDescent="0.3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thickTop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thickBot="1" x14ac:dyDescent="0.3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thickTop="1" x14ac:dyDescent="0.25">
      <c r="A676" s="279" t="s">
        <v>197</v>
      </c>
      <c r="B676" s="279"/>
      <c r="C676" s="279"/>
      <c r="D676" s="126" t="s">
        <v>225</v>
      </c>
      <c r="E676" s="257"/>
      <c r="F676" s="257"/>
      <c r="G676" s="257"/>
      <c r="H676" s="257"/>
      <c r="I676" s="257"/>
      <c r="J676" s="257"/>
      <c r="K676" s="257"/>
      <c r="L676" s="257"/>
      <c r="M676" s="257"/>
      <c r="N676" s="257"/>
      <c r="O676" s="257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thickBot="1" x14ac:dyDescent="0.3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thickTop="1" thickBot="1" x14ac:dyDescent="0.3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thickTop="1" thickBot="1" x14ac:dyDescent="0.3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thickTop="1" thickBot="1" x14ac:dyDescent="0.3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thickTop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thickBot="1" x14ac:dyDescent="0.3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thickTop="1" x14ac:dyDescent="0.25">
      <c r="A694" s="279" t="s">
        <v>213</v>
      </c>
      <c r="B694" s="279"/>
      <c r="C694" s="279"/>
      <c r="D694" s="27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thickBot="1" x14ac:dyDescent="0.3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thickTop="1" thickBot="1" x14ac:dyDescent="0.3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thickTop="1" x14ac:dyDescent="0.25">
      <c r="A697" s="152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 2zone RefULG2'!$B$4)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thickBot="1" x14ac:dyDescent="0.3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thickTop="1" thickBot="1" x14ac:dyDescent="0.3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thickTop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thickBot="1" x14ac:dyDescent="0.3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thickTop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thickBot="1" x14ac:dyDescent="0.3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thickTop="1" thickBot="1" x14ac:dyDescent="0.3">
      <c r="A708" s="94"/>
      <c r="B708" s="257"/>
      <c r="C708" s="257"/>
      <c r="D708" s="257"/>
      <c r="E708" s="257"/>
      <c r="F708" s="257"/>
      <c r="G708" s="257"/>
      <c r="H708" s="257"/>
      <c r="I708" s="257"/>
      <c r="J708" s="257"/>
      <c r="K708" s="257"/>
      <c r="L708" s="257"/>
      <c r="M708" s="257"/>
      <c r="N708" s="257"/>
      <c r="O708" s="257"/>
      <c r="P708" s="95"/>
    </row>
    <row r="709" spans="1:16" ht="17.25" customHeight="1" thickTop="1" thickBot="1" x14ac:dyDescent="0.35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thickTop="1" x14ac:dyDescent="0.25">
      <c r="A710" s="279" t="s">
        <v>171</v>
      </c>
      <c r="B710" s="279"/>
      <c r="C710" s="279"/>
      <c r="D710" s="279"/>
      <c r="E710" s="257"/>
      <c r="F710" s="257"/>
      <c r="G710" s="257"/>
      <c r="H710" s="257"/>
      <c r="I710" s="257"/>
      <c r="J710" s="257"/>
      <c r="K710" s="257"/>
      <c r="L710" s="257"/>
      <c r="M710" s="257"/>
      <c r="N710" s="257"/>
      <c r="O710" s="257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thickBot="1" x14ac:dyDescent="0.3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thickTop="1" thickBot="1" x14ac:dyDescent="0.3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thickTop="1" thickBot="1" x14ac:dyDescent="0.3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thickTop="1" thickBot="1" x14ac:dyDescent="0.3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thickTop="1" thickBot="1" x14ac:dyDescent="0.3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thickTop="1" thickBot="1" x14ac:dyDescent="0.3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thickTop="1" thickBot="1" x14ac:dyDescent="0.3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thickTop="1" thickBot="1" x14ac:dyDescent="0.3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thickTop="1" thickBot="1" x14ac:dyDescent="0.3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thickTop="1" thickBot="1" x14ac:dyDescent="0.3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thickTop="1" thickBot="1" x14ac:dyDescent="0.3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thickTop="1" thickBot="1" x14ac:dyDescent="0.3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thickTop="1" thickBot="1" x14ac:dyDescent="0.3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thickTop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thickBot="1" x14ac:dyDescent="0.3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thickTop="1" thickBot="1" x14ac:dyDescent="0.3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thickTop="1" thickBot="1" x14ac:dyDescent="0.3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thickTop="1" thickBot="1" x14ac:dyDescent="0.3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thickTop="1" thickBot="1" x14ac:dyDescent="0.3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thickTop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thickBot="1" x14ac:dyDescent="0.3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thickTop="1" thickBot="1" x14ac:dyDescent="0.3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 2zone RefULG2'!C739,'Gebouwgegevens Allacker'!$A$35:$F$46,5,0)</f>
        <v>#N/A</v>
      </c>
      <c r="H739" s="123" t="e">
        <f>VLOOKUP('Verwarming Tabula 2zone RefULG2'!D739,'Gebouwgegevens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thickTop="1" thickBot="1" x14ac:dyDescent="0.3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 2zone RefULG2'!C740,'Gebouwgegevens Allacker'!$A$35:$F$46,5,0)</f>
        <v>#N/A</v>
      </c>
      <c r="H740" s="123" t="e">
        <f>VLOOKUP('Verwarming Tabula 2zone RefULG2'!D740,'Gebouwgegevens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thickTop="1" thickBot="1" x14ac:dyDescent="0.3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 2zone RefULG2'!C741,'Gebouwgegevens Allacker'!$A$35:$F$46,5,0)</f>
        <v>#N/A</v>
      </c>
      <c r="H741" s="123" t="e">
        <f>VLOOKUP('Verwarming Tabula 2zone RefULG2'!D741,'Gebouwgegevens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thickTop="1" thickBot="1" x14ac:dyDescent="0.3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 2zone RefULG2'!C742,'Gebouwgegevens Allacker'!$A$35:$F$46,5,0)</f>
        <v>#N/A</v>
      </c>
      <c r="H742" s="123" t="e">
        <f>VLOOKUP('Verwarming Tabula 2zone RefULG2'!D742,'Gebouwgegevens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thickTop="1" thickBot="1" x14ac:dyDescent="0.3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 2zone RefULG2'!C743,'Gebouwgegevens Allacker'!$A$35:$F$46,5,0)</f>
        <v>#N/A</v>
      </c>
      <c r="H743" s="123" t="e">
        <f>VLOOKUP('Verwarming Tabula 2zone RefULG2'!D743,'Gebouwgegevens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thickTop="1" thickBot="1" x14ac:dyDescent="0.3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 2zone RefULG2'!C744,'Gebouwgegevens Allacker'!$A$35:$F$46,5,0)</f>
        <v>#N/A</v>
      </c>
      <c r="H744" s="123" t="e">
        <f>VLOOKUP('Verwarming Tabula 2zone RefULG2'!D744,'Gebouwgegevens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thickTop="1" thickBot="1" x14ac:dyDescent="0.3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 2zone RefULG2'!C745,'Gebouwgegevens Allacker'!$A$35:$F$46,5,0)</f>
        <v>#N/A</v>
      </c>
      <c r="H745" s="123" t="e">
        <f>VLOOKUP('Verwarming Tabula 2zone RefULG2'!D745,'Gebouwgegevens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thickTop="1" thickBot="1" x14ac:dyDescent="0.3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 2zone RefULG2'!C746,'Gebouwgegevens Allacker'!$A$35:$F$46,5,0)</f>
        <v>#N/A</v>
      </c>
      <c r="H746" s="123" t="e">
        <f>VLOOKUP('Verwarming Tabula 2zone RefULG2'!D746,'Gebouwgegevens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thickTop="1" thickBot="1" x14ac:dyDescent="0.3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 2zone RefULG2'!C747,'Gebouwgegevens Allacker'!$A$35:$F$46,5,0)</f>
        <v>#N/A</v>
      </c>
      <c r="H747" s="123" t="e">
        <f>VLOOKUP('Verwarming Tabula 2zone RefULG2'!D747,'Gebouwgegevens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thickTop="1" thickBot="1" x14ac:dyDescent="0.3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 2zone RefULG2'!C748,'Gebouwgegevens Allacker'!$A$35:$F$46,5,0)</f>
        <v>#N/A</v>
      </c>
      <c r="H748" s="123" t="e">
        <f>VLOOKUP('Verwarming Tabula 2zone RefULG2'!D748,'Gebouwgegevens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thickTop="1" thickBot="1" x14ac:dyDescent="0.3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 2zone RefULG2'!C749,'Gebouwgegevens Allacker'!$A$35:$F$46,5,0)</f>
        <v>#N/A</v>
      </c>
      <c r="H749" s="123" t="e">
        <f>VLOOKUP('Verwarming Tabula 2zone RefULG2'!D749,'Gebouwgegevens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thickTop="1" thickBot="1" x14ac:dyDescent="0.3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 2zone RefULG2'!C750,'Gebouwgegevens Allacker'!$A$35:$F$46,5,0)</f>
        <v>#N/A</v>
      </c>
      <c r="H750" s="123" t="e">
        <f>VLOOKUP('Verwarming Tabula 2zone RefULG2'!D750,'Gebouwgegevens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thickTop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thickBot="1" x14ac:dyDescent="0.3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thickTop="1" x14ac:dyDescent="0.25">
      <c r="A755" s="279" t="s">
        <v>197</v>
      </c>
      <c r="B755" s="279"/>
      <c r="C755" s="279"/>
      <c r="D755" s="126" t="s">
        <v>225</v>
      </c>
      <c r="E755" s="257"/>
      <c r="F755" s="257"/>
      <c r="G755" s="257"/>
      <c r="H755" s="257"/>
      <c r="I755" s="257"/>
      <c r="J755" s="257"/>
      <c r="K755" s="257"/>
      <c r="L755" s="257"/>
      <c r="M755" s="257"/>
      <c r="N755" s="257"/>
      <c r="O755" s="257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thickBot="1" x14ac:dyDescent="0.3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thickTop="1" thickBot="1" x14ac:dyDescent="0.3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thickTop="1" thickBot="1" x14ac:dyDescent="0.3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thickTop="1" thickBot="1" x14ac:dyDescent="0.3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thickTop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thickBot="1" x14ac:dyDescent="0.3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thickTop="1" x14ac:dyDescent="0.25">
      <c r="A773" s="279" t="s">
        <v>213</v>
      </c>
      <c r="B773" s="279"/>
      <c r="C773" s="279"/>
      <c r="D773" s="27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thickBot="1" x14ac:dyDescent="0.3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thickTop="1" thickBot="1" x14ac:dyDescent="0.3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thickTop="1" x14ac:dyDescent="0.25">
      <c r="A776" s="152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 2zone RefULG2'!$B$4)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thickBot="1" x14ac:dyDescent="0.3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thickTop="1" thickBot="1" x14ac:dyDescent="0.3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thickTop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thickBot="1" x14ac:dyDescent="0.3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238:D238"/>
    <mergeCell ref="A1:I1"/>
    <mergeCell ref="V5:X5"/>
    <mergeCell ref="A7:D7"/>
    <mergeCell ref="A45:C45"/>
    <mergeCell ref="A63:D63"/>
    <mergeCell ref="A79:D79"/>
    <mergeCell ref="A124:C124"/>
    <mergeCell ref="A142:D142"/>
    <mergeCell ref="A159:D159"/>
    <mergeCell ref="A204:C204"/>
    <mergeCell ref="A222:D222"/>
    <mergeCell ref="A552:D552"/>
    <mergeCell ref="A283:C283"/>
    <mergeCell ref="A301:D301"/>
    <mergeCell ref="A317:D317"/>
    <mergeCell ref="A362:C362"/>
    <mergeCell ref="A380:D380"/>
    <mergeCell ref="A395:D395"/>
    <mergeCell ref="A440:C440"/>
    <mergeCell ref="A458:D458"/>
    <mergeCell ref="A473:D473"/>
    <mergeCell ref="A518:C518"/>
    <mergeCell ref="A536:D536"/>
    <mergeCell ref="A755:C755"/>
    <mergeCell ref="A773:D773"/>
    <mergeCell ref="A597:C597"/>
    <mergeCell ref="A615:D615"/>
    <mergeCell ref="A631:D631"/>
    <mergeCell ref="A676:C676"/>
    <mergeCell ref="A694:D694"/>
    <mergeCell ref="A710:D7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6"/>
  <sheetViews>
    <sheetView zoomScaleNormal="100" workbookViewId="0">
      <selection activeCell="B4" sqref="B4"/>
    </sheetView>
  </sheetViews>
  <sheetFormatPr defaultRowHeight="15" x14ac:dyDescent="0.25"/>
  <cols>
    <col min="2" max="2" width="11.5703125"/>
    <col min="4" max="4" width="19.5703125"/>
  </cols>
  <sheetData>
    <row r="1" spans="1:9" x14ac:dyDescent="0.25">
      <c r="A1" s="150" t="s">
        <v>284</v>
      </c>
    </row>
    <row r="3" spans="1:9" x14ac:dyDescent="0.25">
      <c r="A3" s="151" t="s">
        <v>285</v>
      </c>
    </row>
    <row r="4" spans="1:9" x14ac:dyDescent="0.25">
      <c r="A4" t="s">
        <v>286</v>
      </c>
      <c r="B4" s="152">
        <f>SUM('Gebouwgegevens Tabula 2zone'!R6:R9)</f>
        <v>484.1834205715943</v>
      </c>
      <c r="C4" t="s">
        <v>107</v>
      </c>
    </row>
    <row r="5" spans="1:9" x14ac:dyDescent="0.25">
      <c r="A5" t="s">
        <v>287</v>
      </c>
      <c r="B5" s="152">
        <f>F5+I5</f>
        <v>232.46022709677419</v>
      </c>
      <c r="C5" t="s">
        <v>107</v>
      </c>
      <c r="E5" s="153" t="s">
        <v>288</v>
      </c>
      <c r="F5" s="154">
        <f>'Verwarming Tabula 2zone'!B60</f>
        <v>88.260227096774202</v>
      </c>
      <c r="G5" s="153"/>
      <c r="H5" s="153" t="s">
        <v>289</v>
      </c>
      <c r="I5" s="154">
        <f>SUM('Gebouwgegevens Tabula 2zone'!R10:R13)</f>
        <v>144.19999999999999</v>
      </c>
    </row>
    <row r="6" spans="1:9" x14ac:dyDescent="0.25">
      <c r="A6" t="s">
        <v>290</v>
      </c>
      <c r="B6" s="152">
        <f>SUM('Gebouwgegevens Tabula 2zone'!O6:O9*'Gebouwgegevens Tabula 2zone'!AA21)</f>
        <v>138.76914022140227</v>
      </c>
      <c r="C6" t="s">
        <v>107</v>
      </c>
    </row>
    <row r="7" spans="1:9" x14ac:dyDescent="0.25">
      <c r="A7" t="s">
        <v>291</v>
      </c>
      <c r="B7" s="152">
        <f>'Gebouwgegevens Tabula 2zone'!R14</f>
        <v>378.56375838926181</v>
      </c>
      <c r="C7" t="s">
        <v>107</v>
      </c>
      <c r="D7" s="153" t="s">
        <v>292</v>
      </c>
    </row>
    <row r="8" spans="1:9" x14ac:dyDescent="0.25">
      <c r="A8" t="s">
        <v>293</v>
      </c>
      <c r="B8" s="152">
        <f>B4+B5+B7</f>
        <v>1095.2074060576301</v>
      </c>
      <c r="D8" s="153"/>
    </row>
    <row r="9" spans="1:9" x14ac:dyDescent="0.25">
      <c r="B9" s="152"/>
      <c r="D9" s="153"/>
    </row>
    <row r="10" spans="1:9" x14ac:dyDescent="0.25">
      <c r="B10" t="s">
        <v>294</v>
      </c>
      <c r="D10" t="s">
        <v>295</v>
      </c>
    </row>
    <row r="11" spans="1:9" x14ac:dyDescent="0.25">
      <c r="A11" t="s">
        <v>296</v>
      </c>
      <c r="B11" s="155">
        <f>SUM('Gebouwgegevens Tabula 2zone'!S6:S9)</f>
        <v>98910661.788000017</v>
      </c>
      <c r="C11" s="155" t="s">
        <v>297</v>
      </c>
      <c r="D11" s="155">
        <f>SUM('Gebouwgegevens Tabula 2zone'!U6:U9)</f>
        <v>89016957.288000003</v>
      </c>
      <c r="E11" t="s">
        <v>297</v>
      </c>
    </row>
    <row r="12" spans="1:9" x14ac:dyDescent="0.25">
      <c r="A12" t="s">
        <v>122</v>
      </c>
      <c r="B12" s="155">
        <f>'Gebouwgegevens Tabula 2zone'!C34*5*1012*1.204</f>
        <v>2246350.8219068097</v>
      </c>
      <c r="C12" t="s">
        <v>297</v>
      </c>
      <c r="D12" s="155">
        <f>B12</f>
        <v>2246350.8219068097</v>
      </c>
      <c r="E12" t="s">
        <v>297</v>
      </c>
    </row>
    <row r="13" spans="1:9" x14ac:dyDescent="0.25">
      <c r="A13" t="s">
        <v>298</v>
      </c>
      <c r="B13" s="155">
        <f>SUM('Gebouwgegevens Tabula 2zone'!O6:O9)*'Gebouwgegevens Tabula 2zone'!AE21</f>
        <v>33058164.636000004</v>
      </c>
      <c r="C13" t="s">
        <v>297</v>
      </c>
      <c r="D13" s="155">
        <f>B13</f>
        <v>33058164.636000004</v>
      </c>
      <c r="E13" t="s">
        <v>297</v>
      </c>
    </row>
    <row r="14" spans="1:9" x14ac:dyDescent="0.25">
      <c r="A14" t="s">
        <v>299</v>
      </c>
      <c r="B14" s="155">
        <f>'Gebouwgegevens Tabula 2zone'!S14</f>
        <v>50437708.000000007</v>
      </c>
      <c r="C14" s="155" t="s">
        <v>297</v>
      </c>
      <c r="D14" s="155">
        <f>'Gebouwgegevens Tabula 2zone'!U14</f>
        <v>14901928.000000002</v>
      </c>
      <c r="E14" s="155" t="s">
        <v>297</v>
      </c>
      <c r="F14" s="155"/>
    </row>
    <row r="16" spans="1:9" x14ac:dyDescent="0.25">
      <c r="A16" t="s">
        <v>300</v>
      </c>
      <c r="B16">
        <f>B11+B13</f>
        <v>131968826.42400002</v>
      </c>
      <c r="D16">
        <f>D11+D13</f>
        <v>122075121.92400001</v>
      </c>
    </row>
    <row r="17" spans="1:9" x14ac:dyDescent="0.25">
      <c r="A17" t="s">
        <v>301</v>
      </c>
      <c r="B17" s="156">
        <f>SUM(B11:B14)</f>
        <v>184652885.24590683</v>
      </c>
      <c r="D17" s="156">
        <f>SUM(D11:D14)</f>
        <v>139223400.74590683</v>
      </c>
    </row>
    <row r="18" spans="1:9" x14ac:dyDescent="0.25">
      <c r="A18" s="151" t="s">
        <v>63</v>
      </c>
    </row>
    <row r="19" spans="1:9" x14ac:dyDescent="0.25">
      <c r="A19" t="s">
        <v>302</v>
      </c>
      <c r="B19" s="152">
        <f>'Gebouwgegevens Tabula 2zone'!R26</f>
        <v>175.68432671081675</v>
      </c>
      <c r="C19" t="s">
        <v>107</v>
      </c>
    </row>
    <row r="20" spans="1:9" x14ac:dyDescent="0.25">
      <c r="A20" t="s">
        <v>303</v>
      </c>
      <c r="B20" s="155">
        <f>'Gebouwgegevens Tabula 2zone'!S26</f>
        <v>8354977.9999999991</v>
      </c>
      <c r="C20" s="155" t="s">
        <v>297</v>
      </c>
      <c r="D20" s="155">
        <f>'Gebouwgegevens Tabula 2zone'!U26</f>
        <v>8354977.9999999991</v>
      </c>
      <c r="E20" t="s">
        <v>297</v>
      </c>
    </row>
    <row r="22" spans="1:9" x14ac:dyDescent="0.25">
      <c r="A22" s="151" t="s">
        <v>304</v>
      </c>
    </row>
    <row r="23" spans="1:9" x14ac:dyDescent="0.25">
      <c r="A23" t="s">
        <v>286</v>
      </c>
      <c r="B23" s="152">
        <f>SUM('Gebouwgegevens Tabula 2zone'!R17:R20)</f>
        <v>79.148075148701594</v>
      </c>
      <c r="C23" t="s">
        <v>107</v>
      </c>
    </row>
    <row r="24" spans="1:9" x14ac:dyDescent="0.25">
      <c r="A24" t="s">
        <v>287</v>
      </c>
      <c r="B24" s="152">
        <f>SUM(F24,I24)</f>
        <v>175.91396748387098</v>
      </c>
      <c r="C24" t="s">
        <v>107</v>
      </c>
      <c r="E24" s="153" t="s">
        <v>288</v>
      </c>
      <c r="F24" s="154">
        <f>'Verwarming Tabula 2zone'!B139</f>
        <v>114.11396748387097</v>
      </c>
      <c r="G24" s="153"/>
      <c r="H24" s="153" t="s">
        <v>289</v>
      </c>
      <c r="I24" s="154">
        <f>SUM('Gebouwgegevens Tabula 2zone'!R21:R24)</f>
        <v>61.800000000000004</v>
      </c>
    </row>
    <row r="25" spans="1:9" x14ac:dyDescent="0.25">
      <c r="A25" t="s">
        <v>290</v>
      </c>
      <c r="B25" s="152">
        <f>SUM('Gebouwgegevens Tabula 2zone'!O17:O20)*'Gebouwgegevens Tabula 2zone'!AA21</f>
        <v>71.614560885608881</v>
      </c>
      <c r="C25" t="s">
        <v>107</v>
      </c>
    </row>
    <row r="26" spans="1:9" x14ac:dyDescent="0.25">
      <c r="A26" t="s">
        <v>305</v>
      </c>
      <c r="B26" s="152">
        <f>'Gebouwgegevens Tabula 2zone'!R25</f>
        <v>271.5513493885054</v>
      </c>
      <c r="C26" t="s">
        <v>107</v>
      </c>
      <c r="D26" s="153" t="s">
        <v>292</v>
      </c>
    </row>
    <row r="27" spans="1:9" x14ac:dyDescent="0.25">
      <c r="A27" t="s">
        <v>293</v>
      </c>
      <c r="B27" s="152">
        <f>B23+B24+B26</f>
        <v>526.61339202107797</v>
      </c>
      <c r="D27" s="153"/>
    </row>
    <row r="28" spans="1:9" x14ac:dyDescent="0.25">
      <c r="B28" s="152"/>
      <c r="D28" s="153"/>
    </row>
    <row r="29" spans="1:9" x14ac:dyDescent="0.25">
      <c r="B29" t="s">
        <v>294</v>
      </c>
      <c r="D29" t="s">
        <v>295</v>
      </c>
    </row>
    <row r="30" spans="1:9" x14ac:dyDescent="0.25">
      <c r="A30" t="s">
        <v>296</v>
      </c>
      <c r="B30" s="155">
        <f>SUM('Gebouwgegevens Tabula 2zone'!S17:S20)</f>
        <v>16168642.212000003</v>
      </c>
      <c r="C30" s="155" t="s">
        <v>297</v>
      </c>
      <c r="D30" s="155">
        <f>SUM('Gebouwgegevens Tabula 2zone'!U17:U20)</f>
        <v>14551346.712000003</v>
      </c>
      <c r="E30" t="s">
        <v>297</v>
      </c>
    </row>
    <row r="31" spans="1:9" x14ac:dyDescent="0.25">
      <c r="A31" t="s">
        <v>122</v>
      </c>
      <c r="B31" s="155">
        <f>'Gebouwgegevens Tabula 2zone'!C35*5*1012*1.204</f>
        <v>2420305.0180931902</v>
      </c>
      <c r="C31" t="s">
        <v>297</v>
      </c>
      <c r="D31" s="155">
        <f>B31</f>
        <v>2420305.0180931902</v>
      </c>
      <c r="E31" t="s">
        <v>297</v>
      </c>
    </row>
    <row r="32" spans="1:9" x14ac:dyDescent="0.25">
      <c r="A32" t="s">
        <v>298</v>
      </c>
      <c r="B32" s="155">
        <f>SUM('Gebouwgegevens Tabula 2zone'!O17:O20)*'Gebouwgegevens Tabula 2zone'!AE21</f>
        <v>5403923.364000001</v>
      </c>
      <c r="C32" t="s">
        <v>297</v>
      </c>
      <c r="D32" s="155">
        <f>B32</f>
        <v>5403923.364000001</v>
      </c>
      <c r="E32" t="s">
        <v>297</v>
      </c>
    </row>
    <row r="33" spans="1:6" x14ac:dyDescent="0.25">
      <c r="A33" t="s">
        <v>306</v>
      </c>
      <c r="B33" s="155">
        <f>'Gebouwgegevens Tabula 2zone'!S25</f>
        <v>12344112</v>
      </c>
      <c r="C33" s="155" t="s">
        <v>297</v>
      </c>
      <c r="D33" s="155">
        <f>'Gebouwgegevens Tabula 2zone'!U25</f>
        <v>6689232</v>
      </c>
      <c r="E33" s="155" t="s">
        <v>297</v>
      </c>
      <c r="F33" s="155"/>
    </row>
    <row r="35" spans="1:6" x14ac:dyDescent="0.25">
      <c r="A35" t="s">
        <v>300</v>
      </c>
      <c r="B35">
        <f>B30+B32</f>
        <v>21572565.576000005</v>
      </c>
      <c r="D35">
        <f>D30+D32</f>
        <v>19955270.076000005</v>
      </c>
    </row>
    <row r="36" spans="1:6" x14ac:dyDescent="0.25">
      <c r="A36" t="s">
        <v>301</v>
      </c>
      <c r="B36">
        <f>B30+B31+B32+B33</f>
        <v>36336982.594093189</v>
      </c>
      <c r="D36" s="156">
        <f>SUM(D30:D33)</f>
        <v>29064807.094093192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zoomScaleNormal="100" workbookViewId="0"/>
  </sheetViews>
  <sheetFormatPr defaultRowHeight="15" x14ac:dyDescent="0.25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zoomScaleNormal="100" workbookViewId="0"/>
  </sheetViews>
  <sheetFormatPr defaultRowHeight="15" x14ac:dyDescent="0.25"/>
  <sheetData>
    <row r="1" spans="1:1" x14ac:dyDescent="0.25">
      <c r="A1" t="s">
        <v>293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O51"/>
  <sheetViews>
    <sheetView zoomScaleNormal="100" workbookViewId="0">
      <selection activeCell="AM8" sqref="AM8"/>
    </sheetView>
  </sheetViews>
  <sheetFormatPr defaultRowHeight="15" x14ac:dyDescent="0.25"/>
  <cols>
    <col min="1" max="1" width="20.5703125"/>
    <col min="2" max="2" width="12.28515625"/>
    <col min="3" max="3" width="6.85546875"/>
    <col min="4" max="4" width="22.140625"/>
    <col min="5" max="5" width="9.85546875"/>
    <col min="6" max="6" width="7.140625"/>
    <col min="7" max="7" width="5.5703125"/>
    <col min="8" max="8" width="7.7109375"/>
    <col min="9" max="9" width="2.7109375" style="1"/>
    <col min="10" max="10" width="4.85546875"/>
    <col min="11" max="11" width="10.42578125" style="2"/>
    <col min="12" max="12" width="8" style="2"/>
    <col min="13" max="13" width="16.85546875" style="2"/>
    <col min="14" max="14" width="9.42578125"/>
    <col min="15" max="15" width="11.28515625"/>
    <col min="16" max="17" width="9.28515625" style="3"/>
    <col min="18" max="18" width="12.140625"/>
    <col min="19" max="19" width="11.7109375"/>
    <col min="20" max="20" width="12.140625"/>
    <col min="21" max="21" width="3.140625" style="1"/>
    <col min="22" max="22" width="3"/>
    <col min="23" max="23" width="3.5703125"/>
    <col min="24" max="24" width="18.42578125"/>
    <col min="25" max="25" width="8.5703125"/>
    <col min="26" max="26" width="15.85546875"/>
    <col min="27" max="28" width="8.5703125"/>
    <col min="29" max="29" width="9.5703125"/>
    <col min="30" max="35" width="8.5703125"/>
    <col min="36" max="37" width="8.5703125" style="80"/>
    <col min="38" max="1025" width="8.5703125"/>
  </cols>
  <sheetData>
    <row r="1" spans="1:41" ht="20.25" customHeight="1" x14ac:dyDescent="0.25">
      <c r="A1" s="277" t="s">
        <v>0</v>
      </c>
      <c r="B1" s="277"/>
      <c r="C1" s="277"/>
      <c r="D1" s="277"/>
      <c r="E1" s="277"/>
      <c r="F1" s="277"/>
      <c r="G1" s="277"/>
    </row>
    <row r="3" spans="1:41" x14ac:dyDescent="0.25">
      <c r="A3" s="274" t="s">
        <v>1</v>
      </c>
      <c r="B3" s="274"/>
      <c r="C3" s="274"/>
      <c r="D3" s="274"/>
      <c r="E3" s="274"/>
      <c r="F3" s="274"/>
      <c r="G3" s="274"/>
      <c r="H3" s="274"/>
      <c r="J3" s="274" t="s">
        <v>2</v>
      </c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4"/>
      <c r="V3" s="274" t="s">
        <v>3</v>
      </c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</row>
    <row r="4" spans="1:41" ht="15.75" customHeight="1" x14ac:dyDescent="0.25">
      <c r="Y4" s="5" t="s">
        <v>4</v>
      </c>
      <c r="Z4" s="5">
        <v>1.7</v>
      </c>
      <c r="AA4" s="5" t="s">
        <v>5</v>
      </c>
    </row>
    <row r="5" spans="1:41" ht="15" customHeight="1" x14ac:dyDescent="0.25">
      <c r="A5" s="6" t="s">
        <v>6</v>
      </c>
      <c r="B5" s="7">
        <f>502</f>
        <v>502</v>
      </c>
      <c r="C5" s="7" t="s">
        <v>7</v>
      </c>
      <c r="D5" s="6" t="s">
        <v>8</v>
      </c>
      <c r="E5" s="7"/>
      <c r="F5" s="7"/>
      <c r="G5" s="8">
        <f>SUM(H7:H14)</f>
        <v>14</v>
      </c>
      <c r="H5" s="9" t="s">
        <v>9</v>
      </c>
      <c r="J5" t="s">
        <v>10</v>
      </c>
      <c r="K5" s="10" t="s">
        <v>11</v>
      </c>
      <c r="L5" s="11" t="s">
        <v>12</v>
      </c>
      <c r="M5" s="11" t="s">
        <v>13</v>
      </c>
      <c r="N5" s="11" t="s">
        <v>14</v>
      </c>
      <c r="O5" s="12" t="s">
        <v>15</v>
      </c>
      <c r="P5" s="13" t="s">
        <v>16</v>
      </c>
      <c r="Q5" s="13" t="s">
        <v>17</v>
      </c>
      <c r="R5" s="14" t="s">
        <v>18</v>
      </c>
      <c r="S5" s="14"/>
      <c r="T5" s="14" t="s">
        <v>19</v>
      </c>
      <c r="U5" s="15"/>
      <c r="W5" s="16" t="s">
        <v>20</v>
      </c>
      <c r="X5" s="17"/>
      <c r="Y5" s="18" t="s">
        <v>21</v>
      </c>
      <c r="Z5" s="19">
        <f>1/(1/10+SUM(AC7:AC11)+1/23)</f>
        <v>1.6975498473547073</v>
      </c>
      <c r="AA5" s="17" t="s">
        <v>5</v>
      </c>
      <c r="AB5" s="17"/>
      <c r="AC5" s="17" t="s">
        <v>22</v>
      </c>
      <c r="AD5" s="20">
        <f>SUM(AD7:AD11)</f>
        <v>77930</v>
      </c>
      <c r="AE5" s="14" t="s">
        <v>23</v>
      </c>
      <c r="AF5" s="14">
        <f>SUM(AD9:AD11)</f>
        <v>42230</v>
      </c>
      <c r="AG5" s="14"/>
    </row>
    <row r="6" spans="1:41" ht="15" customHeight="1" x14ac:dyDescent="0.25">
      <c r="A6" s="21"/>
      <c r="B6" s="22"/>
      <c r="C6" s="22"/>
      <c r="D6" s="23"/>
      <c r="E6" s="24"/>
      <c r="F6" s="24"/>
      <c r="G6" s="24"/>
      <c r="H6" s="25"/>
      <c r="J6" t="s">
        <v>24</v>
      </c>
      <c r="K6" s="26">
        <v>0</v>
      </c>
      <c r="L6" s="27">
        <v>1</v>
      </c>
      <c r="M6" s="27" t="s">
        <v>25</v>
      </c>
      <c r="N6" s="28">
        <f>10.7*3.5-N10-2*1*2.5</f>
        <v>25.449999999999996</v>
      </c>
      <c r="O6" s="29" t="s">
        <v>26</v>
      </c>
      <c r="P6" s="30">
        <f t="shared" ref="P6:P28" si="0">VLOOKUP(M6,$W$5:$Z$391,4,0)</f>
        <v>2.2022341505875525</v>
      </c>
      <c r="Q6" s="30">
        <f t="shared" ref="Q6:Q28" si="1">P6*N6</f>
        <v>56.0468591324532</v>
      </c>
      <c r="R6" s="30">
        <f t="shared" ref="R6:R28" si="2">VLOOKUP(M6,$W$5:$AD$391,8,0)*N6</f>
        <v>11449445.999999998</v>
      </c>
      <c r="S6" s="30">
        <f t="shared" ref="S6:S28" si="3">R6/N6</f>
        <v>449880</v>
      </c>
      <c r="T6" s="30">
        <f t="shared" ref="T6:T28" si="4">VLOOKUP(M6,$W$5:$AF$391,10,0)*N6</f>
        <v>10304195.999999998</v>
      </c>
      <c r="U6" s="31"/>
      <c r="V6" s="3"/>
      <c r="W6" s="32"/>
      <c r="X6" s="33" t="s">
        <v>27</v>
      </c>
      <c r="Y6" s="33" t="s">
        <v>28</v>
      </c>
      <c r="Z6" s="33" t="s">
        <v>29</v>
      </c>
      <c r="AA6" s="33" t="s">
        <v>30</v>
      </c>
      <c r="AB6" s="33" t="s">
        <v>31</v>
      </c>
      <c r="AC6" s="33" t="s">
        <v>32</v>
      </c>
      <c r="AD6" s="34" t="s">
        <v>33</v>
      </c>
      <c r="AE6" s="14"/>
      <c r="AF6" s="14"/>
      <c r="AG6" s="14"/>
      <c r="AL6" t="s">
        <v>6</v>
      </c>
      <c r="AN6" s="81">
        <f>B5</f>
        <v>502</v>
      </c>
      <c r="AO6" t="str">
        <f>C5</f>
        <v>m³</v>
      </c>
    </row>
    <row r="7" spans="1:41" ht="15" customHeight="1" x14ac:dyDescent="0.25">
      <c r="A7" s="6" t="s">
        <v>34</v>
      </c>
      <c r="B7" s="35">
        <f>N14</f>
        <v>104.86</v>
      </c>
      <c r="C7" s="36" t="s">
        <v>9</v>
      </c>
      <c r="D7" s="37" t="s">
        <v>35</v>
      </c>
      <c r="E7" s="24" t="s">
        <v>36</v>
      </c>
      <c r="F7" s="38">
        <f t="shared" ref="F7:F14" si="5">H7/$G$5</f>
        <v>0.5</v>
      </c>
      <c r="G7" s="24" t="s">
        <v>37</v>
      </c>
      <c r="H7" s="39">
        <f>N10</f>
        <v>7</v>
      </c>
      <c r="J7" t="s">
        <v>38</v>
      </c>
      <c r="K7" s="40">
        <v>0</v>
      </c>
      <c r="L7" s="41">
        <v>1</v>
      </c>
      <c r="M7" s="41" t="s">
        <v>25</v>
      </c>
      <c r="N7" s="42">
        <f>9.8*3.5*2.5*1</f>
        <v>85.750000000000014</v>
      </c>
      <c r="O7" s="43" t="s">
        <v>39</v>
      </c>
      <c r="P7" s="30">
        <f t="shared" si="0"/>
        <v>2.2022341505875525</v>
      </c>
      <c r="Q7" s="30">
        <f t="shared" si="1"/>
        <v>188.84157841288265</v>
      </c>
      <c r="R7" s="30">
        <f t="shared" si="2"/>
        <v>38577210.000000007</v>
      </c>
      <c r="S7" s="30">
        <f t="shared" si="3"/>
        <v>449880</v>
      </c>
      <c r="T7" s="30">
        <f t="shared" si="4"/>
        <v>34718460.000000007</v>
      </c>
      <c r="U7" s="31"/>
      <c r="V7" s="3"/>
      <c r="W7" s="23"/>
      <c r="X7" s="24" t="s">
        <v>40</v>
      </c>
      <c r="Y7" s="24">
        <v>2.5000000000000001E-2</v>
      </c>
      <c r="Z7" s="24">
        <v>1</v>
      </c>
      <c r="AA7" s="24">
        <v>1700</v>
      </c>
      <c r="AB7" s="24">
        <v>840</v>
      </c>
      <c r="AC7" s="44">
        <f>Y7/Z7</f>
        <v>2.5000000000000001E-2</v>
      </c>
      <c r="AD7" s="25">
        <f>Y7*AA7*AB7</f>
        <v>35700</v>
      </c>
      <c r="AE7" s="14" t="s">
        <v>41</v>
      </c>
      <c r="AF7" s="14"/>
      <c r="AG7" s="14"/>
      <c r="AM7" t="s">
        <v>133</v>
      </c>
      <c r="AN7">
        <v>0.6</v>
      </c>
    </row>
    <row r="8" spans="1:41" ht="15" customHeight="1" x14ac:dyDescent="0.25">
      <c r="A8" s="45" t="s">
        <v>42</v>
      </c>
      <c r="B8" s="46">
        <f>B7-B9</f>
        <v>59.291999999999994</v>
      </c>
      <c r="C8" s="47" t="s">
        <v>9</v>
      </c>
      <c r="D8" s="37" t="s">
        <v>43</v>
      </c>
      <c r="E8" s="24" t="s">
        <v>36</v>
      </c>
      <c r="F8" s="38">
        <f t="shared" si="5"/>
        <v>0</v>
      </c>
      <c r="G8" s="24" t="s">
        <v>37</v>
      </c>
      <c r="H8" s="39">
        <f>N11</f>
        <v>0</v>
      </c>
      <c r="J8" t="s">
        <v>44</v>
      </c>
      <c r="K8" s="40">
        <v>0</v>
      </c>
      <c r="L8" s="41">
        <v>1</v>
      </c>
      <c r="M8" s="41" t="s">
        <v>25</v>
      </c>
      <c r="N8" s="42">
        <f>10.7*3.5-N12</f>
        <v>32.449999999999996</v>
      </c>
      <c r="O8" s="43" t="s">
        <v>45</v>
      </c>
      <c r="P8" s="30">
        <f t="shared" si="0"/>
        <v>2.2022341505875525</v>
      </c>
      <c r="Q8" s="30">
        <f t="shared" si="1"/>
        <v>71.462498186566066</v>
      </c>
      <c r="R8" s="30">
        <f t="shared" si="2"/>
        <v>14598605.999999998</v>
      </c>
      <c r="S8" s="30">
        <f t="shared" si="3"/>
        <v>449880</v>
      </c>
      <c r="T8" s="30">
        <f t="shared" si="4"/>
        <v>13138355.999999998</v>
      </c>
      <c r="U8" s="31"/>
      <c r="V8" s="3"/>
      <c r="W8" s="23"/>
      <c r="X8" s="24" t="s">
        <v>46</v>
      </c>
      <c r="Y8" s="24">
        <v>0</v>
      </c>
      <c r="Z8" s="24">
        <v>0</v>
      </c>
      <c r="AA8" s="24">
        <v>0</v>
      </c>
      <c r="AB8" s="24">
        <v>0</v>
      </c>
      <c r="AC8" s="44">
        <v>0.16</v>
      </c>
      <c r="AD8" s="25">
        <f>Y8*AA8*AB8</f>
        <v>0</v>
      </c>
      <c r="AE8" s="14"/>
      <c r="AF8" s="14"/>
      <c r="AG8" s="14"/>
    </row>
    <row r="9" spans="1:41" ht="15" customHeight="1" x14ac:dyDescent="0.25">
      <c r="A9" s="48" t="s">
        <v>47</v>
      </c>
      <c r="B9" s="49">
        <f>3.2*7.12*2</f>
        <v>45.568000000000005</v>
      </c>
      <c r="C9" s="24"/>
      <c r="D9" s="37" t="s">
        <v>48</v>
      </c>
      <c r="E9" s="24" t="s">
        <v>36</v>
      </c>
      <c r="F9" s="38">
        <f t="shared" si="5"/>
        <v>0.35714285714285715</v>
      </c>
      <c r="G9" s="24" t="s">
        <v>37</v>
      </c>
      <c r="H9" s="39">
        <f>N12</f>
        <v>5</v>
      </c>
      <c r="J9" t="s">
        <v>49</v>
      </c>
      <c r="K9" s="40">
        <v>0</v>
      </c>
      <c r="L9" s="41">
        <v>1</v>
      </c>
      <c r="M9" s="41" t="s">
        <v>25</v>
      </c>
      <c r="N9" s="42">
        <f>9.8*3.5-N13</f>
        <v>34.300000000000004</v>
      </c>
      <c r="O9" s="43" t="s">
        <v>50</v>
      </c>
      <c r="P9" s="30">
        <f t="shared" si="0"/>
        <v>2.2022341505875525</v>
      </c>
      <c r="Q9" s="30">
        <f t="shared" si="1"/>
        <v>75.536631365153056</v>
      </c>
      <c r="R9" s="30">
        <f t="shared" si="2"/>
        <v>15430884.000000002</v>
      </c>
      <c r="S9" s="30">
        <f t="shared" si="3"/>
        <v>449880</v>
      </c>
      <c r="T9" s="30">
        <f t="shared" si="4"/>
        <v>13887384.000000002</v>
      </c>
      <c r="U9" s="31"/>
      <c r="V9" s="3"/>
      <c r="W9" s="23"/>
      <c r="X9" s="50" t="s">
        <v>51</v>
      </c>
      <c r="Y9" s="24">
        <v>0</v>
      </c>
      <c r="Z9" s="24">
        <v>1.4</v>
      </c>
      <c r="AA9" s="24">
        <v>2100</v>
      </c>
      <c r="AB9" s="24">
        <v>840</v>
      </c>
      <c r="AC9" s="44">
        <f>Y9/Z9</f>
        <v>0</v>
      </c>
      <c r="AD9" s="25">
        <f>Y9*AA9*AB9</f>
        <v>0</v>
      </c>
      <c r="AE9" s="14"/>
      <c r="AF9" s="14"/>
      <c r="AG9" s="14"/>
    </row>
    <row r="10" spans="1:41" ht="15" customHeight="1" x14ac:dyDescent="0.25">
      <c r="A10" s="23"/>
      <c r="B10" s="24"/>
      <c r="C10" s="24"/>
      <c r="D10" s="37" t="s">
        <v>52</v>
      </c>
      <c r="E10" s="50" t="s">
        <v>36</v>
      </c>
      <c r="F10" s="38">
        <f t="shared" si="5"/>
        <v>0</v>
      </c>
      <c r="G10" s="24" t="s">
        <v>37</v>
      </c>
      <c r="H10" s="39">
        <f>N13</f>
        <v>0</v>
      </c>
      <c r="J10" t="s">
        <v>53</v>
      </c>
      <c r="K10" s="40">
        <v>0</v>
      </c>
      <c r="L10" s="41">
        <v>1</v>
      </c>
      <c r="M10" s="41" t="s">
        <v>54</v>
      </c>
      <c r="N10" s="42">
        <v>7</v>
      </c>
      <c r="O10" s="43" t="s">
        <v>26</v>
      </c>
      <c r="P10" s="30">
        <f t="shared" si="0"/>
        <v>5</v>
      </c>
      <c r="Q10" s="30">
        <f t="shared" si="1"/>
        <v>35</v>
      </c>
      <c r="R10" s="30">
        <f t="shared" si="2"/>
        <v>0</v>
      </c>
      <c r="S10" s="30">
        <f t="shared" si="3"/>
        <v>0</v>
      </c>
      <c r="T10" s="30">
        <f t="shared" si="4"/>
        <v>0</v>
      </c>
      <c r="U10" s="31"/>
      <c r="V10" s="3"/>
      <c r="W10" s="23"/>
      <c r="X10" s="50" t="s">
        <v>55</v>
      </c>
      <c r="Y10">
        <v>2.5000000000000001E-2</v>
      </c>
      <c r="Z10" s="50">
        <v>0.11</v>
      </c>
      <c r="AA10" s="50">
        <v>550</v>
      </c>
      <c r="AB10" s="50">
        <v>1880</v>
      </c>
      <c r="AC10" s="44">
        <f>Y10/Z10</f>
        <v>0.22727272727272729</v>
      </c>
      <c r="AD10" s="25">
        <f>Y10*AA10*AB10</f>
        <v>25850</v>
      </c>
      <c r="AE10" s="14" t="s">
        <v>41</v>
      </c>
      <c r="AF10" s="14"/>
      <c r="AG10" s="14"/>
    </row>
    <row r="11" spans="1:41" ht="15" customHeight="1" x14ac:dyDescent="0.25">
      <c r="A11" s="23"/>
      <c r="B11" s="24"/>
      <c r="C11" s="24"/>
      <c r="D11" s="37" t="s">
        <v>35</v>
      </c>
      <c r="E11" s="50" t="s">
        <v>56</v>
      </c>
      <c r="F11" s="51">
        <f t="shared" si="5"/>
        <v>0</v>
      </c>
      <c r="G11" s="24"/>
      <c r="H11" s="52">
        <f>N21</f>
        <v>0</v>
      </c>
      <c r="J11" t="s">
        <v>57</v>
      </c>
      <c r="K11" s="40">
        <v>0</v>
      </c>
      <c r="L11" s="41">
        <v>1</v>
      </c>
      <c r="M11" s="41" t="s">
        <v>54</v>
      </c>
      <c r="N11" s="42">
        <v>0</v>
      </c>
      <c r="O11" s="43" t="s">
        <v>39</v>
      </c>
      <c r="P11" s="30">
        <f t="shared" si="0"/>
        <v>5</v>
      </c>
      <c r="Q11" s="30">
        <f t="shared" si="1"/>
        <v>0</v>
      </c>
      <c r="R11" s="30">
        <f t="shared" si="2"/>
        <v>0</v>
      </c>
      <c r="S11" s="30" t="e">
        <f t="shared" si="3"/>
        <v>#DIV/0!</v>
      </c>
      <c r="T11" s="30">
        <f t="shared" si="4"/>
        <v>0</v>
      </c>
      <c r="U11" s="31"/>
      <c r="V11" s="3"/>
      <c r="W11" s="53"/>
      <c r="X11" s="22" t="s">
        <v>58</v>
      </c>
      <c r="Y11" s="22">
        <v>0.02</v>
      </c>
      <c r="Z11" s="22">
        <v>0.6</v>
      </c>
      <c r="AA11" s="22">
        <v>975</v>
      </c>
      <c r="AB11" s="22">
        <v>840</v>
      </c>
      <c r="AC11" s="54">
        <f>Y11/Z11</f>
        <v>3.3333333333333333E-2</v>
      </c>
      <c r="AD11" s="55">
        <f>Y11*AA11*AB11</f>
        <v>16380</v>
      </c>
      <c r="AE11" s="14"/>
      <c r="AF11" s="14"/>
      <c r="AG11" s="14"/>
    </row>
    <row r="12" spans="1:41" ht="15" customHeight="1" x14ac:dyDescent="0.25">
      <c r="A12" s="23"/>
      <c r="B12" s="24"/>
      <c r="C12" s="24"/>
      <c r="D12" s="37" t="s">
        <v>43</v>
      </c>
      <c r="E12" s="50" t="s">
        <v>56</v>
      </c>
      <c r="F12" s="51">
        <f t="shared" si="5"/>
        <v>0.14285714285714285</v>
      </c>
      <c r="G12" s="24"/>
      <c r="H12" s="52">
        <f>N22</f>
        <v>2</v>
      </c>
      <c r="J12" t="s">
        <v>59</v>
      </c>
      <c r="K12" s="40">
        <v>0</v>
      </c>
      <c r="L12" s="41">
        <v>1</v>
      </c>
      <c r="M12" s="41" t="s">
        <v>54</v>
      </c>
      <c r="N12" s="42">
        <v>5</v>
      </c>
      <c r="O12" s="43" t="s">
        <v>45</v>
      </c>
      <c r="P12" s="30">
        <f t="shared" si="0"/>
        <v>5</v>
      </c>
      <c r="Q12" s="30">
        <f t="shared" si="1"/>
        <v>25</v>
      </c>
      <c r="R12" s="30">
        <f t="shared" si="2"/>
        <v>0</v>
      </c>
      <c r="S12" s="30">
        <f t="shared" si="3"/>
        <v>0</v>
      </c>
      <c r="T12" s="30">
        <f t="shared" si="4"/>
        <v>0</v>
      </c>
      <c r="U12" s="31"/>
      <c r="V12" s="3"/>
      <c r="W12" s="24"/>
      <c r="X12" s="24"/>
      <c r="Y12" s="24"/>
      <c r="Z12" s="24"/>
      <c r="AA12" s="24"/>
      <c r="AB12" s="24"/>
      <c r="AC12" s="44"/>
      <c r="AD12" s="24"/>
      <c r="AE12" s="14"/>
      <c r="AF12" s="14"/>
      <c r="AG12" s="14"/>
    </row>
    <row r="13" spans="1:41" ht="15" customHeight="1" x14ac:dyDescent="0.25">
      <c r="A13" s="23"/>
      <c r="B13" s="24"/>
      <c r="C13" s="24"/>
      <c r="D13" s="37" t="s">
        <v>48</v>
      </c>
      <c r="E13" s="50" t="s">
        <v>56</v>
      </c>
      <c r="F13" s="51">
        <f t="shared" si="5"/>
        <v>0</v>
      </c>
      <c r="G13" s="24"/>
      <c r="H13" s="52">
        <f>N23</f>
        <v>0</v>
      </c>
      <c r="J13" t="s">
        <v>60</v>
      </c>
      <c r="K13" s="40">
        <v>0</v>
      </c>
      <c r="L13" s="41">
        <v>1</v>
      </c>
      <c r="M13" s="41" t="s">
        <v>54</v>
      </c>
      <c r="N13" s="42">
        <v>0</v>
      </c>
      <c r="O13" s="43" t="s">
        <v>50</v>
      </c>
      <c r="P13" s="30">
        <f t="shared" si="0"/>
        <v>5</v>
      </c>
      <c r="Q13" s="30">
        <f t="shared" si="1"/>
        <v>0</v>
      </c>
      <c r="R13" s="30">
        <f t="shared" si="2"/>
        <v>0</v>
      </c>
      <c r="S13" s="30" t="e">
        <f t="shared" si="3"/>
        <v>#DIV/0!</v>
      </c>
      <c r="T13" s="30">
        <f t="shared" si="4"/>
        <v>0</v>
      </c>
      <c r="U13" s="31"/>
      <c r="V13" s="3"/>
      <c r="Y13" s="5" t="s">
        <v>4</v>
      </c>
      <c r="Z13" s="5">
        <v>2.2000000000000002</v>
      </c>
      <c r="AA13" s="5" t="s">
        <v>5</v>
      </c>
      <c r="AE13" s="14"/>
      <c r="AF13" s="14"/>
      <c r="AG13" s="14"/>
    </row>
    <row r="14" spans="1:41" ht="15" customHeight="1" x14ac:dyDescent="0.25">
      <c r="A14" s="23"/>
      <c r="B14" s="24"/>
      <c r="C14" s="24"/>
      <c r="D14" s="37" t="s">
        <v>52</v>
      </c>
      <c r="E14" s="50" t="s">
        <v>56</v>
      </c>
      <c r="F14" s="51">
        <f t="shared" si="5"/>
        <v>0</v>
      </c>
      <c r="G14" s="24"/>
      <c r="H14" s="52">
        <f>N24</f>
        <v>0</v>
      </c>
      <c r="J14" t="s">
        <v>61</v>
      </c>
      <c r="K14" s="40" t="s">
        <v>62</v>
      </c>
      <c r="L14" s="41">
        <v>1</v>
      </c>
      <c r="M14" s="41" t="s">
        <v>63</v>
      </c>
      <c r="N14" s="42">
        <f>10.7*9.8</f>
        <v>104.86</v>
      </c>
      <c r="O14" s="43"/>
      <c r="P14" s="30">
        <f t="shared" si="0"/>
        <v>2.5990099009900991</v>
      </c>
      <c r="Q14" s="30">
        <f t="shared" si="1"/>
        <v>272.53217821782181</v>
      </c>
      <c r="R14" s="30">
        <f t="shared" si="2"/>
        <v>47150089.280000001</v>
      </c>
      <c r="S14" s="30">
        <f t="shared" si="3"/>
        <v>449648</v>
      </c>
      <c r="T14" s="30">
        <f t="shared" si="4"/>
        <v>10155481.279999999</v>
      </c>
      <c r="U14" s="31"/>
      <c r="V14" s="3"/>
      <c r="W14" s="16" t="s">
        <v>64</v>
      </c>
      <c r="X14" s="17"/>
      <c r="Y14" s="18" t="s">
        <v>21</v>
      </c>
      <c r="Z14" s="19">
        <f>1/(1/8+SUM(AC16:AC19)+1/23)</f>
        <v>2.2022341505875525</v>
      </c>
      <c r="AA14" s="17" t="s">
        <v>5</v>
      </c>
      <c r="AB14" s="17"/>
      <c r="AC14" s="17" t="s">
        <v>22</v>
      </c>
      <c r="AD14" s="20">
        <f>SUM(AD16:AD20)</f>
        <v>449880</v>
      </c>
      <c r="AE14" s="14" t="s">
        <v>23</v>
      </c>
      <c r="AF14" s="14">
        <f>SUM(AD18:AD19)</f>
        <v>404880</v>
      </c>
      <c r="AG14" s="14"/>
    </row>
    <row r="15" spans="1:41" ht="15" customHeight="1" x14ac:dyDescent="0.25">
      <c r="A15" s="23"/>
      <c r="B15" s="24"/>
      <c r="C15" s="24"/>
      <c r="D15" s="56" t="s">
        <v>65</v>
      </c>
      <c r="E15" s="7"/>
      <c r="F15" s="7"/>
      <c r="G15" s="7"/>
      <c r="H15" s="9"/>
      <c r="J15" t="s">
        <v>66</v>
      </c>
      <c r="K15" s="40">
        <v>0</v>
      </c>
      <c r="L15" s="41">
        <v>1</v>
      </c>
      <c r="M15" s="41" t="s">
        <v>20</v>
      </c>
      <c r="N15" s="42">
        <v>29</v>
      </c>
      <c r="O15" s="43"/>
      <c r="P15" s="30">
        <f t="shared" si="0"/>
        <v>1.6975498473547073</v>
      </c>
      <c r="Q15" s="30">
        <f t="shared" si="1"/>
        <v>49.228945573286509</v>
      </c>
      <c r="R15" s="30">
        <f t="shared" si="2"/>
        <v>2259970</v>
      </c>
      <c r="S15" s="30">
        <f t="shared" si="3"/>
        <v>77930</v>
      </c>
      <c r="T15" s="30">
        <f t="shared" si="4"/>
        <v>1224670</v>
      </c>
      <c r="U15" s="31"/>
      <c r="V15" s="3"/>
      <c r="W15" s="32"/>
      <c r="X15" s="33" t="s">
        <v>27</v>
      </c>
      <c r="Y15" s="33" t="s">
        <v>28</v>
      </c>
      <c r="Z15" s="33" t="s">
        <v>29</v>
      </c>
      <c r="AA15" s="33" t="s">
        <v>30</v>
      </c>
      <c r="AB15" s="33" t="s">
        <v>31</v>
      </c>
      <c r="AC15" s="33" t="s">
        <v>32</v>
      </c>
      <c r="AD15" s="34" t="s">
        <v>33</v>
      </c>
      <c r="AE15" s="14"/>
      <c r="AF15" s="14"/>
      <c r="AG15" s="14"/>
    </row>
    <row r="16" spans="1:41" ht="15" customHeight="1" x14ac:dyDescent="0.25">
      <c r="A16" s="23"/>
      <c r="B16" s="24"/>
      <c r="C16" s="24"/>
      <c r="D16" s="57"/>
      <c r="E16" s="24"/>
      <c r="F16" s="24"/>
      <c r="G16" s="24"/>
      <c r="H16" s="25"/>
      <c r="J16" t="s">
        <v>67</v>
      </c>
      <c r="K16" s="40">
        <v>0</v>
      </c>
      <c r="L16" s="41">
        <v>1</v>
      </c>
      <c r="M16" s="41" t="s">
        <v>68</v>
      </c>
      <c r="N16" s="42">
        <f>2*1*2.5+1*2.5</f>
        <v>7.5</v>
      </c>
      <c r="O16" s="43"/>
      <c r="P16" s="30">
        <f t="shared" si="0"/>
        <v>4</v>
      </c>
      <c r="Q16" s="30">
        <f t="shared" si="1"/>
        <v>30</v>
      </c>
      <c r="R16" s="30">
        <f t="shared" si="2"/>
        <v>273900</v>
      </c>
      <c r="S16" s="30">
        <f t="shared" si="3"/>
        <v>36520</v>
      </c>
      <c r="T16" s="30">
        <f t="shared" si="4"/>
        <v>0</v>
      </c>
      <c r="U16" s="31"/>
      <c r="V16" s="3"/>
      <c r="W16" s="23"/>
      <c r="X16" s="24"/>
      <c r="Y16" s="24"/>
      <c r="Z16" s="24"/>
      <c r="AA16" s="24"/>
      <c r="AB16" s="24"/>
      <c r="AC16" s="44"/>
      <c r="AD16" s="25"/>
      <c r="AE16" s="14"/>
      <c r="AF16" s="14"/>
      <c r="AG16" s="14"/>
    </row>
    <row r="17" spans="1:33" ht="15" customHeight="1" x14ac:dyDescent="0.25">
      <c r="A17" s="53"/>
      <c r="B17" s="22"/>
      <c r="C17" s="22"/>
      <c r="D17" s="37" t="s">
        <v>69</v>
      </c>
      <c r="E17" s="24"/>
      <c r="F17" s="58">
        <f>B5/B27</f>
        <v>1.0879517640207914</v>
      </c>
      <c r="G17" s="59" t="s">
        <v>70</v>
      </c>
      <c r="H17" s="25"/>
      <c r="J17" t="s">
        <v>71</v>
      </c>
      <c r="K17" s="40">
        <v>0</v>
      </c>
      <c r="L17" s="41">
        <v>3</v>
      </c>
      <c r="M17" s="41" t="s">
        <v>25</v>
      </c>
      <c r="N17" s="42">
        <v>0</v>
      </c>
      <c r="O17" s="43" t="s">
        <v>26</v>
      </c>
      <c r="P17" s="30">
        <f t="shared" si="0"/>
        <v>2.2022341505875525</v>
      </c>
      <c r="Q17" s="30">
        <f t="shared" si="1"/>
        <v>0</v>
      </c>
      <c r="R17" s="30">
        <f t="shared" si="2"/>
        <v>0</v>
      </c>
      <c r="S17" s="30" t="e">
        <f t="shared" si="3"/>
        <v>#DIV/0!</v>
      </c>
      <c r="T17" s="30">
        <f t="shared" si="4"/>
        <v>0</v>
      </c>
      <c r="U17" s="31"/>
      <c r="V17" s="3"/>
      <c r="W17" s="23"/>
      <c r="X17" s="24" t="s">
        <v>72</v>
      </c>
      <c r="Y17" s="24">
        <v>2.5000000000000001E-2</v>
      </c>
      <c r="Z17" s="24">
        <v>1</v>
      </c>
      <c r="AA17" s="24">
        <v>1800</v>
      </c>
      <c r="AB17" s="24">
        <v>1000</v>
      </c>
      <c r="AC17" s="44">
        <f>Y17/Z17</f>
        <v>2.5000000000000001E-2</v>
      </c>
      <c r="AD17" s="25">
        <f>Y17*AA17*AB17</f>
        <v>45000</v>
      </c>
      <c r="AE17" s="14"/>
      <c r="AF17" s="14"/>
      <c r="AG17" s="14"/>
    </row>
    <row r="18" spans="1:33" ht="15" customHeight="1" x14ac:dyDescent="0.25">
      <c r="A18" s="6" t="s">
        <v>73</v>
      </c>
      <c r="B18" s="60">
        <f>N26</f>
        <v>76.183999999999997</v>
      </c>
      <c r="C18" s="7" t="s">
        <v>9</v>
      </c>
      <c r="D18" s="37" t="s">
        <v>74</v>
      </c>
      <c r="E18" s="24"/>
      <c r="F18" s="58">
        <f>B27/B24</f>
        <v>2.5486484807930534</v>
      </c>
      <c r="G18" s="59"/>
      <c r="H18" s="25"/>
      <c r="J18" t="s">
        <v>75</v>
      </c>
      <c r="K18" s="40">
        <v>0</v>
      </c>
      <c r="L18" s="41">
        <v>3</v>
      </c>
      <c r="M18" s="41" t="s">
        <v>25</v>
      </c>
      <c r="N18" s="42">
        <f>7.12*(7.5-3.5)/2</f>
        <v>14.24</v>
      </c>
      <c r="O18" s="43" t="s">
        <v>39</v>
      </c>
      <c r="P18" s="30">
        <f t="shared" si="0"/>
        <v>2.2022341505875525</v>
      </c>
      <c r="Q18" s="30">
        <f t="shared" si="1"/>
        <v>31.359814304366747</v>
      </c>
      <c r="R18" s="30">
        <f t="shared" si="2"/>
        <v>6406291.2000000002</v>
      </c>
      <c r="S18" s="30">
        <f t="shared" si="3"/>
        <v>449880</v>
      </c>
      <c r="T18" s="30">
        <f t="shared" si="4"/>
        <v>5765491.2000000002</v>
      </c>
      <c r="U18" s="31"/>
      <c r="V18" s="3"/>
      <c r="W18" s="23"/>
      <c r="X18" s="24" t="s">
        <v>76</v>
      </c>
      <c r="Y18" s="24">
        <v>0.25</v>
      </c>
      <c r="Z18" s="24">
        <v>1.1000000000000001</v>
      </c>
      <c r="AA18" s="24">
        <v>1850</v>
      </c>
      <c r="AB18" s="24">
        <v>840</v>
      </c>
      <c r="AC18" s="44">
        <f>Y18/Z18</f>
        <v>0.22727272727272727</v>
      </c>
      <c r="AD18" s="25">
        <f>Y18*AA18*AB18</f>
        <v>388500</v>
      </c>
      <c r="AE18" s="14"/>
      <c r="AF18" s="14"/>
      <c r="AG18" s="14"/>
    </row>
    <row r="19" spans="1:33" ht="15" customHeight="1" x14ac:dyDescent="0.25">
      <c r="A19" s="23" t="s">
        <v>77</v>
      </c>
      <c r="B19" s="24">
        <f>22</f>
        <v>22</v>
      </c>
      <c r="C19" s="24"/>
      <c r="D19" s="37" t="s">
        <v>78</v>
      </c>
      <c r="E19" s="24"/>
      <c r="F19" s="58">
        <f>B27/B7</f>
        <v>4.4003196219406586</v>
      </c>
      <c r="G19" s="59"/>
      <c r="H19" s="25"/>
      <c r="J19" t="s">
        <v>79</v>
      </c>
      <c r="K19" s="40">
        <v>0</v>
      </c>
      <c r="L19" s="41">
        <v>3</v>
      </c>
      <c r="M19" s="41" t="s">
        <v>25</v>
      </c>
      <c r="N19" s="42">
        <v>0</v>
      </c>
      <c r="O19" s="43" t="s">
        <v>45</v>
      </c>
      <c r="P19" s="30">
        <f t="shared" si="0"/>
        <v>2.2022341505875525</v>
      </c>
      <c r="Q19" s="30">
        <f t="shared" si="1"/>
        <v>0</v>
      </c>
      <c r="R19" s="30">
        <f t="shared" si="2"/>
        <v>0</v>
      </c>
      <c r="S19" s="30" t="e">
        <f t="shared" si="3"/>
        <v>#DIV/0!</v>
      </c>
      <c r="T19" s="30">
        <f t="shared" si="4"/>
        <v>0</v>
      </c>
      <c r="U19" s="31"/>
      <c r="V19" s="3"/>
      <c r="W19" s="53"/>
      <c r="X19" s="22" t="s">
        <v>80</v>
      </c>
      <c r="Y19" s="22">
        <v>0.02</v>
      </c>
      <c r="Z19" s="22">
        <v>0.6</v>
      </c>
      <c r="AA19" s="22">
        <v>975</v>
      </c>
      <c r="AB19" s="22">
        <v>840</v>
      </c>
      <c r="AC19" s="54">
        <f>Y19/Z19</f>
        <v>3.3333333333333333E-2</v>
      </c>
      <c r="AD19" s="55">
        <f>Y19*AA19*AB19</f>
        <v>16380</v>
      </c>
      <c r="AE19" s="14"/>
      <c r="AF19" s="14"/>
      <c r="AG19" s="14"/>
    </row>
    <row r="20" spans="1:33" ht="15" customHeight="1" x14ac:dyDescent="0.25">
      <c r="A20" s="23" t="s">
        <v>81</v>
      </c>
      <c r="B20" s="49">
        <f>B18-B19</f>
        <v>54.183999999999997</v>
      </c>
      <c r="C20" s="24"/>
      <c r="D20" s="57"/>
      <c r="E20" s="59"/>
      <c r="F20" s="59"/>
      <c r="G20" s="59"/>
      <c r="H20" s="61"/>
      <c r="J20" t="s">
        <v>82</v>
      </c>
      <c r="K20" s="40">
        <v>0</v>
      </c>
      <c r="L20" s="41">
        <v>3</v>
      </c>
      <c r="M20" s="41" t="s">
        <v>25</v>
      </c>
      <c r="N20" s="42">
        <f>7.12*(7.5-3.5)/2</f>
        <v>14.24</v>
      </c>
      <c r="O20" s="43" t="s">
        <v>50</v>
      </c>
      <c r="P20" s="30">
        <f t="shared" si="0"/>
        <v>2.2022341505875525</v>
      </c>
      <c r="Q20" s="30">
        <f t="shared" si="1"/>
        <v>31.359814304366747</v>
      </c>
      <c r="R20" s="30">
        <f t="shared" si="2"/>
        <v>6406291.2000000002</v>
      </c>
      <c r="S20" s="30">
        <f t="shared" si="3"/>
        <v>449880</v>
      </c>
      <c r="T20" s="30">
        <f t="shared" si="4"/>
        <v>5765491.2000000002</v>
      </c>
      <c r="U20" s="31"/>
      <c r="V20" s="3"/>
      <c r="AE20" s="14"/>
      <c r="AF20" s="14"/>
      <c r="AG20" s="14"/>
    </row>
    <row r="21" spans="1:33" ht="15" customHeight="1" x14ac:dyDescent="0.25">
      <c r="A21" s="23"/>
      <c r="B21" s="24"/>
      <c r="C21" s="24"/>
      <c r="D21" s="37" t="s">
        <v>83</v>
      </c>
      <c r="E21" s="59"/>
      <c r="F21" s="62">
        <f>G5/B24</f>
        <v>7.732926802324297E-2</v>
      </c>
      <c r="G21" s="59"/>
      <c r="H21" s="25"/>
      <c r="J21" t="s">
        <v>84</v>
      </c>
      <c r="K21" s="40">
        <v>0</v>
      </c>
      <c r="L21" s="41">
        <v>3</v>
      </c>
      <c r="M21" s="41" t="s">
        <v>54</v>
      </c>
      <c r="N21" s="42">
        <v>0</v>
      </c>
      <c r="O21" s="43" t="s">
        <v>26</v>
      </c>
      <c r="P21" s="30">
        <f t="shared" si="0"/>
        <v>5</v>
      </c>
      <c r="Q21" s="30">
        <f t="shared" si="1"/>
        <v>0</v>
      </c>
      <c r="R21" s="30">
        <f t="shared" si="2"/>
        <v>0</v>
      </c>
      <c r="S21" s="30" t="e">
        <f t="shared" si="3"/>
        <v>#DIV/0!</v>
      </c>
      <c r="T21" s="30">
        <f t="shared" si="4"/>
        <v>0</v>
      </c>
      <c r="U21" s="31"/>
      <c r="V21" s="3"/>
      <c r="W21" s="16" t="s">
        <v>85</v>
      </c>
      <c r="X21" s="17"/>
      <c r="Y21" s="18" t="s">
        <v>21</v>
      </c>
      <c r="Z21" s="19">
        <f>(1/(1/8+SUM(AC23:AC25)+1/8))</f>
        <v>1.9926199261992623</v>
      </c>
      <c r="AA21" s="17" t="s">
        <v>5</v>
      </c>
      <c r="AB21" s="17"/>
      <c r="AC21" s="17" t="s">
        <v>22</v>
      </c>
      <c r="AD21" s="20">
        <f>SUM(AD23:AD26)</f>
        <v>150360</v>
      </c>
      <c r="AE21" s="14" t="s">
        <v>23</v>
      </c>
      <c r="AF21" s="14">
        <f>SUM(AD23:AD26)</f>
        <v>150360</v>
      </c>
      <c r="AG21" s="14"/>
    </row>
    <row r="22" spans="1:33" ht="15" customHeight="1" x14ac:dyDescent="0.25">
      <c r="A22" s="23"/>
      <c r="B22" s="24"/>
      <c r="C22" s="24"/>
      <c r="D22" s="37" t="s">
        <v>86</v>
      </c>
      <c r="E22" s="59"/>
      <c r="F22" s="62">
        <f>G5/B7</f>
        <v>0.13351134846461948</v>
      </c>
      <c r="G22" s="59"/>
      <c r="H22" s="25"/>
      <c r="J22" t="s">
        <v>87</v>
      </c>
      <c r="K22" s="40">
        <v>0</v>
      </c>
      <c r="L22" s="41">
        <v>3</v>
      </c>
      <c r="M22" s="41" t="s">
        <v>54</v>
      </c>
      <c r="N22" s="42">
        <v>2</v>
      </c>
      <c r="O22" s="43" t="s">
        <v>39</v>
      </c>
      <c r="P22" s="30">
        <f t="shared" si="0"/>
        <v>5</v>
      </c>
      <c r="Q22" s="30">
        <f t="shared" si="1"/>
        <v>10</v>
      </c>
      <c r="R22" s="30">
        <f t="shared" si="2"/>
        <v>0</v>
      </c>
      <c r="S22" s="30">
        <f t="shared" si="3"/>
        <v>0</v>
      </c>
      <c r="T22" s="30">
        <f t="shared" si="4"/>
        <v>0</v>
      </c>
      <c r="U22" s="31"/>
      <c r="V22" s="3"/>
      <c r="W22" s="32"/>
      <c r="X22" s="33" t="s">
        <v>27</v>
      </c>
      <c r="Y22" s="33" t="s">
        <v>28</v>
      </c>
      <c r="Z22" s="33" t="s">
        <v>29</v>
      </c>
      <c r="AA22" s="33" t="s">
        <v>30</v>
      </c>
      <c r="AB22" s="33" t="s">
        <v>31</v>
      </c>
      <c r="AC22" s="33" t="s">
        <v>32</v>
      </c>
      <c r="AD22" s="34" t="s">
        <v>33</v>
      </c>
      <c r="AE22" s="14"/>
      <c r="AF22" s="14"/>
      <c r="AG22" s="14"/>
    </row>
    <row r="23" spans="1:33" ht="15" customHeight="1" x14ac:dyDescent="0.25">
      <c r="A23" s="53"/>
      <c r="B23" s="22"/>
      <c r="C23" s="22"/>
      <c r="D23" s="23" t="s">
        <v>88</v>
      </c>
      <c r="E23" s="24"/>
      <c r="F23" s="38">
        <f>G5/B27</f>
        <v>3.034128425555992E-2</v>
      </c>
      <c r="G23" s="24"/>
      <c r="H23" s="25"/>
      <c r="J23" t="s">
        <v>89</v>
      </c>
      <c r="K23" s="40">
        <v>0</v>
      </c>
      <c r="L23" s="41">
        <v>3</v>
      </c>
      <c r="M23" s="41" t="s">
        <v>54</v>
      </c>
      <c r="N23" s="42">
        <v>0</v>
      </c>
      <c r="O23" s="43" t="s">
        <v>45</v>
      </c>
      <c r="P23" s="30">
        <f t="shared" si="0"/>
        <v>5</v>
      </c>
      <c r="Q23" s="30">
        <f t="shared" si="1"/>
        <v>0</v>
      </c>
      <c r="R23" s="30">
        <f t="shared" si="2"/>
        <v>0</v>
      </c>
      <c r="S23" s="30" t="e">
        <f t="shared" si="3"/>
        <v>#DIV/0!</v>
      </c>
      <c r="T23" s="30">
        <f t="shared" si="4"/>
        <v>0</v>
      </c>
      <c r="U23" s="31"/>
      <c r="V23" s="3"/>
      <c r="W23" s="23"/>
      <c r="X23" s="24" t="s">
        <v>90</v>
      </c>
      <c r="Y23" s="24">
        <v>0.02</v>
      </c>
      <c r="Z23" s="24">
        <v>0.6</v>
      </c>
      <c r="AA23" s="24">
        <v>975</v>
      </c>
      <c r="AB23" s="24">
        <v>840</v>
      </c>
      <c r="AC23" s="44">
        <f>Y23/Z23</f>
        <v>3.3333333333333333E-2</v>
      </c>
      <c r="AD23" s="25">
        <f>Y23*AA23*AB23</f>
        <v>16380</v>
      </c>
      <c r="AE23" s="14"/>
      <c r="AF23" s="14"/>
      <c r="AG23" s="14"/>
    </row>
    <row r="24" spans="1:33" ht="15" customHeight="1" x14ac:dyDescent="0.25">
      <c r="A24" s="6" t="s">
        <v>91</v>
      </c>
      <c r="B24" s="60">
        <f>B18+B7</f>
        <v>181.04399999999998</v>
      </c>
      <c r="C24" s="7" t="s">
        <v>9</v>
      </c>
      <c r="D24" s="23"/>
      <c r="E24" s="24"/>
      <c r="F24" s="24"/>
      <c r="G24" s="24"/>
      <c r="H24" s="25"/>
      <c r="J24" t="s">
        <v>92</v>
      </c>
      <c r="K24" s="40">
        <v>0</v>
      </c>
      <c r="L24" s="41">
        <v>3</v>
      </c>
      <c r="M24" s="41" t="s">
        <v>54</v>
      </c>
      <c r="N24" s="42">
        <f>H20</f>
        <v>0</v>
      </c>
      <c r="O24" s="43" t="s">
        <v>50</v>
      </c>
      <c r="P24" s="30">
        <f t="shared" si="0"/>
        <v>5</v>
      </c>
      <c r="Q24" s="30">
        <f t="shared" si="1"/>
        <v>0</v>
      </c>
      <c r="R24" s="30">
        <f t="shared" si="2"/>
        <v>0</v>
      </c>
      <c r="S24" s="30" t="e">
        <f t="shared" si="3"/>
        <v>#DIV/0!</v>
      </c>
      <c r="T24" s="30">
        <f t="shared" si="4"/>
        <v>0</v>
      </c>
      <c r="U24" s="31"/>
      <c r="V24" s="3"/>
      <c r="W24" s="23"/>
      <c r="X24" s="24" t="s">
        <v>93</v>
      </c>
      <c r="Y24" s="24">
        <v>0.1</v>
      </c>
      <c r="Z24" s="24">
        <v>0.54</v>
      </c>
      <c r="AA24" s="24">
        <v>1400</v>
      </c>
      <c r="AB24" s="24">
        <v>840</v>
      </c>
      <c r="AC24" s="44">
        <f>Y24/Z24</f>
        <v>0.18518518518518517</v>
      </c>
      <c r="AD24" s="25">
        <f>Y24*AA24*AB24</f>
        <v>117600</v>
      </c>
      <c r="AE24" s="14"/>
      <c r="AF24" s="14"/>
      <c r="AG24" s="14"/>
    </row>
    <row r="25" spans="1:33" ht="15" customHeight="1" x14ac:dyDescent="0.25">
      <c r="A25" s="23" t="s">
        <v>94</v>
      </c>
      <c r="B25" s="63">
        <f>B24/B7</f>
        <v>1.7265306122448978</v>
      </c>
      <c r="C25" s="24"/>
      <c r="D25" s="23" t="s">
        <v>95</v>
      </c>
      <c r="E25" s="24"/>
      <c r="F25" s="63">
        <f>B9/B7</f>
        <v>0.43456036620255584</v>
      </c>
      <c r="G25" s="24"/>
      <c r="H25" s="25"/>
      <c r="J25" t="s">
        <v>96</v>
      </c>
      <c r="K25" s="40">
        <v>0</v>
      </c>
      <c r="L25" s="41">
        <v>3</v>
      </c>
      <c r="M25" s="41" t="s">
        <v>20</v>
      </c>
      <c r="N25" s="42">
        <f>SQRT(3.56^2+3^2)*10.7*2</f>
        <v>99.627515556697489</v>
      </c>
      <c r="O25" s="43" t="s">
        <v>97</v>
      </c>
      <c r="P25" s="30">
        <f t="shared" si="0"/>
        <v>1.6975498473547073</v>
      </c>
      <c r="Q25" s="30">
        <f t="shared" si="1"/>
        <v>169.12267382560054</v>
      </c>
      <c r="R25" s="30">
        <f t="shared" si="2"/>
        <v>7763972.2873334354</v>
      </c>
      <c r="S25" s="30">
        <f t="shared" si="3"/>
        <v>77930</v>
      </c>
      <c r="T25" s="30">
        <f t="shared" si="4"/>
        <v>4207269.9819593346</v>
      </c>
      <c r="U25" s="31"/>
      <c r="V25" s="3"/>
      <c r="W25" s="53"/>
      <c r="X25" s="22" t="s">
        <v>90</v>
      </c>
      <c r="Y25" s="22">
        <v>0.02</v>
      </c>
      <c r="Z25" s="22">
        <v>0.6</v>
      </c>
      <c r="AA25" s="22">
        <v>975</v>
      </c>
      <c r="AB25" s="22">
        <v>840</v>
      </c>
      <c r="AC25" s="54">
        <f>Y25/Z25</f>
        <v>3.3333333333333333E-2</v>
      </c>
      <c r="AD25" s="55">
        <f>Y25*AA25*AB25</f>
        <v>16380</v>
      </c>
      <c r="AE25" s="14"/>
      <c r="AF25" s="14"/>
      <c r="AG25" s="14"/>
    </row>
    <row r="26" spans="1:33" ht="15" customHeight="1" x14ac:dyDescent="0.25">
      <c r="A26" s="53"/>
      <c r="B26" s="22"/>
      <c r="C26" s="22"/>
      <c r="D26" s="23"/>
      <c r="E26" s="24"/>
      <c r="F26" s="24"/>
      <c r="G26" s="24"/>
      <c r="H26" s="25"/>
      <c r="J26" t="s">
        <v>98</v>
      </c>
      <c r="K26" s="40">
        <v>1</v>
      </c>
      <c r="L26" s="41">
        <v>3</v>
      </c>
      <c r="M26" s="41" t="s">
        <v>99</v>
      </c>
      <c r="N26" s="42">
        <f>7.12*10.7</f>
        <v>76.183999999999997</v>
      </c>
      <c r="O26" s="43"/>
      <c r="P26" s="30">
        <f t="shared" si="0"/>
        <v>2.0895522388059704</v>
      </c>
      <c r="Q26" s="30">
        <f t="shared" si="1"/>
        <v>159.19044776119404</v>
      </c>
      <c r="R26" s="30">
        <f t="shared" si="2"/>
        <v>13206496.4</v>
      </c>
      <c r="S26" s="30">
        <f t="shared" si="3"/>
        <v>173350</v>
      </c>
      <c r="T26" s="30">
        <f t="shared" si="4"/>
        <v>13206496.4</v>
      </c>
      <c r="U26" s="31"/>
      <c r="V26" s="3"/>
      <c r="AE26" s="14"/>
      <c r="AF26" s="14"/>
      <c r="AG26" s="14"/>
    </row>
    <row r="27" spans="1:33" ht="15" customHeight="1" x14ac:dyDescent="0.25">
      <c r="A27" s="6" t="s">
        <v>100</v>
      </c>
      <c r="B27" s="8">
        <f>SUM(N6:N25)</f>
        <v>461.41751555669748</v>
      </c>
      <c r="C27" s="9" t="s">
        <v>9</v>
      </c>
      <c r="D27" s="23"/>
      <c r="E27" s="24"/>
      <c r="F27" s="24"/>
      <c r="G27" s="24"/>
      <c r="H27" s="25"/>
      <c r="J27" t="s">
        <v>101</v>
      </c>
      <c r="K27" s="40">
        <v>1</v>
      </c>
      <c r="L27" s="41">
        <v>2</v>
      </c>
      <c r="M27" s="41" t="s">
        <v>85</v>
      </c>
      <c r="N27" s="42">
        <f>8.7*3.5+9.8*3.5+7.12*3.5*2+7.5*3.5</f>
        <v>140.84</v>
      </c>
      <c r="O27" s="43"/>
      <c r="P27" s="30">
        <f t="shared" si="0"/>
        <v>1.9926199261992623</v>
      </c>
      <c r="Q27" s="30">
        <f t="shared" si="1"/>
        <v>280.64059040590411</v>
      </c>
      <c r="R27" s="30">
        <f t="shared" si="2"/>
        <v>21176702.400000002</v>
      </c>
      <c r="S27" s="30">
        <f t="shared" si="3"/>
        <v>150360</v>
      </c>
      <c r="T27" s="30">
        <f t="shared" si="4"/>
        <v>21176702.400000002</v>
      </c>
      <c r="U27" s="31"/>
      <c r="V27" s="3"/>
      <c r="W27" s="16" t="s">
        <v>99</v>
      </c>
      <c r="X27" s="17"/>
      <c r="Y27" s="18" t="s">
        <v>21</v>
      </c>
      <c r="Z27" s="19">
        <f>1/(1/10+SUM(AC29:AC32)+1/6)</f>
        <v>2.0895522388059704</v>
      </c>
      <c r="AA27" s="17" t="s">
        <v>5</v>
      </c>
      <c r="AB27" s="17"/>
      <c r="AC27" s="17" t="s">
        <v>22</v>
      </c>
      <c r="AD27" s="20">
        <f>SUM(AD29:AD33)</f>
        <v>173350</v>
      </c>
      <c r="AE27" s="14" t="s">
        <v>23</v>
      </c>
      <c r="AF27" s="14">
        <f>SUM(AD29:AD32)</f>
        <v>173350</v>
      </c>
      <c r="AG27" s="14"/>
    </row>
    <row r="28" spans="1:33" ht="15" customHeight="1" x14ac:dyDescent="0.25">
      <c r="A28" s="23"/>
      <c r="B28" s="24"/>
      <c r="C28" s="25"/>
      <c r="D28" s="23"/>
      <c r="E28" s="24"/>
      <c r="F28" s="24"/>
      <c r="G28" s="24"/>
      <c r="H28" s="25"/>
      <c r="J28" t="s">
        <v>102</v>
      </c>
      <c r="K28" s="40">
        <v>2</v>
      </c>
      <c r="L28" s="41">
        <v>2</v>
      </c>
      <c r="M28" s="41" t="s">
        <v>85</v>
      </c>
      <c r="N28" s="42">
        <f>7.12*2</f>
        <v>14.24</v>
      </c>
      <c r="O28" s="43"/>
      <c r="P28" s="30">
        <f t="shared" si="0"/>
        <v>1.9926199261992623</v>
      </c>
      <c r="Q28" s="30">
        <f t="shared" si="1"/>
        <v>28.374907749077497</v>
      </c>
      <c r="R28" s="30">
        <f t="shared" si="2"/>
        <v>2141126.4</v>
      </c>
      <c r="S28" s="30">
        <f t="shared" si="3"/>
        <v>150360</v>
      </c>
      <c r="T28" s="30">
        <f t="shared" si="4"/>
        <v>2141126.4</v>
      </c>
      <c r="U28" s="31"/>
      <c r="V28" s="3"/>
      <c r="W28" s="32"/>
      <c r="X28" s="33" t="s">
        <v>27</v>
      </c>
      <c r="Y28" s="33" t="s">
        <v>28</v>
      </c>
      <c r="Z28" s="33" t="s">
        <v>29</v>
      </c>
      <c r="AA28" s="33" t="s">
        <v>30</v>
      </c>
      <c r="AB28" s="33" t="s">
        <v>31</v>
      </c>
      <c r="AC28" s="33" t="s">
        <v>32</v>
      </c>
      <c r="AD28" s="34" t="s">
        <v>33</v>
      </c>
      <c r="AE28" s="14"/>
      <c r="AF28" s="14"/>
      <c r="AG28" s="14"/>
    </row>
    <row r="29" spans="1:33" ht="15" customHeight="1" x14ac:dyDescent="0.25">
      <c r="A29" s="23"/>
      <c r="B29" s="24"/>
      <c r="C29" s="25"/>
      <c r="D29" s="23"/>
      <c r="E29" s="24"/>
      <c r="F29" s="24"/>
      <c r="G29" s="24"/>
      <c r="H29" s="25"/>
      <c r="K29" s="64"/>
      <c r="L29" s="65"/>
      <c r="M29" s="65"/>
      <c r="N29" s="65"/>
      <c r="O29" s="66"/>
      <c r="W29" s="45"/>
      <c r="X29" s="47" t="s">
        <v>103</v>
      </c>
      <c r="Y29" s="47">
        <v>0.02</v>
      </c>
      <c r="Z29" s="47">
        <v>1.4</v>
      </c>
      <c r="AA29" s="47">
        <v>2100</v>
      </c>
      <c r="AB29" s="47">
        <v>840</v>
      </c>
      <c r="AC29" s="67">
        <f>Y29/Z29</f>
        <v>1.4285714285714287E-2</v>
      </c>
      <c r="AD29" s="68">
        <f>Y29*AA29*AB29</f>
        <v>35280</v>
      </c>
      <c r="AE29" s="14" t="s">
        <v>104</v>
      </c>
      <c r="AF29" s="14"/>
      <c r="AG29" s="14"/>
    </row>
    <row r="30" spans="1:33" ht="15" customHeight="1" x14ac:dyDescent="0.25">
      <c r="A30" s="23"/>
      <c r="B30" s="24"/>
      <c r="C30" s="25"/>
      <c r="D30" s="23"/>
      <c r="E30" s="24"/>
      <c r="F30" s="24"/>
      <c r="G30" s="24"/>
      <c r="H30" s="25"/>
      <c r="K30"/>
      <c r="L30"/>
      <c r="M30"/>
      <c r="P30"/>
      <c r="Q30"/>
      <c r="W30" s="23"/>
      <c r="X30" s="24" t="s">
        <v>105</v>
      </c>
      <c r="Y30" s="24">
        <v>0.1</v>
      </c>
      <c r="Z30" s="24">
        <v>0.6</v>
      </c>
      <c r="AA30" s="24">
        <v>1100</v>
      </c>
      <c r="AB30" s="24">
        <v>860</v>
      </c>
      <c r="AC30" s="44">
        <f>Y30/Z30</f>
        <v>0.16666666666666669</v>
      </c>
      <c r="AD30" s="25">
        <f>Y30*AA30*AB30</f>
        <v>94600</v>
      </c>
      <c r="AE30" s="14"/>
      <c r="AF30" s="14"/>
      <c r="AG30" s="14"/>
    </row>
    <row r="31" spans="1:33" ht="15" customHeight="1" x14ac:dyDescent="0.25">
      <c r="A31" s="53"/>
      <c r="B31" s="22"/>
      <c r="C31" s="55"/>
      <c r="D31" s="53"/>
      <c r="E31" s="22"/>
      <c r="F31" s="22"/>
      <c r="G31" s="22"/>
      <c r="H31" s="55"/>
      <c r="K31"/>
      <c r="L31"/>
      <c r="M31"/>
      <c r="P31" s="69" t="s">
        <v>106</v>
      </c>
      <c r="Q31" s="69">
        <f>SUM(Q1:Q25)</f>
        <v>1045.4909933224974</v>
      </c>
      <c r="R31" s="69" t="s">
        <v>107</v>
      </c>
      <c r="W31" s="23"/>
      <c r="X31" s="24" t="s">
        <v>108</v>
      </c>
      <c r="Y31" s="24">
        <v>0.02</v>
      </c>
      <c r="Z31" s="24">
        <v>1.4</v>
      </c>
      <c r="AA31" s="24">
        <v>2100</v>
      </c>
      <c r="AB31" s="24">
        <v>840</v>
      </c>
      <c r="AC31" s="44">
        <f>Y31/Z31</f>
        <v>1.4285714285714287E-2</v>
      </c>
      <c r="AD31" s="25">
        <f>Y31*AA31*AB31</f>
        <v>35280</v>
      </c>
      <c r="AE31" s="14"/>
      <c r="AF31" s="14"/>
      <c r="AG31" s="14"/>
    </row>
    <row r="32" spans="1:33" ht="15" customHeight="1" x14ac:dyDescent="0.25">
      <c r="K32"/>
      <c r="L32"/>
      <c r="M32"/>
      <c r="P32"/>
      <c r="Q32"/>
      <c r="W32" s="53"/>
      <c r="X32" s="22" t="s">
        <v>80</v>
      </c>
      <c r="Y32" s="71">
        <v>0.01</v>
      </c>
      <c r="Z32" s="22">
        <v>0.6</v>
      </c>
      <c r="AA32" s="22">
        <v>975</v>
      </c>
      <c r="AB32" s="22">
        <v>840</v>
      </c>
      <c r="AC32" s="54">
        <f>Y32/Z32</f>
        <v>1.6666666666666666E-2</v>
      </c>
      <c r="AD32" s="55">
        <f>Y32*AA32*AB32</f>
        <v>8190</v>
      </c>
      <c r="AE32" s="14"/>
      <c r="AF32" s="14"/>
      <c r="AG32" s="14"/>
    </row>
    <row r="33" spans="1:33" ht="15" customHeight="1" x14ac:dyDescent="0.25">
      <c r="K33"/>
      <c r="L33"/>
      <c r="M33"/>
      <c r="P33"/>
      <c r="Q33"/>
      <c r="W33" s="24"/>
      <c r="X33" s="24"/>
      <c r="Y33" s="24"/>
      <c r="Z33" s="24"/>
      <c r="AA33" s="24"/>
      <c r="AB33" s="24"/>
      <c r="AC33" s="44"/>
      <c r="AD33" s="24"/>
      <c r="AE33" s="14"/>
      <c r="AF33" s="14"/>
      <c r="AG33" s="14"/>
    </row>
    <row r="34" spans="1:33" ht="15" customHeight="1" x14ac:dyDescent="0.25">
      <c r="A34" s="72" t="s">
        <v>109</v>
      </c>
      <c r="B34" s="72" t="s">
        <v>110</v>
      </c>
      <c r="C34" s="72"/>
      <c r="D34" s="72" t="s">
        <v>111</v>
      </c>
      <c r="E34" s="274" t="s">
        <v>112</v>
      </c>
      <c r="F34" s="274"/>
      <c r="G34" s="72" t="s">
        <v>113</v>
      </c>
      <c r="K34"/>
      <c r="L34"/>
      <c r="M34"/>
      <c r="P34"/>
      <c r="Q34"/>
      <c r="AE34" s="14"/>
      <c r="AF34" s="14"/>
      <c r="AG34" s="14"/>
    </row>
    <row r="35" spans="1:33" ht="15" customHeight="1" x14ac:dyDescent="0.25">
      <c r="A35" s="73">
        <v>1</v>
      </c>
      <c r="B35" s="74">
        <f>3.5*G35</f>
        <v>207.52199999999999</v>
      </c>
      <c r="C35" s="73"/>
      <c r="D35" s="73" t="s">
        <v>42</v>
      </c>
      <c r="E35" s="275">
        <v>21</v>
      </c>
      <c r="F35" s="275"/>
      <c r="G35" s="76">
        <f>VLOOKUP(D35,A7:B23,2,0)</f>
        <v>59.291999999999994</v>
      </c>
      <c r="K35"/>
      <c r="L35"/>
      <c r="M35"/>
      <c r="P35"/>
      <c r="Q35"/>
      <c r="W35" s="16" t="s">
        <v>115</v>
      </c>
      <c r="X35" s="17"/>
      <c r="Y35" s="18" t="s">
        <v>21</v>
      </c>
      <c r="Z35" s="11">
        <v>5</v>
      </c>
      <c r="AA35" s="17" t="s">
        <v>5</v>
      </c>
      <c r="AB35" s="17"/>
      <c r="AC35" s="17" t="s">
        <v>22</v>
      </c>
      <c r="AD35" s="20">
        <f>SUM(AD36:AD37)</f>
        <v>0</v>
      </c>
      <c r="AE35" s="14" t="s">
        <v>23</v>
      </c>
      <c r="AF35" s="14">
        <f>SUM(AD37:AD38)</f>
        <v>0</v>
      </c>
      <c r="AG35" s="14"/>
    </row>
    <row r="36" spans="1:33" ht="15" customHeight="1" x14ac:dyDescent="0.25">
      <c r="A36" s="73">
        <v>2</v>
      </c>
      <c r="B36" s="74">
        <f>3.5*G36</f>
        <v>159.48800000000003</v>
      </c>
      <c r="C36" s="73"/>
      <c r="D36" s="73" t="s">
        <v>116</v>
      </c>
      <c r="E36" s="77">
        <v>16</v>
      </c>
      <c r="F36" s="77"/>
      <c r="G36" s="76">
        <f>VLOOKUP(D36,A8:B24,2,0)</f>
        <v>45.568000000000005</v>
      </c>
      <c r="K36"/>
      <c r="L36"/>
      <c r="M36"/>
      <c r="P36"/>
      <c r="Q36"/>
      <c r="W36" s="45"/>
      <c r="X36" s="47" t="s">
        <v>16</v>
      </c>
      <c r="Y36" s="47">
        <v>5</v>
      </c>
      <c r="Z36" s="47" t="s">
        <v>5</v>
      </c>
      <c r="AA36" s="47"/>
      <c r="AB36" s="47"/>
      <c r="AC36" s="47"/>
      <c r="AD36" s="78"/>
      <c r="AE36" s="14"/>
      <c r="AF36" s="14"/>
      <c r="AG36" s="14"/>
    </row>
    <row r="37" spans="1:33" ht="15" customHeight="1" x14ac:dyDescent="0.25">
      <c r="A37" s="73">
        <v>3</v>
      </c>
      <c r="B37" s="74">
        <f>G37*2</f>
        <v>152.36799999999999</v>
      </c>
      <c r="C37" s="73"/>
      <c r="D37" s="73" t="s">
        <v>118</v>
      </c>
      <c r="E37" s="276" t="s">
        <v>119</v>
      </c>
      <c r="F37" s="276"/>
      <c r="G37" s="76">
        <f>B18</f>
        <v>76.183999999999997</v>
      </c>
      <c r="K37"/>
      <c r="L37"/>
      <c r="M37"/>
      <c r="P37"/>
      <c r="Q37"/>
      <c r="W37" s="53"/>
      <c r="X37" s="22" t="s">
        <v>121</v>
      </c>
      <c r="Y37" s="22">
        <v>0.59</v>
      </c>
      <c r="Z37" s="22"/>
      <c r="AA37" s="22"/>
      <c r="AB37" s="22"/>
      <c r="AC37" s="22"/>
      <c r="AD37" s="55"/>
      <c r="AE37" s="14"/>
      <c r="AF37" s="14"/>
      <c r="AG37" s="14"/>
    </row>
    <row r="38" spans="1:33" ht="15" customHeight="1" x14ac:dyDescent="0.25">
      <c r="K38"/>
      <c r="L38"/>
      <c r="M38"/>
      <c r="P38"/>
      <c r="Q38"/>
      <c r="AE38" s="14"/>
      <c r="AF38" s="14"/>
      <c r="AG38" s="14"/>
    </row>
    <row r="39" spans="1:33" ht="15" customHeight="1" x14ac:dyDescent="0.25">
      <c r="B39" s="3"/>
      <c r="K39"/>
      <c r="L39"/>
      <c r="M39"/>
      <c r="P39"/>
      <c r="Q39"/>
      <c r="AE39" s="14"/>
      <c r="AF39" s="14"/>
      <c r="AG39" s="14"/>
    </row>
    <row r="40" spans="1:33" ht="15" customHeight="1" x14ac:dyDescent="0.25">
      <c r="K40"/>
      <c r="L40"/>
      <c r="M40"/>
      <c r="P40"/>
      <c r="Q40"/>
      <c r="W40" s="16" t="s">
        <v>63</v>
      </c>
      <c r="X40" s="17"/>
      <c r="Y40" s="18" t="s">
        <v>21</v>
      </c>
      <c r="Z40" s="19">
        <f>1/(1/10+SUM(AC42:AC46))</f>
        <v>2.5990099009900991</v>
      </c>
      <c r="AA40" s="17" t="s">
        <v>5</v>
      </c>
      <c r="AB40" s="17"/>
      <c r="AC40" s="17" t="s">
        <v>22</v>
      </c>
      <c r="AD40" s="20">
        <f>SUM(AD42:AD46)</f>
        <v>449648</v>
      </c>
      <c r="AE40" s="14" t="s">
        <v>23</v>
      </c>
      <c r="AF40" s="14">
        <f>SUM(AD42:AD43)</f>
        <v>96848</v>
      </c>
      <c r="AG40" s="14"/>
    </row>
    <row r="41" spans="1:33" ht="15" customHeight="1" x14ac:dyDescent="0.25">
      <c r="K41"/>
      <c r="L41"/>
      <c r="M41"/>
      <c r="P41"/>
      <c r="Q41"/>
      <c r="W41" s="32"/>
      <c r="X41" s="33" t="s">
        <v>27</v>
      </c>
      <c r="Y41" s="33" t="s">
        <v>28</v>
      </c>
      <c r="Z41" s="33" t="s">
        <v>29</v>
      </c>
      <c r="AA41" s="33" t="s">
        <v>30</v>
      </c>
      <c r="AB41" s="33" t="s">
        <v>31</v>
      </c>
      <c r="AC41" s="33" t="s">
        <v>32</v>
      </c>
      <c r="AD41" s="34" t="s">
        <v>33</v>
      </c>
      <c r="AE41" s="14"/>
      <c r="AF41" s="14"/>
      <c r="AG41" s="14"/>
    </row>
    <row r="42" spans="1:33" ht="15" customHeight="1" x14ac:dyDescent="0.25">
      <c r="K42"/>
      <c r="L42"/>
      <c r="M42"/>
      <c r="P42"/>
      <c r="Q42"/>
      <c r="W42" s="45"/>
      <c r="X42" s="47" t="s">
        <v>128</v>
      </c>
      <c r="Y42" s="47">
        <v>1.2E-2</v>
      </c>
      <c r="Z42" s="47">
        <v>1.4</v>
      </c>
      <c r="AA42" s="47">
        <v>2100</v>
      </c>
      <c r="AB42" s="47">
        <v>840</v>
      </c>
      <c r="AC42" s="67">
        <f>Y42/Z42</f>
        <v>8.5714285714285719E-3</v>
      </c>
      <c r="AD42" s="68">
        <f>Y42*AA42*AB42</f>
        <v>21168</v>
      </c>
      <c r="AE42" s="14" t="s">
        <v>104</v>
      </c>
      <c r="AF42" s="14"/>
      <c r="AG42" s="14"/>
    </row>
    <row r="43" spans="1:33" ht="15" customHeight="1" x14ac:dyDescent="0.25">
      <c r="K43"/>
      <c r="L43"/>
      <c r="M43"/>
      <c r="P43"/>
      <c r="Q43"/>
      <c r="W43" s="23"/>
      <c r="X43" s="24" t="s">
        <v>129</v>
      </c>
      <c r="Y43" s="24">
        <v>0.08</v>
      </c>
      <c r="Z43" s="24">
        <v>0.6</v>
      </c>
      <c r="AA43" s="24">
        <v>1100</v>
      </c>
      <c r="AB43" s="24">
        <v>860</v>
      </c>
      <c r="AC43" s="44">
        <f>Y43/Z43</f>
        <v>0.13333333333333333</v>
      </c>
      <c r="AD43" s="25">
        <f>Y43*AA43*AB43</f>
        <v>75680</v>
      </c>
      <c r="AE43" s="14"/>
      <c r="AF43" s="14"/>
      <c r="AG43" s="14"/>
    </row>
    <row r="44" spans="1:33" ht="15" customHeight="1" x14ac:dyDescent="0.25">
      <c r="K44"/>
      <c r="L44"/>
      <c r="M44"/>
      <c r="P44"/>
      <c r="Q44"/>
      <c r="W44" s="23"/>
      <c r="X44" s="24" t="s">
        <v>130</v>
      </c>
      <c r="Y44" s="24">
        <v>0</v>
      </c>
      <c r="Z44" s="24">
        <v>0.02</v>
      </c>
      <c r="AA44" s="24">
        <v>30</v>
      </c>
      <c r="AB44" s="24">
        <v>1470</v>
      </c>
      <c r="AC44" s="44">
        <f>Y44/Z44</f>
        <v>0</v>
      </c>
      <c r="AD44" s="25">
        <f>Y44*AA44*AB44</f>
        <v>0</v>
      </c>
      <c r="AE44" s="14"/>
      <c r="AF44" s="14"/>
      <c r="AG44" s="14"/>
    </row>
    <row r="45" spans="1:33" ht="15" customHeight="1" x14ac:dyDescent="0.25">
      <c r="E45" s="79"/>
      <c r="K45"/>
      <c r="L45"/>
      <c r="M45"/>
      <c r="P45"/>
      <c r="Q45"/>
      <c r="W45" s="23"/>
      <c r="X45" s="24" t="s">
        <v>131</v>
      </c>
      <c r="Y45" s="24">
        <v>0.2</v>
      </c>
      <c r="Z45" s="24">
        <v>1.4</v>
      </c>
      <c r="AA45" s="24">
        <v>2100</v>
      </c>
      <c r="AB45" s="24">
        <v>840</v>
      </c>
      <c r="AC45" s="44">
        <f>Y45/Z45</f>
        <v>0.14285714285714288</v>
      </c>
      <c r="AD45" s="25">
        <f>Y45*AA45*AB45</f>
        <v>352800</v>
      </c>
      <c r="AE45" s="14"/>
      <c r="AF45" s="14"/>
      <c r="AG45" s="14"/>
    </row>
    <row r="46" spans="1:33" ht="15" customHeight="1" x14ac:dyDescent="0.25">
      <c r="E46" s="79"/>
      <c r="K46"/>
      <c r="L46"/>
      <c r="M46"/>
      <c r="P46"/>
      <c r="Q46"/>
      <c r="W46" s="53"/>
      <c r="X46" s="22" t="s">
        <v>132</v>
      </c>
      <c r="Y46" s="22">
        <v>0</v>
      </c>
      <c r="Z46" s="22">
        <v>0.02</v>
      </c>
      <c r="AA46" s="22">
        <v>30</v>
      </c>
      <c r="AB46" s="22">
        <v>1470</v>
      </c>
      <c r="AC46" s="54">
        <f>Y46/Z46</f>
        <v>0</v>
      </c>
      <c r="AD46" s="55">
        <f>Y46*AA46*AB46</f>
        <v>0</v>
      </c>
      <c r="AE46" s="14"/>
      <c r="AF46" s="14"/>
      <c r="AG46" s="14"/>
    </row>
    <row r="47" spans="1:33" ht="15" customHeight="1" x14ac:dyDescent="0.25">
      <c r="K47"/>
      <c r="L47"/>
      <c r="M47"/>
      <c r="P47"/>
      <c r="Q47"/>
      <c r="W47" s="24"/>
      <c r="X47" s="24"/>
      <c r="Y47" s="24"/>
      <c r="Z47" s="24"/>
      <c r="AA47" s="24"/>
      <c r="AB47" s="24"/>
      <c r="AC47" s="44"/>
      <c r="AD47" s="24"/>
      <c r="AE47" s="14"/>
      <c r="AF47" s="14"/>
      <c r="AG47" s="14"/>
    </row>
    <row r="48" spans="1:33" ht="15" customHeight="1" x14ac:dyDescent="0.25">
      <c r="B48" s="3"/>
      <c r="K48"/>
      <c r="L48"/>
      <c r="M48"/>
      <c r="P48"/>
      <c r="Q48"/>
      <c r="AE48" s="14"/>
      <c r="AF48" s="14"/>
      <c r="AG48" s="14"/>
    </row>
    <row r="49" spans="2:33" ht="15" customHeight="1" x14ac:dyDescent="0.25">
      <c r="B49" s="3"/>
      <c r="K49"/>
      <c r="L49"/>
      <c r="M49"/>
      <c r="P49"/>
      <c r="Q49"/>
      <c r="W49" s="16" t="s">
        <v>68</v>
      </c>
      <c r="X49" s="17"/>
      <c r="Y49" s="18" t="s">
        <v>21</v>
      </c>
      <c r="Z49" s="11">
        <v>4</v>
      </c>
      <c r="AA49" s="17" t="s">
        <v>5</v>
      </c>
      <c r="AB49" s="17"/>
      <c r="AC49" s="17" t="s">
        <v>22</v>
      </c>
      <c r="AD49" s="20">
        <f>0.04*550*1660</f>
        <v>36520</v>
      </c>
      <c r="AE49" s="14" t="s">
        <v>23</v>
      </c>
      <c r="AF49" s="14">
        <f>SUM(AD51:AD52)</f>
        <v>0</v>
      </c>
      <c r="AG49" s="14"/>
    </row>
    <row r="50" spans="2:33" ht="15" customHeight="1" x14ac:dyDescent="0.25">
      <c r="B50" s="3"/>
      <c r="K50"/>
      <c r="L50"/>
      <c r="M50"/>
      <c r="P50"/>
      <c r="Q50"/>
      <c r="W50" s="45"/>
      <c r="X50" s="47" t="s">
        <v>16</v>
      </c>
      <c r="Y50" s="47">
        <v>4</v>
      </c>
      <c r="Z50" s="47" t="s">
        <v>5</v>
      </c>
      <c r="AA50" s="47"/>
      <c r="AB50" s="47"/>
      <c r="AC50" s="47"/>
      <c r="AD50" s="78"/>
      <c r="AE50" s="14"/>
      <c r="AF50" s="14"/>
      <c r="AG50" s="14"/>
    </row>
    <row r="51" spans="2:33" ht="15" customHeight="1" x14ac:dyDescent="0.25">
      <c r="K51"/>
      <c r="L51"/>
      <c r="M51"/>
      <c r="P51"/>
      <c r="Q51"/>
      <c r="W51" s="53"/>
      <c r="X51" s="22" t="s">
        <v>121</v>
      </c>
      <c r="Y51" s="22">
        <v>0</v>
      </c>
      <c r="Z51" s="22"/>
      <c r="AA51" s="22"/>
      <c r="AB51" s="22"/>
      <c r="AC51" s="22"/>
      <c r="AD51" s="55"/>
      <c r="AE51" s="14"/>
      <c r="AF51" s="14"/>
      <c r="AG51" s="14"/>
    </row>
  </sheetData>
  <mergeCells count="7">
    <mergeCell ref="V3:AG3"/>
    <mergeCell ref="E34:F34"/>
    <mergeCell ref="E35:F35"/>
    <mergeCell ref="E37:F37"/>
    <mergeCell ref="A1:G1"/>
    <mergeCell ref="A3:H3"/>
    <mergeCell ref="J3:T3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6"/>
  <sheetViews>
    <sheetView topLeftCell="A7" zoomScaleNormal="100" workbookViewId="0">
      <selection activeCell="E28" sqref="E28"/>
    </sheetView>
  </sheetViews>
  <sheetFormatPr defaultRowHeight="15" x14ac:dyDescent="0.25"/>
  <cols>
    <col min="1" max="1" width="30.7109375"/>
    <col min="2" max="2" width="20.42578125"/>
    <col min="3" max="3" width="8.5703125"/>
    <col min="4" max="4" width="0" hidden="1"/>
    <col min="5" max="1025" width="8.5703125"/>
  </cols>
  <sheetData>
    <row r="1" spans="1:9" ht="15" customHeight="1" x14ac:dyDescent="0.3">
      <c r="A1" s="82" t="s">
        <v>134</v>
      </c>
      <c r="B1" s="82"/>
      <c r="C1" s="82"/>
    </row>
    <row r="3" spans="1:9" ht="15" customHeight="1" x14ac:dyDescent="0.25">
      <c r="A3" s="83" t="s">
        <v>135</v>
      </c>
      <c r="B3" s="278" t="s">
        <v>4</v>
      </c>
      <c r="C3" s="278"/>
      <c r="D3" t="s">
        <v>136</v>
      </c>
      <c r="I3">
        <f>(0.2+0.5*EXP(-B5/500)*1.5*B5)</f>
        <v>124.35119002499829</v>
      </c>
    </row>
    <row r="4" spans="1:9" ht="15" customHeight="1" x14ac:dyDescent="0.25">
      <c r="A4" s="84" t="s">
        <v>137</v>
      </c>
      <c r="B4" s="84">
        <v>279</v>
      </c>
      <c r="C4" s="84" t="s">
        <v>9</v>
      </c>
      <c r="D4" s="85">
        <f>'Gebouwgegevens Allacker'!B24</f>
        <v>181.04399999999998</v>
      </c>
    </row>
    <row r="5" spans="1:9" ht="15" customHeight="1" x14ac:dyDescent="0.25">
      <c r="A5" s="84" t="s">
        <v>6</v>
      </c>
      <c r="B5" s="84">
        <v>766</v>
      </c>
      <c r="C5" s="84" t="s">
        <v>7</v>
      </c>
      <c r="D5" s="81">
        <f>'Gebouwgegevens Allacker'!B5</f>
        <v>502</v>
      </c>
    </row>
    <row r="6" spans="1:9" ht="15" customHeight="1" x14ac:dyDescent="0.25">
      <c r="A6" s="84" t="s">
        <v>138</v>
      </c>
      <c r="B6" s="84">
        <v>599.20000000000005</v>
      </c>
      <c r="C6" s="84" t="s">
        <v>9</v>
      </c>
      <c r="D6" s="3">
        <f>'Gebouwgegevens Allacker'!B27</f>
        <v>461.41751555669748</v>
      </c>
    </row>
    <row r="7" spans="1:9" ht="15" customHeight="1" x14ac:dyDescent="0.25">
      <c r="A7" s="84" t="s">
        <v>20</v>
      </c>
      <c r="B7" s="84">
        <v>158.4</v>
      </c>
      <c r="C7" s="84" t="s">
        <v>9</v>
      </c>
      <c r="D7" s="3">
        <f>'Gebouwgegevens Allacker'!N15+'Gebouwgegevens Allacker'!N25</f>
        <v>128.62751555669749</v>
      </c>
    </row>
    <row r="8" spans="1:9" ht="15" customHeight="1" x14ac:dyDescent="0.25">
      <c r="A8" s="84" t="s">
        <v>139</v>
      </c>
      <c r="B8" s="86">
        <v>228.9</v>
      </c>
      <c r="C8" s="84" t="s">
        <v>9</v>
      </c>
      <c r="D8">
        <v>0</v>
      </c>
    </row>
    <row r="9" spans="1:9" ht="15" customHeight="1" x14ac:dyDescent="0.25">
      <c r="A9" s="84" t="s">
        <v>140</v>
      </c>
      <c r="B9" s="84">
        <v>26.9</v>
      </c>
      <c r="C9" s="84" t="s">
        <v>9</v>
      </c>
      <c r="D9">
        <v>0</v>
      </c>
    </row>
    <row r="10" spans="1:9" ht="15" customHeight="1" x14ac:dyDescent="0.25">
      <c r="A10" s="84" t="s">
        <v>141</v>
      </c>
      <c r="B10" s="87">
        <f>B8+B9</f>
        <v>255.8</v>
      </c>
      <c r="C10" s="84"/>
      <c r="D10" s="3">
        <f>SUM('Gebouwgegevens Allacker'!N6:N9,'Gebouwgegevens Allacker'!N17:N20)</f>
        <v>206.43000000000004</v>
      </c>
    </row>
    <row r="11" spans="1:9" ht="15" customHeight="1" x14ac:dyDescent="0.25">
      <c r="A11" s="84" t="s">
        <v>142</v>
      </c>
      <c r="B11" s="84">
        <v>87.3</v>
      </c>
      <c r="C11" s="84" t="s">
        <v>9</v>
      </c>
      <c r="D11">
        <v>0</v>
      </c>
    </row>
    <row r="12" spans="1:9" ht="15" customHeight="1" x14ac:dyDescent="0.25">
      <c r="A12" s="84" t="s">
        <v>143</v>
      </c>
      <c r="B12" s="84">
        <v>47</v>
      </c>
      <c r="C12" s="84" t="s">
        <v>9</v>
      </c>
      <c r="D12">
        <v>0</v>
      </c>
    </row>
    <row r="13" spans="1:9" ht="15" customHeight="1" x14ac:dyDescent="0.25">
      <c r="A13" s="84" t="s">
        <v>144</v>
      </c>
      <c r="B13" s="84">
        <v>0</v>
      </c>
      <c r="C13" s="84" t="s">
        <v>9</v>
      </c>
      <c r="D13">
        <v>0</v>
      </c>
    </row>
    <row r="14" spans="1:9" ht="15" customHeight="1" x14ac:dyDescent="0.25">
      <c r="A14" s="84" t="s">
        <v>145</v>
      </c>
      <c r="B14" s="84">
        <f>B12+B11</f>
        <v>134.30000000000001</v>
      </c>
      <c r="C14" s="84"/>
      <c r="D14" s="3">
        <f>SUM('Gebouwgegevens Allacker'!N14)</f>
        <v>104.86</v>
      </c>
    </row>
    <row r="15" spans="1:9" ht="15" customHeight="1" x14ac:dyDescent="0.25">
      <c r="A15" s="84" t="s">
        <v>146</v>
      </c>
      <c r="B15" s="84">
        <v>9.5</v>
      </c>
      <c r="C15" s="84" t="s">
        <v>9</v>
      </c>
      <c r="D15" s="3">
        <f>'Gebouwgegevens Allacker'!N16</f>
        <v>7.5</v>
      </c>
    </row>
    <row r="16" spans="1:9" ht="15" customHeight="1" x14ac:dyDescent="0.25">
      <c r="A16" s="84" t="s">
        <v>147</v>
      </c>
      <c r="B16" s="84">
        <v>10.8</v>
      </c>
      <c r="C16" s="84" t="s">
        <v>9</v>
      </c>
      <c r="D16">
        <v>0</v>
      </c>
    </row>
    <row r="17" spans="1:7" ht="15" customHeight="1" x14ac:dyDescent="0.25">
      <c r="A17" s="84" t="s">
        <v>148</v>
      </c>
      <c r="B17" s="84">
        <v>9.3000000000000007</v>
      </c>
      <c r="C17" s="84" t="s">
        <v>9</v>
      </c>
      <c r="D17">
        <v>0</v>
      </c>
    </row>
    <row r="18" spans="1:7" ht="15" customHeight="1" x14ac:dyDescent="0.25">
      <c r="A18" s="84" t="s">
        <v>149</v>
      </c>
      <c r="B18" s="84">
        <v>12.2</v>
      </c>
      <c r="C18" s="84" t="s">
        <v>9</v>
      </c>
      <c r="D18">
        <v>0</v>
      </c>
    </row>
    <row r="19" spans="1:7" ht="15" customHeight="1" x14ac:dyDescent="0.25">
      <c r="A19" s="84" t="s">
        <v>150</v>
      </c>
      <c r="B19" s="84">
        <v>8.9</v>
      </c>
      <c r="C19" s="84" t="s">
        <v>9</v>
      </c>
      <c r="D19">
        <v>0</v>
      </c>
    </row>
    <row r="20" spans="1:7" ht="15" customHeight="1" x14ac:dyDescent="0.25">
      <c r="A20" s="84" t="s">
        <v>151</v>
      </c>
      <c r="B20" s="84">
        <f>SUM(B16:B19)</f>
        <v>41.199999999999996</v>
      </c>
      <c r="C20" s="84"/>
      <c r="D20">
        <f>'Gebouwgegevens Allacker'!G5</f>
        <v>14</v>
      </c>
    </row>
    <row r="21" spans="1:7" ht="15" customHeight="1" x14ac:dyDescent="0.25">
      <c r="A21" s="84" t="s">
        <v>152</v>
      </c>
      <c r="B21" s="86">
        <f>B5/B6</f>
        <v>1.2783711615487316</v>
      </c>
      <c r="C21" s="84"/>
      <c r="D21" s="3">
        <f>'Gebouwgegevens Allacker'!F17</f>
        <v>1.0879517640207914</v>
      </c>
    </row>
    <row r="22" spans="1:7" ht="15" customHeight="1" x14ac:dyDescent="0.25">
      <c r="A22" s="84" t="s">
        <v>153</v>
      </c>
      <c r="B22" s="86">
        <f>B6/(SUM(B11:B13)*2)</f>
        <v>2.2308265078183172</v>
      </c>
      <c r="C22" s="84"/>
      <c r="D22" s="3">
        <f>'Gebouwgegevens Allacker'!F18</f>
        <v>2.5486484807930534</v>
      </c>
    </row>
    <row r="23" spans="1:7" ht="15" customHeight="1" x14ac:dyDescent="0.25">
      <c r="A23" s="84" t="s">
        <v>154</v>
      </c>
      <c r="B23" s="86">
        <f>B6/(SUM(B11:B13))</f>
        <v>4.4616530156366343</v>
      </c>
      <c r="C23" s="84"/>
      <c r="D23" s="3">
        <f>'Gebouwgegevens Allacker'!F19</f>
        <v>4.4003196219406586</v>
      </c>
    </row>
    <row r="24" spans="1:7" ht="15" customHeight="1" x14ac:dyDescent="0.25">
      <c r="A24" s="84" t="s">
        <v>155</v>
      </c>
      <c r="B24" s="86">
        <f>SUM(B16:B19)/B6</f>
        <v>6.875834445927903E-2</v>
      </c>
      <c r="C24" s="84"/>
      <c r="D24" s="3">
        <f>'Gebouwgegevens Allacker'!F23</f>
        <v>3.034128425555992E-2</v>
      </c>
    </row>
    <row r="25" spans="1:7" ht="15" customHeight="1" x14ac:dyDescent="0.25">
      <c r="A25" s="84" t="s">
        <v>156</v>
      </c>
      <c r="B25" s="88">
        <f>SUM(B16:B19)/SUM(B11:B13)/2</f>
        <v>0.15338793745346238</v>
      </c>
      <c r="C25" s="84"/>
      <c r="D25" s="3">
        <f>'Gebouwgegevens Allacker'!F21</f>
        <v>7.732926802324297E-2</v>
      </c>
    </row>
    <row r="26" spans="1:7" ht="15" customHeight="1" x14ac:dyDescent="0.25">
      <c r="A26" s="84" t="s">
        <v>157</v>
      </c>
      <c r="B26" s="89">
        <f>SUM(B16:B19)/SUM(B11:B13)</f>
        <v>0.30677587490692476</v>
      </c>
      <c r="C26" s="84"/>
      <c r="D26" s="3">
        <f>'Gebouwgegevens Allacker'!F22</f>
        <v>0.13351134846461948</v>
      </c>
      <c r="E26" t="s">
        <v>505</v>
      </c>
      <c r="F26" t="s">
        <v>506</v>
      </c>
    </row>
    <row r="27" spans="1:7" s="81" customFormat="1" ht="15" customHeight="1" x14ac:dyDescent="0.25">
      <c r="A27" s="84" t="s">
        <v>503</v>
      </c>
      <c r="B27" s="86">
        <v>18</v>
      </c>
      <c r="C27" s="84"/>
      <c r="D27" s="152"/>
      <c r="E27" s="81">
        <f>6</f>
        <v>6</v>
      </c>
      <c r="F27" s="81">
        <v>2.5</v>
      </c>
    </row>
    <row r="28" spans="1:7" ht="15" customHeight="1" x14ac:dyDescent="0.25">
      <c r="A28" s="84" t="s">
        <v>158</v>
      </c>
      <c r="B28" s="84">
        <f>B27*B6/B5</f>
        <v>14.080417754569192</v>
      </c>
      <c r="C28" s="84" t="s">
        <v>159</v>
      </c>
      <c r="D28" s="84" t="s">
        <v>160</v>
      </c>
      <c r="E28" s="152">
        <f>E27/B5*B6</f>
        <v>4.693472584856397</v>
      </c>
      <c r="F28" s="152">
        <f>F27/B5*B6</f>
        <v>1.9556135770234988</v>
      </c>
      <c r="G28" s="152"/>
    </row>
    <row r="32" spans="1:7" ht="15" customHeight="1" x14ac:dyDescent="0.25">
      <c r="A32" s="90" t="s">
        <v>161</v>
      </c>
      <c r="B32" s="90"/>
    </row>
    <row r="33" spans="1:2" ht="15" customHeight="1" x14ac:dyDescent="0.25">
      <c r="A33" s="91" t="s">
        <v>137</v>
      </c>
      <c r="B33" s="91">
        <f>'Tabula data'!B4/'Gebouwgegevens Allacker'!B24</f>
        <v>1.5410618413203421</v>
      </c>
    </row>
    <row r="34" spans="1:2" ht="15" customHeight="1" x14ac:dyDescent="0.25">
      <c r="A34" s="91" t="s">
        <v>6</v>
      </c>
      <c r="B34" s="91">
        <f>B5/'Gebouwgegevens Allacker'!B5</f>
        <v>1.5258964143426295</v>
      </c>
    </row>
    <row r="35" spans="1:2" ht="15" customHeight="1" x14ac:dyDescent="0.25">
      <c r="A35" s="91" t="s">
        <v>138</v>
      </c>
      <c r="B35" s="91">
        <f>B6/'Gebouwgegevens Allacker'!B27</f>
        <v>1.2986069661379647</v>
      </c>
    </row>
    <row r="36" spans="1:2" ht="15" customHeight="1" x14ac:dyDescent="0.25">
      <c r="A36" s="91" t="s">
        <v>20</v>
      </c>
      <c r="B36" s="91">
        <f>B7/('Gebouwgegevens Allacker'!N15+'Gebouwgegevens Allacker'!N25)</f>
        <v>1.2314627963888423</v>
      </c>
    </row>
    <row r="37" spans="1:2" ht="15" customHeight="1" x14ac:dyDescent="0.25">
      <c r="A37" s="91" t="s">
        <v>139</v>
      </c>
      <c r="B37" s="91">
        <f>(B8+B9)/SUM('Gebouwgegevens Allacker'!N6:N9,'Gebouwgegevens Allacker'!N17:N20)</f>
        <v>1.2391609746645351</v>
      </c>
    </row>
    <row r="38" spans="1:2" ht="15" customHeight="1" x14ac:dyDescent="0.25">
      <c r="A38" s="91" t="s">
        <v>162</v>
      </c>
      <c r="B38" s="91">
        <f>SUM(B11:B12)/'Gebouwgegevens Allacker'!B7</f>
        <v>1.2807552927713142</v>
      </c>
    </row>
    <row r="39" spans="1:2" ht="15" customHeight="1" x14ac:dyDescent="0.25">
      <c r="A39" s="91" t="s">
        <v>146</v>
      </c>
      <c r="B39" s="91">
        <f>B15/'Gebouwgegevens Allacker'!N16</f>
        <v>1.2666666666666666</v>
      </c>
    </row>
    <row r="40" spans="1:2" ht="15" customHeight="1" x14ac:dyDescent="0.25">
      <c r="A40" s="91" t="s">
        <v>163</v>
      </c>
      <c r="B40" s="91">
        <f>SUM(B16:B19)/'Gebouwgegevens Allacker'!G5</f>
        <v>2.9428571428571426</v>
      </c>
    </row>
    <row r="41" spans="1:2" ht="15" customHeight="1" x14ac:dyDescent="0.25">
      <c r="A41" s="91" t="s">
        <v>152</v>
      </c>
      <c r="B41" s="91">
        <f>B21/'Gebouwgegevens Allacker'!F17</f>
        <v>1.1750255882891341</v>
      </c>
    </row>
    <row r="42" spans="1:2" ht="15" customHeight="1" x14ac:dyDescent="0.25">
      <c r="A42" s="91" t="s">
        <v>153</v>
      </c>
      <c r="B42" s="91">
        <f>B22/'Gebouwgegevens Allacker'!F18</f>
        <v>0.87529783908221004</v>
      </c>
    </row>
    <row r="43" spans="1:2" ht="15" customHeight="1" x14ac:dyDescent="0.25">
      <c r="A43" s="91" t="s">
        <v>154</v>
      </c>
      <c r="B43" s="91">
        <f>'Tabula data'!B23/'Gebouwgegevens Allacker'!F19</f>
        <v>1.0139383951543333</v>
      </c>
    </row>
    <row r="44" spans="1:2" ht="15" customHeight="1" x14ac:dyDescent="0.25">
      <c r="A44" s="91" t="s">
        <v>155</v>
      </c>
      <c r="B44" s="91">
        <f>B24/'Gebouwgegevens Allacker'!F23</f>
        <v>2.2661646052994389</v>
      </c>
    </row>
    <row r="45" spans="1:2" ht="15" customHeight="1" x14ac:dyDescent="0.25">
      <c r="A45" s="91" t="s">
        <v>156</v>
      </c>
      <c r="B45" s="91">
        <f>B25/'Gebouwgegevens Allacker'!F21</f>
        <v>1.9835689820231888</v>
      </c>
    </row>
    <row r="46" spans="1:2" ht="15" customHeight="1" x14ac:dyDescent="0.25">
      <c r="A46" s="91" t="s">
        <v>157</v>
      </c>
      <c r="B46" s="91">
        <f>B26/'Gebouwgegevens Allacker'!F22</f>
        <v>2.2977513030528667</v>
      </c>
    </row>
  </sheetData>
  <mergeCells count="1">
    <mergeCell ref="B3: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K784"/>
  <sheetViews>
    <sheetView zoomScaleNormal="100" workbookViewId="0">
      <selection sqref="A1:I1"/>
    </sheetView>
  </sheetViews>
  <sheetFormatPr defaultRowHeight="15" x14ac:dyDescent="0.25"/>
  <cols>
    <col min="1" max="1" width="9.140625" style="3"/>
    <col min="2" max="2" width="11.5703125" style="3"/>
    <col min="3" max="3" width="10" style="3"/>
    <col min="4" max="4" width="12.5703125" style="3"/>
    <col min="5" max="5" width="21.7109375" style="3"/>
    <col min="6" max="7" width="12" style="3"/>
    <col min="8" max="21" width="9.140625" style="3"/>
    <col min="22" max="22" width="9.28515625" style="3"/>
    <col min="23" max="23" width="12.42578125" style="3"/>
    <col min="24" max="1025" width="9.140625" style="3"/>
  </cols>
  <sheetData>
    <row r="1" spans="1:25" ht="20.25" customHeight="1" x14ac:dyDescent="0.25">
      <c r="A1" s="277" t="s">
        <v>164</v>
      </c>
      <c r="B1" s="277"/>
      <c r="C1" s="277"/>
      <c r="D1" s="277"/>
      <c r="E1" s="277"/>
      <c r="F1" s="277"/>
      <c r="G1" s="277"/>
      <c r="H1" s="277"/>
      <c r="I1" s="277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274" t="s">
        <v>168</v>
      </c>
      <c r="W5" s="274"/>
      <c r="X5" s="274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279" t="s">
        <v>171</v>
      </c>
      <c r="B7" s="279"/>
      <c r="C7" s="279"/>
      <c r="D7" s="279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21584.030838614995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 t="e">
        <f>B152</f>
        <v>#N/A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 t="e">
        <f>B232</f>
        <v>#N/A</v>
      </c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 t="e">
        <f>B311</f>
        <v>#N/A</v>
      </c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 t="e">
        <f>B390</f>
        <v>#N/A</v>
      </c>
      <c r="X11" s="99" t="s">
        <v>172</v>
      </c>
      <c r="Y11" s="97"/>
    </row>
    <row r="12" spans="1:25" ht="16.5" customHeight="1" x14ac:dyDescent="0.25">
      <c r="A12" s="96"/>
      <c r="B12" s="107" t="str">
        <f>'Gebouwgegevens Allacker'!J6</f>
        <v>W1</v>
      </c>
      <c r="C12" s="108">
        <f>VLOOKUP(B12,'Gebouwgegevens Allacker'!$J$5:$Q$83,3,0)</f>
        <v>1</v>
      </c>
      <c r="D12" s="108" t="str">
        <f>VLOOKUP(B12,'Gebouwgegevens Allacker'!$J$5:$Q$83,4,0)</f>
        <v>Wall External</v>
      </c>
      <c r="E12" s="108">
        <f>VLOOKUP(B12,'Gebouwgegevens Allacker'!$J$5:$Q$83,5,0)</f>
        <v>25.449999999999996</v>
      </c>
      <c r="F12" s="108" t="str">
        <f>VLOOKUP(B12,'Gebouwgegevens Allacker'!$J$5:$Q$83,6,0)</f>
        <v>front</v>
      </c>
      <c r="G12" s="108">
        <f>VLOOKUP(B12,'Gebouwgegevens Allacker'!$J$5:$Q$83,7,0)</f>
        <v>2.2022341505875525</v>
      </c>
      <c r="H12" s="109">
        <f>VLOOKUP(B12,'Gebouwgegevens Allacker'!$J$5:$Q$83,8,0)</f>
        <v>56.0468591324532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 t="e">
        <f>B468</f>
        <v>#N/A</v>
      </c>
      <c r="X12" s="99" t="s">
        <v>172</v>
      </c>
      <c r="Y12" s="97"/>
    </row>
    <row r="13" spans="1:25" ht="16.5" customHeight="1" x14ac:dyDescent="0.25">
      <c r="A13" s="96"/>
      <c r="B13" s="107" t="str">
        <f>'Gebouwgegevens Allacker'!J7</f>
        <v>W2</v>
      </c>
      <c r="C13" s="108">
        <f>VLOOKUP(B13,'Gebouwgegevens Allacker'!$J$5:$Q$83,3,0)</f>
        <v>1</v>
      </c>
      <c r="D13" s="108" t="str">
        <f>VLOOKUP(B13,'Gebouwgegevens Allacker'!$J$5:$Q$83,4,0)</f>
        <v>Wall External</v>
      </c>
      <c r="E13" s="108">
        <f>VLOOKUP(B13,'Gebouwgegevens Allacker'!$J$5:$Q$83,5,0)</f>
        <v>85.750000000000014</v>
      </c>
      <c r="F13" s="108" t="str">
        <f>VLOOKUP(B13,'Gebouwgegevens Allacker'!$J$5:$Q$83,6,0)</f>
        <v>right</v>
      </c>
      <c r="G13" s="108">
        <f>VLOOKUP(B13,'Gebouwgegevens Allacker'!$J$5:$Q$83,7,0)</f>
        <v>2.2022341505875525</v>
      </c>
      <c r="H13" s="109">
        <f>VLOOKUP(B13,'Gebouwgegevens Allacker'!$J$5:$Q$83,8,0)</f>
        <v>188.84157841288265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 t="e">
        <f>B546</f>
        <v>#N/A</v>
      </c>
      <c r="X13" s="99" t="s">
        <v>172</v>
      </c>
      <c r="Y13" s="97"/>
    </row>
    <row r="14" spans="1:25" ht="16.5" customHeight="1" x14ac:dyDescent="0.25">
      <c r="A14" s="96"/>
      <c r="B14" s="107" t="str">
        <f>'Gebouwgegevens Allacker'!J8</f>
        <v>W3</v>
      </c>
      <c r="C14" s="108">
        <f>VLOOKUP(B14,'Gebouwgegevens Allacker'!$J$5:$Q$83,3,0)</f>
        <v>1</v>
      </c>
      <c r="D14" s="108" t="str">
        <f>VLOOKUP(B14,'Gebouwgegevens Allacker'!$J$5:$Q$83,4,0)</f>
        <v>Wall External</v>
      </c>
      <c r="E14" s="108">
        <f>VLOOKUP(B14,'Gebouwgegevens Allacker'!$J$5:$Q$83,5,0)</f>
        <v>32.449999999999996</v>
      </c>
      <c r="F14" s="108" t="str">
        <f>VLOOKUP(B14,'Gebouwgegevens Allacker'!$J$5:$Q$83,6,0)</f>
        <v>back</v>
      </c>
      <c r="G14" s="108">
        <f>VLOOKUP(B14,'Gebouwgegevens Allacker'!$J$5:$Q$83,7,0)</f>
        <v>2.2022341505875525</v>
      </c>
      <c r="H14" s="109">
        <f>VLOOKUP(B14,'Gebouwgegevens Allacker'!$J$5:$Q$83,8,0)</f>
        <v>71.462498186566066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 t="e">
        <f>B625</f>
        <v>#N/A</v>
      </c>
      <c r="X14" s="99" t="s">
        <v>172</v>
      </c>
      <c r="Y14" s="97"/>
    </row>
    <row r="15" spans="1:25" ht="16.5" customHeight="1" x14ac:dyDescent="0.25">
      <c r="A15" s="96"/>
      <c r="B15" s="107" t="str">
        <f>'Gebouwgegevens Allacker'!J9</f>
        <v>W4</v>
      </c>
      <c r="C15" s="108">
        <f>VLOOKUP(B15,'Gebouwgegevens Allacker'!$J$5:$Q$83,3,0)</f>
        <v>1</v>
      </c>
      <c r="D15" s="108" t="str">
        <f>VLOOKUP(B15,'Gebouwgegevens Allacker'!$J$5:$Q$83,4,0)</f>
        <v>Wall External</v>
      </c>
      <c r="E15" s="108">
        <f>VLOOKUP(B15,'Gebouwgegevens Allacker'!$J$5:$Q$83,5,0)</f>
        <v>34.300000000000004</v>
      </c>
      <c r="F15" s="108" t="str">
        <f>VLOOKUP(B15,'Gebouwgegevens Allacker'!$J$5:$Q$83,6,0)</f>
        <v>left</v>
      </c>
      <c r="G15" s="108">
        <f>VLOOKUP(B15,'Gebouwgegevens Allacker'!$J$5:$Q$83,7,0)</f>
        <v>2.2022341505875525</v>
      </c>
      <c r="H15" s="109">
        <f>VLOOKUP(B15,'Gebouwgegevens Allacker'!$J$5:$Q$83,8,0)</f>
        <v>75.536631365153056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 t="e">
        <f>B704</f>
        <v>#N/A</v>
      </c>
      <c r="X15" s="99" t="s">
        <v>172</v>
      </c>
      <c r="Y15" s="97"/>
    </row>
    <row r="16" spans="1:25" ht="16.5" customHeight="1" x14ac:dyDescent="0.25">
      <c r="A16" s="96"/>
      <c r="B16" s="107" t="str">
        <f>'Gebouwgegevens Allacker'!J10</f>
        <v>W5</v>
      </c>
      <c r="C16" s="108">
        <f>VLOOKUP(B16,'Gebouwgegevens Allacker'!$J$5:$Q$83,3,0)</f>
        <v>1</v>
      </c>
      <c r="D16" s="108" t="str">
        <f>VLOOKUP(B16,'Gebouwgegevens Allacker'!$J$5:$Q$83,4,0)</f>
        <v>Window</v>
      </c>
      <c r="E16" s="108">
        <f>VLOOKUP(B16,'Gebouwgegevens Allacker'!$J$5:$Q$83,5,0)</f>
        <v>7</v>
      </c>
      <c r="F16" s="108" t="str">
        <f>VLOOKUP(B16,'Gebouwgegevens Allacker'!$J$5:$Q$83,6,0)</f>
        <v>front</v>
      </c>
      <c r="G16" s="108">
        <f>VLOOKUP(B16,'Gebouwgegevens Allacker'!$J$5:$Q$83,7,0)</f>
        <v>5</v>
      </c>
      <c r="H16" s="109">
        <f>VLOOKUP(B16,'Gebouwgegevens Allacker'!$J$5:$Q$83,8,0)</f>
        <v>35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 t="e">
        <f>B783</f>
        <v>#N/A</v>
      </c>
      <c r="X16" s="99" t="s">
        <v>172</v>
      </c>
      <c r="Y16" s="97"/>
    </row>
    <row r="17" spans="1:25" ht="16.5" customHeight="1" x14ac:dyDescent="0.25">
      <c r="A17" s="96"/>
      <c r="B17" s="107" t="str">
        <f>'Gebouwgegevens Allacker'!J11</f>
        <v>W6</v>
      </c>
      <c r="C17" s="108">
        <f>VLOOKUP(B17,'Gebouwgegevens Allacker'!$J$5:$Q$83,3,0)</f>
        <v>1</v>
      </c>
      <c r="D17" s="108" t="str">
        <f>VLOOKUP(B17,'Gebouwgegevens Allacker'!$J$5:$Q$83,4,0)</f>
        <v>Window</v>
      </c>
      <c r="E17" s="108">
        <f>VLOOKUP(B17,'Gebouwgegevens Allacker'!$J$5:$Q$83,5,0)</f>
        <v>0</v>
      </c>
      <c r="F17" s="108" t="str">
        <f>VLOOKUP(B17,'Gebouwgegevens Allacker'!$J$5:$Q$83,6,0)</f>
        <v>right</v>
      </c>
      <c r="G17" s="108">
        <f>VLOOKUP(B17,'Gebouwgegevens Allacker'!$J$5:$Q$83,7,0)</f>
        <v>5</v>
      </c>
      <c r="H17" s="109">
        <f>VLOOKUP(B17,'Gebouwgegevens Allacker'!$J$5:$Q$83,8,0)</f>
        <v>0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Allacker'!J12</f>
        <v>W7</v>
      </c>
      <c r="C18" s="108">
        <f>VLOOKUP(B18,'Gebouwgegevens Allacker'!$J$5:$Q$83,3,0)</f>
        <v>1</v>
      </c>
      <c r="D18" s="108" t="str">
        <f>VLOOKUP(B18,'Gebouwgegevens Allacker'!$J$5:$Q$83,4,0)</f>
        <v>Window</v>
      </c>
      <c r="E18" s="108">
        <f>VLOOKUP(B18,'Gebouwgegevens Allacker'!$J$5:$Q$83,5,0)</f>
        <v>5</v>
      </c>
      <c r="F18" s="108" t="str">
        <f>VLOOKUP(B18,'Gebouwgegevens Allacker'!$J$5:$Q$83,6,0)</f>
        <v>back</v>
      </c>
      <c r="G18" s="108">
        <f>VLOOKUP(B18,'Gebouwgegevens Allacker'!$J$5:$Q$83,7,0)</f>
        <v>5</v>
      </c>
      <c r="H18" s="109">
        <f>VLOOKUP(B18,'Gebouwgegevens Allacker'!$J$5:$Q$83,8,0)</f>
        <v>25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 t="e">
        <f>SUM(W7:W16)</f>
        <v>#N/A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Allacker'!J13</f>
        <v>W8</v>
      </c>
      <c r="C19" s="108">
        <f>VLOOKUP(B19,'Gebouwgegevens Allacker'!$J$5:$Q$83,3,0)</f>
        <v>1</v>
      </c>
      <c r="D19" s="108" t="str">
        <f>VLOOKUP(B19,'Gebouwgegevens Allacker'!$J$5:$Q$83,4,0)</f>
        <v>Window</v>
      </c>
      <c r="E19" s="108">
        <f>VLOOKUP(B19,'Gebouwgegevens Allacker'!$J$5:$Q$83,5,0)</f>
        <v>0</v>
      </c>
      <c r="F19" s="108" t="str">
        <f>VLOOKUP(B19,'Gebouwgegevens Allacker'!$J$5:$Q$83,6,0)</f>
        <v>left</v>
      </c>
      <c r="G19" s="108">
        <f>VLOOKUP(B19,'Gebouwgegevens Allacker'!$J$5:$Q$83,7,0)</f>
        <v>5</v>
      </c>
      <c r="H19" s="109">
        <f>VLOOKUP(B19,'Gebouwgegevens Allacker'!$J$5:$Q$83,8,0)</f>
        <v>0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Allacker'!$J$5:$Q$83,3,0)</f>
        <v>1</v>
      </c>
      <c r="D21" s="108" t="str">
        <f>VLOOKUP(B21,'Gebouwgegevens Allacker'!$J$5:$Q$83,4,0)</f>
        <v>Roof</v>
      </c>
      <c r="E21" s="108">
        <f>VLOOKUP(B21,'Gebouwgegevens Allacker'!$J$5:$Q$83,5,0)</f>
        <v>29</v>
      </c>
      <c r="F21" s="108">
        <f>VLOOKUP(B21,'Gebouwgegevens Allacker'!$J$5:$Q$83,6,0)</f>
        <v>0</v>
      </c>
      <c r="G21" s="108">
        <f>VLOOKUP(B21,'Gebouwgegevens Allacker'!$J$5:$Q$83,7,0)</f>
        <v>1.6975498473547073</v>
      </c>
      <c r="H21" s="109">
        <f>VLOOKUP(B21,'Gebouwgegevens Allacker'!$J$5:$Q$83,8,0)</f>
        <v>49.228945573286509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/>
      <c r="W21" s="99"/>
      <c r="X21" s="99"/>
      <c r="Y21" s="99"/>
    </row>
    <row r="22" spans="1:25" ht="16.5" customHeight="1" x14ac:dyDescent="0.25">
      <c r="A22" s="96"/>
      <c r="B22" s="107"/>
      <c r="C22" s="108"/>
      <c r="D22" s="108"/>
      <c r="E22" s="108"/>
      <c r="F22" s="108"/>
      <c r="G22" s="108"/>
      <c r="H22" s="109"/>
      <c r="I22" s="109"/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Allacker'!$J$5:$Q$83,3,0)</f>
        <v>1</v>
      </c>
      <c r="D28" s="118" t="str">
        <f>VLOOKUP(B28,'Gebouwgegevens Allacker'!$J$5:$Q$83,4,0)</f>
        <v>Floor</v>
      </c>
      <c r="E28" s="118">
        <f>VLOOKUP(B28,'Gebouwgegevens Allacker'!$J$5:$Q$83,5,0)</f>
        <v>104.86</v>
      </c>
      <c r="F28" s="118">
        <f>VLOOKUP(B28,'Gebouwgegevens Allacker'!$J$5:$Q$83,7,0)</f>
        <v>2.5990099009900991</v>
      </c>
      <c r="G28" s="119">
        <f>VLOOKUP(B28,'Gebouwgegevens Allacker'!$J$5:$Q$83,8,0)</f>
        <v>272.53217821782181</v>
      </c>
      <c r="H28" s="119">
        <f>N28/F28</f>
        <v>0.21722245983746219</v>
      </c>
      <c r="I28" s="118">
        <v>132</v>
      </c>
      <c r="J28" s="117">
        <v>42</v>
      </c>
      <c r="K28" s="117">
        <v>0.33</v>
      </c>
      <c r="L28" s="120">
        <f>I28/(0.5*J28)</f>
        <v>6.2857142857142856</v>
      </c>
      <c r="M28" s="120">
        <f>K28+2*(1/F28)</f>
        <v>1.0995238095238096</v>
      </c>
      <c r="N28" s="121">
        <f>IF(M28&lt;L28,2*2/(PI()*L28+M28)*LN(PI()*L28/M28+1),2/(0.457*L28+M28))</f>
        <v>0.56456332383498842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 t="e">
        <f>1.1*W18</f>
        <v>#N/A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/>
      <c r="C33" s="123"/>
      <c r="D33" s="123"/>
      <c r="E33" s="123"/>
      <c r="F33" s="123"/>
      <c r="G33" s="123">
        <v>20</v>
      </c>
      <c r="H33" s="123"/>
      <c r="I33" s="123"/>
      <c r="J33" s="119"/>
      <c r="K33" s="119"/>
      <c r="L33" s="99"/>
      <c r="M33" s="99"/>
      <c r="N33" s="99"/>
      <c r="O33" s="99"/>
      <c r="P33" s="97"/>
    </row>
    <row r="34" spans="1:16" ht="16.5" customHeight="1" x14ac:dyDescent="0.25">
      <c r="A34" s="96"/>
      <c r="B34" s="122"/>
      <c r="C34" s="123"/>
      <c r="D34" s="123"/>
      <c r="E34" s="123"/>
      <c r="F34" s="123"/>
      <c r="G34" s="123"/>
      <c r="H34" s="123"/>
      <c r="I34" s="123"/>
      <c r="J34" s="119"/>
      <c r="K34" s="119"/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SUMPRODUCT(H12:H21,I12:I21)+SUMPRODUCT(G28,H28)+SUMPRODUCT(J33:J38,K33:K38)</f>
        <v>560.31662280767841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15688.865438614996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279" t="s">
        <v>197</v>
      </c>
      <c r="B45" s="279"/>
      <c r="C45" s="279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v>0.6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B48/20*741</f>
        <v>22.23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Allacker'!G35</f>
        <v>59.291999999999994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f>0.5*'Gebouwgegevens Allacker'!B5*(1-F55)</f>
        <v>40.160000000000011</v>
      </c>
      <c r="C55" s="119" t="s">
        <v>206</v>
      </c>
      <c r="D55" s="99"/>
      <c r="E55" s="99" t="s">
        <v>209</v>
      </c>
      <c r="F55" s="99">
        <f>0.84</f>
        <v>0.84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62.390000000000015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0.30064282341149379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21.212600000000005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Allacker'!E35-$B$4)</f>
        <v>615.1654000000002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279" t="s">
        <v>213</v>
      </c>
      <c r="B63" s="279"/>
      <c r="C63" s="279"/>
      <c r="D63" s="27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20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v>264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Allacker'!E35-'Verwarming Allacker'!$B$4)</f>
        <v>182.06896551724137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5280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763.59818832491976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21584.030838614995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279" t="s">
        <v>171</v>
      </c>
      <c r="B79" s="279"/>
      <c r="C79" s="279"/>
      <c r="D79" s="279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59</v>
      </c>
      <c r="C84" s="108">
        <f>VLOOKUP(B84,'Gebouwgegevens Allacker'!$J$5:$Q$83,3,0)</f>
        <v>1</v>
      </c>
      <c r="D84" s="108" t="str">
        <f>VLOOKUP(B84,'Gebouwgegevens Allacker'!$J$5:$Q$83,4,0)</f>
        <v>Window</v>
      </c>
      <c r="E84" s="108">
        <f>VLOOKUP(B84,'Gebouwgegevens Allacker'!$J$5:$Q$83,5,0)</f>
        <v>5</v>
      </c>
      <c r="F84" s="108" t="str">
        <f>VLOOKUP(B84,'Gebouwgegevens Allacker'!$J$5:$Q$83,6,0)</f>
        <v>back</v>
      </c>
      <c r="G84" s="108">
        <f>VLOOKUP(B84,'Gebouwgegevens Allacker'!$J$5:$Q$83,7,0)</f>
        <v>5</v>
      </c>
      <c r="H84" s="109">
        <f>VLOOKUP(B84,'Gebouwgegevens Allacker'!$J$5:$Q$83,8,0)</f>
        <v>25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60</v>
      </c>
      <c r="C85" s="108">
        <f>VLOOKUP(B85,'Gebouwgegevens Allacker'!$J$5:$Q$83,3,0)</f>
        <v>1</v>
      </c>
      <c r="D85" s="108" t="str">
        <f>VLOOKUP(B85,'Gebouwgegevens Allacker'!$J$5:$Q$83,4,0)</f>
        <v>Window</v>
      </c>
      <c r="E85" s="108">
        <f>VLOOKUP(B85,'Gebouwgegevens Allacker'!$J$5:$Q$83,5,0)</f>
        <v>0</v>
      </c>
      <c r="F85" s="108" t="str">
        <f>VLOOKUP(B85,'Gebouwgegevens Allacker'!$J$5:$Q$83,6,0)</f>
        <v>left</v>
      </c>
      <c r="G85" s="108">
        <f>VLOOKUP(B85,'Gebouwgegevens Allacker'!$J$5:$Q$83,7,0)</f>
        <v>5</v>
      </c>
      <c r="H85" s="109">
        <f>VLOOKUP(B85,'Gebouwgegevens Allacker'!$J$5:$Q$83,8,0)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61</v>
      </c>
      <c r="C86" s="108">
        <f>VLOOKUP(B86,'Gebouwgegevens Allacker'!$J$5:$Q$83,3,0)</f>
        <v>1</v>
      </c>
      <c r="D86" s="108" t="str">
        <f>VLOOKUP(B86,'Gebouwgegevens Allacker'!$J$5:$Q$83,4,0)</f>
        <v>Floor</v>
      </c>
      <c r="E86" s="108">
        <f>VLOOKUP(B86,'Gebouwgegevens Allacker'!$J$5:$Q$83,5,0)</f>
        <v>104.86</v>
      </c>
      <c r="F86" s="108">
        <f>VLOOKUP(B86,'Gebouwgegevens Allacker'!$J$5:$Q$83,6,0)</f>
        <v>0</v>
      </c>
      <c r="G86" s="108">
        <f>VLOOKUP(B86,'Gebouwgegevens Allacker'!$J$5:$Q$83,7,0)</f>
        <v>2.5990099009900991</v>
      </c>
      <c r="H86" s="109">
        <f>VLOOKUP(B86,'Gebouwgegevens Allacker'!$J$5:$Q$83,8,0)</f>
        <v>272.53217821782181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/>
      <c r="C87" s="108"/>
      <c r="D87" s="108"/>
      <c r="E87" s="108"/>
      <c r="F87" s="108"/>
      <c r="G87" s="108"/>
      <c r="H87" s="109"/>
      <c r="I87" s="109"/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/>
      <c r="C88" s="108"/>
      <c r="D88" s="108"/>
      <c r="E88" s="108"/>
      <c r="F88" s="108"/>
      <c r="G88" s="108"/>
      <c r="H88" s="109"/>
      <c r="I88" s="109"/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/>
      <c r="C89" s="108"/>
      <c r="D89" s="108"/>
      <c r="E89" s="108"/>
      <c r="F89" s="108"/>
      <c r="G89" s="108"/>
      <c r="H89" s="109"/>
      <c r="I89" s="109"/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/>
      <c r="C90" s="108"/>
      <c r="D90" s="108"/>
      <c r="E90" s="108"/>
      <c r="F90" s="108"/>
      <c r="G90" s="108"/>
      <c r="H90" s="109"/>
      <c r="I90" s="109"/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/>
      <c r="C91" s="108"/>
      <c r="D91" s="108"/>
      <c r="E91" s="108"/>
      <c r="F91" s="108"/>
      <c r="G91" s="108"/>
      <c r="H91" s="109"/>
      <c r="I91" s="109"/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/>
      <c r="C92" s="108"/>
      <c r="D92" s="108"/>
      <c r="E92" s="108"/>
      <c r="F92" s="108"/>
      <c r="G92" s="108"/>
      <c r="H92" s="109"/>
      <c r="I92" s="109"/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 t="s">
        <v>219</v>
      </c>
      <c r="C100" s="118" t="e">
        <f>VLOOKUP(B100,'Gebouwgegevens Allacker'!$J$5:$Q$83,3,0)</f>
        <v>#N/A</v>
      </c>
      <c r="D100" s="118" t="e">
        <f>VLOOKUP(B100,'Gebouwgegevens Allacker'!$J$5:$Q$83,4,0)</f>
        <v>#N/A</v>
      </c>
      <c r="E100" s="118" t="e">
        <f>VLOOKUP(B100,'Gebouwgegevens Allacker'!$J$5:$Q$83,5,0)</f>
        <v>#N/A</v>
      </c>
      <c r="F100" s="118" t="e">
        <f>VLOOKUP(B100,'Gebouwgegevens Allacker'!$J$5:$Q$83,7,0)</f>
        <v>#N/A</v>
      </c>
      <c r="G100" s="119" t="e">
        <f>VLOOKUP(B100,'Gebouwgegevens Allacker'!$J$5:$Q$83,8,0)</f>
        <v>#N/A</v>
      </c>
      <c r="H100" s="119" t="e">
        <f>N100/F100</f>
        <v>#N/A</v>
      </c>
      <c r="I100" s="118" t="e">
        <f>VLOOKUP(C100,'Gebouwgegevens Allacker'!$A$35:$F$46,6,0)</f>
        <v>#N/A</v>
      </c>
      <c r="J100" s="117">
        <v>6.91</v>
      </c>
      <c r="K100" s="117">
        <v>0.33</v>
      </c>
      <c r="L100" s="120" t="e">
        <f>I100/(0.5*J100)</f>
        <v>#N/A</v>
      </c>
      <c r="M100" s="120" t="e">
        <f>K100+2*(1/F100)</f>
        <v>#N/A</v>
      </c>
      <c r="N100" s="121" t="e">
        <f>IF(M100&lt;L100,2*2/(PI()*L100+M100)*LN(PI()*L100/M100+1),2/(0.457*L100+M100))</f>
        <v>#N/A</v>
      </c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220</v>
      </c>
      <c r="C108" s="123" t="e">
        <f>IF(VLOOKUP(B108,'Gebouwgegevens Allacker'!$J$5:$Q$83,2,0)=B78,VLOOKUP(B108,'Gebouwgegevens Allacker'!$J$5:$Q$83,2,0),VLOOKUP(B108,'Gebouwgegevens Allacker'!$J$5:$Q$83,3,0))</f>
        <v>#N/A</v>
      </c>
      <c r="D108" s="123" t="e">
        <f>IF(VLOOKUP(B108,'Gebouwgegevens Allacker'!$J$5:$Q$83,2,0)=B78,VLOOKUP(B108,'Gebouwgegevens Allacker'!$J$5:$Q$83,3,0),VLOOKUP(B108,'Gebouwgegevens Allacker'!$J$5:$Q$83,2,0))</f>
        <v>#N/A</v>
      </c>
      <c r="E108" s="123" t="e">
        <f>VLOOKUP(B108,'Gebouwgegevens Allacker'!$J$5:$Q$83,4,0)</f>
        <v>#N/A</v>
      </c>
      <c r="F108" s="123" t="e">
        <f>VLOOKUP(B108,'Gebouwgegevens Allacker'!$J$5:$Q$83,5,0)</f>
        <v>#N/A</v>
      </c>
      <c r="G108" s="123" t="e">
        <f>VLOOKUP('Verwarming Allacker'!C108,'Gebouwgegevens Allacker'!$A$35:$F$46,5,0)</f>
        <v>#N/A</v>
      </c>
      <c r="H108" s="123" t="e">
        <f>VLOOKUP('Verwarming Allacker'!D108,'Gebouwgegevens Allacker'!$A$35:$F$46,5,0)</f>
        <v>#N/A</v>
      </c>
      <c r="I108" s="123" t="e">
        <f>VLOOKUP(B108,'Gebouwgegevens Allacker'!$J$5:$Q$83,7,0)</f>
        <v>#N/A</v>
      </c>
      <c r="J108" s="119" t="e">
        <f>VLOOKUP(B108,'Gebouwgegevens Allacker'!$J$5:$Q$83,8,0)</f>
        <v>#N/A</v>
      </c>
      <c r="K108" s="119" t="e">
        <f>(G108-H108)/(G108-$B$4)</f>
        <v>#N/A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221</v>
      </c>
      <c r="C109" s="123" t="e">
        <f>IF(VLOOKUP(B109,'Gebouwgegevens Allacker'!$J$5:$Q$83,2,0)=B78,VLOOKUP(B109,'Gebouwgegevens Allacker'!$J$5:$Q$83,2,0),VLOOKUP(B109,'Gebouwgegevens Allacker'!$J$5:$Q$83,3,0))</f>
        <v>#N/A</v>
      </c>
      <c r="D109" s="123" t="e">
        <f>IF(VLOOKUP(B109,'Gebouwgegevens Allacker'!$J$5:$Q$83,2,0)=B78,VLOOKUP(B109,'Gebouwgegevens Allacker'!$J$5:$Q$83,3,0),VLOOKUP(B109,'Gebouwgegevens Allacker'!$J$5:$Q$83,2,0))</f>
        <v>#N/A</v>
      </c>
      <c r="E109" s="123" t="e">
        <f>VLOOKUP(B109,'Gebouwgegevens Allacker'!$J$5:$Q$83,4,0)</f>
        <v>#N/A</v>
      </c>
      <c r="F109" s="123" t="e">
        <f>VLOOKUP(B109,'Gebouwgegevens Allacker'!$J$5:$Q$83,5,0)</f>
        <v>#N/A</v>
      </c>
      <c r="G109" s="123" t="e">
        <f>VLOOKUP('Verwarming Allacker'!C109,'Gebouwgegevens Allacker'!$A$35:$F$46,5,0)</f>
        <v>#N/A</v>
      </c>
      <c r="H109" s="123" t="e">
        <f>VLOOKUP('Verwarming Allacker'!D109,'Gebouwgegevens Allacker'!$A$35:$F$46,5,0)</f>
        <v>#N/A</v>
      </c>
      <c r="I109" s="123" t="e">
        <f>VLOOKUP(B109,'Gebouwgegevens Allacker'!$J$5:$Q$83,7,0)</f>
        <v>#N/A</v>
      </c>
      <c r="J109" s="119" t="e">
        <f>VLOOKUP(B109,'Gebouwgegevens Allacker'!$J$5:$Q$83,8,0)</f>
        <v>#N/A</v>
      </c>
      <c r="K109" s="119" t="e">
        <f>(G109-H109)/(G109-$B$4)</f>
        <v>#N/A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 t="s">
        <v>222</v>
      </c>
      <c r="C110" s="123" t="e">
        <f>IF(VLOOKUP(B110,'Gebouwgegevens Allacker'!$J$5:$Q$83,2,0)=B78,VLOOKUP(B110,'Gebouwgegevens Allacker'!$J$5:$Q$83,2,0),VLOOKUP(B110,'Gebouwgegevens Allacker'!$J$5:$Q$83,3,0))</f>
        <v>#N/A</v>
      </c>
      <c r="D110" s="123" t="e">
        <f>IF(VLOOKUP(B110,'Gebouwgegevens Allacker'!$J$5:$Q$83,2,0)=B78,VLOOKUP(B110,'Gebouwgegevens Allacker'!$J$5:$Q$83,3,0),VLOOKUP(B110,'Gebouwgegevens Allacker'!$J$5:$Q$83,2,0))</f>
        <v>#N/A</v>
      </c>
      <c r="E110" s="123" t="e">
        <f>VLOOKUP(B110,'Gebouwgegevens Allacker'!$J$5:$Q$83,4,0)</f>
        <v>#N/A</v>
      </c>
      <c r="F110" s="123" t="e">
        <f>VLOOKUP(B110,'Gebouwgegevens Allacker'!$J$5:$Q$83,5,0)</f>
        <v>#N/A</v>
      </c>
      <c r="G110" s="123" t="e">
        <f>VLOOKUP('Verwarming Allacker'!C110,'Gebouwgegevens Allacker'!$A$35:$F$46,5,0)</f>
        <v>#N/A</v>
      </c>
      <c r="H110" s="123" t="e">
        <f>VLOOKUP('Verwarming Allacker'!D110,'Gebouwgegevens Allacker'!$A$35:$F$46,5,0)</f>
        <v>#N/A</v>
      </c>
      <c r="I110" s="123" t="e">
        <f>VLOOKUP(B110,'Gebouwgegevens Allacker'!$J$5:$Q$83,7,0)</f>
        <v>#N/A</v>
      </c>
      <c r="J110" s="119" t="e">
        <f>VLOOKUP(B110,'Gebouwgegevens Allacker'!$J$5:$Q$83,8,0)</f>
        <v>#N/A</v>
      </c>
      <c r="K110" s="119" t="e">
        <f>(G110-H110)/(G110-$B$4)</f>
        <v>#N/A</v>
      </c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 t="s">
        <v>223</v>
      </c>
      <c r="C111" s="123" t="e">
        <f>IF(VLOOKUP(B111,'Gebouwgegevens Allacker'!$J$5:$Q$83,2,0)=B78,VLOOKUP(B111,'Gebouwgegevens Allacker'!$J$5:$Q$83,2,0),VLOOKUP(B111,'Gebouwgegevens Allacker'!$J$5:$Q$83,3,0))</f>
        <v>#N/A</v>
      </c>
      <c r="D111" s="123" t="e">
        <f>IF(VLOOKUP(B111,'Gebouwgegevens Allacker'!$J$5:$Q$83,2,0)=B78,VLOOKUP(B111,'Gebouwgegevens Allacker'!$J$5:$Q$83,3,0),VLOOKUP(B111,'Gebouwgegevens Allacker'!$J$5:$Q$83,2,0))</f>
        <v>#N/A</v>
      </c>
      <c r="E111" s="123" t="e">
        <f>VLOOKUP(B111,'Gebouwgegevens Allacker'!$J$5:$Q$83,4,0)</f>
        <v>#N/A</v>
      </c>
      <c r="F111" s="123" t="e">
        <f>VLOOKUP(B111,'Gebouwgegevens Allacker'!$J$5:$Q$83,5,0)</f>
        <v>#N/A</v>
      </c>
      <c r="G111" s="123" t="e">
        <f>VLOOKUP('Verwarming Allacker'!C111,'Gebouwgegevens Allacker'!$A$35:$F$46,5,0)</f>
        <v>#N/A</v>
      </c>
      <c r="H111" s="123" t="e">
        <f>VLOOKUP('Verwarming Allacker'!D111,'Gebouwgegevens Allacker'!$A$35:$F$46,5,0)</f>
        <v>#N/A</v>
      </c>
      <c r="I111" s="123" t="e">
        <f>VLOOKUP(B111,'Gebouwgegevens Allacker'!$J$5:$Q$83,7,0)</f>
        <v>#N/A</v>
      </c>
      <c r="J111" s="119" t="e">
        <f>VLOOKUP(B111,'Gebouwgegevens Allacker'!$J$5:$Q$83,8,0)</f>
        <v>#N/A</v>
      </c>
      <c r="K111" s="119" t="e">
        <f>(G111-H111)/(G111-$B$4)</f>
        <v>#N/A</v>
      </c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 t="s">
        <v>224</v>
      </c>
      <c r="C112" s="140" t="e">
        <f>IF(VLOOKUP(B112,'Gebouwgegevens Allacker'!$J$5:$Q$83,2,0)=B78,VLOOKUP(B112,'Gebouwgegevens Allacker'!$J$5:$Q$83,2,0),VLOOKUP(B112,'Gebouwgegevens Allacker'!$J$5:$Q$83,3,0))</f>
        <v>#N/A</v>
      </c>
      <c r="D112" s="123" t="e">
        <f>IF(VLOOKUP(B112,'Gebouwgegevens Allacker'!$J$5:$Q$83,2,0)=B78,VLOOKUP(B112,'Gebouwgegevens Allacker'!$J$5:$Q$83,3,0),VLOOKUP(B112,'Gebouwgegevens Allacker'!$J$5:$Q$83,2,0))</f>
        <v>#N/A</v>
      </c>
      <c r="E112" s="123" t="e">
        <f>VLOOKUP(B112,'Gebouwgegevens Allacker'!$J$5:$Q$83,4,0)</f>
        <v>#N/A</v>
      </c>
      <c r="F112" s="123" t="e">
        <f>VLOOKUP(B112,'Gebouwgegevens Allacker'!$J$5:$Q$83,5,0)</f>
        <v>#N/A</v>
      </c>
      <c r="G112" s="123" t="e">
        <f>VLOOKUP('Verwarming Allacker'!C112,'Gebouwgegevens Allacker'!$A$35:$F$46,5,0)</f>
        <v>#N/A</v>
      </c>
      <c r="H112" s="123" t="e">
        <f>VLOOKUP('Verwarming Allacker'!D112,'Gebouwgegevens Allacker'!$A$35:$F$46,5,0)</f>
        <v>#N/A</v>
      </c>
      <c r="I112" s="123" t="e">
        <f>VLOOKUP(B112,'Gebouwgegevens Allacker'!$J$5:$Q$83,7,0)</f>
        <v>#N/A</v>
      </c>
      <c r="J112" s="119" t="e">
        <f>VLOOKUP(B112,'Gebouwgegevens Allacker'!$J$5:$Q$83,8,0)</f>
        <v>#N/A</v>
      </c>
      <c r="K112" s="119" t="e">
        <f>(G112-H112)/(G112-$B$4)</f>
        <v>#N/A</v>
      </c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 t="e">
        <f>SUMPRODUCT(H84:H95,I84:I95)+SUMPRODUCT(G100:G104,H100:H104)+SUMPRODUCT(J108:J117,K108:K117)</f>
        <v>#N/A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 t="e">
        <f>B121*(G111-$B$4)</f>
        <v>#N/A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279" t="s">
        <v>197</v>
      </c>
      <c r="B124" s="279"/>
      <c r="C124" s="279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v>8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Allacker'!$A$35:$F$46,6,0)*B127*B128*B129</f>
        <v>0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VLOOKUP(B78,'Gebouwgegevens Allacker'!$A$35:$F$46,6,0)</f>
        <v>0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50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MAX(B130,B134)</f>
        <v>50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0.31350321027287315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0.34*B137</f>
        <v>17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B139*('Gebouwgegevens Allacker'!E100-$B$4)</f>
        <v>136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279" t="s">
        <v>213</v>
      </c>
      <c r="B142" s="279"/>
      <c r="C142" s="279"/>
      <c r="D142" s="27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45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VLOOKUP(B78,'Gebouwgegevens Allacker'!$A$35:$F$46,6,0)</f>
        <v>0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Allacker'!$B$4)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 t="e">
        <f>SUM(B121,B139,B146)</f>
        <v>#N/A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 t="e">
        <f>SUM(B122,B140,B147)</f>
        <v>#N/A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279" t="s">
        <v>171</v>
      </c>
      <c r="B159" s="279"/>
      <c r="C159" s="279"/>
      <c r="D159" s="279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Allacker'!C188,'Gebouwgegevens Allacker'!$A$35:$F$46,5,0)</f>
        <v>#N/A</v>
      </c>
      <c r="H188" s="123" t="e">
        <f>VLOOKUP('Verwarming Allacker'!D188,'Gebouwgegevens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Allacker'!C189,'Gebouwgegevens Allacker'!$A$35:$F$46,5,0)</f>
        <v>#N/A</v>
      </c>
      <c r="H189" s="123" t="e">
        <f>VLOOKUP('Verwarming Allacker'!D189,'Gebouwgegevens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Allacker'!C190,'Gebouwgegevens Allacker'!$A$35:$F$46,5,0)</f>
        <v>#N/A</v>
      </c>
      <c r="H190" s="123" t="e">
        <f>VLOOKUP('Verwarming Allacker'!D190,'Gebouwgegevens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279" t="s">
        <v>197</v>
      </c>
      <c r="B204" s="279"/>
      <c r="C204" s="279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279" t="s">
        <v>213</v>
      </c>
      <c r="B222" s="279"/>
      <c r="C222" s="279"/>
      <c r="D222" s="27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Allacker'!$B$4)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279" t="s">
        <v>171</v>
      </c>
      <c r="B238" s="279"/>
      <c r="C238" s="279"/>
      <c r="D238" s="279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Allacker'!C267,'Gebouwgegevens Allacker'!$A$35:$F$46,5,0)</f>
        <v>#N/A</v>
      </c>
      <c r="H267" s="123" t="e">
        <f>VLOOKUP('Verwarming Allacker'!D267,'Gebouwgegevens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Allacker'!C268,'Gebouwgegevens Allacker'!$A$35:$F$46,5,0)</f>
        <v>#N/A</v>
      </c>
      <c r="H268" s="123" t="e">
        <f>VLOOKUP('Verwarming Allacker'!D268,'Gebouwgegevens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Allacker'!C269,'Gebouwgegevens Allacker'!$A$35:$F$46,5,0)</f>
        <v>#N/A</v>
      </c>
      <c r="H269" s="123" t="e">
        <f>VLOOKUP('Verwarming Allacker'!D269,'Gebouwgegevens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Allacker'!C270,'Gebouwgegevens Allacker'!$A$35:$F$46,5,0)</f>
        <v>#N/A</v>
      </c>
      <c r="H270" s="123" t="e">
        <f>VLOOKUP('Verwarming Allacker'!D270,'Gebouwgegevens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279" t="s">
        <v>197</v>
      </c>
      <c r="B283" s="279"/>
      <c r="C283" s="279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279" t="s">
        <v>213</v>
      </c>
      <c r="B301" s="279"/>
      <c r="C301" s="279"/>
      <c r="D301" s="27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Allacker'!$B$4)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279" t="s">
        <v>171</v>
      </c>
      <c r="B317" s="279"/>
      <c r="C317" s="279"/>
      <c r="D317" s="279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Allacker'!C346,'Gebouwgegevens Allacker'!$A$35:$F$46,5,0)</f>
        <v>#N/A</v>
      </c>
      <c r="H346" s="123" t="e">
        <f>VLOOKUP('Verwarming Allacker'!D346,'Gebouwgegevens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Allacker'!C347,'Gebouwgegevens Allacker'!$A$35:$F$46,5,0)</f>
        <v>#N/A</v>
      </c>
      <c r="H347" s="123" t="e">
        <f>VLOOKUP('Verwarming Allacker'!D347,'Gebouwgegevens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Allacker'!C348,'Gebouwgegevens Allacker'!$A$35:$F$46,5,0)</f>
        <v>#N/A</v>
      </c>
      <c r="H348" s="123" t="e">
        <f>VLOOKUP('Verwarming Allacker'!D348,'Gebouwgegevens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Allacker'!C349,'Gebouwgegevens Allacker'!$A$35:$F$46,5,0)</f>
        <v>#N/A</v>
      </c>
      <c r="H349" s="123" t="e">
        <f>VLOOKUP('Verwarming Allacker'!D349,'Gebouwgegevens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Allacker'!C350,'Gebouwgegevens Allacker'!$A$35:$F$46,5,0)</f>
        <v>#N/A</v>
      </c>
      <c r="H350" s="123" t="e">
        <f>VLOOKUP('Verwarming Allacker'!D350,'Gebouwgegevens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279" t="s">
        <v>197</v>
      </c>
      <c r="B362" s="279"/>
      <c r="C362" s="279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279" t="s">
        <v>213</v>
      </c>
      <c r="B380" s="279"/>
      <c r="C380" s="279"/>
      <c r="D380" s="27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Allacker'!$B$4)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279" t="s">
        <v>171</v>
      </c>
      <c r="B395" s="279"/>
      <c r="C395" s="279"/>
      <c r="D395" s="279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Allacker'!C424,'Gebouwgegevens Allacker'!$A$35:$F$46,5,0)</f>
        <v>#N/A</v>
      </c>
      <c r="H424" s="123" t="e">
        <f>VLOOKUP('Verwarming Allacker'!D424,'Gebouwgegevens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Allacker'!C425,'Gebouwgegevens Allacker'!$A$35:$F$46,5,0)</f>
        <v>#N/A</v>
      </c>
      <c r="H425" s="123" t="e">
        <f>VLOOKUP('Verwarming Allacker'!D425,'Gebouwgegevens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Allacker'!C426,'Gebouwgegevens Allacker'!$A$35:$F$46,5,0)</f>
        <v>#N/A</v>
      </c>
      <c r="H426" s="123" t="e">
        <f>VLOOKUP('Verwarming Allacker'!D426,'Gebouwgegevens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Allacker'!C427,'Gebouwgegevens Allacker'!$A$35:$F$46,5,0)</f>
        <v>#N/A</v>
      </c>
      <c r="H427" s="123" t="e">
        <f>VLOOKUP('Verwarming Allacker'!D427,'Gebouwgegevens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Allacker'!C428,'Gebouwgegevens Allacker'!$A$35:$F$46,5,0)</f>
        <v>#N/A</v>
      </c>
      <c r="H428" s="123" t="e">
        <f>VLOOKUP('Verwarming Allacker'!D428,'Gebouwgegevens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279" t="s">
        <v>197</v>
      </c>
      <c r="B440" s="279"/>
      <c r="C440" s="279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279" t="s">
        <v>213</v>
      </c>
      <c r="B458" s="279"/>
      <c r="C458" s="279"/>
      <c r="D458" s="27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Allacker'!$B$4)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279" t="s">
        <v>171</v>
      </c>
      <c r="B473" s="279"/>
      <c r="C473" s="279"/>
      <c r="D473" s="279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Allacker'!C502,'Gebouwgegevens Allacker'!$A$35:$F$46,5,0)</f>
        <v>#N/A</v>
      </c>
      <c r="H502" s="123" t="e">
        <f>VLOOKUP('Verwarming Allacker'!D502,'Gebouwgegevens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Allacker'!C503,'Gebouwgegevens Allacker'!$A$35:$F$46,5,0)</f>
        <v>#N/A</v>
      </c>
      <c r="H503" s="123" t="e">
        <f>VLOOKUP('Verwarming Allacker'!D503,'Gebouwgegevens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Allacker'!C504,'Gebouwgegevens Allacker'!$A$35:$F$46,5,0)</f>
        <v>#N/A</v>
      </c>
      <c r="H504" s="123" t="e">
        <f>VLOOKUP('Verwarming Allacker'!D504,'Gebouwgegevens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279" t="s">
        <v>197</v>
      </c>
      <c r="B518" s="279"/>
      <c r="C518" s="279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279" t="s">
        <v>213</v>
      </c>
      <c r="B536" s="279"/>
      <c r="C536" s="279"/>
      <c r="D536" s="27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Allacker'!$B$4)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279" t="s">
        <v>171</v>
      </c>
      <c r="B552" s="279"/>
      <c r="C552" s="279"/>
      <c r="D552" s="279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Allacker'!C581,'Gebouwgegevens Allacker'!$A$35:$F$46,5,0)</f>
        <v>#N/A</v>
      </c>
      <c r="H581" s="123" t="e">
        <f>VLOOKUP('Verwarming Allacker'!D581,'Gebouwgegevens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Allacker'!C582,'Gebouwgegevens Allacker'!$A$35:$F$46,5,0)</f>
        <v>#N/A</v>
      </c>
      <c r="H582" s="123" t="e">
        <f>VLOOKUP('Verwarming Allacker'!D582,'Gebouwgegevens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Allacker'!C583,'Gebouwgegevens Allacker'!$A$35:$F$46,5,0)</f>
        <v>#N/A</v>
      </c>
      <c r="H583" s="123" t="e">
        <f>VLOOKUP('Verwarming Allacker'!D583,'Gebouwgegevens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279" t="s">
        <v>197</v>
      </c>
      <c r="B597" s="279"/>
      <c r="C597" s="279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279" t="s">
        <v>213</v>
      </c>
      <c r="B615" s="279"/>
      <c r="C615" s="279"/>
      <c r="D615" s="27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Allacker'!$B$4)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279" t="s">
        <v>171</v>
      </c>
      <c r="B631" s="279"/>
      <c r="C631" s="279"/>
      <c r="D631" s="279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Allacker'!C660,'Gebouwgegevens Allacker'!$A$35:$F$46,5,0)</f>
        <v>#N/A</v>
      </c>
      <c r="H660" s="123" t="e">
        <f>VLOOKUP('Verwarming Allacker'!D660,'Gebouwgegevens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Allacker'!C661,'Gebouwgegevens Allacker'!$A$35:$F$46,5,0)</f>
        <v>#N/A</v>
      </c>
      <c r="H661" s="123" t="e">
        <f>VLOOKUP('Verwarming Allacker'!D661,'Gebouwgegevens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279" t="s">
        <v>197</v>
      </c>
      <c r="B676" s="279"/>
      <c r="C676" s="279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279" t="s">
        <v>213</v>
      </c>
      <c r="B694" s="279"/>
      <c r="C694" s="279"/>
      <c r="D694" s="27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Allacker'!$B$4)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279" t="s">
        <v>171</v>
      </c>
      <c r="B710" s="279"/>
      <c r="C710" s="279"/>
      <c r="D710" s="279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Allacker'!C739,'Gebouwgegevens Allacker'!$A$35:$F$46,5,0)</f>
        <v>#N/A</v>
      </c>
      <c r="H739" s="123" t="e">
        <f>VLOOKUP('Verwarming Allacker'!D739,'Gebouwgegevens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Allacker'!C740,'Gebouwgegevens Allacker'!$A$35:$F$46,5,0)</f>
        <v>#N/A</v>
      </c>
      <c r="H740" s="123" t="e">
        <f>VLOOKUP('Verwarming Allacker'!D740,'Gebouwgegevens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Allacker'!C741,'Gebouwgegevens Allacker'!$A$35:$F$46,5,0)</f>
        <v>#N/A</v>
      </c>
      <c r="H741" s="123" t="e">
        <f>VLOOKUP('Verwarming Allacker'!D741,'Gebouwgegevens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Allacker'!C742,'Gebouwgegevens Allacker'!$A$35:$F$46,5,0)</f>
        <v>#N/A</v>
      </c>
      <c r="H742" s="123" t="e">
        <f>VLOOKUP('Verwarming Allacker'!D742,'Gebouwgegevens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Allacker'!C743,'Gebouwgegevens Allacker'!$A$35:$F$46,5,0)</f>
        <v>#N/A</v>
      </c>
      <c r="H743" s="123" t="e">
        <f>VLOOKUP('Verwarming Allacker'!D743,'Gebouwgegevens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Allacker'!C744,'Gebouwgegevens Allacker'!$A$35:$F$46,5,0)</f>
        <v>#N/A</v>
      </c>
      <c r="H744" s="123" t="e">
        <f>VLOOKUP('Verwarming Allacker'!D744,'Gebouwgegevens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Allacker'!C745,'Gebouwgegevens Allacker'!$A$35:$F$46,5,0)</f>
        <v>#N/A</v>
      </c>
      <c r="H745" s="123" t="e">
        <f>VLOOKUP('Verwarming Allacker'!D745,'Gebouwgegevens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Allacker'!C746,'Gebouwgegevens Allacker'!$A$35:$F$46,5,0)</f>
        <v>#N/A</v>
      </c>
      <c r="H746" s="123" t="e">
        <f>VLOOKUP('Verwarming Allacker'!D746,'Gebouwgegevens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Allacker'!C747,'Gebouwgegevens Allacker'!$A$35:$F$46,5,0)</f>
        <v>#N/A</v>
      </c>
      <c r="H747" s="123" t="e">
        <f>VLOOKUP('Verwarming Allacker'!D747,'Gebouwgegevens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Allacker'!C748,'Gebouwgegevens Allacker'!$A$35:$F$46,5,0)</f>
        <v>#N/A</v>
      </c>
      <c r="H748" s="123" t="e">
        <f>VLOOKUP('Verwarming Allacker'!D748,'Gebouwgegevens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Allacker'!C749,'Gebouwgegevens Allacker'!$A$35:$F$46,5,0)</f>
        <v>#N/A</v>
      </c>
      <c r="H749" s="123" t="e">
        <f>VLOOKUP('Verwarming Allacker'!D749,'Gebouwgegevens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Allacker'!C750,'Gebouwgegevens Allacker'!$A$35:$F$46,5,0)</f>
        <v>#N/A</v>
      </c>
      <c r="H750" s="123" t="e">
        <f>VLOOKUP('Verwarming Allacker'!D750,'Gebouwgegevens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279" t="s">
        <v>197</v>
      </c>
      <c r="B755" s="279"/>
      <c r="C755" s="279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279" t="s">
        <v>213</v>
      </c>
      <c r="B773" s="279"/>
      <c r="C773" s="279"/>
      <c r="D773" s="27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Allacker'!$B$4)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784"/>
  <sheetViews>
    <sheetView topLeftCell="Q1" zoomScaleNormal="100" workbookViewId="0">
      <selection activeCell="T28" sqref="T28"/>
    </sheetView>
  </sheetViews>
  <sheetFormatPr defaultRowHeight="15" x14ac:dyDescent="0.25"/>
  <cols>
    <col min="1" max="1025" width="9.140625" style="3"/>
  </cols>
  <sheetData>
    <row r="1" spans="1:25" ht="20.25" customHeight="1" x14ac:dyDescent="0.25">
      <c r="A1" s="277" t="s">
        <v>164</v>
      </c>
      <c r="B1" s="277"/>
      <c r="C1" s="277"/>
      <c r="D1" s="277"/>
      <c r="E1" s="277"/>
      <c r="F1" s="277"/>
      <c r="G1" s="277"/>
      <c r="H1" s="277"/>
      <c r="I1" s="277"/>
      <c r="J1" s="92"/>
      <c r="K1" s="92"/>
      <c r="L1" s="92"/>
      <c r="M1" s="92"/>
      <c r="N1" s="92"/>
      <c r="O1" s="92"/>
      <c r="P1" s="92"/>
    </row>
    <row r="2" spans="1:25" ht="15.7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25" ht="15.75" customHeight="1" x14ac:dyDescent="0.25">
      <c r="A3" s="92" t="s">
        <v>165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25" ht="15.75" customHeight="1" x14ac:dyDescent="0.25">
      <c r="A4" s="93" t="s">
        <v>166</v>
      </c>
      <c r="B4" s="93">
        <v>-8</v>
      </c>
      <c r="C4" s="93" t="s">
        <v>167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U4" s="94"/>
      <c r="V4" s="75"/>
      <c r="W4" s="75"/>
      <c r="X4" s="75"/>
      <c r="Y4" s="95"/>
    </row>
    <row r="5" spans="1:25" ht="18" customHeight="1" x14ac:dyDescent="0.25">
      <c r="A5" s="9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95"/>
      <c r="U5" s="96"/>
      <c r="V5" s="274" t="s">
        <v>168</v>
      </c>
      <c r="W5" s="274"/>
      <c r="X5" s="274"/>
      <c r="Y5" s="97"/>
    </row>
    <row r="6" spans="1:25" ht="18.75" customHeight="1" x14ac:dyDescent="0.3">
      <c r="A6" s="98" t="s">
        <v>169</v>
      </c>
      <c r="B6" s="93">
        <v>1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U6" s="96"/>
      <c r="V6" s="100" t="s">
        <v>169</v>
      </c>
      <c r="W6" s="101" t="s">
        <v>170</v>
      </c>
      <c r="X6" s="75"/>
      <c r="Y6" s="97"/>
    </row>
    <row r="7" spans="1:25" ht="16.5" customHeight="1" x14ac:dyDescent="0.25">
      <c r="A7" s="279" t="s">
        <v>171</v>
      </c>
      <c r="B7" s="279"/>
      <c r="C7" s="279"/>
      <c r="D7" s="279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95"/>
      <c r="U7" s="96"/>
      <c r="V7" s="102">
        <f>B6</f>
        <v>1</v>
      </c>
      <c r="W7" s="103">
        <f>B73</f>
        <v>43543.350397062692</v>
      </c>
      <c r="X7" s="99" t="s">
        <v>172</v>
      </c>
      <c r="Y7" s="97"/>
    </row>
    <row r="8" spans="1:25" ht="15" customHeight="1" x14ac:dyDescent="0.25">
      <c r="A8" s="96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7"/>
      <c r="U8" s="96"/>
      <c r="V8" s="102">
        <f>B78</f>
        <v>2</v>
      </c>
      <c r="W8" s="103" t="e">
        <f>B152</f>
        <v>#N/A</v>
      </c>
      <c r="X8" s="99" t="s">
        <v>172</v>
      </c>
      <c r="Y8" s="97"/>
    </row>
    <row r="9" spans="1:25" ht="15" customHeight="1" x14ac:dyDescent="0.25">
      <c r="A9" s="104" t="s">
        <v>173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7"/>
      <c r="U9" s="96"/>
      <c r="V9" s="102">
        <f>B158</f>
        <v>3</v>
      </c>
      <c r="W9" s="103" t="e">
        <f>B232</f>
        <v>#N/A</v>
      </c>
      <c r="X9" s="99" t="s">
        <v>172</v>
      </c>
      <c r="Y9" s="97"/>
    </row>
    <row r="10" spans="1:25" ht="15" customHeight="1" x14ac:dyDescent="0.25">
      <c r="A10" s="96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7"/>
      <c r="U10" s="96"/>
      <c r="V10" s="102">
        <f>B237</f>
        <v>4</v>
      </c>
      <c r="W10" s="103" t="e">
        <f>B311</f>
        <v>#N/A</v>
      </c>
      <c r="X10" s="99" t="s">
        <v>172</v>
      </c>
      <c r="Y10" s="97"/>
    </row>
    <row r="11" spans="1:25" ht="15.75" customHeight="1" x14ac:dyDescent="0.25">
      <c r="A11" s="96"/>
      <c r="B11" s="105" t="s">
        <v>10</v>
      </c>
      <c r="C11" s="105" t="s">
        <v>174</v>
      </c>
      <c r="D11" s="105" t="s">
        <v>175</v>
      </c>
      <c r="E11" s="105" t="s">
        <v>176</v>
      </c>
      <c r="F11" s="105" t="s">
        <v>177</v>
      </c>
      <c r="G11" s="105" t="s">
        <v>16</v>
      </c>
      <c r="H11" s="106" t="s">
        <v>17</v>
      </c>
      <c r="I11" s="106" t="s">
        <v>178</v>
      </c>
      <c r="J11" s="99"/>
      <c r="K11" s="99"/>
      <c r="L11" s="99"/>
      <c r="M11" s="99"/>
      <c r="N11" s="99"/>
      <c r="O11" s="99"/>
      <c r="P11" s="97"/>
      <c r="U11" s="96"/>
      <c r="V11" s="102">
        <f>B316</f>
        <v>5</v>
      </c>
      <c r="W11" s="103" t="e">
        <f>B390</f>
        <v>#N/A</v>
      </c>
      <c r="X11" s="99" t="s">
        <v>172</v>
      </c>
      <c r="Y11" s="97"/>
    </row>
    <row r="12" spans="1:25" ht="16.5" customHeight="1" x14ac:dyDescent="0.25">
      <c r="A12" s="96"/>
      <c r="B12" s="107" t="str">
        <f>'Gebouwgegevens Allacker'!J6</f>
        <v>W1</v>
      </c>
      <c r="C12" s="108">
        <f>VLOOKUP(B12,'Gebouwgegevens Tabula'!$J$5:$Q$83,3,0)</f>
        <v>1</v>
      </c>
      <c r="D12" s="108" t="str">
        <f>VLOOKUP(B12,'Gebouwgegevens Tabula'!$J$5:$Q$83,4,0)</f>
        <v>Wall External</v>
      </c>
      <c r="E12" s="108">
        <f>VLOOKUP(B12,'Gebouwgegevens Tabula'!$J$5:$Q$83,5,0)</f>
        <v>70.345000000000013</v>
      </c>
      <c r="F12" s="108" t="str">
        <f>VLOOKUP(B12,'Gebouwgegevens Tabula'!$J$5:$Q$83,6,0)</f>
        <v>front</v>
      </c>
      <c r="G12" s="108">
        <f>VLOOKUP(B12,'Gebouwgegevens Tabula'!$J$5:$Q$83,7,0)</f>
        <v>2.2022341505875525</v>
      </c>
      <c r="H12" s="109">
        <f>VLOOKUP(B12,'Gebouwgegevens Tabula'!$J$5:$Q$83,8,0)</f>
        <v>154.91616132308141</v>
      </c>
      <c r="I12" s="109">
        <v>1</v>
      </c>
      <c r="J12" s="99"/>
      <c r="K12" s="99"/>
      <c r="L12" s="99"/>
      <c r="M12" s="99"/>
      <c r="N12" s="99"/>
      <c r="O12" s="99"/>
      <c r="P12" s="97"/>
      <c r="U12" s="96"/>
      <c r="V12" s="102">
        <f>6</f>
        <v>6</v>
      </c>
      <c r="W12" s="103" t="e">
        <f>B468</f>
        <v>#N/A</v>
      </c>
      <c r="X12" s="99" t="s">
        <v>172</v>
      </c>
      <c r="Y12" s="97"/>
    </row>
    <row r="13" spans="1:25" ht="16.5" customHeight="1" x14ac:dyDescent="0.25">
      <c r="A13" s="96"/>
      <c r="B13" s="107" t="str">
        <f>'Gebouwgegevens Allacker'!J7</f>
        <v>W2</v>
      </c>
      <c r="C13" s="108">
        <f>VLOOKUP(B13,'Gebouwgegevens Tabula'!$J$5:$Q$83,3,0)</f>
        <v>1</v>
      </c>
      <c r="D13" s="108" t="str">
        <f>VLOOKUP(B13,'Gebouwgegevens Tabula'!$J$5:$Q$83,4,0)</f>
        <v>Wall External</v>
      </c>
      <c r="E13" s="108">
        <f>VLOOKUP(B13,'Gebouwgegevens Tabula'!$J$5:$Q$83,5,0)</f>
        <v>57.555000000000007</v>
      </c>
      <c r="F13" s="108" t="str">
        <f>VLOOKUP(B13,'Gebouwgegevens Tabula'!$J$5:$Q$83,6,0)</f>
        <v>right</v>
      </c>
      <c r="G13" s="108">
        <f>VLOOKUP(B13,'Gebouwgegevens Tabula'!$J$5:$Q$83,7,0)</f>
        <v>2.2022341505875525</v>
      </c>
      <c r="H13" s="109">
        <f>VLOOKUP(B13,'Gebouwgegevens Tabula'!$J$5:$Q$83,8,0)</f>
        <v>126.74958653706659</v>
      </c>
      <c r="I13" s="109">
        <v>1</v>
      </c>
      <c r="J13" s="99"/>
      <c r="K13" s="99"/>
      <c r="L13" s="99"/>
      <c r="M13" s="99"/>
      <c r="N13" s="99"/>
      <c r="O13" s="99"/>
      <c r="P13" s="97"/>
      <c r="U13" s="96"/>
      <c r="V13" s="102">
        <v>7</v>
      </c>
      <c r="W13" s="103" t="e">
        <f>B546</f>
        <v>#N/A</v>
      </c>
      <c r="X13" s="99" t="s">
        <v>172</v>
      </c>
      <c r="Y13" s="97"/>
    </row>
    <row r="14" spans="1:25" ht="16.5" customHeight="1" x14ac:dyDescent="0.25">
      <c r="A14" s="96"/>
      <c r="B14" s="107" t="str">
        <f>'Gebouwgegevens Allacker'!J8</f>
        <v>W3</v>
      </c>
      <c r="C14" s="108">
        <f>VLOOKUP(B14,'Gebouwgegevens Tabula'!$J$5:$Q$83,3,0)</f>
        <v>1</v>
      </c>
      <c r="D14" s="108" t="str">
        <f>VLOOKUP(B14,'Gebouwgegevens Tabula'!$J$5:$Q$83,4,0)</f>
        <v>Wall External</v>
      </c>
      <c r="E14" s="108">
        <f>VLOOKUP(B14,'Gebouwgegevens Tabula'!$J$5:$Q$83,5,0)</f>
        <v>70.345000000000013</v>
      </c>
      <c r="F14" s="108" t="str">
        <f>VLOOKUP(B14,'Gebouwgegevens Tabula'!$J$5:$Q$83,6,0)</f>
        <v>back</v>
      </c>
      <c r="G14" s="108">
        <f>VLOOKUP(B14,'Gebouwgegevens Tabula'!$J$5:$Q$83,7,0)</f>
        <v>2.2022341505875525</v>
      </c>
      <c r="H14" s="109">
        <f>VLOOKUP(B14,'Gebouwgegevens Tabula'!$J$5:$Q$83,8,0)</f>
        <v>154.91616132308141</v>
      </c>
      <c r="I14" s="109">
        <v>1</v>
      </c>
      <c r="J14" s="99"/>
      <c r="K14" s="99"/>
      <c r="L14" s="99"/>
      <c r="M14" s="99"/>
      <c r="N14" s="99"/>
      <c r="O14" s="99"/>
      <c r="P14" s="97"/>
      <c r="U14" s="96"/>
      <c r="V14" s="102">
        <v>8</v>
      </c>
      <c r="W14" s="103" t="e">
        <f>B625</f>
        <v>#N/A</v>
      </c>
      <c r="X14" s="99" t="s">
        <v>172</v>
      </c>
      <c r="Y14" s="97"/>
    </row>
    <row r="15" spans="1:25" ht="16.5" customHeight="1" x14ac:dyDescent="0.25">
      <c r="A15" s="96"/>
      <c r="B15" s="107" t="str">
        <f>'Gebouwgegevens Allacker'!J9</f>
        <v>W4</v>
      </c>
      <c r="C15" s="108">
        <f>VLOOKUP(B15,'Gebouwgegevens Tabula'!$J$5:$Q$83,3,0)</f>
        <v>1</v>
      </c>
      <c r="D15" s="108" t="str">
        <f>VLOOKUP(B15,'Gebouwgegevens Tabula'!$J$5:$Q$83,4,0)</f>
        <v>Wall External</v>
      </c>
      <c r="E15" s="108">
        <f>VLOOKUP(B15,'Gebouwgegevens Tabula'!$J$5:$Q$83,5,0)</f>
        <v>57.555000000000007</v>
      </c>
      <c r="F15" s="108" t="str">
        <f>VLOOKUP(B15,'Gebouwgegevens Tabula'!$J$5:$Q$83,6,0)</f>
        <v>left</v>
      </c>
      <c r="G15" s="108">
        <f>VLOOKUP(B15,'Gebouwgegevens Tabula'!$J$5:$Q$83,7,0)</f>
        <v>2.2022341505875525</v>
      </c>
      <c r="H15" s="109">
        <f>VLOOKUP(B15,'Gebouwgegevens Tabula'!$J$5:$Q$83,8,0)</f>
        <v>126.74958653706659</v>
      </c>
      <c r="I15" s="109">
        <v>1</v>
      </c>
      <c r="J15" s="99"/>
      <c r="K15" s="99"/>
      <c r="L15" s="99"/>
      <c r="M15" s="99"/>
      <c r="N15" s="99"/>
      <c r="O15" s="99"/>
      <c r="P15" s="97"/>
      <c r="U15" s="96"/>
      <c r="V15" s="102">
        <v>9</v>
      </c>
      <c r="W15" s="103" t="e">
        <f>B704</f>
        <v>#N/A</v>
      </c>
      <c r="X15" s="99" t="s">
        <v>172</v>
      </c>
      <c r="Y15" s="97"/>
    </row>
    <row r="16" spans="1:25" ht="16.5" customHeight="1" x14ac:dyDescent="0.25">
      <c r="A16" s="96"/>
      <c r="B16" s="107" t="str">
        <f>'Gebouwgegevens Allacker'!J10</f>
        <v>W5</v>
      </c>
      <c r="C16" s="108">
        <f>VLOOKUP(B16,'Gebouwgegevens Tabula'!$J$5:$Q$83,3,0)</f>
        <v>1</v>
      </c>
      <c r="D16" s="108" t="str">
        <f>VLOOKUP(B16,'Gebouwgegevens Tabula'!$J$5:$Q$83,4,0)</f>
        <v>Window</v>
      </c>
      <c r="E16" s="108">
        <f>VLOOKUP(B16,'Gebouwgegevens Tabula'!$J$5:$Q$83,5,0)</f>
        <v>10.8</v>
      </c>
      <c r="F16" s="108" t="str">
        <f>VLOOKUP(B16,'Gebouwgegevens Tabula'!$J$5:$Q$83,6,0)</f>
        <v>front</v>
      </c>
      <c r="G16" s="108">
        <f>VLOOKUP(B16,'Gebouwgegevens Tabula'!$J$5:$Q$83,7,0)</f>
        <v>5</v>
      </c>
      <c r="H16" s="109">
        <f>VLOOKUP(B16,'Gebouwgegevens Tabula'!$J$5:$Q$83,8,0)</f>
        <v>54</v>
      </c>
      <c r="I16" s="109">
        <v>1</v>
      </c>
      <c r="J16" s="99"/>
      <c r="K16" s="99"/>
      <c r="L16" s="99"/>
      <c r="M16" s="99"/>
      <c r="N16" s="99"/>
      <c r="O16" s="99"/>
      <c r="P16" s="97"/>
      <c r="U16" s="96"/>
      <c r="V16" s="102">
        <v>10</v>
      </c>
      <c r="W16" s="103" t="e">
        <f>B783</f>
        <v>#N/A</v>
      </c>
      <c r="X16" s="99" t="s">
        <v>172</v>
      </c>
      <c r="Y16" s="97"/>
    </row>
    <row r="17" spans="1:25" ht="16.5" customHeight="1" x14ac:dyDescent="0.25">
      <c r="A17" s="96"/>
      <c r="B17" s="107" t="str">
        <f>'Gebouwgegevens Allacker'!J11</f>
        <v>W6</v>
      </c>
      <c r="C17" s="108">
        <f>VLOOKUP(B17,'Gebouwgegevens Tabula'!$J$5:$Q$83,3,0)</f>
        <v>1</v>
      </c>
      <c r="D17" s="108" t="str">
        <f>VLOOKUP(B17,'Gebouwgegevens Tabula'!$J$5:$Q$83,4,0)</f>
        <v>Window</v>
      </c>
      <c r="E17" s="108">
        <f>VLOOKUP(B17,'Gebouwgegevens Tabula'!$J$5:$Q$83,5,0)</f>
        <v>9.3000000000000007</v>
      </c>
      <c r="F17" s="108" t="str">
        <f>VLOOKUP(B17,'Gebouwgegevens Tabula'!$J$5:$Q$83,6,0)</f>
        <v>right</v>
      </c>
      <c r="G17" s="108">
        <f>VLOOKUP(B17,'Gebouwgegevens Tabula'!$J$5:$Q$83,7,0)</f>
        <v>5</v>
      </c>
      <c r="H17" s="109">
        <f>VLOOKUP(B17,'Gebouwgegevens Tabula'!$J$5:$Q$83,8,0)</f>
        <v>46.5</v>
      </c>
      <c r="I17" s="109">
        <v>1</v>
      </c>
      <c r="J17" s="99"/>
      <c r="K17" s="99"/>
      <c r="L17" s="99"/>
      <c r="M17" s="99"/>
      <c r="N17" s="99"/>
      <c r="O17" s="99"/>
      <c r="P17" s="97"/>
      <c r="U17" s="96"/>
      <c r="V17" s="102"/>
      <c r="W17" s="103"/>
      <c r="X17" s="99"/>
      <c r="Y17" s="97"/>
    </row>
    <row r="18" spans="1:25" ht="16.5" customHeight="1" x14ac:dyDescent="0.25">
      <c r="A18" s="96"/>
      <c r="B18" s="107" t="str">
        <f>'Gebouwgegevens Allacker'!J12</f>
        <v>W7</v>
      </c>
      <c r="C18" s="108">
        <f>VLOOKUP(B18,'Gebouwgegevens Tabula'!$J$5:$Q$83,3,0)</f>
        <v>1</v>
      </c>
      <c r="D18" s="108" t="str">
        <f>VLOOKUP(B18,'Gebouwgegevens Tabula'!$J$5:$Q$83,4,0)</f>
        <v>Window</v>
      </c>
      <c r="E18" s="108">
        <f>VLOOKUP(B18,'Gebouwgegevens Tabula'!$J$5:$Q$83,5,0)</f>
        <v>12.2</v>
      </c>
      <c r="F18" s="108" t="str">
        <f>VLOOKUP(B18,'Gebouwgegevens Tabula'!$J$5:$Q$83,6,0)</f>
        <v>back</v>
      </c>
      <c r="G18" s="108">
        <f>VLOOKUP(B18,'Gebouwgegevens Tabula'!$J$5:$Q$83,7,0)</f>
        <v>5</v>
      </c>
      <c r="H18" s="109">
        <f>VLOOKUP(B18,'Gebouwgegevens Tabula'!$J$5:$Q$83,8,0)</f>
        <v>61</v>
      </c>
      <c r="I18" s="109">
        <v>1</v>
      </c>
      <c r="J18" s="99"/>
      <c r="K18" s="99"/>
      <c r="L18" s="99"/>
      <c r="M18" s="99"/>
      <c r="N18" s="99"/>
      <c r="O18" s="99"/>
      <c r="P18" s="97"/>
      <c r="U18" s="96"/>
      <c r="V18" s="100" t="s">
        <v>179</v>
      </c>
      <c r="W18" s="101" t="e">
        <f>SUM(W7:W16)</f>
        <v>#N/A</v>
      </c>
      <c r="X18" s="75" t="s">
        <v>172</v>
      </c>
      <c r="Y18" s="97"/>
    </row>
    <row r="19" spans="1:25" ht="16.5" customHeight="1" x14ac:dyDescent="0.25">
      <c r="A19" s="96"/>
      <c r="B19" s="107" t="str">
        <f>'Gebouwgegevens Allacker'!J13</f>
        <v>W8</v>
      </c>
      <c r="C19" s="108">
        <f>VLOOKUP(B19,'Gebouwgegevens Tabula'!$J$5:$Q$83,3,0)</f>
        <v>1</v>
      </c>
      <c r="D19" s="108" t="str">
        <f>VLOOKUP(B19,'Gebouwgegevens Tabula'!$J$5:$Q$83,4,0)</f>
        <v>Window</v>
      </c>
      <c r="E19" s="108">
        <f>VLOOKUP(B19,'Gebouwgegevens Tabula'!$J$5:$Q$83,5,0)</f>
        <v>8.9</v>
      </c>
      <c r="F19" s="108" t="str">
        <f>VLOOKUP(B19,'Gebouwgegevens Tabula'!$J$5:$Q$83,6,0)</f>
        <v>left</v>
      </c>
      <c r="G19" s="108">
        <f>VLOOKUP(B19,'Gebouwgegevens Tabula'!$J$5:$Q$83,7,0)</f>
        <v>5</v>
      </c>
      <c r="H19" s="109">
        <f>VLOOKUP(B19,'Gebouwgegevens Tabula'!$J$5:$Q$83,8,0)</f>
        <v>44.5</v>
      </c>
      <c r="I19" s="109">
        <v>1</v>
      </c>
      <c r="J19" s="99"/>
      <c r="K19" s="99"/>
      <c r="L19" s="99"/>
      <c r="M19" s="99"/>
      <c r="N19" s="99"/>
      <c r="O19" s="99"/>
      <c r="P19" s="97"/>
      <c r="U19" s="110"/>
      <c r="V19" s="111"/>
      <c r="W19" s="111"/>
      <c r="X19" s="111"/>
      <c r="Y19" s="112"/>
    </row>
    <row r="20" spans="1:25" ht="16.5" customHeight="1" x14ac:dyDescent="0.25">
      <c r="A20" s="96"/>
      <c r="B20" s="107"/>
      <c r="C20" s="108"/>
      <c r="D20" s="108"/>
      <c r="E20" s="108"/>
      <c r="F20" s="108"/>
      <c r="G20" s="108"/>
      <c r="H20" s="109"/>
      <c r="I20" s="109"/>
      <c r="J20" s="99"/>
      <c r="K20" s="99"/>
      <c r="L20" s="99"/>
      <c r="M20" s="99"/>
      <c r="N20" s="99"/>
      <c r="O20" s="99"/>
      <c r="P20" s="97"/>
      <c r="U20" s="99"/>
      <c r="V20" s="99"/>
      <c r="W20" s="99"/>
      <c r="X20" s="99"/>
      <c r="Y20" s="99"/>
    </row>
    <row r="21" spans="1:25" ht="16.5" customHeight="1" x14ac:dyDescent="0.25">
      <c r="A21" s="96"/>
      <c r="B21" s="107" t="str">
        <f>'Gebouwgegevens Allacker'!J15</f>
        <v>W10</v>
      </c>
      <c r="C21" s="108">
        <f>VLOOKUP(B21,'Gebouwgegevens Tabula'!$J$5:$Q$83,3,0)</f>
        <v>1</v>
      </c>
      <c r="D21" s="108" t="str">
        <f>VLOOKUP(B21,'Gebouwgegevens Tabula'!$J$5:$Q$83,4,0)</f>
        <v>Roof</v>
      </c>
      <c r="E21" s="108">
        <f>VLOOKUP(B21,'Gebouwgegevens Tabula'!$J$5:$Q$83,5,0)</f>
        <v>158.4</v>
      </c>
      <c r="F21" s="108">
        <f>VLOOKUP(B21,'Gebouwgegevens Tabula'!$J$5:$Q$83,6,0)</f>
        <v>0</v>
      </c>
      <c r="G21" s="108">
        <f>VLOOKUP(B21,'Gebouwgegevens Tabula'!$J$5:$Q$83,7,0)</f>
        <v>1.6975498473547073</v>
      </c>
      <c r="H21" s="109">
        <f>VLOOKUP(B21,'Gebouwgegevens Tabula'!$J$5:$Q$83,8,0)</f>
        <v>268.89189582098567</v>
      </c>
      <c r="I21" s="109">
        <v>1</v>
      </c>
      <c r="J21" s="99"/>
      <c r="K21" s="99"/>
      <c r="L21" s="99"/>
      <c r="M21" s="99"/>
      <c r="N21" s="99"/>
      <c r="O21" s="99"/>
      <c r="P21" s="97"/>
      <c r="U21" s="99"/>
      <c r="V21" s="99" t="s">
        <v>269</v>
      </c>
      <c r="W21" s="99">
        <f>1.1*W7</f>
        <v>47897.685436768967</v>
      </c>
      <c r="X21" s="99"/>
      <c r="Y21" s="99"/>
    </row>
    <row r="22" spans="1:25" ht="16.5" customHeight="1" x14ac:dyDescent="0.25">
      <c r="A22" s="96"/>
      <c r="B22" s="107"/>
      <c r="C22" s="108"/>
      <c r="D22" s="108"/>
      <c r="E22" s="108"/>
      <c r="F22" s="108"/>
      <c r="G22" s="108"/>
      <c r="H22" s="109"/>
      <c r="I22" s="109"/>
      <c r="J22" s="99"/>
      <c r="K22" s="99"/>
      <c r="L22" s="99"/>
      <c r="M22" s="99"/>
      <c r="N22" s="99"/>
      <c r="O22" s="99"/>
      <c r="P22" s="97"/>
      <c r="U22" s="99"/>
      <c r="V22" s="99"/>
      <c r="W22" s="99"/>
      <c r="X22" s="99"/>
      <c r="Y22" s="99"/>
    </row>
    <row r="23" spans="1:25" ht="16.5" customHeight="1" x14ac:dyDescent="0.25">
      <c r="A23" s="96"/>
      <c r="B23" s="107"/>
      <c r="C23" s="108"/>
      <c r="D23" s="108"/>
      <c r="E23" s="108"/>
      <c r="F23" s="108"/>
      <c r="G23" s="108"/>
      <c r="H23" s="109"/>
      <c r="I23" s="109"/>
      <c r="J23" s="99"/>
      <c r="K23" s="99"/>
      <c r="L23" s="99"/>
      <c r="M23" s="99"/>
      <c r="N23" s="99"/>
      <c r="O23" s="99"/>
      <c r="P23" s="97"/>
      <c r="U23" s="99"/>
      <c r="V23" s="99"/>
      <c r="W23" s="99"/>
      <c r="X23" s="99"/>
      <c r="Y23" s="99"/>
    </row>
    <row r="24" spans="1:25" ht="15.75" customHeight="1" x14ac:dyDescent="0.25">
      <c r="A24" s="96"/>
      <c r="B24" s="113"/>
      <c r="C24" s="114"/>
      <c r="D24" s="114"/>
      <c r="E24" s="114"/>
      <c r="F24" s="114"/>
      <c r="G24" s="114"/>
      <c r="H24" s="109"/>
      <c r="I24" s="109"/>
      <c r="J24" s="99"/>
      <c r="K24" s="99"/>
      <c r="L24" s="99"/>
      <c r="M24" s="99"/>
      <c r="N24" s="99"/>
      <c r="O24" s="99"/>
      <c r="P24" s="97"/>
      <c r="U24" s="99"/>
      <c r="V24" s="99"/>
      <c r="W24" s="99"/>
      <c r="X24" s="99"/>
      <c r="Y24" s="99"/>
    </row>
    <row r="25" spans="1:25" ht="15" customHeight="1" x14ac:dyDescent="0.25">
      <c r="A25" s="96"/>
      <c r="B25" s="113"/>
      <c r="C25" s="114"/>
      <c r="D25" s="114"/>
      <c r="E25" s="114"/>
      <c r="F25" s="114"/>
      <c r="G25" s="114"/>
      <c r="H25" s="109"/>
      <c r="I25" s="109"/>
      <c r="J25" s="99"/>
      <c r="K25" s="99"/>
      <c r="L25" s="99"/>
      <c r="M25" s="99"/>
      <c r="N25" s="99"/>
      <c r="O25" s="99"/>
      <c r="P25" s="97"/>
      <c r="U25" s="99"/>
      <c r="V25" s="99"/>
      <c r="W25" s="99"/>
      <c r="X25" s="99"/>
      <c r="Y25" s="99"/>
    </row>
    <row r="26" spans="1:25" ht="15" customHeight="1" x14ac:dyDescent="0.25">
      <c r="A26" s="104" t="s">
        <v>180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7"/>
    </row>
    <row r="27" spans="1:25" ht="15.75" customHeight="1" x14ac:dyDescent="0.25">
      <c r="A27" s="96"/>
      <c r="B27" s="58" t="s">
        <v>10</v>
      </c>
      <c r="C27" s="58" t="s">
        <v>181</v>
      </c>
      <c r="D27" s="58" t="s">
        <v>175</v>
      </c>
      <c r="E27" s="58" t="s">
        <v>182</v>
      </c>
      <c r="F27" s="58" t="s">
        <v>16</v>
      </c>
      <c r="G27" s="115" t="s">
        <v>17</v>
      </c>
      <c r="H27" s="115" t="s">
        <v>178</v>
      </c>
      <c r="I27" s="58" t="s">
        <v>183</v>
      </c>
      <c r="J27" s="58" t="s">
        <v>184</v>
      </c>
      <c r="K27" s="58" t="s">
        <v>185</v>
      </c>
      <c r="L27" s="116" t="s">
        <v>186</v>
      </c>
      <c r="M27" s="116" t="s">
        <v>187</v>
      </c>
      <c r="N27" s="116" t="s">
        <v>188</v>
      </c>
      <c r="O27" s="99"/>
      <c r="P27" s="97"/>
    </row>
    <row r="28" spans="1:25" ht="16.5" customHeight="1" x14ac:dyDescent="0.25">
      <c r="A28" s="96"/>
      <c r="B28" s="117" t="s">
        <v>61</v>
      </c>
      <c r="C28" s="118">
        <f>VLOOKUP(B28,'Gebouwgegevens Tabula'!$J$5:$Q$83,3,0)</f>
        <v>1</v>
      </c>
      <c r="D28" s="118" t="str">
        <f>VLOOKUP(B28,'Gebouwgegevens Tabula'!$J$5:$Q$83,4,0)</f>
        <v>Floor</v>
      </c>
      <c r="E28" s="118">
        <f>VLOOKUP(B28,'Gebouwgegevens Tabula'!$J$5:$Q$83,5,0)</f>
        <v>134.30000000000001</v>
      </c>
      <c r="F28" s="118">
        <f>VLOOKUP(B28,'Gebouwgegevens Tabula'!$J$5:$Q$83,7,0)</f>
        <v>2.5990099009900991</v>
      </c>
      <c r="G28" s="119">
        <f>VLOOKUP(B28,'Gebouwgegevens Tabula'!$J$5:$Q$83,8,0)</f>
        <v>349.04702970297035</v>
      </c>
      <c r="H28" s="119">
        <f>N28/F28</f>
        <v>0.21488432945288152</v>
      </c>
      <c r="I28" s="118">
        <f>'Gebouwgegevens Tabula'!N14</f>
        <v>134.30000000000001</v>
      </c>
      <c r="J28" s="117">
        <v>42</v>
      </c>
      <c r="K28" s="117">
        <v>0.33</v>
      </c>
      <c r="L28" s="120">
        <f>I28/(0.5*J28)</f>
        <v>6.3952380952380956</v>
      </c>
      <c r="M28" s="120">
        <f>K28+2*(1/F28)</f>
        <v>1.0995238095238096</v>
      </c>
      <c r="N28" s="121">
        <f>IF(M28&lt;L28,2*2/(PI()*L28+M28)*LN(PI()*L28/M28+1),2/(0.457*L28+M28))</f>
        <v>0.55848649981565746</v>
      </c>
      <c r="O28" s="99"/>
      <c r="P28" s="97"/>
    </row>
    <row r="29" spans="1:25" ht="15.75" customHeight="1" x14ac:dyDescent="0.25">
      <c r="A29" s="96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99"/>
      <c r="P29" s="97"/>
    </row>
    <row r="30" spans="1:25" ht="15" customHeight="1" x14ac:dyDescent="0.25">
      <c r="A30" s="96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7"/>
    </row>
    <row r="31" spans="1:25" ht="15" customHeight="1" x14ac:dyDescent="0.25">
      <c r="A31" s="104" t="s">
        <v>189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7"/>
      <c r="V31" s="3" t="e">
        <f>1.1*W18</f>
        <v>#N/A</v>
      </c>
    </row>
    <row r="32" spans="1:25" ht="15.75" customHeight="1" x14ac:dyDescent="0.25">
      <c r="A32" s="96"/>
      <c r="B32" s="58" t="s">
        <v>10</v>
      </c>
      <c r="C32" s="58" t="s">
        <v>190</v>
      </c>
      <c r="D32" s="58" t="s">
        <v>191</v>
      </c>
      <c r="E32" s="58" t="s">
        <v>135</v>
      </c>
      <c r="F32" s="58" t="s">
        <v>192</v>
      </c>
      <c r="G32" s="58" t="s">
        <v>193</v>
      </c>
      <c r="H32" s="58" t="s">
        <v>194</v>
      </c>
      <c r="I32" s="58" t="s">
        <v>16</v>
      </c>
      <c r="J32" s="115" t="s">
        <v>17</v>
      </c>
      <c r="K32" s="115" t="s">
        <v>178</v>
      </c>
      <c r="L32" s="99"/>
      <c r="M32" s="99"/>
      <c r="N32" s="99"/>
      <c r="O32" s="99"/>
      <c r="P32" s="97"/>
    </row>
    <row r="33" spans="1:16" ht="16.5" customHeight="1" x14ac:dyDescent="0.25">
      <c r="A33" s="96"/>
      <c r="B33" s="122"/>
      <c r="C33" s="123"/>
      <c r="D33" s="123"/>
      <c r="E33" s="123"/>
      <c r="F33" s="123"/>
      <c r="G33" s="123">
        <v>20</v>
      </c>
      <c r="H33" s="123"/>
      <c r="I33" s="123"/>
      <c r="J33" s="119"/>
      <c r="K33" s="119"/>
      <c r="L33" s="99"/>
      <c r="M33" s="99"/>
      <c r="N33" s="99"/>
      <c r="O33" s="99"/>
      <c r="P33" s="97"/>
    </row>
    <row r="34" spans="1:16" ht="16.5" customHeight="1" x14ac:dyDescent="0.25">
      <c r="A34" s="96"/>
      <c r="B34" s="122"/>
      <c r="C34" s="123"/>
      <c r="D34" s="123"/>
      <c r="E34" s="123"/>
      <c r="F34" s="123"/>
      <c r="G34" s="123"/>
      <c r="H34" s="123"/>
      <c r="I34" s="123"/>
      <c r="J34" s="119"/>
      <c r="K34" s="119"/>
      <c r="L34" s="99"/>
      <c r="M34" s="99"/>
      <c r="N34" s="99"/>
      <c r="O34" s="99"/>
      <c r="P34" s="97"/>
    </row>
    <row r="35" spans="1:16" ht="16.5" customHeight="1" x14ac:dyDescent="0.25">
      <c r="A35" s="96"/>
      <c r="B35" s="122"/>
      <c r="C35" s="123"/>
      <c r="D35" s="123"/>
      <c r="E35" s="123"/>
      <c r="F35" s="123"/>
      <c r="G35" s="123"/>
      <c r="H35" s="123"/>
      <c r="I35" s="123"/>
      <c r="J35" s="119"/>
      <c r="K35" s="119"/>
      <c r="L35" s="99"/>
      <c r="M35" s="99"/>
      <c r="N35" s="99"/>
      <c r="O35" s="99"/>
      <c r="P35" s="97"/>
    </row>
    <row r="36" spans="1:16" ht="16.5" customHeight="1" x14ac:dyDescent="0.25">
      <c r="A36" s="96"/>
      <c r="B36" s="93"/>
      <c r="C36" s="123"/>
      <c r="D36" s="123"/>
      <c r="E36" s="123"/>
      <c r="F36" s="123"/>
      <c r="G36" s="123"/>
      <c r="H36" s="123"/>
      <c r="I36" s="123"/>
      <c r="J36" s="119"/>
      <c r="K36" s="119"/>
      <c r="L36" s="99"/>
      <c r="M36" s="99"/>
      <c r="N36" s="99"/>
      <c r="O36" s="99"/>
      <c r="P36" s="97"/>
    </row>
    <row r="37" spans="1:16" ht="16.5" customHeight="1" x14ac:dyDescent="0.25">
      <c r="A37" s="96"/>
      <c r="B37" s="124"/>
      <c r="C37" s="123"/>
      <c r="D37" s="123"/>
      <c r="E37" s="123"/>
      <c r="F37" s="123"/>
      <c r="G37" s="123"/>
      <c r="H37" s="123"/>
      <c r="I37" s="123"/>
      <c r="J37" s="119"/>
      <c r="K37" s="119"/>
      <c r="L37" s="99"/>
      <c r="M37" s="99"/>
      <c r="N37" s="99"/>
      <c r="O37" s="99"/>
      <c r="P37" s="97"/>
    </row>
    <row r="38" spans="1:16" ht="16.5" customHeight="1" x14ac:dyDescent="0.25">
      <c r="A38" s="96"/>
      <c r="B38" s="124"/>
      <c r="C38" s="123"/>
      <c r="D38" s="123"/>
      <c r="E38" s="123"/>
      <c r="F38" s="123"/>
      <c r="G38" s="123"/>
      <c r="H38" s="123"/>
      <c r="I38" s="123"/>
      <c r="J38" s="119"/>
      <c r="K38" s="119"/>
      <c r="L38" s="99"/>
      <c r="M38" s="99"/>
      <c r="N38" s="99"/>
      <c r="O38" s="99"/>
      <c r="P38" s="97"/>
    </row>
    <row r="39" spans="1:16" ht="15.75" customHeight="1" x14ac:dyDescent="0.25">
      <c r="A39" s="9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99"/>
      <c r="M39" s="99"/>
      <c r="N39" s="99"/>
      <c r="O39" s="99"/>
      <c r="P39" s="97"/>
    </row>
    <row r="40" spans="1:16" ht="15" customHeight="1" x14ac:dyDescent="0.25">
      <c r="A40" s="9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7"/>
    </row>
    <row r="41" spans="1:16" ht="15.75" customHeight="1" x14ac:dyDescent="0.25">
      <c r="A41" s="104" t="s">
        <v>195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7"/>
    </row>
    <row r="42" spans="1:16" ht="16.5" customHeight="1" x14ac:dyDescent="0.25">
      <c r="A42" s="125" t="s">
        <v>196</v>
      </c>
      <c r="B42" s="119">
        <f>SUMPRODUCT(H12:H21,I12:I21)+SUMPRODUCT(G28,H28)+SUMPRODUCT(J33:J38,K33:K38)</f>
        <v>1113.2281284665246</v>
      </c>
      <c r="C42" s="119" t="s">
        <v>107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7"/>
    </row>
    <row r="43" spans="1:16" ht="16.5" customHeight="1" x14ac:dyDescent="0.25">
      <c r="A43" s="125" t="s">
        <v>170</v>
      </c>
      <c r="B43" s="119">
        <f>B42*(G33-$B$4)</f>
        <v>31170.38759706269</v>
      </c>
      <c r="C43" s="119" t="s">
        <v>172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7"/>
    </row>
    <row r="44" spans="1:16" ht="15.7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</row>
    <row r="45" spans="1:16" ht="15.75" customHeight="1" x14ac:dyDescent="0.25">
      <c r="A45" s="279" t="s">
        <v>197</v>
      </c>
      <c r="B45" s="279"/>
      <c r="C45" s="279"/>
      <c r="D45" s="126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95"/>
    </row>
    <row r="46" spans="1:16" ht="15" customHeight="1" x14ac:dyDescent="0.25">
      <c r="A46" s="9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7"/>
    </row>
    <row r="47" spans="1:16" ht="15" customHeight="1" x14ac:dyDescent="0.25">
      <c r="A47" s="127" t="s">
        <v>198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7"/>
    </row>
    <row r="48" spans="1:16" ht="15" customHeight="1" x14ac:dyDescent="0.25">
      <c r="A48" s="128" t="s">
        <v>199</v>
      </c>
      <c r="B48" s="122">
        <v>0.6</v>
      </c>
      <c r="C48" s="121" t="s">
        <v>200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7"/>
    </row>
    <row r="49" spans="1:16" ht="15" customHeight="1" x14ac:dyDescent="0.25">
      <c r="A49" s="128" t="s">
        <v>201</v>
      </c>
      <c r="B49" s="122">
        <v>0.03</v>
      </c>
      <c r="C49" s="121" t="s">
        <v>202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7"/>
    </row>
    <row r="50" spans="1:16" ht="15.75" customHeight="1" x14ac:dyDescent="0.25">
      <c r="A50" s="128" t="s">
        <v>203</v>
      </c>
      <c r="B50" s="122">
        <v>1</v>
      </c>
      <c r="C50" s="121" t="s">
        <v>204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7"/>
    </row>
    <row r="51" spans="1:16" ht="16.5" customHeight="1" x14ac:dyDescent="0.25">
      <c r="A51" s="125" t="s">
        <v>205</v>
      </c>
      <c r="B51" s="119">
        <f>B48/20*'Gebouwgegevens Tabula'!B5</f>
        <v>22.98</v>
      </c>
      <c r="C51" s="119" t="s">
        <v>206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7"/>
    </row>
    <row r="52" spans="1:16" ht="15.75" customHeight="1" x14ac:dyDescent="0.25">
      <c r="A52" s="96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7"/>
    </row>
    <row r="53" spans="1:16" ht="15" customHeight="1" x14ac:dyDescent="0.25">
      <c r="A53" s="127" t="s">
        <v>207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7"/>
    </row>
    <row r="54" spans="1:16" ht="15.75" customHeight="1" x14ac:dyDescent="0.25">
      <c r="A54" s="96" t="s">
        <v>183</v>
      </c>
      <c r="B54" s="99">
        <f>'Gebouwgegevens Tabula'!G35</f>
        <v>167.39999999999998</v>
      </c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7"/>
    </row>
    <row r="55" spans="1:16" ht="16.5" customHeight="1" x14ac:dyDescent="0.25">
      <c r="A55" s="125" t="s">
        <v>208</v>
      </c>
      <c r="B55" s="129">
        <f>0.5*'Gebouwgegevens Tabula'!B5*(1-F55)</f>
        <v>383</v>
      </c>
      <c r="C55" s="119" t="s">
        <v>206</v>
      </c>
      <c r="D55" s="99"/>
      <c r="E55" s="99" t="s">
        <v>209</v>
      </c>
      <c r="F55" s="99">
        <v>0</v>
      </c>
      <c r="G55" s="99"/>
      <c r="H55" s="99"/>
      <c r="I55" s="99"/>
      <c r="J55" s="99"/>
      <c r="K55" s="99"/>
      <c r="L55" s="99"/>
      <c r="M55" s="99"/>
      <c r="N55" s="99"/>
      <c r="O55" s="99"/>
      <c r="P55" s="97"/>
    </row>
    <row r="56" spans="1:16" ht="15.75" customHeight="1" x14ac:dyDescent="0.25">
      <c r="A56" s="96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7"/>
    </row>
    <row r="57" spans="1:16" ht="15.75" customHeight="1" x14ac:dyDescent="0.25">
      <c r="A57" s="96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7"/>
    </row>
    <row r="58" spans="1:16" ht="16.5" customHeight="1" x14ac:dyDescent="0.25">
      <c r="A58" s="125" t="s">
        <v>210</v>
      </c>
      <c r="B58" s="119">
        <f>B51+B55</f>
        <v>405.98</v>
      </c>
      <c r="C58" s="119" t="s">
        <v>206</v>
      </c>
      <c r="D58" s="99"/>
      <c r="E58" s="99"/>
      <c r="F58" s="119" t="s">
        <v>211</v>
      </c>
      <c r="G58" s="119">
        <f>B58/VLOOKUP(B6,'Gebouwgegevens Allacker'!$A$35:$B$46,2,0)</f>
        <v>1.9563227031350894</v>
      </c>
      <c r="H58" s="99"/>
      <c r="I58" s="99"/>
      <c r="J58" s="99"/>
      <c r="K58" s="99"/>
      <c r="L58" s="99"/>
      <c r="M58" s="99"/>
      <c r="N58" s="99"/>
      <c r="O58" s="99"/>
      <c r="P58" s="97"/>
    </row>
    <row r="59" spans="1:16" ht="16.5" customHeight="1" x14ac:dyDescent="0.25">
      <c r="A59" s="9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7"/>
    </row>
    <row r="60" spans="1:16" ht="16.5" customHeight="1" x14ac:dyDescent="0.25">
      <c r="A60" s="125" t="s">
        <v>212</v>
      </c>
      <c r="B60" s="119">
        <f>0.34*B58</f>
        <v>138.03320000000002</v>
      </c>
      <c r="C60" s="119" t="s">
        <v>107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7"/>
    </row>
    <row r="61" spans="1:16" ht="16.5" customHeight="1" x14ac:dyDescent="0.25">
      <c r="A61" s="125" t="s">
        <v>170</v>
      </c>
      <c r="B61" s="119">
        <f>B60*('Gebouwgegevens Tabula'!E35-$B$4)</f>
        <v>4002.9628000000007</v>
      </c>
      <c r="C61" s="119" t="s">
        <v>172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7"/>
    </row>
    <row r="62" spans="1:16" ht="15.75" customHeight="1" x14ac:dyDescent="0.25">
      <c r="A62" s="110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2"/>
    </row>
    <row r="63" spans="1:16" ht="15.75" customHeight="1" x14ac:dyDescent="0.25">
      <c r="A63" s="279" t="s">
        <v>213</v>
      </c>
      <c r="B63" s="279"/>
      <c r="C63" s="279"/>
      <c r="D63" s="27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7"/>
    </row>
    <row r="64" spans="1:16" ht="15" customHeight="1" x14ac:dyDescent="0.25">
      <c r="A64" s="96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7"/>
    </row>
    <row r="65" spans="1:16" ht="15" customHeight="1" x14ac:dyDescent="0.25">
      <c r="A65" s="128" t="s">
        <v>214</v>
      </c>
      <c r="B65" s="122">
        <v>30</v>
      </c>
      <c r="C65" s="58" t="s">
        <v>215</v>
      </c>
      <c r="D65" s="58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7"/>
    </row>
    <row r="66" spans="1:16" ht="15.75" customHeight="1" x14ac:dyDescent="0.25">
      <c r="A66" s="128" t="s">
        <v>113</v>
      </c>
      <c r="B66" s="122">
        <f>'Gebouwgegevens Tabula'!B7</f>
        <v>279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7"/>
    </row>
    <row r="67" spans="1:16" ht="16.5" customHeight="1" x14ac:dyDescent="0.25">
      <c r="A67" s="125" t="s">
        <v>216</v>
      </c>
      <c r="B67" s="119">
        <f>B68/('Gebouwgegevens Tabula'!E35-'Verwarming Tabula'!$B$4)</f>
        <v>288.62068965517244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7"/>
    </row>
    <row r="68" spans="1:16" ht="16.5" customHeight="1" x14ac:dyDescent="0.25">
      <c r="A68" s="125" t="s">
        <v>170</v>
      </c>
      <c r="B68" s="119">
        <f>B65*B66</f>
        <v>8370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7"/>
    </row>
    <row r="69" spans="1:16" ht="15.75" customHeight="1" x14ac:dyDescent="0.25">
      <c r="A69" s="96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7"/>
    </row>
    <row r="70" spans="1:16" ht="15.75" customHeight="1" x14ac:dyDescent="0.25">
      <c r="A70" s="96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7"/>
    </row>
    <row r="71" spans="1:16" ht="15.75" customHeight="1" x14ac:dyDescent="0.25">
      <c r="A71" s="130" t="s">
        <v>217</v>
      </c>
      <c r="B71" s="131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2"/>
    </row>
    <row r="72" spans="1:16" ht="16.5" customHeight="1" x14ac:dyDescent="0.25">
      <c r="A72" s="125" t="s">
        <v>218</v>
      </c>
      <c r="B72" s="119">
        <f>SUM(B42,B60,B67)</f>
        <v>1539.882018121697</v>
      </c>
      <c r="C72" s="119" t="s">
        <v>107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4"/>
    </row>
    <row r="73" spans="1:16" ht="16.5" customHeight="1" x14ac:dyDescent="0.25">
      <c r="A73" s="125" t="s">
        <v>170</v>
      </c>
      <c r="B73" s="119">
        <f>SUM(B43,B61,B68)</f>
        <v>43543.350397062692</v>
      </c>
      <c r="C73" s="119" t="s">
        <v>172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4"/>
    </row>
    <row r="74" spans="1:16" ht="16.5" customHeight="1" x14ac:dyDescent="0.25">
      <c r="A74" s="135"/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7"/>
    </row>
    <row r="75" spans="1:16" ht="15" customHeight="1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</row>
    <row r="76" spans="1:16" ht="15.75" customHeight="1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</row>
    <row r="77" spans="1:16" ht="15" customHeight="1" x14ac:dyDescent="0.25">
      <c r="A77" s="9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95"/>
    </row>
    <row r="78" spans="1:16" ht="17.25" customHeight="1" x14ac:dyDescent="0.3">
      <c r="A78" s="98" t="s">
        <v>169</v>
      </c>
      <c r="B78" s="93">
        <v>2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7"/>
    </row>
    <row r="79" spans="1:16" ht="15.75" customHeight="1" x14ac:dyDescent="0.25">
      <c r="A79" s="279" t="s">
        <v>171</v>
      </c>
      <c r="B79" s="279"/>
      <c r="C79" s="279"/>
      <c r="D79" s="279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95"/>
    </row>
    <row r="80" spans="1:16" ht="15" customHeight="1" x14ac:dyDescent="0.25">
      <c r="A80" s="96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7"/>
    </row>
    <row r="81" spans="1:16" ht="15" customHeight="1" x14ac:dyDescent="0.25">
      <c r="A81" s="104" t="s">
        <v>173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7"/>
    </row>
    <row r="82" spans="1:16" ht="15" customHeight="1" x14ac:dyDescent="0.25">
      <c r="A82" s="96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7"/>
    </row>
    <row r="83" spans="1:16" ht="15.75" customHeight="1" x14ac:dyDescent="0.25">
      <c r="A83" s="96"/>
      <c r="B83" s="105" t="s">
        <v>10</v>
      </c>
      <c r="C83" s="105" t="s">
        <v>174</v>
      </c>
      <c r="D83" s="105" t="s">
        <v>175</v>
      </c>
      <c r="E83" s="105" t="s">
        <v>176</v>
      </c>
      <c r="F83" s="105" t="s">
        <v>177</v>
      </c>
      <c r="G83" s="105" t="s">
        <v>16</v>
      </c>
      <c r="H83" s="106" t="s">
        <v>17</v>
      </c>
      <c r="I83" s="106" t="s">
        <v>178</v>
      </c>
      <c r="J83" s="99"/>
      <c r="K83" s="99"/>
      <c r="L83" s="99"/>
      <c r="M83" s="99"/>
      <c r="N83" s="99"/>
      <c r="O83" s="99"/>
      <c r="P83" s="97"/>
    </row>
    <row r="84" spans="1:16" ht="16.5" customHeight="1" x14ac:dyDescent="0.25">
      <c r="A84" s="96"/>
      <c r="B84" s="107" t="s">
        <v>59</v>
      </c>
      <c r="C84" s="108">
        <f>VLOOKUP(B84,'Gebouwgegevens Allacker'!$J$5:$Q$83,3,0)</f>
        <v>1</v>
      </c>
      <c r="D84" s="108" t="str">
        <f>VLOOKUP(B84,'Gebouwgegevens Allacker'!$J$5:$Q$83,4,0)</f>
        <v>Window</v>
      </c>
      <c r="E84" s="108">
        <f>VLOOKUP(B84,'Gebouwgegevens Allacker'!$J$5:$Q$83,5,0)</f>
        <v>5</v>
      </c>
      <c r="F84" s="108" t="str">
        <f>VLOOKUP(B84,'Gebouwgegevens Allacker'!$J$5:$Q$83,6,0)</f>
        <v>back</v>
      </c>
      <c r="G84" s="108">
        <f>VLOOKUP(B84,'Gebouwgegevens Allacker'!$J$5:$Q$83,7,0)</f>
        <v>5</v>
      </c>
      <c r="H84" s="109">
        <f>VLOOKUP(B84,'Gebouwgegevens Allacker'!$J$5:$Q$83,8,0)</f>
        <v>25</v>
      </c>
      <c r="I84" s="109">
        <v>1</v>
      </c>
      <c r="J84" s="99"/>
      <c r="K84" s="99"/>
      <c r="L84" s="99"/>
      <c r="M84" s="99"/>
      <c r="N84" s="99"/>
      <c r="O84" s="99"/>
      <c r="P84" s="97"/>
    </row>
    <row r="85" spans="1:16" ht="16.5" customHeight="1" x14ac:dyDescent="0.25">
      <c r="A85" s="96"/>
      <c r="B85" s="107" t="s">
        <v>60</v>
      </c>
      <c r="C85" s="108">
        <f>VLOOKUP(B85,'Gebouwgegevens Allacker'!$J$5:$Q$83,3,0)</f>
        <v>1</v>
      </c>
      <c r="D85" s="108" t="str">
        <f>VLOOKUP(B85,'Gebouwgegevens Allacker'!$J$5:$Q$83,4,0)</f>
        <v>Window</v>
      </c>
      <c r="E85" s="108">
        <f>VLOOKUP(B85,'Gebouwgegevens Allacker'!$J$5:$Q$83,5,0)</f>
        <v>0</v>
      </c>
      <c r="F85" s="108" t="str">
        <f>VLOOKUP(B85,'Gebouwgegevens Allacker'!$J$5:$Q$83,6,0)</f>
        <v>left</v>
      </c>
      <c r="G85" s="108">
        <f>VLOOKUP(B85,'Gebouwgegevens Allacker'!$J$5:$Q$83,7,0)</f>
        <v>5</v>
      </c>
      <c r="H85" s="109">
        <f>VLOOKUP(B85,'Gebouwgegevens Allacker'!$J$5:$Q$83,8,0)</f>
        <v>0</v>
      </c>
      <c r="I85" s="109">
        <v>1</v>
      </c>
      <c r="J85" s="99"/>
      <c r="K85" s="99"/>
      <c r="L85" s="99"/>
      <c r="M85" s="99"/>
      <c r="N85" s="99"/>
      <c r="O85" s="99"/>
      <c r="P85" s="97"/>
    </row>
    <row r="86" spans="1:16" ht="16.5" customHeight="1" x14ac:dyDescent="0.25">
      <c r="A86" s="96"/>
      <c r="B86" s="107" t="s">
        <v>61</v>
      </c>
      <c r="C86" s="108">
        <f>VLOOKUP(B86,'Gebouwgegevens Allacker'!$J$5:$Q$83,3,0)</f>
        <v>1</v>
      </c>
      <c r="D86" s="108" t="str">
        <f>VLOOKUP(B86,'Gebouwgegevens Allacker'!$J$5:$Q$83,4,0)</f>
        <v>Floor</v>
      </c>
      <c r="E86" s="108">
        <f>VLOOKUP(B86,'Gebouwgegevens Allacker'!$J$5:$Q$83,5,0)</f>
        <v>104.86</v>
      </c>
      <c r="F86" s="108">
        <f>VLOOKUP(B86,'Gebouwgegevens Allacker'!$J$5:$Q$83,6,0)</f>
        <v>0</v>
      </c>
      <c r="G86" s="108">
        <f>VLOOKUP(B86,'Gebouwgegevens Allacker'!$J$5:$Q$83,7,0)</f>
        <v>2.5990099009900991</v>
      </c>
      <c r="H86" s="109">
        <f>VLOOKUP(B86,'Gebouwgegevens Allacker'!$J$5:$Q$83,8,0)</f>
        <v>272.53217821782181</v>
      </c>
      <c r="I86" s="109">
        <v>1</v>
      </c>
      <c r="J86" s="99"/>
      <c r="K86" s="99"/>
      <c r="L86" s="99"/>
      <c r="M86" s="99"/>
      <c r="N86" s="99"/>
      <c r="O86" s="99"/>
      <c r="P86" s="97"/>
    </row>
    <row r="87" spans="1:16" ht="16.5" customHeight="1" x14ac:dyDescent="0.25">
      <c r="A87" s="96"/>
      <c r="B87" s="107"/>
      <c r="C87" s="108"/>
      <c r="D87" s="108"/>
      <c r="E87" s="108"/>
      <c r="F87" s="108"/>
      <c r="G87" s="108"/>
      <c r="H87" s="109"/>
      <c r="I87" s="109"/>
      <c r="J87" s="99"/>
      <c r="K87" s="99"/>
      <c r="L87" s="99"/>
      <c r="M87" s="99"/>
      <c r="N87" s="99"/>
      <c r="O87" s="99"/>
      <c r="P87" s="97"/>
    </row>
    <row r="88" spans="1:16" ht="16.5" customHeight="1" x14ac:dyDescent="0.25">
      <c r="A88" s="96"/>
      <c r="B88" s="107"/>
      <c r="C88" s="108"/>
      <c r="D88" s="108"/>
      <c r="E88" s="108"/>
      <c r="F88" s="108"/>
      <c r="G88" s="108"/>
      <c r="H88" s="109"/>
      <c r="I88" s="109"/>
      <c r="J88" s="99"/>
      <c r="K88" s="99"/>
      <c r="L88" s="99"/>
      <c r="M88" s="99"/>
      <c r="N88" s="99"/>
      <c r="O88" s="99"/>
      <c r="P88" s="97"/>
    </row>
    <row r="89" spans="1:16" ht="16.5" customHeight="1" x14ac:dyDescent="0.25">
      <c r="A89" s="96"/>
      <c r="B89" s="107"/>
      <c r="C89" s="108"/>
      <c r="D89" s="108"/>
      <c r="E89" s="108"/>
      <c r="F89" s="108"/>
      <c r="G89" s="108"/>
      <c r="H89" s="109"/>
      <c r="I89" s="109"/>
      <c r="J89" s="99"/>
      <c r="K89" s="99"/>
      <c r="L89" s="99"/>
      <c r="M89" s="99"/>
      <c r="N89" s="99"/>
      <c r="O89" s="99"/>
      <c r="P89" s="97"/>
    </row>
    <row r="90" spans="1:16" ht="16.5" customHeight="1" x14ac:dyDescent="0.25">
      <c r="A90" s="96"/>
      <c r="B90" s="107"/>
      <c r="C90" s="108"/>
      <c r="D90" s="108"/>
      <c r="E90" s="108"/>
      <c r="F90" s="108"/>
      <c r="G90" s="108"/>
      <c r="H90" s="109"/>
      <c r="I90" s="109"/>
      <c r="J90" s="99"/>
      <c r="K90" s="99"/>
      <c r="L90" s="99"/>
      <c r="M90" s="99"/>
      <c r="N90" s="99"/>
      <c r="O90" s="99"/>
      <c r="P90" s="97"/>
    </row>
    <row r="91" spans="1:16" ht="16.5" customHeight="1" x14ac:dyDescent="0.25">
      <c r="A91" s="96"/>
      <c r="B91" s="107"/>
      <c r="C91" s="108"/>
      <c r="D91" s="108"/>
      <c r="E91" s="108"/>
      <c r="F91" s="108"/>
      <c r="G91" s="108"/>
      <c r="H91" s="109"/>
      <c r="I91" s="109"/>
      <c r="J91" s="99"/>
      <c r="K91" s="99"/>
      <c r="L91" s="99"/>
      <c r="M91" s="99"/>
      <c r="N91" s="99"/>
      <c r="O91" s="99"/>
      <c r="P91" s="97"/>
    </row>
    <row r="92" spans="1:16" ht="16.5" customHeight="1" x14ac:dyDescent="0.25">
      <c r="A92" s="96"/>
      <c r="B92" s="107"/>
      <c r="C92" s="108"/>
      <c r="D92" s="108"/>
      <c r="E92" s="108"/>
      <c r="F92" s="108"/>
      <c r="G92" s="108"/>
      <c r="H92" s="109"/>
      <c r="I92" s="109"/>
      <c r="J92" s="99"/>
      <c r="K92" s="99"/>
      <c r="L92" s="99"/>
      <c r="M92" s="99"/>
      <c r="N92" s="99"/>
      <c r="O92" s="99"/>
      <c r="P92" s="97"/>
    </row>
    <row r="93" spans="1:16" ht="16.5" customHeight="1" x14ac:dyDescent="0.25">
      <c r="A93" s="96"/>
      <c r="B93" s="107"/>
      <c r="C93" s="108"/>
      <c r="D93" s="108"/>
      <c r="E93" s="108"/>
      <c r="F93" s="108"/>
      <c r="G93" s="108"/>
      <c r="H93" s="109"/>
      <c r="I93" s="109"/>
      <c r="J93" s="99"/>
      <c r="K93" s="99"/>
      <c r="L93" s="99"/>
      <c r="M93" s="99"/>
      <c r="N93" s="99"/>
      <c r="O93" s="99"/>
      <c r="P93" s="97"/>
    </row>
    <row r="94" spans="1:16" ht="16.5" customHeight="1" x14ac:dyDescent="0.25">
      <c r="A94" s="96"/>
      <c r="B94" s="107"/>
      <c r="C94" s="108"/>
      <c r="D94" s="108"/>
      <c r="E94" s="108"/>
      <c r="F94" s="108"/>
      <c r="G94" s="108"/>
      <c r="H94" s="109"/>
      <c r="I94" s="109"/>
      <c r="J94" s="99"/>
      <c r="K94" s="99"/>
      <c r="L94" s="99"/>
      <c r="M94" s="99"/>
      <c r="N94" s="99"/>
      <c r="O94" s="99"/>
      <c r="P94" s="97"/>
    </row>
    <row r="95" spans="1:16" ht="16.5" customHeight="1" x14ac:dyDescent="0.25">
      <c r="A95" s="96"/>
      <c r="B95" s="107"/>
      <c r="C95" s="108"/>
      <c r="D95" s="108"/>
      <c r="E95" s="108"/>
      <c r="F95" s="108"/>
      <c r="G95" s="108"/>
      <c r="H95" s="109"/>
      <c r="I95" s="109"/>
      <c r="J95" s="99"/>
      <c r="K95" s="99"/>
      <c r="L95" s="99"/>
      <c r="M95" s="99"/>
      <c r="N95" s="99"/>
      <c r="O95" s="99"/>
      <c r="P95" s="97"/>
    </row>
    <row r="96" spans="1:16" ht="15.75" customHeight="1" x14ac:dyDescent="0.25">
      <c r="A96" s="96"/>
      <c r="B96" s="58"/>
      <c r="C96" s="58"/>
      <c r="D96" s="58"/>
      <c r="E96" s="58"/>
      <c r="F96" s="58"/>
      <c r="G96" s="115"/>
      <c r="H96" s="58"/>
      <c r="I96" s="58"/>
      <c r="J96" s="99"/>
      <c r="K96" s="99"/>
      <c r="L96" s="99"/>
      <c r="M96" s="99"/>
      <c r="N96" s="99"/>
      <c r="O96" s="99"/>
      <c r="P96" s="97"/>
    </row>
    <row r="97" spans="1:16" ht="15" customHeight="1" x14ac:dyDescent="0.25">
      <c r="A97" s="96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7"/>
    </row>
    <row r="98" spans="1:16" ht="15" customHeight="1" x14ac:dyDescent="0.25">
      <c r="A98" s="104" t="s">
        <v>180</v>
      </c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7"/>
    </row>
    <row r="99" spans="1:16" ht="15.75" customHeight="1" x14ac:dyDescent="0.25">
      <c r="A99" s="96"/>
      <c r="B99" s="58" t="s">
        <v>10</v>
      </c>
      <c r="C99" s="58" t="s">
        <v>181</v>
      </c>
      <c r="D99" s="58" t="s">
        <v>175</v>
      </c>
      <c r="E99" s="58" t="s">
        <v>182</v>
      </c>
      <c r="F99" s="58" t="s">
        <v>16</v>
      </c>
      <c r="G99" s="115" t="s">
        <v>17</v>
      </c>
      <c r="H99" s="115" t="s">
        <v>178</v>
      </c>
      <c r="I99" s="58" t="s">
        <v>183</v>
      </c>
      <c r="J99" s="58" t="s">
        <v>184</v>
      </c>
      <c r="K99" s="58" t="s">
        <v>185</v>
      </c>
      <c r="L99" s="116" t="s">
        <v>186</v>
      </c>
      <c r="M99" s="116" t="s">
        <v>187</v>
      </c>
      <c r="N99" s="116" t="s">
        <v>188</v>
      </c>
      <c r="O99" s="99"/>
      <c r="P99" s="97"/>
    </row>
    <row r="100" spans="1:16" ht="18.75" customHeight="1" x14ac:dyDescent="0.25">
      <c r="A100" s="96"/>
      <c r="B100" s="117" t="s">
        <v>219</v>
      </c>
      <c r="C100" s="118" t="e">
        <f>VLOOKUP(B100,'Gebouwgegevens Allacker'!$J$5:$Q$83,3,0)</f>
        <v>#N/A</v>
      </c>
      <c r="D100" s="118" t="e">
        <f>VLOOKUP(B100,'Gebouwgegevens Allacker'!$J$5:$Q$83,4,0)</f>
        <v>#N/A</v>
      </c>
      <c r="E100" s="118" t="e">
        <f>VLOOKUP(B100,'Gebouwgegevens Allacker'!$J$5:$Q$83,5,0)</f>
        <v>#N/A</v>
      </c>
      <c r="F100" s="118" t="e">
        <f>VLOOKUP(B100,'Gebouwgegevens Allacker'!$J$5:$Q$83,7,0)</f>
        <v>#N/A</v>
      </c>
      <c r="G100" s="119" t="e">
        <f>VLOOKUP(B100,'Gebouwgegevens Allacker'!$J$5:$Q$83,8,0)</f>
        <v>#N/A</v>
      </c>
      <c r="H100" s="119" t="e">
        <f>N100/F100</f>
        <v>#N/A</v>
      </c>
      <c r="I100" s="118" t="e">
        <f>VLOOKUP(C100,'Gebouwgegevens Allacker'!$A$35:$F$46,6,0)</f>
        <v>#N/A</v>
      </c>
      <c r="J100" s="117">
        <v>6.91</v>
      </c>
      <c r="K100" s="117">
        <v>0.33</v>
      </c>
      <c r="L100" s="120" t="e">
        <f>I100/(0.5*J100)</f>
        <v>#N/A</v>
      </c>
      <c r="M100" s="120" t="e">
        <f>K100+2*(1/F100)</f>
        <v>#N/A</v>
      </c>
      <c r="N100" s="121" t="e">
        <f>IF(M100&lt;L100,2*2/(PI()*L100+M100)*LN(PI()*L100/M100+1),2/(0.457*L100+M100))</f>
        <v>#N/A</v>
      </c>
      <c r="O100" s="99"/>
      <c r="P100" s="97"/>
    </row>
    <row r="101" spans="1:16" ht="18.75" customHeight="1" x14ac:dyDescent="0.25">
      <c r="A101" s="96"/>
      <c r="B101" s="117"/>
      <c r="C101" s="118"/>
      <c r="D101" s="118"/>
      <c r="E101" s="118"/>
      <c r="F101" s="118"/>
      <c r="G101" s="119"/>
      <c r="H101" s="119"/>
      <c r="I101" s="118"/>
      <c r="J101" s="117"/>
      <c r="K101" s="117"/>
      <c r="L101" s="120"/>
      <c r="M101" s="120"/>
      <c r="N101" s="121"/>
      <c r="O101" s="99"/>
      <c r="P101" s="97"/>
    </row>
    <row r="102" spans="1:16" ht="18.75" customHeight="1" x14ac:dyDescent="0.25">
      <c r="A102" s="96"/>
      <c r="B102" s="117"/>
      <c r="C102" s="118"/>
      <c r="D102" s="118"/>
      <c r="E102" s="118"/>
      <c r="F102" s="118"/>
      <c r="G102" s="119"/>
      <c r="H102" s="119"/>
      <c r="I102" s="118"/>
      <c r="J102" s="117"/>
      <c r="K102" s="117"/>
      <c r="L102" s="120"/>
      <c r="M102" s="120"/>
      <c r="N102" s="121"/>
      <c r="O102" s="99"/>
      <c r="P102" s="97"/>
    </row>
    <row r="103" spans="1:16" ht="18.75" customHeight="1" x14ac:dyDescent="0.25">
      <c r="A103" s="96"/>
      <c r="B103" s="117"/>
      <c r="C103" s="118"/>
      <c r="D103" s="118"/>
      <c r="E103" s="118"/>
      <c r="F103" s="118"/>
      <c r="G103" s="119"/>
      <c r="H103" s="119"/>
      <c r="I103" s="118"/>
      <c r="J103" s="117"/>
      <c r="K103" s="117"/>
      <c r="L103" s="120"/>
      <c r="M103" s="120"/>
      <c r="N103" s="121"/>
      <c r="O103" s="99"/>
      <c r="P103" s="97"/>
    </row>
    <row r="104" spans="1:16" ht="16.5" customHeight="1" x14ac:dyDescent="0.25">
      <c r="A104" s="139"/>
      <c r="B104" s="117"/>
      <c r="C104" s="118"/>
      <c r="D104" s="118"/>
      <c r="E104" s="118"/>
      <c r="F104" s="118"/>
      <c r="G104" s="119"/>
      <c r="H104" s="119"/>
      <c r="I104" s="118"/>
      <c r="J104" s="117"/>
      <c r="K104" s="117"/>
      <c r="L104" s="120"/>
      <c r="M104" s="120"/>
      <c r="N104" s="121"/>
      <c r="O104" s="99"/>
      <c r="P104" s="97"/>
    </row>
    <row r="105" spans="1:16" ht="15.75" customHeight="1" x14ac:dyDescent="0.25">
      <c r="A105" s="96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7"/>
    </row>
    <row r="106" spans="1:16" ht="15" customHeight="1" x14ac:dyDescent="0.25">
      <c r="A106" s="104" t="s">
        <v>189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7"/>
    </row>
    <row r="107" spans="1:16" ht="15.75" customHeight="1" x14ac:dyDescent="0.25">
      <c r="A107" s="96"/>
      <c r="B107" s="58" t="s">
        <v>10</v>
      </c>
      <c r="C107" s="58" t="s">
        <v>190</v>
      </c>
      <c r="D107" s="58" t="s">
        <v>191</v>
      </c>
      <c r="E107" s="58" t="s">
        <v>135</v>
      </c>
      <c r="F107" s="58" t="s">
        <v>192</v>
      </c>
      <c r="G107" s="58" t="s">
        <v>193</v>
      </c>
      <c r="H107" s="58" t="s">
        <v>194</v>
      </c>
      <c r="I107" s="58" t="s">
        <v>16</v>
      </c>
      <c r="J107" s="115" t="s">
        <v>17</v>
      </c>
      <c r="K107" s="115" t="s">
        <v>178</v>
      </c>
      <c r="L107" s="99"/>
      <c r="M107" s="99"/>
      <c r="N107" s="99"/>
      <c r="O107" s="99"/>
      <c r="P107" s="97"/>
    </row>
    <row r="108" spans="1:16" ht="16.5" customHeight="1" x14ac:dyDescent="0.25">
      <c r="A108" s="96"/>
      <c r="B108" s="122" t="s">
        <v>220</v>
      </c>
      <c r="C108" s="123" t="e">
        <f>IF(VLOOKUP(B108,'Gebouwgegevens Allacker'!$J$5:$Q$83,2,0)=B78,VLOOKUP(B108,'Gebouwgegevens Allacker'!$J$5:$Q$83,2,0),VLOOKUP(B108,'Gebouwgegevens Allacker'!$J$5:$Q$83,3,0))</f>
        <v>#N/A</v>
      </c>
      <c r="D108" s="123" t="e">
        <f>IF(VLOOKUP(B108,'Gebouwgegevens Allacker'!$J$5:$Q$83,2,0)=B78,VLOOKUP(B108,'Gebouwgegevens Allacker'!$J$5:$Q$83,3,0),VLOOKUP(B108,'Gebouwgegevens Allacker'!$J$5:$Q$83,2,0))</f>
        <v>#N/A</v>
      </c>
      <c r="E108" s="123" t="e">
        <f>VLOOKUP(B108,'Gebouwgegevens Allacker'!$J$5:$Q$83,4,0)</f>
        <v>#N/A</v>
      </c>
      <c r="F108" s="123" t="e">
        <f>VLOOKUP(B108,'Gebouwgegevens Allacker'!$J$5:$Q$83,5,0)</f>
        <v>#N/A</v>
      </c>
      <c r="G108" s="123" t="e">
        <f>VLOOKUP('Verwarming Tabula'!C108,'Gebouwgegevens Allacker'!$A$35:$F$46,5,0)</f>
        <v>#N/A</v>
      </c>
      <c r="H108" s="123" t="e">
        <f>VLOOKUP('Verwarming Tabula'!D108,'Gebouwgegevens Allacker'!$A$35:$F$46,5,0)</f>
        <v>#N/A</v>
      </c>
      <c r="I108" s="123" t="e">
        <f>VLOOKUP(B108,'Gebouwgegevens Allacker'!$J$5:$Q$83,7,0)</f>
        <v>#N/A</v>
      </c>
      <c r="J108" s="119" t="e">
        <f>VLOOKUP(B108,'Gebouwgegevens Allacker'!$J$5:$Q$83,8,0)</f>
        <v>#N/A</v>
      </c>
      <c r="K108" s="119" t="e">
        <f>(G108-H108)/(G108-$B$4)</f>
        <v>#N/A</v>
      </c>
      <c r="L108" s="99"/>
      <c r="M108" s="99"/>
      <c r="N108" s="99"/>
      <c r="O108" s="99"/>
      <c r="P108" s="97"/>
    </row>
    <row r="109" spans="1:16" ht="16.5" customHeight="1" x14ac:dyDescent="0.25">
      <c r="A109" s="96"/>
      <c r="B109" s="122" t="s">
        <v>221</v>
      </c>
      <c r="C109" s="123" t="e">
        <f>IF(VLOOKUP(B109,'Gebouwgegevens Allacker'!$J$5:$Q$83,2,0)=B78,VLOOKUP(B109,'Gebouwgegevens Allacker'!$J$5:$Q$83,2,0),VLOOKUP(B109,'Gebouwgegevens Allacker'!$J$5:$Q$83,3,0))</f>
        <v>#N/A</v>
      </c>
      <c r="D109" s="123" t="e">
        <f>IF(VLOOKUP(B109,'Gebouwgegevens Allacker'!$J$5:$Q$83,2,0)=B78,VLOOKUP(B109,'Gebouwgegevens Allacker'!$J$5:$Q$83,3,0),VLOOKUP(B109,'Gebouwgegevens Allacker'!$J$5:$Q$83,2,0))</f>
        <v>#N/A</v>
      </c>
      <c r="E109" s="123" t="e">
        <f>VLOOKUP(B109,'Gebouwgegevens Allacker'!$J$5:$Q$83,4,0)</f>
        <v>#N/A</v>
      </c>
      <c r="F109" s="123" t="e">
        <f>VLOOKUP(B109,'Gebouwgegevens Allacker'!$J$5:$Q$83,5,0)</f>
        <v>#N/A</v>
      </c>
      <c r="G109" s="123" t="e">
        <f>VLOOKUP('Verwarming Tabula'!C109,'Gebouwgegevens Allacker'!$A$35:$F$46,5,0)</f>
        <v>#N/A</v>
      </c>
      <c r="H109" s="123" t="e">
        <f>VLOOKUP('Verwarming Tabula'!D109,'Gebouwgegevens Allacker'!$A$35:$F$46,5,0)</f>
        <v>#N/A</v>
      </c>
      <c r="I109" s="123" t="e">
        <f>VLOOKUP(B109,'Gebouwgegevens Allacker'!$J$5:$Q$83,7,0)</f>
        <v>#N/A</v>
      </c>
      <c r="J109" s="119" t="e">
        <f>VLOOKUP(B109,'Gebouwgegevens Allacker'!$J$5:$Q$83,8,0)</f>
        <v>#N/A</v>
      </c>
      <c r="K109" s="119" t="e">
        <f>(G109-H109)/(G109-$B$4)</f>
        <v>#N/A</v>
      </c>
      <c r="L109" s="99"/>
      <c r="M109" s="99"/>
      <c r="N109" s="99"/>
      <c r="O109" s="99"/>
      <c r="P109" s="97"/>
    </row>
    <row r="110" spans="1:16" ht="16.5" customHeight="1" x14ac:dyDescent="0.25">
      <c r="A110" s="96"/>
      <c r="B110" s="122" t="s">
        <v>222</v>
      </c>
      <c r="C110" s="123" t="e">
        <f>IF(VLOOKUP(B110,'Gebouwgegevens Allacker'!$J$5:$Q$83,2,0)=B78,VLOOKUP(B110,'Gebouwgegevens Allacker'!$J$5:$Q$83,2,0),VLOOKUP(B110,'Gebouwgegevens Allacker'!$J$5:$Q$83,3,0))</f>
        <v>#N/A</v>
      </c>
      <c r="D110" s="123" t="e">
        <f>IF(VLOOKUP(B110,'Gebouwgegevens Allacker'!$J$5:$Q$83,2,0)=B78,VLOOKUP(B110,'Gebouwgegevens Allacker'!$J$5:$Q$83,3,0),VLOOKUP(B110,'Gebouwgegevens Allacker'!$J$5:$Q$83,2,0))</f>
        <v>#N/A</v>
      </c>
      <c r="E110" s="123" t="e">
        <f>VLOOKUP(B110,'Gebouwgegevens Allacker'!$J$5:$Q$83,4,0)</f>
        <v>#N/A</v>
      </c>
      <c r="F110" s="123" t="e">
        <f>VLOOKUP(B110,'Gebouwgegevens Allacker'!$J$5:$Q$83,5,0)</f>
        <v>#N/A</v>
      </c>
      <c r="G110" s="123" t="e">
        <f>VLOOKUP('Verwarming Tabula'!C110,'Gebouwgegevens Allacker'!$A$35:$F$46,5,0)</f>
        <v>#N/A</v>
      </c>
      <c r="H110" s="123" t="e">
        <f>VLOOKUP('Verwarming Tabula'!D110,'Gebouwgegevens Allacker'!$A$35:$F$46,5,0)</f>
        <v>#N/A</v>
      </c>
      <c r="I110" s="123" t="e">
        <f>VLOOKUP(B110,'Gebouwgegevens Allacker'!$J$5:$Q$83,7,0)</f>
        <v>#N/A</v>
      </c>
      <c r="J110" s="119" t="e">
        <f>VLOOKUP(B110,'Gebouwgegevens Allacker'!$J$5:$Q$83,8,0)</f>
        <v>#N/A</v>
      </c>
      <c r="K110" s="119" t="e">
        <f>(G110-H110)/(G110-$B$4)</f>
        <v>#N/A</v>
      </c>
      <c r="L110" s="99"/>
      <c r="M110" s="99"/>
      <c r="N110" s="99"/>
      <c r="O110" s="99"/>
      <c r="P110" s="97"/>
    </row>
    <row r="111" spans="1:16" ht="16.5" customHeight="1" x14ac:dyDescent="0.25">
      <c r="A111" s="96"/>
      <c r="B111" s="93" t="s">
        <v>223</v>
      </c>
      <c r="C111" s="123" t="e">
        <f>IF(VLOOKUP(B111,'Gebouwgegevens Allacker'!$J$5:$Q$83,2,0)=B78,VLOOKUP(B111,'Gebouwgegevens Allacker'!$J$5:$Q$83,2,0),VLOOKUP(B111,'Gebouwgegevens Allacker'!$J$5:$Q$83,3,0))</f>
        <v>#N/A</v>
      </c>
      <c r="D111" s="123" t="e">
        <f>IF(VLOOKUP(B111,'Gebouwgegevens Allacker'!$J$5:$Q$83,2,0)=B78,VLOOKUP(B111,'Gebouwgegevens Allacker'!$J$5:$Q$83,3,0),VLOOKUP(B111,'Gebouwgegevens Allacker'!$J$5:$Q$83,2,0))</f>
        <v>#N/A</v>
      </c>
      <c r="E111" s="123" t="e">
        <f>VLOOKUP(B111,'Gebouwgegevens Allacker'!$J$5:$Q$83,4,0)</f>
        <v>#N/A</v>
      </c>
      <c r="F111" s="123" t="e">
        <f>VLOOKUP(B111,'Gebouwgegevens Allacker'!$J$5:$Q$83,5,0)</f>
        <v>#N/A</v>
      </c>
      <c r="G111" s="123" t="e">
        <f>VLOOKUP('Verwarming Tabula'!C111,'Gebouwgegevens Allacker'!$A$35:$F$46,5,0)</f>
        <v>#N/A</v>
      </c>
      <c r="H111" s="123" t="e">
        <f>VLOOKUP('Verwarming Tabula'!D111,'Gebouwgegevens Allacker'!$A$35:$F$46,5,0)</f>
        <v>#N/A</v>
      </c>
      <c r="I111" s="123" t="e">
        <f>VLOOKUP(B111,'Gebouwgegevens Allacker'!$J$5:$Q$83,7,0)</f>
        <v>#N/A</v>
      </c>
      <c r="J111" s="119" t="e">
        <f>VLOOKUP(B111,'Gebouwgegevens Allacker'!$J$5:$Q$83,8,0)</f>
        <v>#N/A</v>
      </c>
      <c r="K111" s="119" t="e">
        <f>(G111-H111)/(G111-$B$4)</f>
        <v>#N/A</v>
      </c>
      <c r="L111" s="99"/>
      <c r="M111" s="99"/>
      <c r="N111" s="99"/>
      <c r="O111" s="99"/>
      <c r="P111" s="97"/>
    </row>
    <row r="112" spans="1:16" ht="16.5" customHeight="1" x14ac:dyDescent="0.25">
      <c r="A112" s="96"/>
      <c r="B112" s="124" t="s">
        <v>224</v>
      </c>
      <c r="C112" s="140" t="e">
        <f>IF(VLOOKUP(B112,'Gebouwgegevens Allacker'!$J$5:$Q$83,2,0)=B78,VLOOKUP(B112,'Gebouwgegevens Allacker'!$J$5:$Q$83,2,0),VLOOKUP(B112,'Gebouwgegevens Allacker'!$J$5:$Q$83,3,0))</f>
        <v>#N/A</v>
      </c>
      <c r="D112" s="123" t="e">
        <f>IF(VLOOKUP(B112,'Gebouwgegevens Allacker'!$J$5:$Q$83,2,0)=B78,VLOOKUP(B112,'Gebouwgegevens Allacker'!$J$5:$Q$83,3,0),VLOOKUP(B112,'Gebouwgegevens Allacker'!$J$5:$Q$83,2,0))</f>
        <v>#N/A</v>
      </c>
      <c r="E112" s="123" t="e">
        <f>VLOOKUP(B112,'Gebouwgegevens Allacker'!$J$5:$Q$83,4,0)</f>
        <v>#N/A</v>
      </c>
      <c r="F112" s="123" t="e">
        <f>VLOOKUP(B112,'Gebouwgegevens Allacker'!$J$5:$Q$83,5,0)</f>
        <v>#N/A</v>
      </c>
      <c r="G112" s="123" t="e">
        <f>VLOOKUP('Verwarming Tabula'!C112,'Gebouwgegevens Allacker'!$A$35:$F$46,5,0)</f>
        <v>#N/A</v>
      </c>
      <c r="H112" s="123" t="e">
        <f>VLOOKUP('Verwarming Tabula'!D112,'Gebouwgegevens Allacker'!$A$35:$F$46,5,0)</f>
        <v>#N/A</v>
      </c>
      <c r="I112" s="123" t="e">
        <f>VLOOKUP(B112,'Gebouwgegevens Allacker'!$J$5:$Q$83,7,0)</f>
        <v>#N/A</v>
      </c>
      <c r="J112" s="119" t="e">
        <f>VLOOKUP(B112,'Gebouwgegevens Allacker'!$J$5:$Q$83,8,0)</f>
        <v>#N/A</v>
      </c>
      <c r="K112" s="119" t="e">
        <f>(G112-H112)/(G112-$B$4)</f>
        <v>#N/A</v>
      </c>
      <c r="L112" s="99"/>
      <c r="M112" s="99"/>
      <c r="N112" s="99"/>
      <c r="O112" s="99"/>
      <c r="P112" s="97"/>
    </row>
    <row r="113" spans="1:16" ht="16.5" customHeight="1" x14ac:dyDescent="0.25">
      <c r="A113" s="96"/>
      <c r="B113" s="124"/>
      <c r="C113" s="140"/>
      <c r="D113" s="123"/>
      <c r="E113" s="123"/>
      <c r="F113" s="123"/>
      <c r="G113" s="123"/>
      <c r="H113" s="123"/>
      <c r="I113" s="123"/>
      <c r="J113" s="119"/>
      <c r="K113" s="119"/>
      <c r="L113" s="99"/>
      <c r="M113" s="99"/>
      <c r="N113" s="99"/>
      <c r="O113" s="99"/>
      <c r="P113" s="97"/>
    </row>
    <row r="114" spans="1:16" ht="16.5" customHeight="1" x14ac:dyDescent="0.25">
      <c r="A114" s="96"/>
      <c r="B114" s="124"/>
      <c r="C114" s="140"/>
      <c r="D114" s="123"/>
      <c r="E114" s="123"/>
      <c r="F114" s="123"/>
      <c r="G114" s="123"/>
      <c r="H114" s="123"/>
      <c r="I114" s="123"/>
      <c r="J114" s="119"/>
      <c r="K114" s="119"/>
      <c r="L114" s="99"/>
      <c r="M114" s="99"/>
      <c r="N114" s="99"/>
      <c r="O114" s="99"/>
      <c r="P114" s="97"/>
    </row>
    <row r="115" spans="1:16" ht="16.5" customHeight="1" x14ac:dyDescent="0.25">
      <c r="A115" s="96"/>
      <c r="B115" s="124"/>
      <c r="C115" s="140"/>
      <c r="D115" s="123"/>
      <c r="E115" s="123"/>
      <c r="F115" s="123"/>
      <c r="G115" s="123"/>
      <c r="H115" s="123"/>
      <c r="I115" s="123"/>
      <c r="J115" s="119"/>
      <c r="K115" s="119"/>
      <c r="L115" s="99"/>
      <c r="M115" s="99"/>
      <c r="N115" s="99"/>
      <c r="O115" s="99"/>
      <c r="P115" s="97"/>
    </row>
    <row r="116" spans="1:16" ht="16.5" customHeight="1" x14ac:dyDescent="0.25">
      <c r="A116" s="96"/>
      <c r="B116" s="124"/>
      <c r="C116" s="140"/>
      <c r="D116" s="123"/>
      <c r="E116" s="123"/>
      <c r="F116" s="123"/>
      <c r="G116" s="123"/>
      <c r="H116" s="123"/>
      <c r="I116" s="123"/>
      <c r="J116" s="119"/>
      <c r="K116" s="119"/>
      <c r="L116" s="99"/>
      <c r="M116" s="99"/>
      <c r="N116" s="99"/>
      <c r="O116" s="99"/>
      <c r="P116" s="97"/>
    </row>
    <row r="117" spans="1:16" ht="16.5" customHeight="1" x14ac:dyDescent="0.25">
      <c r="A117" s="96"/>
      <c r="B117" s="124"/>
      <c r="C117" s="140"/>
      <c r="D117" s="123"/>
      <c r="E117" s="123"/>
      <c r="F117" s="123"/>
      <c r="G117" s="123"/>
      <c r="H117" s="123"/>
      <c r="I117" s="123"/>
      <c r="J117" s="119"/>
      <c r="K117" s="119"/>
      <c r="L117" s="99"/>
      <c r="M117" s="99"/>
      <c r="N117" s="99"/>
      <c r="O117" s="99"/>
      <c r="P117" s="97"/>
    </row>
    <row r="118" spans="1:16" ht="15.75" customHeight="1" x14ac:dyDescent="0.25">
      <c r="A118" s="96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99"/>
      <c r="M118" s="99"/>
      <c r="N118" s="99"/>
      <c r="O118" s="99"/>
      <c r="P118" s="97"/>
    </row>
    <row r="119" spans="1:16" ht="15" customHeight="1" x14ac:dyDescent="0.25">
      <c r="A119" s="96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7"/>
    </row>
    <row r="120" spans="1:16" ht="15.75" customHeight="1" x14ac:dyDescent="0.25">
      <c r="A120" s="104" t="s">
        <v>195</v>
      </c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7"/>
    </row>
    <row r="121" spans="1:16" ht="16.5" customHeight="1" x14ac:dyDescent="0.25">
      <c r="A121" s="125" t="s">
        <v>196</v>
      </c>
      <c r="B121" s="119" t="e">
        <f>SUMPRODUCT(H84:H95,I84:I95)+SUMPRODUCT(G100:G104,H100:H104)+SUMPRODUCT(J108:J117,K108:K117)</f>
        <v>#N/A</v>
      </c>
      <c r="C121" s="119" t="s">
        <v>107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7"/>
    </row>
    <row r="122" spans="1:16" ht="16.5" customHeight="1" x14ac:dyDescent="0.25">
      <c r="A122" s="125" t="s">
        <v>170</v>
      </c>
      <c r="B122" s="119" t="e">
        <f>B121*(G111-$B$4)</f>
        <v>#N/A</v>
      </c>
      <c r="C122" s="119" t="s">
        <v>172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7"/>
    </row>
    <row r="123" spans="1:16" ht="15.75" customHeight="1" x14ac:dyDescent="0.25">
      <c r="A123" s="110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2"/>
    </row>
    <row r="124" spans="1:16" ht="15.75" customHeight="1" x14ac:dyDescent="0.25">
      <c r="A124" s="279" t="s">
        <v>197</v>
      </c>
      <c r="B124" s="279"/>
      <c r="C124" s="279"/>
      <c r="D124" s="126" t="s">
        <v>225</v>
      </c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95"/>
    </row>
    <row r="125" spans="1:16" ht="15" customHeight="1" x14ac:dyDescent="0.25">
      <c r="A125" s="96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7"/>
    </row>
    <row r="126" spans="1:16" ht="15" customHeight="1" x14ac:dyDescent="0.25">
      <c r="A126" s="127" t="s">
        <v>198</v>
      </c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7"/>
    </row>
    <row r="127" spans="1:16" ht="15" customHeight="1" x14ac:dyDescent="0.25">
      <c r="A127" s="128" t="s">
        <v>199</v>
      </c>
      <c r="B127" s="122">
        <v>8</v>
      </c>
      <c r="C127" s="121" t="s">
        <v>200</v>
      </c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7"/>
    </row>
    <row r="128" spans="1:16" ht="15" customHeight="1" x14ac:dyDescent="0.25">
      <c r="A128" s="128" t="s">
        <v>201</v>
      </c>
      <c r="B128" s="122">
        <v>0.03</v>
      </c>
      <c r="C128" s="121" t="s">
        <v>202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7"/>
    </row>
    <row r="129" spans="1:16" ht="15.75" customHeight="1" x14ac:dyDescent="0.25">
      <c r="A129" s="128" t="s">
        <v>203</v>
      </c>
      <c r="B129" s="122">
        <v>1</v>
      </c>
      <c r="C129" s="121" t="s">
        <v>204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7"/>
    </row>
    <row r="130" spans="1:16" ht="16.5" customHeight="1" x14ac:dyDescent="0.25">
      <c r="A130" s="125" t="s">
        <v>205</v>
      </c>
      <c r="B130" s="119">
        <f>2*VLOOKUP(B78,'Gebouwgegevens Allacker'!$A$35:$F$46,6,0)*B127*B128*B129</f>
        <v>0</v>
      </c>
      <c r="C130" s="119" t="s">
        <v>206</v>
      </c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7"/>
    </row>
    <row r="131" spans="1:16" ht="15.75" customHeight="1" x14ac:dyDescent="0.25">
      <c r="A131" s="96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7"/>
    </row>
    <row r="132" spans="1:16" ht="15" customHeight="1" x14ac:dyDescent="0.25">
      <c r="A132" s="127" t="s">
        <v>207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7"/>
    </row>
    <row r="133" spans="1:16" ht="15.75" customHeight="1" x14ac:dyDescent="0.25">
      <c r="A133" s="96" t="s">
        <v>183</v>
      </c>
      <c r="B133" s="99">
        <f>VLOOKUP(B78,'Gebouwgegevens Allacker'!$A$35:$F$46,6,0)</f>
        <v>0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7"/>
    </row>
    <row r="134" spans="1:16" ht="16.5" customHeight="1" x14ac:dyDescent="0.25">
      <c r="A134" s="125" t="s">
        <v>208</v>
      </c>
      <c r="B134" s="129">
        <v>50</v>
      </c>
      <c r="C134" s="119" t="s">
        <v>206</v>
      </c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7"/>
    </row>
    <row r="135" spans="1:16" ht="15.75" customHeight="1" x14ac:dyDescent="0.25">
      <c r="A135" s="96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7"/>
    </row>
    <row r="136" spans="1:16" ht="15.75" customHeight="1" x14ac:dyDescent="0.25">
      <c r="A136" s="96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7"/>
    </row>
    <row r="137" spans="1:16" ht="16.5" customHeight="1" x14ac:dyDescent="0.25">
      <c r="A137" s="125" t="s">
        <v>210</v>
      </c>
      <c r="B137" s="119">
        <f>MAX(B130,B134)</f>
        <v>50</v>
      </c>
      <c r="C137" s="119" t="s">
        <v>206</v>
      </c>
      <c r="D137" s="99"/>
      <c r="E137" s="99"/>
      <c r="F137" s="119" t="s">
        <v>211</v>
      </c>
      <c r="G137" s="119">
        <f>B137/VLOOKUP(B78,'Gebouwgegevens Allacker'!$A$35:$B$46,2,0)</f>
        <v>0.31350321027287315</v>
      </c>
      <c r="H137" s="99"/>
      <c r="I137" s="99"/>
      <c r="J137" s="99"/>
      <c r="K137" s="99"/>
      <c r="L137" s="99"/>
      <c r="M137" s="99"/>
      <c r="N137" s="99"/>
      <c r="O137" s="99"/>
      <c r="P137" s="97"/>
    </row>
    <row r="138" spans="1:16" ht="16.5" customHeight="1" x14ac:dyDescent="0.25">
      <c r="A138" s="96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7"/>
    </row>
    <row r="139" spans="1:16" ht="16.5" customHeight="1" x14ac:dyDescent="0.25">
      <c r="A139" s="125" t="s">
        <v>212</v>
      </c>
      <c r="B139" s="119">
        <f>0.34*B137</f>
        <v>17</v>
      </c>
      <c r="C139" s="119" t="s">
        <v>107</v>
      </c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7"/>
    </row>
    <row r="140" spans="1:16" ht="16.5" customHeight="1" x14ac:dyDescent="0.25">
      <c r="A140" s="125" t="s">
        <v>170</v>
      </c>
      <c r="B140" s="119">
        <f>B139*('Gebouwgegevens Allacker'!E100-$B$4)</f>
        <v>136</v>
      </c>
      <c r="C140" s="119" t="s">
        <v>172</v>
      </c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7"/>
    </row>
    <row r="141" spans="1:16" ht="15.75" customHeight="1" x14ac:dyDescent="0.25">
      <c r="A141" s="110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2"/>
    </row>
    <row r="142" spans="1:16" ht="15.75" customHeight="1" x14ac:dyDescent="0.25">
      <c r="A142" s="279" t="s">
        <v>213</v>
      </c>
      <c r="B142" s="279"/>
      <c r="C142" s="279"/>
      <c r="D142" s="27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7"/>
    </row>
    <row r="143" spans="1:16" ht="15" customHeight="1" x14ac:dyDescent="0.25">
      <c r="A143" s="96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7"/>
    </row>
    <row r="144" spans="1:16" ht="15" customHeight="1" x14ac:dyDescent="0.25">
      <c r="A144" s="128" t="s">
        <v>214</v>
      </c>
      <c r="B144" s="122">
        <v>45</v>
      </c>
      <c r="C144" s="58" t="s">
        <v>215</v>
      </c>
      <c r="D144" s="58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7"/>
    </row>
    <row r="145" spans="1:16" ht="15.75" customHeight="1" x14ac:dyDescent="0.25">
      <c r="A145" s="128" t="s">
        <v>113</v>
      </c>
      <c r="B145" s="122">
        <f>VLOOKUP(B78,'Gebouwgegevens Allacker'!$A$35:$F$46,6,0)</f>
        <v>0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7"/>
    </row>
    <row r="146" spans="1:16" ht="16.5" customHeight="1" x14ac:dyDescent="0.25">
      <c r="A146" s="125" t="s">
        <v>216</v>
      </c>
      <c r="B146" s="119">
        <f>B147/('Gebouwgegevens Allacker'!E100-'Verwarming Tabula'!$B$4)</f>
        <v>0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7"/>
    </row>
    <row r="147" spans="1:16" ht="16.5" customHeight="1" x14ac:dyDescent="0.25">
      <c r="A147" s="125" t="s">
        <v>170</v>
      </c>
      <c r="B147" s="119">
        <f>B144*B145</f>
        <v>0</v>
      </c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7"/>
    </row>
    <row r="148" spans="1:16" ht="15.75" customHeight="1" x14ac:dyDescent="0.25">
      <c r="A148" s="96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7"/>
    </row>
    <row r="149" spans="1:16" ht="15.75" customHeight="1" x14ac:dyDescent="0.25">
      <c r="A149" s="96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7"/>
    </row>
    <row r="150" spans="1:16" ht="15.75" customHeight="1" x14ac:dyDescent="0.25">
      <c r="A150" s="130" t="s">
        <v>217</v>
      </c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2"/>
    </row>
    <row r="151" spans="1:16" ht="16.5" customHeight="1" x14ac:dyDescent="0.25">
      <c r="A151" s="125" t="s">
        <v>218</v>
      </c>
      <c r="B151" s="119" t="e">
        <f>SUM(B121,B139,B146)</f>
        <v>#N/A</v>
      </c>
      <c r="C151" s="119" t="s">
        <v>107</v>
      </c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4"/>
    </row>
    <row r="152" spans="1:16" ht="16.5" customHeight="1" x14ac:dyDescent="0.25">
      <c r="A152" s="125" t="s">
        <v>170</v>
      </c>
      <c r="B152" s="119" t="e">
        <f>SUM(B122,B140,B147)</f>
        <v>#N/A</v>
      </c>
      <c r="C152" s="119" t="s">
        <v>172</v>
      </c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4"/>
    </row>
    <row r="153" spans="1:16" ht="16.5" customHeight="1" x14ac:dyDescent="0.25">
      <c r="A153" s="135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7"/>
    </row>
    <row r="154" spans="1:16" ht="15" customHeight="1" x14ac:dyDescent="0.25">
      <c r="A154" s="138"/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38"/>
    </row>
    <row r="155" spans="1:16" ht="15" customHeight="1" x14ac:dyDescent="0.25">
      <c r="A155" s="138"/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</row>
    <row r="156" spans="1:16" ht="15.75" customHeight="1" x14ac:dyDescent="0.25">
      <c r="A156" s="138"/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</row>
    <row r="157" spans="1:16" ht="15" customHeight="1" x14ac:dyDescent="0.25">
      <c r="A157" s="94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95"/>
    </row>
    <row r="158" spans="1:16" ht="17.25" customHeight="1" x14ac:dyDescent="0.3">
      <c r="A158" s="98" t="s">
        <v>169</v>
      </c>
      <c r="B158" s="93">
        <v>3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7"/>
    </row>
    <row r="159" spans="1:16" ht="15.75" customHeight="1" x14ac:dyDescent="0.25">
      <c r="A159" s="279" t="s">
        <v>171</v>
      </c>
      <c r="B159" s="279"/>
      <c r="C159" s="279"/>
      <c r="D159" s="279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95"/>
    </row>
    <row r="160" spans="1:16" ht="15" customHeight="1" x14ac:dyDescent="0.25">
      <c r="A160" s="96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7"/>
    </row>
    <row r="161" spans="1:16" ht="15" customHeight="1" x14ac:dyDescent="0.25">
      <c r="A161" s="104" t="s">
        <v>173</v>
      </c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7"/>
    </row>
    <row r="162" spans="1:16" ht="15" customHeight="1" x14ac:dyDescent="0.25">
      <c r="A162" s="96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7"/>
    </row>
    <row r="163" spans="1:16" ht="15.75" customHeight="1" x14ac:dyDescent="0.25">
      <c r="A163" s="96"/>
      <c r="B163" s="105" t="s">
        <v>10</v>
      </c>
      <c r="C163" s="105" t="s">
        <v>174</v>
      </c>
      <c r="D163" s="105" t="s">
        <v>175</v>
      </c>
      <c r="E163" s="105" t="s">
        <v>176</v>
      </c>
      <c r="F163" s="105" t="s">
        <v>177</v>
      </c>
      <c r="G163" s="105" t="s">
        <v>16</v>
      </c>
      <c r="H163" s="106" t="s">
        <v>17</v>
      </c>
      <c r="I163" s="106" t="s">
        <v>178</v>
      </c>
      <c r="J163" s="99"/>
      <c r="K163" s="99"/>
      <c r="L163" s="99"/>
      <c r="M163" s="99"/>
      <c r="N163" s="99"/>
      <c r="O163" s="99"/>
      <c r="P163" s="97"/>
    </row>
    <row r="164" spans="1:16" ht="16.5" customHeight="1" x14ac:dyDescent="0.25">
      <c r="A164" s="96"/>
      <c r="B164" s="107" t="s">
        <v>66</v>
      </c>
      <c r="C164" s="108">
        <f>VLOOKUP(B164,'Gebouwgegevens Allacker'!$J$5:$Q$83,3,0)</f>
        <v>1</v>
      </c>
      <c r="D164" s="108" t="str">
        <f>VLOOKUP(B164,'Gebouwgegevens Allacker'!$J$5:$Q$83,4,0)</f>
        <v>Roof</v>
      </c>
      <c r="E164" s="108">
        <f>VLOOKUP(B164,'Gebouwgegevens Allacker'!$J$5:$Q$83,5,0)</f>
        <v>29</v>
      </c>
      <c r="F164" s="108">
        <f>VLOOKUP(B164,'Gebouwgegevens Allacker'!$J$5:$Q$83,6,0)</f>
        <v>0</v>
      </c>
      <c r="G164" s="108">
        <f>VLOOKUP(B164,'Gebouwgegevens Allacker'!$J$5:$Q$83,7,0)</f>
        <v>1.6975498473547073</v>
      </c>
      <c r="H164" s="109">
        <f>VLOOKUP(B164,'Gebouwgegevens Allacker'!$J$5:$Q$83,8,0)</f>
        <v>49.228945573286509</v>
      </c>
      <c r="I164" s="109">
        <v>1</v>
      </c>
      <c r="J164" s="99"/>
      <c r="K164" s="99"/>
      <c r="L164" s="99"/>
      <c r="M164" s="99"/>
      <c r="N164" s="99"/>
      <c r="O164" s="99"/>
      <c r="P164" s="97"/>
    </row>
    <row r="165" spans="1:16" ht="16.5" customHeight="1" x14ac:dyDescent="0.25">
      <c r="A165" s="96"/>
      <c r="B165" s="107" t="s">
        <v>67</v>
      </c>
      <c r="C165" s="108">
        <f>VLOOKUP(B165,'Gebouwgegevens Allacker'!$J$5:$Q$83,3,0)</f>
        <v>1</v>
      </c>
      <c r="D165" s="108" t="str">
        <f>VLOOKUP(B165,'Gebouwgegevens Allacker'!$J$5:$Q$83,4,0)</f>
        <v>Door</v>
      </c>
      <c r="E165" s="108">
        <f>VLOOKUP(B165,'Gebouwgegevens Allacker'!$J$5:$Q$83,5,0)</f>
        <v>7.5</v>
      </c>
      <c r="F165" s="108">
        <f>VLOOKUP(B165,'Gebouwgegevens Allacker'!$J$5:$Q$83,6,0)</f>
        <v>0</v>
      </c>
      <c r="G165" s="108">
        <f>VLOOKUP(B165,'Gebouwgegevens Allacker'!$J$5:$Q$83,7,0)</f>
        <v>4</v>
      </c>
      <c r="H165" s="109">
        <f>VLOOKUP(B165,'Gebouwgegevens Allacker'!$J$5:$Q$83,8,0)</f>
        <v>30</v>
      </c>
      <c r="I165" s="109">
        <v>1</v>
      </c>
      <c r="J165" s="99"/>
      <c r="K165" s="99"/>
      <c r="L165" s="99"/>
      <c r="M165" s="99"/>
      <c r="N165" s="99"/>
      <c r="O165" s="99"/>
      <c r="P165" s="97"/>
    </row>
    <row r="166" spans="1:16" ht="16.5" customHeight="1" x14ac:dyDescent="0.25">
      <c r="A166" s="96"/>
      <c r="B166" s="107"/>
      <c r="C166" s="108"/>
      <c r="D166" s="108"/>
      <c r="E166" s="108"/>
      <c r="F166" s="108"/>
      <c r="G166" s="108"/>
      <c r="H166" s="109"/>
      <c r="I166" s="109"/>
      <c r="J166" s="99"/>
      <c r="K166" s="99"/>
      <c r="L166" s="99"/>
      <c r="M166" s="99"/>
      <c r="N166" s="99"/>
      <c r="O166" s="99"/>
      <c r="P166" s="97"/>
    </row>
    <row r="167" spans="1:16" ht="16.5" customHeight="1" x14ac:dyDescent="0.25">
      <c r="A167" s="96"/>
      <c r="B167" s="107"/>
      <c r="C167" s="108"/>
      <c r="D167" s="108"/>
      <c r="E167" s="108"/>
      <c r="F167" s="108"/>
      <c r="G167" s="108"/>
      <c r="H167" s="109"/>
      <c r="I167" s="109"/>
      <c r="J167" s="99"/>
      <c r="K167" s="99"/>
      <c r="L167" s="99"/>
      <c r="M167" s="99"/>
      <c r="N167" s="99"/>
      <c r="O167" s="99"/>
      <c r="P167" s="97"/>
    </row>
    <row r="168" spans="1:16" ht="16.5" customHeight="1" x14ac:dyDescent="0.25">
      <c r="A168" s="96"/>
      <c r="B168" s="107"/>
      <c r="C168" s="108"/>
      <c r="D168" s="108"/>
      <c r="E168" s="108"/>
      <c r="F168" s="108"/>
      <c r="G168" s="108"/>
      <c r="H168" s="109"/>
      <c r="I168" s="109"/>
      <c r="J168" s="99"/>
      <c r="K168" s="99"/>
      <c r="L168" s="99"/>
      <c r="M168" s="99"/>
      <c r="N168" s="99"/>
      <c r="O168" s="99"/>
      <c r="P168" s="97"/>
    </row>
    <row r="169" spans="1:16" ht="16.5" customHeight="1" x14ac:dyDescent="0.25">
      <c r="A169" s="96"/>
      <c r="B169" s="107"/>
      <c r="C169" s="108"/>
      <c r="D169" s="108"/>
      <c r="E169" s="108"/>
      <c r="F169" s="108"/>
      <c r="G169" s="108"/>
      <c r="H169" s="109"/>
      <c r="I169" s="109"/>
      <c r="J169" s="99"/>
      <c r="K169" s="99"/>
      <c r="L169" s="99"/>
      <c r="M169" s="99"/>
      <c r="N169" s="99"/>
      <c r="O169" s="99"/>
      <c r="P169" s="97"/>
    </row>
    <row r="170" spans="1:16" ht="16.5" customHeight="1" x14ac:dyDescent="0.25">
      <c r="A170" s="96"/>
      <c r="B170" s="107"/>
      <c r="C170" s="108"/>
      <c r="D170" s="108"/>
      <c r="E170" s="108"/>
      <c r="F170" s="108"/>
      <c r="G170" s="108"/>
      <c r="H170" s="109"/>
      <c r="I170" s="109"/>
      <c r="J170" s="99"/>
      <c r="K170" s="99"/>
      <c r="L170" s="99"/>
      <c r="M170" s="99"/>
      <c r="N170" s="99"/>
      <c r="O170" s="99"/>
      <c r="P170" s="97"/>
    </row>
    <row r="171" spans="1:16" ht="16.5" customHeight="1" x14ac:dyDescent="0.25">
      <c r="A171" s="96"/>
      <c r="B171" s="107"/>
      <c r="C171" s="108"/>
      <c r="D171" s="108"/>
      <c r="E171" s="108"/>
      <c r="F171" s="108"/>
      <c r="G171" s="108"/>
      <c r="H171" s="109"/>
      <c r="I171" s="109"/>
      <c r="J171" s="99"/>
      <c r="K171" s="99"/>
      <c r="L171" s="99"/>
      <c r="M171" s="99"/>
      <c r="N171" s="99"/>
      <c r="O171" s="99"/>
      <c r="P171" s="97"/>
    </row>
    <row r="172" spans="1:16" ht="16.5" customHeight="1" x14ac:dyDescent="0.25">
      <c r="A172" s="96"/>
      <c r="B172" s="107"/>
      <c r="C172" s="108"/>
      <c r="D172" s="108"/>
      <c r="E172" s="108"/>
      <c r="F172" s="108"/>
      <c r="G172" s="108"/>
      <c r="H172" s="109"/>
      <c r="I172" s="109"/>
      <c r="J172" s="99"/>
      <c r="K172" s="99"/>
      <c r="L172" s="99"/>
      <c r="M172" s="99"/>
      <c r="N172" s="99"/>
      <c r="O172" s="99"/>
      <c r="P172" s="97"/>
    </row>
    <row r="173" spans="1:16" ht="16.5" customHeight="1" x14ac:dyDescent="0.25">
      <c r="A173" s="96"/>
      <c r="B173" s="107"/>
      <c r="C173" s="108"/>
      <c r="D173" s="108"/>
      <c r="E173" s="108"/>
      <c r="F173" s="108"/>
      <c r="G173" s="108"/>
      <c r="H173" s="109"/>
      <c r="I173" s="109"/>
      <c r="J173" s="99"/>
      <c r="K173" s="99"/>
      <c r="L173" s="99"/>
      <c r="M173" s="99"/>
      <c r="N173" s="99"/>
      <c r="O173" s="99"/>
      <c r="P173" s="97"/>
    </row>
    <row r="174" spans="1:16" ht="16.5" customHeight="1" x14ac:dyDescent="0.25">
      <c r="A174" s="96"/>
      <c r="B174" s="107"/>
      <c r="C174" s="108"/>
      <c r="D174" s="108"/>
      <c r="E174" s="108"/>
      <c r="F174" s="108"/>
      <c r="G174" s="108"/>
      <c r="H174" s="109"/>
      <c r="I174" s="109"/>
      <c r="J174" s="99"/>
      <c r="K174" s="99"/>
      <c r="L174" s="99"/>
      <c r="M174" s="99"/>
      <c r="N174" s="99"/>
      <c r="O174" s="99"/>
      <c r="P174" s="97"/>
    </row>
    <row r="175" spans="1:16" ht="16.5" customHeight="1" x14ac:dyDescent="0.25">
      <c r="A175" s="96"/>
      <c r="B175" s="107"/>
      <c r="C175" s="108"/>
      <c r="D175" s="108"/>
      <c r="E175" s="108"/>
      <c r="F175" s="108"/>
      <c r="G175" s="108"/>
      <c r="H175" s="109"/>
      <c r="I175" s="109"/>
      <c r="J175" s="99"/>
      <c r="K175" s="99"/>
      <c r="L175" s="99"/>
      <c r="M175" s="99"/>
      <c r="N175" s="99"/>
      <c r="O175" s="99"/>
      <c r="P175" s="97"/>
    </row>
    <row r="176" spans="1:16" ht="15.75" customHeight="1" x14ac:dyDescent="0.25">
      <c r="A176" s="96"/>
      <c r="B176" s="58"/>
      <c r="C176" s="58"/>
      <c r="D176" s="58"/>
      <c r="E176" s="58"/>
      <c r="F176" s="58"/>
      <c r="G176" s="115"/>
      <c r="H176" s="58"/>
      <c r="I176" s="58"/>
      <c r="J176" s="99"/>
      <c r="K176" s="99"/>
      <c r="L176" s="99"/>
      <c r="M176" s="99"/>
      <c r="N176" s="99"/>
      <c r="O176" s="99"/>
      <c r="P176" s="97"/>
    </row>
    <row r="177" spans="1:16" ht="15" customHeight="1" x14ac:dyDescent="0.25">
      <c r="A177" s="96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7"/>
    </row>
    <row r="178" spans="1:16" ht="15" customHeight="1" x14ac:dyDescent="0.25">
      <c r="A178" s="104" t="s">
        <v>180</v>
      </c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7"/>
    </row>
    <row r="179" spans="1:16" ht="15.75" customHeight="1" x14ac:dyDescent="0.25">
      <c r="A179" s="96"/>
      <c r="B179" s="58" t="s">
        <v>10</v>
      </c>
      <c r="C179" s="58" t="s">
        <v>181</v>
      </c>
      <c r="D179" s="58" t="s">
        <v>175</v>
      </c>
      <c r="E179" s="58" t="s">
        <v>182</v>
      </c>
      <c r="F179" s="58" t="s">
        <v>16</v>
      </c>
      <c r="G179" s="115" t="s">
        <v>17</v>
      </c>
      <c r="H179" s="115" t="s">
        <v>178</v>
      </c>
      <c r="I179" s="58" t="s">
        <v>183</v>
      </c>
      <c r="J179" s="58" t="s">
        <v>184</v>
      </c>
      <c r="K179" s="58" t="s">
        <v>185</v>
      </c>
      <c r="L179" s="116" t="s">
        <v>186</v>
      </c>
      <c r="M179" s="116" t="s">
        <v>187</v>
      </c>
      <c r="N179" s="116" t="s">
        <v>188</v>
      </c>
      <c r="O179" s="99"/>
      <c r="P179" s="97"/>
    </row>
    <row r="180" spans="1:16" ht="16.5" customHeight="1" x14ac:dyDescent="0.25">
      <c r="A180" s="96"/>
      <c r="B180" s="117" t="s">
        <v>226</v>
      </c>
      <c r="C180" s="118" t="e">
        <f>VLOOKUP(B180,'Gebouwgegevens Allacker'!$J$5:$Q$83,3,0)</f>
        <v>#N/A</v>
      </c>
      <c r="D180" s="118" t="e">
        <f>VLOOKUP(B180,'Gebouwgegevens Allacker'!$J$5:$Q$83,4,0)</f>
        <v>#N/A</v>
      </c>
      <c r="E180" s="118" t="e">
        <f>VLOOKUP(B180,'Gebouwgegevens Allacker'!$J$5:$Q$83,5,0)</f>
        <v>#N/A</v>
      </c>
      <c r="F180" s="118" t="e">
        <f>VLOOKUP(B180,'Gebouwgegevens Allacker'!$J$5:$Q$83,7,0)</f>
        <v>#N/A</v>
      </c>
      <c r="G180" s="119" t="e">
        <f>VLOOKUP(B180,'Gebouwgegevens Allacker'!$J$5:$Q$83,8,0)</f>
        <v>#N/A</v>
      </c>
      <c r="H180" s="119" t="e">
        <f>N180/F180</f>
        <v>#N/A</v>
      </c>
      <c r="I180" s="118" t="e">
        <f>VLOOKUP(C180,'Gebouwgegevens Allacker'!$A$35:$F$46,6,0)</f>
        <v>#N/A</v>
      </c>
      <c r="J180" s="117">
        <v>1.05</v>
      </c>
      <c r="K180" s="117">
        <v>0.33</v>
      </c>
      <c r="L180" s="120" t="e">
        <f>I180/(0.5*J180)</f>
        <v>#N/A</v>
      </c>
      <c r="M180" s="120" t="e">
        <f>K180+2*(1/F180)</f>
        <v>#N/A</v>
      </c>
      <c r="N180" s="121" t="e">
        <f>IF(M180&lt;L180,2*2/(PI()*L180+M180)*LN(PI()*L180/M180+1),2/(0.457*L180+M180))</f>
        <v>#N/A</v>
      </c>
      <c r="O180" s="99"/>
      <c r="P180" s="97"/>
    </row>
    <row r="181" spans="1:16" ht="16.5" customHeight="1" x14ac:dyDescent="0.25">
      <c r="A181" s="96"/>
      <c r="B181" s="117"/>
      <c r="C181" s="118"/>
      <c r="D181" s="118"/>
      <c r="E181" s="118"/>
      <c r="F181" s="118"/>
      <c r="G181" s="119"/>
      <c r="H181" s="119"/>
      <c r="I181" s="118"/>
      <c r="J181" s="117"/>
      <c r="K181" s="117"/>
      <c r="L181" s="120"/>
      <c r="M181" s="120"/>
      <c r="N181" s="121"/>
      <c r="O181" s="99"/>
      <c r="P181" s="97"/>
    </row>
    <row r="182" spans="1:16" ht="16.5" customHeight="1" x14ac:dyDescent="0.25">
      <c r="A182" s="96"/>
      <c r="B182" s="117"/>
      <c r="C182" s="118"/>
      <c r="D182" s="118"/>
      <c r="E182" s="118"/>
      <c r="F182" s="118"/>
      <c r="G182" s="119"/>
      <c r="H182" s="119"/>
      <c r="I182" s="118"/>
      <c r="J182" s="117"/>
      <c r="K182" s="117"/>
      <c r="L182" s="120"/>
      <c r="M182" s="120"/>
      <c r="N182" s="121"/>
      <c r="O182" s="99"/>
      <c r="P182" s="97"/>
    </row>
    <row r="183" spans="1:16" ht="16.5" customHeight="1" x14ac:dyDescent="0.25">
      <c r="A183" s="96"/>
      <c r="B183" s="117"/>
      <c r="C183" s="118"/>
      <c r="D183" s="118"/>
      <c r="E183" s="118"/>
      <c r="F183" s="118"/>
      <c r="G183" s="119"/>
      <c r="H183" s="119"/>
      <c r="I183" s="118"/>
      <c r="J183" s="117"/>
      <c r="K183" s="117"/>
      <c r="L183" s="120"/>
      <c r="M183" s="120"/>
      <c r="N183" s="121"/>
      <c r="O183" s="99"/>
      <c r="P183" s="97"/>
    </row>
    <row r="184" spans="1:16" ht="16.5" customHeight="1" x14ac:dyDescent="0.25">
      <c r="A184" s="139"/>
      <c r="B184" s="117"/>
      <c r="C184" s="118"/>
      <c r="D184" s="118"/>
      <c r="E184" s="118"/>
      <c r="F184" s="118"/>
      <c r="G184" s="119"/>
      <c r="H184" s="119"/>
      <c r="I184" s="118"/>
      <c r="J184" s="117"/>
      <c r="K184" s="117"/>
      <c r="L184" s="120"/>
      <c r="M184" s="120"/>
      <c r="N184" s="121"/>
      <c r="O184" s="99"/>
      <c r="P184" s="97"/>
    </row>
    <row r="185" spans="1:16" ht="15.75" customHeight="1" x14ac:dyDescent="0.25">
      <c r="A185" s="96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7"/>
    </row>
    <row r="186" spans="1:16" ht="15" customHeight="1" x14ac:dyDescent="0.25">
      <c r="A186" s="104" t="s">
        <v>189</v>
      </c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7"/>
    </row>
    <row r="187" spans="1:16" ht="15.75" customHeight="1" x14ac:dyDescent="0.25">
      <c r="A187" s="96"/>
      <c r="B187" s="58" t="s">
        <v>10</v>
      </c>
      <c r="C187" s="58" t="s">
        <v>190</v>
      </c>
      <c r="D187" s="58" t="s">
        <v>191</v>
      </c>
      <c r="E187" s="58" t="s">
        <v>135</v>
      </c>
      <c r="F187" s="58" t="s">
        <v>192</v>
      </c>
      <c r="G187" s="58" t="s">
        <v>193</v>
      </c>
      <c r="H187" s="58" t="s">
        <v>194</v>
      </c>
      <c r="I187" s="58" t="s">
        <v>16</v>
      </c>
      <c r="J187" s="115" t="s">
        <v>17</v>
      </c>
      <c r="K187" s="115" t="s">
        <v>178</v>
      </c>
      <c r="L187" s="99"/>
      <c r="M187" s="99"/>
      <c r="N187" s="99"/>
      <c r="O187" s="99"/>
      <c r="P187" s="97"/>
    </row>
    <row r="188" spans="1:16" ht="16.5" customHeight="1" x14ac:dyDescent="0.25">
      <c r="A188" s="96"/>
      <c r="B188" s="122" t="s">
        <v>227</v>
      </c>
      <c r="C188" s="123" t="e">
        <f>IF(VLOOKUP(B188,'Gebouwgegevens Allacker'!$J$5:$Q$83,2,0)=$B$158,VLOOKUP(B188,'Gebouwgegevens Allacker'!$J$5:$Q$83,2,0),VLOOKUP(B188,'Gebouwgegevens Allacker'!$J$5:$Q$83,3,0))</f>
        <v>#N/A</v>
      </c>
      <c r="D188" s="123" t="e">
        <f>IF(VLOOKUP(B188,'Gebouwgegevens Allacker'!$J$5:$Q$83,2,0)=$B$158,VLOOKUP(B188,'Gebouwgegevens Allacker'!$J$5:$Q$83,3,0),VLOOKUP(B188,'Gebouwgegevens Allacker'!$J$5:$Q$83,2,0))</f>
        <v>#N/A</v>
      </c>
      <c r="E188" s="123" t="e">
        <f>VLOOKUP(B188,'Gebouwgegevens Allacker'!$J$5:$Q$83,4,0)</f>
        <v>#N/A</v>
      </c>
      <c r="F188" s="123" t="e">
        <f>VLOOKUP(B188,'Gebouwgegevens Allacker'!$J$5:$Q$83,5,0)</f>
        <v>#N/A</v>
      </c>
      <c r="G188" s="123" t="e">
        <f>VLOOKUP('Verwarming Tabula'!C188,'Gebouwgegevens Allacker'!$A$35:$F$46,5,0)</f>
        <v>#N/A</v>
      </c>
      <c r="H188" s="123" t="e">
        <f>VLOOKUP('Verwarming Tabula'!D188,'Gebouwgegevens Allacker'!$A$35:$F$46,5,0)</f>
        <v>#N/A</v>
      </c>
      <c r="I188" s="123" t="e">
        <f>VLOOKUP(B188,'Gebouwgegevens Allacker'!$J$5:$Q$83,7,0)</f>
        <v>#N/A</v>
      </c>
      <c r="J188" s="119" t="e">
        <f>VLOOKUP(B188,'Gebouwgegevens Allacker'!$J$5:$Q$83,8,0)</f>
        <v>#N/A</v>
      </c>
      <c r="K188" s="119" t="e">
        <f>(G188-H188)/(G188-$B$4)</f>
        <v>#N/A</v>
      </c>
      <c r="L188" s="99"/>
      <c r="M188" s="99"/>
      <c r="N188" s="99"/>
      <c r="O188" s="99"/>
      <c r="P188" s="97"/>
    </row>
    <row r="189" spans="1:16" ht="16.5" customHeight="1" x14ac:dyDescent="0.25">
      <c r="A189" s="96"/>
      <c r="B189" s="122" t="s">
        <v>228</v>
      </c>
      <c r="C189" s="123" t="e">
        <f>IF(VLOOKUP(B189,'Gebouwgegevens Allacker'!$J$5:$Q$83,2,0)=$B$158,VLOOKUP(B189,'Gebouwgegevens Allacker'!$J$5:$Q$83,2,0),VLOOKUP(B189,'Gebouwgegevens Allacker'!$J$5:$Q$83,3,0))</f>
        <v>#N/A</v>
      </c>
      <c r="D189" s="123" t="e">
        <f>IF(VLOOKUP(B189,'Gebouwgegevens Allacker'!$J$5:$Q$83,2,0)=$B$158,VLOOKUP(B189,'Gebouwgegevens Allacker'!$J$5:$Q$83,3,0),VLOOKUP(B189,'Gebouwgegevens Allacker'!$J$5:$Q$83,2,0))</f>
        <v>#N/A</v>
      </c>
      <c r="E189" s="123" t="e">
        <f>VLOOKUP(B189,'Gebouwgegevens Allacker'!$J$5:$Q$83,4,0)</f>
        <v>#N/A</v>
      </c>
      <c r="F189" s="123" t="e">
        <f>VLOOKUP(B189,'Gebouwgegevens Allacker'!$J$5:$Q$83,5,0)</f>
        <v>#N/A</v>
      </c>
      <c r="G189" s="123" t="e">
        <f>VLOOKUP('Verwarming Tabula'!C189,'Gebouwgegevens Allacker'!$A$35:$F$46,5,0)</f>
        <v>#N/A</v>
      </c>
      <c r="H189" s="123" t="e">
        <f>VLOOKUP('Verwarming Tabula'!D189,'Gebouwgegevens Allacker'!$A$35:$F$46,5,0)</f>
        <v>#N/A</v>
      </c>
      <c r="I189" s="123" t="e">
        <f>VLOOKUP(B189,'Gebouwgegevens Allacker'!$J$5:$Q$83,7,0)</f>
        <v>#N/A</v>
      </c>
      <c r="J189" s="119" t="e">
        <f>VLOOKUP(B189,'Gebouwgegevens Allacker'!$J$5:$Q$83,8,0)</f>
        <v>#N/A</v>
      </c>
      <c r="K189" s="119" t="e">
        <f>(G189-H189)/(G189-$B$4)</f>
        <v>#N/A</v>
      </c>
      <c r="L189" s="99"/>
      <c r="M189" s="99"/>
      <c r="N189" s="99"/>
      <c r="O189" s="99"/>
      <c r="P189" s="97"/>
    </row>
    <row r="190" spans="1:16" ht="16.5" customHeight="1" x14ac:dyDescent="0.25">
      <c r="A190" s="96"/>
      <c r="B190" s="122" t="s">
        <v>229</v>
      </c>
      <c r="C190" s="123" t="e">
        <f>IF(VLOOKUP(B190,'Gebouwgegevens Allacker'!$J$5:$Q$83,2,0)=$B$158,VLOOKUP(B190,'Gebouwgegevens Allacker'!$J$5:$Q$83,2,0),VLOOKUP(B190,'Gebouwgegevens Allacker'!$J$5:$Q$83,3,0))</f>
        <v>#N/A</v>
      </c>
      <c r="D190" s="123" t="e">
        <f>IF(VLOOKUP(B190,'Gebouwgegevens Allacker'!$J$5:$Q$83,2,0)=$B$158,VLOOKUP(B190,'Gebouwgegevens Allacker'!$J$5:$Q$83,3,0),VLOOKUP(B190,'Gebouwgegevens Allacker'!$J$5:$Q$83,2,0))</f>
        <v>#N/A</v>
      </c>
      <c r="E190" s="123" t="e">
        <f>VLOOKUP(B190,'Gebouwgegevens Allacker'!$J$5:$Q$83,4,0)</f>
        <v>#N/A</v>
      </c>
      <c r="F190" s="123" t="e">
        <f>VLOOKUP(B190,'Gebouwgegevens Allacker'!$J$5:$Q$83,5,0)</f>
        <v>#N/A</v>
      </c>
      <c r="G190" s="123" t="e">
        <f>VLOOKUP('Verwarming Tabula'!C190,'Gebouwgegevens Allacker'!$A$35:$F$46,5,0)</f>
        <v>#N/A</v>
      </c>
      <c r="H190" s="123" t="e">
        <f>VLOOKUP('Verwarming Tabula'!D190,'Gebouwgegevens Allacker'!$A$35:$F$46,5,0)</f>
        <v>#N/A</v>
      </c>
      <c r="I190" s="123" t="e">
        <f>VLOOKUP(B190,'Gebouwgegevens Allacker'!$J$5:$Q$83,7,0)</f>
        <v>#N/A</v>
      </c>
      <c r="J190" s="119" t="e">
        <f>VLOOKUP(B190,'Gebouwgegevens Allacker'!$J$5:$Q$83,8,0)</f>
        <v>#N/A</v>
      </c>
      <c r="K190" s="119" t="e">
        <f>(G190-H190)/(G190-$B$4)</f>
        <v>#N/A</v>
      </c>
      <c r="L190" s="99"/>
      <c r="M190" s="99"/>
      <c r="N190" s="99"/>
      <c r="O190" s="99"/>
      <c r="P190" s="97"/>
    </row>
    <row r="191" spans="1:16" ht="16.5" customHeight="1" x14ac:dyDescent="0.25">
      <c r="A191" s="96"/>
      <c r="B191" s="93"/>
      <c r="C191" s="123"/>
      <c r="D191" s="123"/>
      <c r="E191" s="123"/>
      <c r="F191" s="123"/>
      <c r="G191" s="123"/>
      <c r="H191" s="123"/>
      <c r="I191" s="123"/>
      <c r="J191" s="119"/>
      <c r="K191" s="119"/>
      <c r="L191" s="99"/>
      <c r="M191" s="99"/>
      <c r="N191" s="99"/>
      <c r="O191" s="99"/>
      <c r="P191" s="97"/>
    </row>
    <row r="192" spans="1:16" ht="16.5" customHeight="1" x14ac:dyDescent="0.25">
      <c r="A192" s="96"/>
      <c r="B192" s="124"/>
      <c r="C192" s="140"/>
      <c r="D192" s="123"/>
      <c r="E192" s="123"/>
      <c r="F192" s="123"/>
      <c r="G192" s="123"/>
      <c r="H192" s="123"/>
      <c r="I192" s="123"/>
      <c r="J192" s="119"/>
      <c r="K192" s="119"/>
      <c r="L192" s="99"/>
      <c r="M192" s="99"/>
      <c r="N192" s="99"/>
      <c r="O192" s="99"/>
      <c r="P192" s="97"/>
    </row>
    <row r="193" spans="1:16" ht="16.5" customHeight="1" x14ac:dyDescent="0.25">
      <c r="A193" s="96"/>
      <c r="B193" s="124"/>
      <c r="C193" s="140"/>
      <c r="D193" s="123"/>
      <c r="E193" s="123"/>
      <c r="F193" s="123"/>
      <c r="G193" s="123"/>
      <c r="H193" s="123"/>
      <c r="I193" s="123"/>
      <c r="J193" s="119"/>
      <c r="K193" s="119"/>
      <c r="L193" s="99"/>
      <c r="M193" s="99"/>
      <c r="N193" s="99"/>
      <c r="O193" s="99"/>
      <c r="P193" s="97"/>
    </row>
    <row r="194" spans="1:16" ht="16.5" customHeight="1" x14ac:dyDescent="0.25">
      <c r="A194" s="96"/>
      <c r="B194" s="124"/>
      <c r="C194" s="140"/>
      <c r="D194" s="123"/>
      <c r="E194" s="123"/>
      <c r="F194" s="123"/>
      <c r="G194" s="123"/>
      <c r="H194" s="123"/>
      <c r="I194" s="123"/>
      <c r="J194" s="119"/>
      <c r="K194" s="119"/>
      <c r="L194" s="99"/>
      <c r="M194" s="99"/>
      <c r="N194" s="99"/>
      <c r="O194" s="99"/>
      <c r="P194" s="97"/>
    </row>
    <row r="195" spans="1:16" ht="16.5" customHeight="1" x14ac:dyDescent="0.25">
      <c r="A195" s="96"/>
      <c r="B195" s="124"/>
      <c r="C195" s="140"/>
      <c r="D195" s="123"/>
      <c r="E195" s="123"/>
      <c r="F195" s="123"/>
      <c r="G195" s="123"/>
      <c r="H195" s="123"/>
      <c r="I195" s="123"/>
      <c r="J195" s="119"/>
      <c r="K195" s="119"/>
      <c r="L195" s="99"/>
      <c r="M195" s="99"/>
      <c r="N195" s="99"/>
      <c r="O195" s="99"/>
      <c r="P195" s="97"/>
    </row>
    <row r="196" spans="1:16" ht="16.5" customHeight="1" x14ac:dyDescent="0.25">
      <c r="A196" s="96"/>
      <c r="B196" s="124"/>
      <c r="C196" s="140"/>
      <c r="D196" s="123"/>
      <c r="E196" s="123"/>
      <c r="F196" s="123"/>
      <c r="G196" s="123"/>
      <c r="H196" s="123"/>
      <c r="I196" s="123"/>
      <c r="J196" s="119"/>
      <c r="K196" s="119"/>
      <c r="L196" s="99"/>
      <c r="M196" s="99"/>
      <c r="N196" s="99"/>
      <c r="O196" s="99"/>
      <c r="P196" s="97"/>
    </row>
    <row r="197" spans="1:16" ht="16.5" customHeight="1" x14ac:dyDescent="0.25">
      <c r="A197" s="96"/>
      <c r="B197" s="124"/>
      <c r="C197" s="140"/>
      <c r="D197" s="123"/>
      <c r="E197" s="123"/>
      <c r="F197" s="123"/>
      <c r="G197" s="123"/>
      <c r="H197" s="123"/>
      <c r="I197" s="123"/>
      <c r="J197" s="119"/>
      <c r="K197" s="119"/>
      <c r="L197" s="99"/>
      <c r="M197" s="99"/>
      <c r="N197" s="99"/>
      <c r="O197" s="99"/>
      <c r="P197" s="97"/>
    </row>
    <row r="198" spans="1:16" ht="15.75" customHeight="1" x14ac:dyDescent="0.25">
      <c r="A198" s="96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99"/>
      <c r="M198" s="99"/>
      <c r="N198" s="99"/>
      <c r="O198" s="99"/>
      <c r="P198" s="97"/>
    </row>
    <row r="199" spans="1:16" ht="15" customHeight="1" x14ac:dyDescent="0.25">
      <c r="A199" s="96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7"/>
    </row>
    <row r="200" spans="1:16" ht="15.75" customHeight="1" x14ac:dyDescent="0.25">
      <c r="A200" s="104" t="s">
        <v>195</v>
      </c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7"/>
    </row>
    <row r="201" spans="1:16" ht="16.5" customHeight="1" x14ac:dyDescent="0.25">
      <c r="A201" s="125" t="s">
        <v>196</v>
      </c>
      <c r="B201" s="119" t="e">
        <f>SUMPRODUCT(H164:H175,I164:I175)+SUMPRODUCT(G180:G184,H180:H184)+SUMPRODUCT(J188:J197,K188:K197)</f>
        <v>#N/A</v>
      </c>
      <c r="C201" s="119" t="s">
        <v>107</v>
      </c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7"/>
    </row>
    <row r="202" spans="1:16" ht="16.5" customHeight="1" x14ac:dyDescent="0.25">
      <c r="A202" s="125" t="s">
        <v>170</v>
      </c>
      <c r="B202" s="119" t="e">
        <f>B201*(G188-$B$4)</f>
        <v>#N/A</v>
      </c>
      <c r="C202" s="119" t="s">
        <v>172</v>
      </c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7"/>
    </row>
    <row r="203" spans="1:16" ht="15.75" customHeight="1" x14ac:dyDescent="0.25">
      <c r="A203" s="110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2"/>
    </row>
    <row r="204" spans="1:16" ht="15.75" customHeight="1" x14ac:dyDescent="0.25">
      <c r="A204" s="279" t="s">
        <v>197</v>
      </c>
      <c r="B204" s="279"/>
      <c r="C204" s="279"/>
      <c r="D204" s="126" t="s">
        <v>225</v>
      </c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95"/>
    </row>
    <row r="205" spans="1:16" ht="15" customHeight="1" x14ac:dyDescent="0.25">
      <c r="A205" s="96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7"/>
    </row>
    <row r="206" spans="1:16" ht="15" customHeight="1" x14ac:dyDescent="0.25">
      <c r="A206" s="127" t="s">
        <v>198</v>
      </c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7"/>
    </row>
    <row r="207" spans="1:16" ht="15" customHeight="1" x14ac:dyDescent="0.25">
      <c r="A207" s="128" t="s">
        <v>199</v>
      </c>
      <c r="B207" s="122">
        <v>8</v>
      </c>
      <c r="C207" s="121" t="s">
        <v>200</v>
      </c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7"/>
    </row>
    <row r="208" spans="1:16" ht="15" customHeight="1" x14ac:dyDescent="0.25">
      <c r="A208" s="128" t="s">
        <v>201</v>
      </c>
      <c r="B208" s="122">
        <v>0.03</v>
      </c>
      <c r="C208" s="121" t="s">
        <v>202</v>
      </c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7"/>
    </row>
    <row r="209" spans="1:16" ht="15.75" customHeight="1" x14ac:dyDescent="0.25">
      <c r="A209" s="128" t="s">
        <v>203</v>
      </c>
      <c r="B209" s="122">
        <v>1</v>
      </c>
      <c r="C209" s="121" t="s">
        <v>204</v>
      </c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7"/>
    </row>
    <row r="210" spans="1:16" ht="16.5" customHeight="1" x14ac:dyDescent="0.25">
      <c r="A210" s="125" t="s">
        <v>205</v>
      </c>
      <c r="B210" s="119">
        <f>2*VLOOKUP(B158,'Gebouwgegevens Allacker'!$A$35:$F$46,6,0)*B207*B208*B209</f>
        <v>0</v>
      </c>
      <c r="C210" s="119" t="s">
        <v>206</v>
      </c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7"/>
    </row>
    <row r="211" spans="1:16" ht="15.75" customHeight="1" x14ac:dyDescent="0.25">
      <c r="A211" s="96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7"/>
    </row>
    <row r="212" spans="1:16" ht="15" customHeight="1" x14ac:dyDescent="0.25">
      <c r="A212" s="127" t="s">
        <v>207</v>
      </c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7"/>
    </row>
    <row r="213" spans="1:16" ht="15.75" customHeight="1" x14ac:dyDescent="0.25">
      <c r="A213" s="96" t="s">
        <v>183</v>
      </c>
      <c r="B213" s="99">
        <f>VLOOKUP(B158,'Gebouwgegevens Allacker'!$A$35:$F$46,6,0)</f>
        <v>0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7"/>
    </row>
    <row r="214" spans="1:16" ht="16.5" customHeight="1" x14ac:dyDescent="0.25">
      <c r="A214" s="125" t="s">
        <v>208</v>
      </c>
      <c r="B214" s="129">
        <v>25</v>
      </c>
      <c r="C214" s="119" t="s">
        <v>206</v>
      </c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7"/>
    </row>
    <row r="215" spans="1:16" ht="15.75" customHeight="1" x14ac:dyDescent="0.25">
      <c r="A215" s="96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7"/>
    </row>
    <row r="216" spans="1:16" ht="15.75" customHeight="1" x14ac:dyDescent="0.25">
      <c r="A216" s="96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7"/>
    </row>
    <row r="217" spans="1:16" ht="16.5" customHeight="1" x14ac:dyDescent="0.25">
      <c r="A217" s="125" t="s">
        <v>210</v>
      </c>
      <c r="B217" s="119">
        <f>MAX(B210,B214)</f>
        <v>25</v>
      </c>
      <c r="C217" s="119" t="s">
        <v>206</v>
      </c>
      <c r="D217" s="99"/>
      <c r="E217" s="99"/>
      <c r="F217" s="119" t="s">
        <v>211</v>
      </c>
      <c r="G217" s="119">
        <f>B217/VLOOKUP(B158,'Gebouwgegevens Allacker'!$A$35:$B$46,2,0)</f>
        <v>0.16407644649795233</v>
      </c>
      <c r="H217" s="99"/>
      <c r="I217" s="99"/>
      <c r="J217" s="99"/>
      <c r="K217" s="99"/>
      <c r="L217" s="99"/>
      <c r="M217" s="99"/>
      <c r="N217" s="99"/>
      <c r="O217" s="99"/>
      <c r="P217" s="97"/>
    </row>
    <row r="218" spans="1:16" ht="16.5" customHeight="1" x14ac:dyDescent="0.25">
      <c r="A218" s="96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7"/>
    </row>
    <row r="219" spans="1:16" ht="16.5" customHeight="1" x14ac:dyDescent="0.25">
      <c r="A219" s="125" t="s">
        <v>212</v>
      </c>
      <c r="B219" s="119">
        <f>0.34*B217</f>
        <v>8.5</v>
      </c>
      <c r="C219" s="119" t="s">
        <v>107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7"/>
    </row>
    <row r="220" spans="1:16" ht="16.5" customHeight="1" x14ac:dyDescent="0.25">
      <c r="A220" s="125" t="s">
        <v>170</v>
      </c>
      <c r="B220" s="119">
        <f>B219*('Gebouwgegevens Allacker'!E180-$B$4)</f>
        <v>68</v>
      </c>
      <c r="C220" s="119" t="s">
        <v>172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7"/>
    </row>
    <row r="221" spans="1:16" ht="15.75" customHeight="1" x14ac:dyDescent="0.25">
      <c r="A221" s="141"/>
      <c r="B221" s="142"/>
      <c r="C221" s="142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2"/>
    </row>
    <row r="222" spans="1:16" ht="15.75" customHeight="1" x14ac:dyDescent="0.25">
      <c r="A222" s="279" t="s">
        <v>213</v>
      </c>
      <c r="B222" s="279"/>
      <c r="C222" s="279"/>
      <c r="D222" s="27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7"/>
    </row>
    <row r="223" spans="1:16" ht="15" customHeight="1" x14ac:dyDescent="0.25">
      <c r="A223" s="96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7"/>
    </row>
    <row r="224" spans="1:16" ht="15" customHeight="1" x14ac:dyDescent="0.25">
      <c r="A224" s="128" t="s">
        <v>214</v>
      </c>
      <c r="B224" s="122">
        <v>0</v>
      </c>
      <c r="C224" s="58" t="s">
        <v>230</v>
      </c>
      <c r="D224" s="58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7"/>
    </row>
    <row r="225" spans="1:16" ht="15.75" customHeight="1" x14ac:dyDescent="0.25">
      <c r="A225" s="3" t="s">
        <v>113</v>
      </c>
      <c r="B225" s="58">
        <f>VLOOKUP(B158,'Gebouwgegevens Allacker'!$A$35:$F$46,6,0)</f>
        <v>0</v>
      </c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7"/>
    </row>
    <row r="226" spans="1:16" ht="16.5" customHeight="1" x14ac:dyDescent="0.25">
      <c r="A226" s="125" t="s">
        <v>216</v>
      </c>
      <c r="B226" s="119">
        <f>B227/('Gebouwgegevens Allacker'!E180-'Verwarming Tabula'!$B$4)</f>
        <v>0</v>
      </c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7"/>
    </row>
    <row r="227" spans="1:16" ht="16.5" customHeight="1" x14ac:dyDescent="0.25">
      <c r="A227" s="125" t="s">
        <v>170</v>
      </c>
      <c r="B227" s="119">
        <f>B224*B225</f>
        <v>0</v>
      </c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7"/>
    </row>
    <row r="228" spans="1:16" ht="15.75" customHeight="1" x14ac:dyDescent="0.25">
      <c r="A228" s="96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7"/>
    </row>
    <row r="229" spans="1:16" ht="15.75" customHeight="1" x14ac:dyDescent="0.25">
      <c r="A229" s="96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7"/>
    </row>
    <row r="230" spans="1:16" ht="15.75" customHeight="1" x14ac:dyDescent="0.25">
      <c r="A230" s="130" t="s">
        <v>217</v>
      </c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2"/>
    </row>
    <row r="231" spans="1:16" ht="16.5" customHeight="1" x14ac:dyDescent="0.25">
      <c r="A231" s="125" t="s">
        <v>218</v>
      </c>
      <c r="B231" s="119" t="e">
        <f>SUM(B201,B219,B226)</f>
        <v>#N/A</v>
      </c>
      <c r="C231" s="119" t="s">
        <v>107</v>
      </c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4"/>
    </row>
    <row r="232" spans="1:16" ht="16.5" customHeight="1" x14ac:dyDescent="0.25">
      <c r="A232" s="125" t="s">
        <v>170</v>
      </c>
      <c r="B232" s="119" t="e">
        <f>SUM(B202,B220,B227)</f>
        <v>#N/A</v>
      </c>
      <c r="C232" s="119" t="s">
        <v>172</v>
      </c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4"/>
    </row>
    <row r="233" spans="1:16" ht="16.5" customHeight="1" x14ac:dyDescent="0.25">
      <c r="A233" s="135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7"/>
    </row>
    <row r="234" spans="1:16" ht="15" customHeight="1" x14ac:dyDescent="0.25">
      <c r="A234" s="138"/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</row>
    <row r="235" spans="1:16" ht="15.75" customHeight="1" x14ac:dyDescent="0.25">
      <c r="A235" s="138"/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</row>
    <row r="236" spans="1:16" ht="15" customHeight="1" x14ac:dyDescent="0.25">
      <c r="A236" s="94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95"/>
    </row>
    <row r="237" spans="1:16" ht="17.25" customHeight="1" x14ac:dyDescent="0.3">
      <c r="A237" s="98" t="s">
        <v>169</v>
      </c>
      <c r="B237" s="93">
        <v>4</v>
      </c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7"/>
    </row>
    <row r="238" spans="1:16" ht="15.75" customHeight="1" x14ac:dyDescent="0.25">
      <c r="A238" s="279" t="s">
        <v>171</v>
      </c>
      <c r="B238" s="279"/>
      <c r="C238" s="279"/>
      <c r="D238" s="279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95"/>
    </row>
    <row r="239" spans="1:16" ht="15" customHeight="1" x14ac:dyDescent="0.25">
      <c r="A239" s="96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7"/>
    </row>
    <row r="240" spans="1:16" ht="15" customHeight="1" x14ac:dyDescent="0.25">
      <c r="A240" s="104" t="s">
        <v>173</v>
      </c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7"/>
    </row>
    <row r="241" spans="1:16" ht="15" customHeight="1" x14ac:dyDescent="0.25">
      <c r="A241" s="96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7"/>
    </row>
    <row r="242" spans="1:16" ht="15.75" customHeight="1" x14ac:dyDescent="0.25">
      <c r="A242" s="96"/>
      <c r="B242" s="105" t="s">
        <v>10</v>
      </c>
      <c r="C242" s="105" t="s">
        <v>174</v>
      </c>
      <c r="D242" s="105" t="s">
        <v>175</v>
      </c>
      <c r="E242" s="105" t="s">
        <v>176</v>
      </c>
      <c r="F242" s="105" t="s">
        <v>177</v>
      </c>
      <c r="G242" s="105" t="s">
        <v>16</v>
      </c>
      <c r="H242" s="106" t="s">
        <v>17</v>
      </c>
      <c r="I242" s="106" t="s">
        <v>178</v>
      </c>
      <c r="J242" s="99"/>
      <c r="K242" s="99"/>
      <c r="L242" s="99"/>
      <c r="M242" s="99"/>
      <c r="N242" s="99"/>
      <c r="O242" s="99"/>
      <c r="P242" s="97"/>
    </row>
    <row r="243" spans="1:16" ht="16.5" customHeight="1" x14ac:dyDescent="0.25">
      <c r="A243" s="96"/>
      <c r="B243" s="107" t="s">
        <v>71</v>
      </c>
      <c r="C243" s="108">
        <f>VLOOKUP(B243,'Gebouwgegevens Allacker'!$J$5:$Q$83,3,0)</f>
        <v>3</v>
      </c>
      <c r="D243" s="108" t="str">
        <f>VLOOKUP(B243,'Gebouwgegevens Allacker'!$J$5:$Q$83,4,0)</f>
        <v>Wall External</v>
      </c>
      <c r="E243" s="108">
        <f>VLOOKUP(B243,'Gebouwgegevens Allacker'!$J$5:$Q$83,5,0)</f>
        <v>0</v>
      </c>
      <c r="F243" s="108" t="str">
        <f>VLOOKUP(B243,'Gebouwgegevens Allacker'!$J$5:$Q$83,6,0)</f>
        <v>front</v>
      </c>
      <c r="G243" s="108">
        <f>VLOOKUP(B243,'Gebouwgegevens Allacker'!$J$5:$Q$83,7,0)</f>
        <v>2.2022341505875525</v>
      </c>
      <c r="H243" s="109">
        <f>VLOOKUP(B243,'Gebouwgegevens Allacker'!$J$5:$Q$83,8,0)</f>
        <v>0</v>
      </c>
      <c r="I243" s="109">
        <v>1</v>
      </c>
      <c r="J243" s="99"/>
      <c r="K243" s="99"/>
      <c r="L243" s="99"/>
      <c r="M243" s="99"/>
      <c r="N243" s="99"/>
      <c r="O243" s="99"/>
      <c r="P243" s="97"/>
    </row>
    <row r="244" spans="1:16" ht="16.5" customHeight="1" x14ac:dyDescent="0.25">
      <c r="A244" s="96"/>
      <c r="B244" s="107" t="s">
        <v>75</v>
      </c>
      <c r="C244" s="108">
        <f>VLOOKUP(B244,'Gebouwgegevens Allacker'!$J$5:$Q$83,3,0)</f>
        <v>3</v>
      </c>
      <c r="D244" s="108" t="str">
        <f>VLOOKUP(B244,'Gebouwgegevens Allacker'!$J$5:$Q$83,4,0)</f>
        <v>Wall External</v>
      </c>
      <c r="E244" s="108">
        <f>VLOOKUP(B244,'Gebouwgegevens Allacker'!$J$5:$Q$83,5,0)</f>
        <v>14.24</v>
      </c>
      <c r="F244" s="108" t="str">
        <f>VLOOKUP(B244,'Gebouwgegevens Allacker'!$J$5:$Q$83,6,0)</f>
        <v>right</v>
      </c>
      <c r="G244" s="108">
        <f>VLOOKUP(B244,'Gebouwgegevens Allacker'!$J$5:$Q$83,7,0)</f>
        <v>2.2022341505875525</v>
      </c>
      <c r="H244" s="109">
        <f>VLOOKUP(B244,'Gebouwgegevens Allacker'!$J$5:$Q$83,8,0)</f>
        <v>31.359814304366747</v>
      </c>
      <c r="I244" s="109">
        <v>1</v>
      </c>
      <c r="J244" s="99"/>
      <c r="K244" s="99"/>
      <c r="L244" s="99"/>
      <c r="M244" s="99"/>
      <c r="N244" s="99"/>
      <c r="O244" s="99"/>
      <c r="P244" s="97"/>
    </row>
    <row r="245" spans="1:16" ht="16.5" customHeight="1" x14ac:dyDescent="0.25">
      <c r="A245" s="96"/>
      <c r="B245" s="107" t="s">
        <v>79</v>
      </c>
      <c r="C245" s="108">
        <f>VLOOKUP(B245,'Gebouwgegevens Allacker'!$J$5:$Q$83,3,0)</f>
        <v>3</v>
      </c>
      <c r="D245" s="108" t="str">
        <f>VLOOKUP(B245,'Gebouwgegevens Allacker'!$J$5:$Q$83,4,0)</f>
        <v>Wall External</v>
      </c>
      <c r="E245" s="108">
        <f>VLOOKUP(B245,'Gebouwgegevens Allacker'!$J$5:$Q$83,5,0)</f>
        <v>0</v>
      </c>
      <c r="F245" s="108" t="str">
        <f>VLOOKUP(B245,'Gebouwgegevens Allacker'!$J$5:$Q$83,6,0)</f>
        <v>back</v>
      </c>
      <c r="G245" s="108">
        <f>VLOOKUP(B245,'Gebouwgegevens Allacker'!$J$5:$Q$83,7,0)</f>
        <v>2.2022341505875525</v>
      </c>
      <c r="H245" s="109">
        <f>VLOOKUP(B245,'Gebouwgegevens Allacker'!$J$5:$Q$83,8,0)</f>
        <v>0</v>
      </c>
      <c r="I245" s="109">
        <v>1</v>
      </c>
      <c r="J245" s="99"/>
      <c r="K245" s="99"/>
      <c r="L245" s="99"/>
      <c r="M245" s="99"/>
      <c r="N245" s="99"/>
      <c r="O245" s="99"/>
      <c r="P245" s="97"/>
    </row>
    <row r="246" spans="1:16" ht="16.5" customHeight="1" x14ac:dyDescent="0.25">
      <c r="A246" s="96"/>
      <c r="B246" s="143" t="s">
        <v>82</v>
      </c>
      <c r="C246" s="108">
        <f>VLOOKUP(B246,'Gebouwgegevens Allacker'!$J$5:$Q$83,3,0)</f>
        <v>3</v>
      </c>
      <c r="D246" s="108" t="str">
        <f>VLOOKUP(B246,'Gebouwgegevens Allacker'!$J$5:$Q$83,4,0)</f>
        <v>Wall External</v>
      </c>
      <c r="E246" s="108">
        <f>VLOOKUP(B246,'Gebouwgegevens Allacker'!$J$5:$Q$83,5,0)</f>
        <v>14.24</v>
      </c>
      <c r="F246" s="108" t="str">
        <f>VLOOKUP(B246,'Gebouwgegevens Allacker'!$J$5:$Q$83,6,0)</f>
        <v>left</v>
      </c>
      <c r="G246" s="108">
        <f>VLOOKUP(B246,'Gebouwgegevens Allacker'!$J$5:$Q$83,7,0)</f>
        <v>2.2022341505875525</v>
      </c>
      <c r="H246" s="109">
        <f>VLOOKUP(B246,'Gebouwgegevens Allacker'!$J$5:$Q$83,8,0)</f>
        <v>31.359814304366747</v>
      </c>
      <c r="I246" s="109">
        <v>1</v>
      </c>
      <c r="J246" s="99"/>
      <c r="K246" s="99"/>
      <c r="L246" s="99"/>
      <c r="M246" s="99"/>
      <c r="N246" s="99"/>
      <c r="O246" s="99"/>
      <c r="P246" s="97"/>
    </row>
    <row r="247" spans="1:16" ht="16.5" customHeight="1" x14ac:dyDescent="0.25">
      <c r="A247" s="96"/>
      <c r="B247" s="144"/>
      <c r="C247" s="145"/>
      <c r="D247" s="108"/>
      <c r="E247" s="108"/>
      <c r="F247" s="108"/>
      <c r="G247" s="108"/>
      <c r="H247" s="109"/>
      <c r="I247" s="109"/>
      <c r="J247" s="99"/>
      <c r="K247" s="99"/>
      <c r="L247" s="99"/>
      <c r="M247" s="99"/>
      <c r="N247" s="99"/>
      <c r="O247" s="99"/>
      <c r="P247" s="97"/>
    </row>
    <row r="248" spans="1:16" ht="16.5" customHeight="1" x14ac:dyDescent="0.25">
      <c r="A248" s="96"/>
      <c r="B248" s="144"/>
      <c r="C248" s="145"/>
      <c r="D248" s="108"/>
      <c r="E248" s="108"/>
      <c r="F248" s="108"/>
      <c r="G248" s="108"/>
      <c r="H248" s="109"/>
      <c r="I248" s="109"/>
      <c r="J248" s="99"/>
      <c r="K248" s="99"/>
      <c r="L248" s="99"/>
      <c r="M248" s="99"/>
      <c r="N248" s="99"/>
      <c r="O248" s="99"/>
      <c r="P248" s="97"/>
    </row>
    <row r="249" spans="1:16" ht="16.5" customHeight="1" x14ac:dyDescent="0.25">
      <c r="A249" s="96"/>
      <c r="B249" s="144"/>
      <c r="C249" s="145"/>
      <c r="D249" s="108"/>
      <c r="E249" s="108"/>
      <c r="F249" s="108"/>
      <c r="G249" s="108"/>
      <c r="H249" s="109"/>
      <c r="I249" s="109"/>
      <c r="J249" s="99"/>
      <c r="K249" s="99"/>
      <c r="L249" s="99"/>
      <c r="M249" s="99"/>
      <c r="N249" s="99"/>
      <c r="O249" s="99"/>
      <c r="P249" s="97"/>
    </row>
    <row r="250" spans="1:16" ht="16.5" customHeight="1" x14ac:dyDescent="0.25">
      <c r="A250" s="96"/>
      <c r="B250" s="144"/>
      <c r="C250" s="145"/>
      <c r="D250" s="108"/>
      <c r="E250" s="108"/>
      <c r="F250" s="108"/>
      <c r="G250" s="108"/>
      <c r="H250" s="109"/>
      <c r="I250" s="109"/>
      <c r="J250" s="99"/>
      <c r="K250" s="99"/>
      <c r="L250" s="99"/>
      <c r="M250" s="99"/>
      <c r="N250" s="99"/>
      <c r="O250" s="99"/>
      <c r="P250" s="97"/>
    </row>
    <row r="251" spans="1:16" ht="16.5" customHeight="1" x14ac:dyDescent="0.25">
      <c r="A251" s="96"/>
      <c r="B251" s="144"/>
      <c r="C251" s="145"/>
      <c r="D251" s="108"/>
      <c r="E251" s="108"/>
      <c r="F251" s="108"/>
      <c r="G251" s="108"/>
      <c r="H251" s="109"/>
      <c r="I251" s="109"/>
      <c r="J251" s="99"/>
      <c r="K251" s="99"/>
      <c r="L251" s="99"/>
      <c r="M251" s="99"/>
      <c r="N251" s="99"/>
      <c r="O251" s="99"/>
      <c r="P251" s="97"/>
    </row>
    <row r="252" spans="1:16" ht="16.5" customHeight="1" x14ac:dyDescent="0.25">
      <c r="A252" s="96"/>
      <c r="B252" s="144"/>
      <c r="C252" s="145"/>
      <c r="D252" s="108"/>
      <c r="E252" s="108"/>
      <c r="F252" s="108"/>
      <c r="G252" s="108"/>
      <c r="H252" s="109"/>
      <c r="I252" s="109"/>
      <c r="J252" s="99"/>
      <c r="K252" s="99"/>
      <c r="L252" s="99"/>
      <c r="M252" s="99"/>
      <c r="N252" s="99"/>
      <c r="O252" s="99"/>
      <c r="P252" s="97"/>
    </row>
    <row r="253" spans="1:16" ht="16.5" customHeight="1" x14ac:dyDescent="0.25">
      <c r="A253" s="96"/>
      <c r="B253" s="144"/>
      <c r="C253" s="145"/>
      <c r="D253" s="108"/>
      <c r="E253" s="108"/>
      <c r="F253" s="108"/>
      <c r="G253" s="108"/>
      <c r="H253" s="109"/>
      <c r="I253" s="109"/>
      <c r="J253" s="99"/>
      <c r="K253" s="99"/>
      <c r="L253" s="99"/>
      <c r="M253" s="99"/>
      <c r="N253" s="99"/>
      <c r="O253" s="99"/>
      <c r="P253" s="97"/>
    </row>
    <row r="254" spans="1:16" ht="16.5" customHeight="1" x14ac:dyDescent="0.25">
      <c r="A254" s="96"/>
      <c r="B254" s="144"/>
      <c r="C254" s="145"/>
      <c r="D254" s="108"/>
      <c r="E254" s="108"/>
      <c r="F254" s="108"/>
      <c r="G254" s="108"/>
      <c r="H254" s="109"/>
      <c r="I254" s="109"/>
      <c r="J254" s="99"/>
      <c r="K254" s="99"/>
      <c r="L254" s="99"/>
      <c r="M254" s="99"/>
      <c r="N254" s="99"/>
      <c r="O254" s="99"/>
      <c r="P254" s="97"/>
    </row>
    <row r="255" spans="1:16" ht="15.75" customHeight="1" x14ac:dyDescent="0.25">
      <c r="A255" s="96"/>
      <c r="B255" s="58"/>
      <c r="C255" s="58"/>
      <c r="D255" s="58"/>
      <c r="E255" s="58"/>
      <c r="F255" s="58"/>
      <c r="G255" s="115"/>
      <c r="H255" s="58"/>
      <c r="I255" s="58"/>
      <c r="J255" s="99"/>
      <c r="K255" s="99"/>
      <c r="L255" s="99"/>
      <c r="M255" s="99"/>
      <c r="N255" s="99"/>
      <c r="O255" s="99"/>
      <c r="P255" s="97"/>
    </row>
    <row r="256" spans="1:16" ht="15" customHeight="1" x14ac:dyDescent="0.25">
      <c r="A256" s="96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7"/>
    </row>
    <row r="257" spans="1:16" ht="15" customHeight="1" x14ac:dyDescent="0.25">
      <c r="A257" s="104" t="s">
        <v>180</v>
      </c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7"/>
    </row>
    <row r="258" spans="1:16" ht="15.75" customHeight="1" x14ac:dyDescent="0.25">
      <c r="A258" s="96"/>
      <c r="B258" s="58" t="s">
        <v>10</v>
      </c>
      <c r="C258" s="58" t="s">
        <v>181</v>
      </c>
      <c r="D258" s="58" t="s">
        <v>175</v>
      </c>
      <c r="E258" s="58" t="s">
        <v>182</v>
      </c>
      <c r="F258" s="58" t="s">
        <v>16</v>
      </c>
      <c r="G258" s="115" t="s">
        <v>17</v>
      </c>
      <c r="H258" s="115" t="s">
        <v>178</v>
      </c>
      <c r="I258" s="58" t="s">
        <v>183</v>
      </c>
      <c r="J258" s="58" t="s">
        <v>184</v>
      </c>
      <c r="K258" s="58" t="s">
        <v>185</v>
      </c>
      <c r="L258" s="116" t="s">
        <v>186</v>
      </c>
      <c r="M258" s="116" t="s">
        <v>187</v>
      </c>
      <c r="N258" s="116" t="s">
        <v>188</v>
      </c>
      <c r="O258" s="99"/>
      <c r="P258" s="97"/>
    </row>
    <row r="259" spans="1:16" ht="16.5" customHeight="1" x14ac:dyDescent="0.25">
      <c r="A259" s="96"/>
      <c r="B259" s="117"/>
      <c r="C259" s="118"/>
      <c r="D259" s="118"/>
      <c r="E259" s="118"/>
      <c r="F259" s="118"/>
      <c r="G259" s="119"/>
      <c r="H259" s="119"/>
      <c r="I259" s="118"/>
      <c r="J259" s="117"/>
      <c r="K259" s="117"/>
      <c r="L259" s="120"/>
      <c r="M259" s="120"/>
      <c r="N259" s="121"/>
      <c r="O259" s="99"/>
      <c r="P259" s="97"/>
    </row>
    <row r="260" spans="1:16" ht="16.5" customHeight="1" x14ac:dyDescent="0.25">
      <c r="A260" s="96"/>
      <c r="B260" s="117"/>
      <c r="C260" s="118"/>
      <c r="D260" s="118"/>
      <c r="E260" s="118"/>
      <c r="F260" s="118"/>
      <c r="G260" s="119"/>
      <c r="H260" s="119"/>
      <c r="I260" s="118"/>
      <c r="J260" s="117"/>
      <c r="K260" s="117"/>
      <c r="L260" s="120"/>
      <c r="M260" s="120"/>
      <c r="N260" s="121"/>
      <c r="O260" s="99"/>
      <c r="P260" s="97"/>
    </row>
    <row r="261" spans="1:16" ht="16.5" customHeight="1" x14ac:dyDescent="0.25">
      <c r="A261" s="96"/>
      <c r="B261" s="117"/>
      <c r="C261" s="118"/>
      <c r="D261" s="118"/>
      <c r="E261" s="118"/>
      <c r="F261" s="118"/>
      <c r="G261" s="119"/>
      <c r="H261" s="119"/>
      <c r="I261" s="118"/>
      <c r="J261" s="117"/>
      <c r="K261" s="117"/>
      <c r="L261" s="120"/>
      <c r="M261" s="120"/>
      <c r="N261" s="121"/>
      <c r="O261" s="99"/>
      <c r="P261" s="97"/>
    </row>
    <row r="262" spans="1:16" ht="16.5" customHeight="1" x14ac:dyDescent="0.25">
      <c r="A262" s="96"/>
      <c r="B262" s="117"/>
      <c r="C262" s="118"/>
      <c r="D262" s="118"/>
      <c r="E262" s="118"/>
      <c r="F262" s="118"/>
      <c r="G262" s="119"/>
      <c r="H262" s="119"/>
      <c r="I262" s="118"/>
      <c r="J262" s="117"/>
      <c r="K262" s="117"/>
      <c r="L262" s="120"/>
      <c r="M262" s="120"/>
      <c r="N262" s="121"/>
      <c r="O262" s="99"/>
      <c r="P262" s="97"/>
    </row>
    <row r="263" spans="1:16" ht="16.5" customHeight="1" x14ac:dyDescent="0.25">
      <c r="A263" s="139"/>
      <c r="B263" s="117"/>
      <c r="C263" s="118"/>
      <c r="D263" s="118"/>
      <c r="E263" s="118"/>
      <c r="F263" s="118"/>
      <c r="G263" s="119"/>
      <c r="H263" s="119"/>
      <c r="I263" s="118"/>
      <c r="J263" s="117"/>
      <c r="K263" s="117"/>
      <c r="L263" s="120"/>
      <c r="M263" s="120"/>
      <c r="N263" s="121"/>
      <c r="O263" s="99"/>
      <c r="P263" s="97"/>
    </row>
    <row r="264" spans="1:16" ht="15.75" customHeight="1" x14ac:dyDescent="0.25">
      <c r="A264" s="96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7"/>
    </row>
    <row r="265" spans="1:16" ht="15" customHeight="1" x14ac:dyDescent="0.25">
      <c r="A265" s="104" t="s">
        <v>189</v>
      </c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7"/>
    </row>
    <row r="266" spans="1:16" ht="15.75" customHeight="1" x14ac:dyDescent="0.25">
      <c r="A266" s="96"/>
      <c r="B266" s="58" t="s">
        <v>10</v>
      </c>
      <c r="C266" s="58" t="s">
        <v>190</v>
      </c>
      <c r="D266" s="58" t="s">
        <v>191</v>
      </c>
      <c r="E266" s="58" t="s">
        <v>135</v>
      </c>
      <c r="F266" s="58" t="s">
        <v>192</v>
      </c>
      <c r="G266" s="58" t="s">
        <v>193</v>
      </c>
      <c r="H266" s="58" t="s">
        <v>194</v>
      </c>
      <c r="I266" s="58" t="s">
        <v>16</v>
      </c>
      <c r="J266" s="115" t="s">
        <v>17</v>
      </c>
      <c r="K266" s="115" t="s">
        <v>178</v>
      </c>
      <c r="L266" s="99"/>
      <c r="M266" s="99"/>
      <c r="N266" s="99"/>
      <c r="O266" s="99"/>
      <c r="P266" s="97"/>
    </row>
    <row r="267" spans="1:16" ht="16.5" customHeight="1" x14ac:dyDescent="0.25">
      <c r="A267" s="96"/>
      <c r="B267" s="122" t="s">
        <v>231</v>
      </c>
      <c r="C267" s="123" t="e">
        <f>IF(VLOOKUP(B267,'Gebouwgegevens Allacker'!$J$5:$Q$83,2,0)=$B$237,VLOOKUP(B267,'Gebouwgegevens Allacker'!$J$5:$Q$83,2,0),VLOOKUP(B267,'Gebouwgegevens Allacker'!$J$5:$Q$83,3,0))</f>
        <v>#N/A</v>
      </c>
      <c r="D267" s="123" t="e">
        <f>IF(VLOOKUP(B267,'Gebouwgegevens Allacker'!$J$5:$Q$83,2,0)=$B$237,VLOOKUP(B267,'Gebouwgegevens Allacker'!$J$5:$Q$83,3,0),VLOOKUP(B267,'Gebouwgegevens Allacker'!$J$5:$Q$83,2,0))</f>
        <v>#N/A</v>
      </c>
      <c r="E267" s="123" t="e">
        <f>VLOOKUP(B267,'Gebouwgegevens Allacker'!$J$5:$Q$83,4,0)</f>
        <v>#N/A</v>
      </c>
      <c r="F267" s="123" t="e">
        <f>VLOOKUP(B267,'Gebouwgegevens Allacker'!$J$5:$Q$83,5,0)</f>
        <v>#N/A</v>
      </c>
      <c r="G267" s="123" t="e">
        <f>VLOOKUP('Verwarming Tabula'!C267,'Gebouwgegevens Allacker'!$A$35:$F$46,5,0)</f>
        <v>#N/A</v>
      </c>
      <c r="H267" s="123" t="e">
        <f>VLOOKUP('Verwarming Tabula'!D267,'Gebouwgegevens Allacker'!$A$35:$F$46,5,0)</f>
        <v>#N/A</v>
      </c>
      <c r="I267" s="123" t="e">
        <f>VLOOKUP(B267,'Gebouwgegevens Allacker'!$J$5:$Q$83,7,0)</f>
        <v>#N/A</v>
      </c>
      <c r="J267" s="119" t="e">
        <f>VLOOKUP(B267,'Gebouwgegevens Allacker'!$J$5:$Q$83,8,0)</f>
        <v>#N/A</v>
      </c>
      <c r="K267" s="119" t="e">
        <f>(G267-H267)/(G267-$B$4)</f>
        <v>#N/A</v>
      </c>
      <c r="L267" s="99"/>
      <c r="M267" s="99"/>
      <c r="N267" s="99"/>
      <c r="O267" s="99"/>
      <c r="P267" s="97"/>
    </row>
    <row r="268" spans="1:16" ht="16.5" customHeight="1" x14ac:dyDescent="0.25">
      <c r="A268" s="96"/>
      <c r="B268" s="122" t="s">
        <v>232</v>
      </c>
      <c r="C268" s="123" t="e">
        <f>IF(VLOOKUP(B268,'Gebouwgegevens Allacker'!$J$5:$Q$83,2,0)=$B$237,VLOOKUP(B268,'Gebouwgegevens Allacker'!$J$5:$Q$83,2,0),VLOOKUP(B268,'Gebouwgegevens Allacker'!$J$5:$Q$83,3,0))</f>
        <v>#N/A</v>
      </c>
      <c r="D268" s="123" t="e">
        <f>IF(VLOOKUP(B268,'Gebouwgegevens Allacker'!$J$5:$Q$83,2,0)=$B$237,VLOOKUP(B268,'Gebouwgegevens Allacker'!$J$5:$Q$83,3,0),VLOOKUP(B268,'Gebouwgegevens Allacker'!$J$5:$Q$83,2,0))</f>
        <v>#N/A</v>
      </c>
      <c r="E268" s="123" t="e">
        <f>VLOOKUP(B268,'Gebouwgegevens Allacker'!$J$5:$Q$83,4,0)</f>
        <v>#N/A</v>
      </c>
      <c r="F268" s="123" t="e">
        <f>VLOOKUP(B268,'Gebouwgegevens Allacker'!$J$5:$Q$83,5,0)</f>
        <v>#N/A</v>
      </c>
      <c r="G268" s="123" t="e">
        <f>VLOOKUP('Verwarming Tabula'!C268,'Gebouwgegevens Allacker'!$A$35:$F$46,5,0)</f>
        <v>#N/A</v>
      </c>
      <c r="H268" s="123" t="e">
        <f>VLOOKUP('Verwarming Tabula'!D268,'Gebouwgegevens Allacker'!$A$35:$F$46,5,0)</f>
        <v>#N/A</v>
      </c>
      <c r="I268" s="123" t="e">
        <f>VLOOKUP(B268,'Gebouwgegevens Allacker'!$J$5:$Q$83,7,0)</f>
        <v>#N/A</v>
      </c>
      <c r="J268" s="119" t="e">
        <f>VLOOKUP(B268,'Gebouwgegevens Allacker'!$J$5:$Q$83,8,0)</f>
        <v>#N/A</v>
      </c>
      <c r="K268" s="119" t="e">
        <f>(G268-H268)/(G268-$B$4)</f>
        <v>#N/A</v>
      </c>
      <c r="L268" s="99"/>
      <c r="M268" s="99"/>
      <c r="N268" s="99"/>
      <c r="O268" s="99"/>
      <c r="P268" s="97"/>
    </row>
    <row r="269" spans="1:16" ht="16.5" customHeight="1" x14ac:dyDescent="0.25">
      <c r="A269" s="96"/>
      <c r="B269" s="122" t="s">
        <v>233</v>
      </c>
      <c r="C269" s="123" t="e">
        <f>IF(VLOOKUP(B269,'Gebouwgegevens Allacker'!$J$5:$Q$83,2,0)=$B$237,VLOOKUP(B269,'Gebouwgegevens Allacker'!$J$5:$Q$83,2,0),VLOOKUP(B269,'Gebouwgegevens Allacker'!$J$5:$Q$83,3,0))</f>
        <v>#N/A</v>
      </c>
      <c r="D269" s="123" t="e">
        <f>IF(VLOOKUP(B269,'Gebouwgegevens Allacker'!$J$5:$Q$83,2,0)=$B$237,VLOOKUP(B269,'Gebouwgegevens Allacker'!$J$5:$Q$83,3,0),VLOOKUP(B269,'Gebouwgegevens Allacker'!$J$5:$Q$83,2,0))</f>
        <v>#N/A</v>
      </c>
      <c r="E269" s="123" t="e">
        <f>VLOOKUP(B269,'Gebouwgegevens Allacker'!$J$5:$Q$83,4,0)</f>
        <v>#N/A</v>
      </c>
      <c r="F269" s="123" t="e">
        <f>VLOOKUP(B269,'Gebouwgegevens Allacker'!$J$5:$Q$83,5,0)</f>
        <v>#N/A</v>
      </c>
      <c r="G269" s="123" t="e">
        <f>VLOOKUP('Verwarming Tabula'!C269,'Gebouwgegevens Allacker'!$A$35:$F$46,5,0)</f>
        <v>#N/A</v>
      </c>
      <c r="H269" s="123" t="e">
        <f>VLOOKUP('Verwarming Tabula'!D269,'Gebouwgegevens Allacker'!$A$35:$F$46,5,0)</f>
        <v>#N/A</v>
      </c>
      <c r="I269" s="123" t="e">
        <f>VLOOKUP(B269,'Gebouwgegevens Allacker'!$J$5:$Q$83,7,0)</f>
        <v>#N/A</v>
      </c>
      <c r="J269" s="119" t="e">
        <f>VLOOKUP(B269,'Gebouwgegevens Allacker'!$J$5:$Q$83,8,0)</f>
        <v>#N/A</v>
      </c>
      <c r="K269" s="119" t="e">
        <f>(G269-H269)/(G269-$B$4)</f>
        <v>#N/A</v>
      </c>
      <c r="L269" s="99"/>
      <c r="M269" s="99"/>
      <c r="N269" s="99"/>
      <c r="O269" s="99"/>
      <c r="P269" s="97"/>
    </row>
    <row r="270" spans="1:16" ht="16.5" customHeight="1" x14ac:dyDescent="0.25">
      <c r="A270" s="96"/>
      <c r="B270" s="93" t="s">
        <v>234</v>
      </c>
      <c r="C270" s="123" t="e">
        <f>IF(VLOOKUP(B270,'Gebouwgegevens Allacker'!$J$5:$Q$83,2,0)=$B$237,VLOOKUP(B270,'Gebouwgegevens Allacker'!$J$5:$Q$83,2,0),VLOOKUP(B270,'Gebouwgegevens Allacker'!$J$5:$Q$83,3,0))</f>
        <v>#N/A</v>
      </c>
      <c r="D270" s="123" t="e">
        <f>IF(VLOOKUP(B270,'Gebouwgegevens Allacker'!$J$5:$Q$83,2,0)=$B$237,VLOOKUP(B270,'Gebouwgegevens Allacker'!$J$5:$Q$83,3,0),VLOOKUP(B270,'Gebouwgegevens Allacker'!$J$5:$Q$83,2,0))</f>
        <v>#N/A</v>
      </c>
      <c r="E270" s="123" t="e">
        <f>VLOOKUP(B270,'Gebouwgegevens Allacker'!$J$5:$Q$83,4,0)</f>
        <v>#N/A</v>
      </c>
      <c r="F270" s="123" t="e">
        <f>VLOOKUP(B270,'Gebouwgegevens Allacker'!$J$5:$Q$83,5,0)</f>
        <v>#N/A</v>
      </c>
      <c r="G270" s="123" t="e">
        <f>VLOOKUP('Verwarming Tabula'!C270,'Gebouwgegevens Allacker'!$A$35:$F$46,5,0)</f>
        <v>#N/A</v>
      </c>
      <c r="H270" s="123" t="e">
        <f>VLOOKUP('Verwarming Tabula'!D270,'Gebouwgegevens Allacker'!$A$35:$F$46,5,0)</f>
        <v>#N/A</v>
      </c>
      <c r="I270" s="123" t="e">
        <f>VLOOKUP(B270,'Gebouwgegevens Allacker'!$J$5:$Q$83,7,0)</f>
        <v>#N/A</v>
      </c>
      <c r="J270" s="119" t="e">
        <f>VLOOKUP(B270,'Gebouwgegevens Allacker'!$J$5:$Q$83,8,0)</f>
        <v>#N/A</v>
      </c>
      <c r="K270" s="119" t="e">
        <f>(G270-H270)/(G270-$B$4)</f>
        <v>#N/A</v>
      </c>
      <c r="L270" s="99"/>
      <c r="M270" s="99"/>
      <c r="N270" s="99"/>
      <c r="O270" s="99"/>
      <c r="P270" s="97"/>
    </row>
    <row r="271" spans="1:16" ht="16.5" customHeight="1" x14ac:dyDescent="0.25">
      <c r="A271" s="96"/>
      <c r="B271" s="124"/>
      <c r="C271" s="140"/>
      <c r="D271" s="123"/>
      <c r="E271" s="123"/>
      <c r="F271" s="123"/>
      <c r="G271" s="123"/>
      <c r="H271" s="123"/>
      <c r="I271" s="123"/>
      <c r="J271" s="119"/>
      <c r="K271" s="119"/>
      <c r="L271" s="99"/>
      <c r="M271" s="99"/>
      <c r="N271" s="99"/>
      <c r="O271" s="99"/>
      <c r="P271" s="97"/>
    </row>
    <row r="272" spans="1:16" ht="16.5" customHeight="1" x14ac:dyDescent="0.25">
      <c r="A272" s="96"/>
      <c r="B272" s="124"/>
      <c r="C272" s="140"/>
      <c r="D272" s="123"/>
      <c r="E272" s="123"/>
      <c r="F272" s="123"/>
      <c r="G272" s="123"/>
      <c r="H272" s="123"/>
      <c r="I272" s="123"/>
      <c r="J272" s="119"/>
      <c r="K272" s="119"/>
      <c r="L272" s="99"/>
      <c r="M272" s="99"/>
      <c r="N272" s="99"/>
      <c r="O272" s="99"/>
      <c r="P272" s="97"/>
    </row>
    <row r="273" spans="1:16" ht="16.5" customHeight="1" x14ac:dyDescent="0.25">
      <c r="A273" s="96"/>
      <c r="B273" s="124"/>
      <c r="C273" s="140"/>
      <c r="D273" s="123"/>
      <c r="E273" s="123"/>
      <c r="F273" s="123"/>
      <c r="G273" s="123"/>
      <c r="H273" s="123"/>
      <c r="I273" s="123"/>
      <c r="J273" s="119"/>
      <c r="K273" s="119"/>
      <c r="L273" s="99"/>
      <c r="M273" s="99"/>
      <c r="N273" s="99"/>
      <c r="O273" s="99"/>
      <c r="P273" s="97"/>
    </row>
    <row r="274" spans="1:16" ht="16.5" customHeight="1" x14ac:dyDescent="0.25">
      <c r="A274" s="96"/>
      <c r="B274" s="124"/>
      <c r="C274" s="140"/>
      <c r="D274" s="123"/>
      <c r="E274" s="123"/>
      <c r="F274" s="123"/>
      <c r="G274" s="123"/>
      <c r="H274" s="123"/>
      <c r="I274" s="123"/>
      <c r="J274" s="119"/>
      <c r="K274" s="119"/>
      <c r="L274" s="99"/>
      <c r="M274" s="99"/>
      <c r="N274" s="99"/>
      <c r="O274" s="99"/>
      <c r="P274" s="97"/>
    </row>
    <row r="275" spans="1:16" ht="16.5" customHeight="1" x14ac:dyDescent="0.25">
      <c r="A275" s="96"/>
      <c r="B275" s="124"/>
      <c r="C275" s="140"/>
      <c r="D275" s="123"/>
      <c r="E275" s="123"/>
      <c r="F275" s="123"/>
      <c r="G275" s="123"/>
      <c r="H275" s="123"/>
      <c r="I275" s="123"/>
      <c r="J275" s="119"/>
      <c r="K275" s="119"/>
      <c r="L275" s="99"/>
      <c r="M275" s="99"/>
      <c r="N275" s="99"/>
      <c r="O275" s="99"/>
      <c r="P275" s="97"/>
    </row>
    <row r="276" spans="1:16" ht="16.5" customHeight="1" x14ac:dyDescent="0.25">
      <c r="A276" s="96"/>
      <c r="B276" s="124"/>
      <c r="C276" s="140"/>
      <c r="D276" s="123"/>
      <c r="E276" s="123"/>
      <c r="F276" s="123"/>
      <c r="G276" s="123"/>
      <c r="H276" s="123"/>
      <c r="I276" s="123"/>
      <c r="J276" s="119"/>
      <c r="K276" s="119"/>
      <c r="L276" s="99"/>
      <c r="M276" s="99"/>
      <c r="N276" s="99"/>
      <c r="O276" s="99"/>
      <c r="P276" s="97"/>
    </row>
    <row r="277" spans="1:16" ht="15.75" customHeight="1" x14ac:dyDescent="0.25">
      <c r="A277" s="96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99"/>
      <c r="M277" s="99"/>
      <c r="N277" s="99"/>
      <c r="O277" s="99"/>
      <c r="P277" s="97"/>
    </row>
    <row r="278" spans="1:16" ht="15" customHeight="1" x14ac:dyDescent="0.25">
      <c r="A278" s="96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7"/>
    </row>
    <row r="279" spans="1:16" ht="15.75" customHeight="1" x14ac:dyDescent="0.25">
      <c r="A279" s="104" t="s">
        <v>195</v>
      </c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7"/>
    </row>
    <row r="280" spans="1:16" ht="16.5" customHeight="1" x14ac:dyDescent="0.25">
      <c r="A280" s="125" t="s">
        <v>196</v>
      </c>
      <c r="B280" s="119" t="e">
        <f>SUMPRODUCT(H243:H254,I243:I254)+SUMPRODUCT(G259:G263,H259:H263)+SUMPRODUCT(J267:J276,K267:K276)</f>
        <v>#N/A</v>
      </c>
      <c r="C280" s="119" t="s">
        <v>107</v>
      </c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7"/>
    </row>
    <row r="281" spans="1:16" ht="16.5" customHeight="1" x14ac:dyDescent="0.25">
      <c r="A281" s="125" t="s">
        <v>170</v>
      </c>
      <c r="B281" s="119" t="e">
        <f>B280*(G267-$B$4)</f>
        <v>#N/A</v>
      </c>
      <c r="C281" s="119" t="s">
        <v>172</v>
      </c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7"/>
    </row>
    <row r="282" spans="1:16" ht="15.75" customHeight="1" x14ac:dyDescent="0.25">
      <c r="A282" s="110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2"/>
    </row>
    <row r="283" spans="1:16" ht="15.75" customHeight="1" x14ac:dyDescent="0.25">
      <c r="A283" s="279" t="s">
        <v>197</v>
      </c>
      <c r="B283" s="279"/>
      <c r="C283" s="279"/>
      <c r="D283" s="126" t="s">
        <v>225</v>
      </c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95"/>
    </row>
    <row r="284" spans="1:16" ht="15" customHeight="1" x14ac:dyDescent="0.25">
      <c r="A284" s="96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7"/>
    </row>
    <row r="285" spans="1:16" ht="15" customHeight="1" x14ac:dyDescent="0.25">
      <c r="A285" s="127" t="s">
        <v>198</v>
      </c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7"/>
    </row>
    <row r="286" spans="1:16" ht="15" customHeight="1" x14ac:dyDescent="0.25">
      <c r="A286" s="128" t="s">
        <v>199</v>
      </c>
      <c r="B286" s="122">
        <v>8</v>
      </c>
      <c r="C286" s="121" t="s">
        <v>200</v>
      </c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7"/>
    </row>
    <row r="287" spans="1:16" ht="15" customHeight="1" x14ac:dyDescent="0.25">
      <c r="A287" s="128" t="s">
        <v>201</v>
      </c>
      <c r="B287" s="122">
        <v>0.03</v>
      </c>
      <c r="C287" s="121" t="s">
        <v>202</v>
      </c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7"/>
    </row>
    <row r="288" spans="1:16" ht="15.75" customHeight="1" x14ac:dyDescent="0.25">
      <c r="A288" s="128" t="s">
        <v>203</v>
      </c>
      <c r="B288" s="122">
        <v>1</v>
      </c>
      <c r="C288" s="121" t="s">
        <v>204</v>
      </c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7"/>
    </row>
    <row r="289" spans="1:16" ht="16.5" customHeight="1" x14ac:dyDescent="0.25">
      <c r="A289" s="125" t="s">
        <v>205</v>
      </c>
      <c r="B289" s="119" t="e">
        <f>2*VLOOKUP(B237,'Gebouwgegevens Allacker'!$A$35:$F$46,6,0)*B286*B287*B288</f>
        <v>#N/A</v>
      </c>
      <c r="C289" s="119" t="s">
        <v>206</v>
      </c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7"/>
    </row>
    <row r="290" spans="1:16" ht="15.75" customHeight="1" x14ac:dyDescent="0.25">
      <c r="A290" s="96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7"/>
    </row>
    <row r="291" spans="1:16" ht="15" customHeight="1" x14ac:dyDescent="0.25">
      <c r="A291" s="127" t="s">
        <v>207</v>
      </c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7"/>
    </row>
    <row r="292" spans="1:16" ht="15.75" customHeight="1" x14ac:dyDescent="0.25">
      <c r="A292" s="96" t="s">
        <v>183</v>
      </c>
      <c r="B292" s="99" t="e">
        <f>VLOOKUP(B237,'Gebouwgegevens Allacker'!$A$35:$F$46,6,0)</f>
        <v>#N/A</v>
      </c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7"/>
    </row>
    <row r="293" spans="1:16" ht="16.5" customHeight="1" x14ac:dyDescent="0.25">
      <c r="A293" s="125" t="s">
        <v>208</v>
      </c>
      <c r="B293" s="129">
        <v>50</v>
      </c>
      <c r="C293" s="119" t="s">
        <v>206</v>
      </c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7"/>
    </row>
    <row r="294" spans="1:16" ht="15.75" customHeight="1" x14ac:dyDescent="0.25">
      <c r="A294" s="96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7"/>
    </row>
    <row r="295" spans="1:16" ht="15.75" customHeight="1" x14ac:dyDescent="0.25">
      <c r="A295" s="96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7"/>
    </row>
    <row r="296" spans="1:16" ht="16.5" customHeight="1" x14ac:dyDescent="0.25">
      <c r="A296" s="125" t="s">
        <v>210</v>
      </c>
      <c r="B296" s="119" t="e">
        <f>MAX(B289,B293)</f>
        <v>#N/A</v>
      </c>
      <c r="C296" s="119" t="s">
        <v>206</v>
      </c>
      <c r="D296" s="99"/>
      <c r="E296" s="99"/>
      <c r="F296" s="119" t="s">
        <v>211</v>
      </c>
      <c r="G296" s="119" t="e">
        <f>B296/VLOOKUP(B237,'Gebouwgegevens Allacker'!$A$35:$B$46,2,0)</f>
        <v>#N/A</v>
      </c>
      <c r="H296" s="99"/>
      <c r="I296" s="99"/>
      <c r="J296" s="99"/>
      <c r="K296" s="99"/>
      <c r="L296" s="99"/>
      <c r="M296" s="99"/>
      <c r="N296" s="99"/>
      <c r="O296" s="99"/>
      <c r="P296" s="97"/>
    </row>
    <row r="297" spans="1:16" ht="16.5" customHeight="1" x14ac:dyDescent="0.25">
      <c r="A297" s="96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7"/>
    </row>
    <row r="298" spans="1:16" ht="16.5" customHeight="1" x14ac:dyDescent="0.25">
      <c r="A298" s="125" t="s">
        <v>212</v>
      </c>
      <c r="B298" s="119" t="e">
        <f>0.34*B296</f>
        <v>#N/A</v>
      </c>
      <c r="C298" s="119" t="s">
        <v>107</v>
      </c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7"/>
    </row>
    <row r="299" spans="1:16" ht="16.5" customHeight="1" x14ac:dyDescent="0.25">
      <c r="A299" s="125" t="s">
        <v>170</v>
      </c>
      <c r="B299" s="119" t="e">
        <f>B298*('Gebouwgegevens Allacker'!E259-$B$4)</f>
        <v>#N/A</v>
      </c>
      <c r="C299" s="119" t="s">
        <v>172</v>
      </c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7"/>
    </row>
    <row r="300" spans="1:16" ht="15.75" customHeight="1" x14ac:dyDescent="0.25">
      <c r="A300" s="110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2"/>
    </row>
    <row r="301" spans="1:16" ht="15.75" customHeight="1" x14ac:dyDescent="0.25">
      <c r="A301" s="279" t="s">
        <v>213</v>
      </c>
      <c r="B301" s="279"/>
      <c r="C301" s="279"/>
      <c r="D301" s="27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7"/>
    </row>
    <row r="302" spans="1:16" ht="15" customHeight="1" x14ac:dyDescent="0.25">
      <c r="A302" s="96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7"/>
    </row>
    <row r="303" spans="1:16" ht="15" customHeight="1" x14ac:dyDescent="0.25">
      <c r="A303" s="128" t="s">
        <v>214</v>
      </c>
      <c r="B303" s="122">
        <v>90</v>
      </c>
      <c r="C303" s="58" t="s">
        <v>235</v>
      </c>
      <c r="D303" s="58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7"/>
    </row>
    <row r="304" spans="1:16" ht="15.75" customHeight="1" x14ac:dyDescent="0.25">
      <c r="A304" s="3" t="s">
        <v>113</v>
      </c>
      <c r="B304" s="58" t="e">
        <f>VLOOKUP(B237,'Gebouwgegevens Allacker'!$A$35:$F$46,6,0)</f>
        <v>#N/A</v>
      </c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7"/>
    </row>
    <row r="305" spans="1:16" ht="16.5" customHeight="1" x14ac:dyDescent="0.25">
      <c r="A305" s="125" t="s">
        <v>216</v>
      </c>
      <c r="B305" s="119" t="e">
        <f>B306/('Gebouwgegevens Allacker'!E259-'Verwarming Tabula'!$B$4)</f>
        <v>#N/A</v>
      </c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7"/>
    </row>
    <row r="306" spans="1:16" ht="16.5" customHeight="1" x14ac:dyDescent="0.25">
      <c r="A306" s="125" t="s">
        <v>170</v>
      </c>
      <c r="B306" s="119" t="e">
        <f>B303*B304</f>
        <v>#N/A</v>
      </c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7"/>
    </row>
    <row r="307" spans="1:16" ht="15.75" customHeight="1" x14ac:dyDescent="0.25">
      <c r="A307" s="96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7"/>
    </row>
    <row r="308" spans="1:16" ht="15.75" customHeight="1" x14ac:dyDescent="0.25">
      <c r="A308" s="96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7"/>
    </row>
    <row r="309" spans="1:16" ht="15.75" customHeight="1" x14ac:dyDescent="0.25">
      <c r="A309" s="130" t="s">
        <v>217</v>
      </c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2"/>
    </row>
    <row r="310" spans="1:16" ht="16.5" customHeight="1" x14ac:dyDescent="0.25">
      <c r="A310" s="125" t="s">
        <v>218</v>
      </c>
      <c r="B310" s="119" t="e">
        <f>SUM(B280,B298,B305)</f>
        <v>#N/A</v>
      </c>
      <c r="C310" s="119" t="s">
        <v>107</v>
      </c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4"/>
    </row>
    <row r="311" spans="1:16" ht="16.5" customHeight="1" x14ac:dyDescent="0.25">
      <c r="A311" s="125" t="s">
        <v>170</v>
      </c>
      <c r="B311" s="119" t="e">
        <f>SUM(B281,B299,B306)</f>
        <v>#N/A</v>
      </c>
      <c r="C311" s="119" t="s">
        <v>172</v>
      </c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4"/>
    </row>
    <row r="312" spans="1:16" ht="16.5" customHeight="1" x14ac:dyDescent="0.25">
      <c r="A312" s="135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7"/>
    </row>
    <row r="313" spans="1:16" ht="15" customHeight="1" x14ac:dyDescent="0.25">
      <c r="A313" s="138"/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  <c r="M313" s="138"/>
      <c r="N313" s="138"/>
      <c r="O313" s="138"/>
      <c r="P313" s="138"/>
    </row>
    <row r="314" spans="1:16" ht="15.75" customHeight="1" x14ac:dyDescent="0.25">
      <c r="A314" s="138"/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  <c r="M314" s="138"/>
      <c r="N314" s="138"/>
      <c r="O314" s="138"/>
      <c r="P314" s="138"/>
    </row>
    <row r="315" spans="1:16" ht="15" customHeight="1" x14ac:dyDescent="0.25">
      <c r="A315" s="94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95"/>
    </row>
    <row r="316" spans="1:16" ht="17.25" customHeight="1" x14ac:dyDescent="0.3">
      <c r="A316" s="98" t="s">
        <v>169</v>
      </c>
      <c r="B316" s="93">
        <v>5</v>
      </c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7"/>
    </row>
    <row r="317" spans="1:16" ht="15.75" customHeight="1" x14ac:dyDescent="0.25">
      <c r="A317" s="279" t="s">
        <v>171</v>
      </c>
      <c r="B317" s="279"/>
      <c r="C317" s="279"/>
      <c r="D317" s="279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95"/>
    </row>
    <row r="318" spans="1:16" ht="15" customHeight="1" x14ac:dyDescent="0.25">
      <c r="A318" s="96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7"/>
    </row>
    <row r="319" spans="1:16" ht="15" customHeight="1" x14ac:dyDescent="0.25">
      <c r="A319" s="104" t="s">
        <v>173</v>
      </c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7"/>
    </row>
    <row r="320" spans="1:16" ht="15" customHeight="1" x14ac:dyDescent="0.25">
      <c r="A320" s="96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7"/>
    </row>
    <row r="321" spans="1:16" ht="15.75" customHeight="1" x14ac:dyDescent="0.25">
      <c r="A321" s="96"/>
      <c r="B321" s="105" t="s">
        <v>10</v>
      </c>
      <c r="C321" s="105" t="s">
        <v>174</v>
      </c>
      <c r="D321" s="105" t="s">
        <v>175</v>
      </c>
      <c r="E321" s="105" t="s">
        <v>176</v>
      </c>
      <c r="F321" s="105" t="s">
        <v>177</v>
      </c>
      <c r="G321" s="105" t="s">
        <v>16</v>
      </c>
      <c r="H321" s="106" t="s">
        <v>17</v>
      </c>
      <c r="I321" s="106" t="s">
        <v>178</v>
      </c>
      <c r="J321" s="99"/>
      <c r="K321" s="99"/>
      <c r="L321" s="99"/>
      <c r="M321" s="99"/>
      <c r="N321" s="99"/>
      <c r="O321" s="99"/>
      <c r="P321" s="97"/>
    </row>
    <row r="322" spans="1:16" ht="16.5" customHeight="1" x14ac:dyDescent="0.25">
      <c r="A322" s="96"/>
      <c r="B322" s="107" t="s">
        <v>84</v>
      </c>
      <c r="C322" s="108">
        <f>VLOOKUP(B322,'Gebouwgegevens Allacker'!$J$5:$Q$83,3,0)</f>
        <v>3</v>
      </c>
      <c r="D322" s="108" t="str">
        <f>VLOOKUP(B322,'Gebouwgegevens Allacker'!$J$5:$Q$83,4,0)</f>
        <v>Window</v>
      </c>
      <c r="E322" s="108">
        <f>VLOOKUP(B322,'Gebouwgegevens Allacker'!$J$5:$Q$83,5,0)</f>
        <v>0</v>
      </c>
      <c r="F322" s="108" t="str">
        <f>VLOOKUP(B322,'Gebouwgegevens Allacker'!$J$5:$Q$83,6,0)</f>
        <v>front</v>
      </c>
      <c r="G322" s="108">
        <f>VLOOKUP(B322,'Gebouwgegevens Allacker'!$J$5:$Q$83,7,0)</f>
        <v>5</v>
      </c>
      <c r="H322" s="109">
        <f>VLOOKUP(B322,'Gebouwgegevens Allacker'!$J$5:$Q$83,8,0)</f>
        <v>0</v>
      </c>
      <c r="I322" s="109">
        <v>1</v>
      </c>
      <c r="J322" s="99"/>
      <c r="K322" s="99"/>
      <c r="L322" s="99"/>
      <c r="M322" s="99"/>
      <c r="N322" s="99"/>
      <c r="O322" s="99"/>
      <c r="P322" s="97"/>
    </row>
    <row r="323" spans="1:16" ht="16.5" customHeight="1" x14ac:dyDescent="0.25">
      <c r="A323" s="96"/>
      <c r="B323" s="107" t="s">
        <v>87</v>
      </c>
      <c r="C323" s="108">
        <f>VLOOKUP(B323,'Gebouwgegevens Allacker'!$J$5:$Q$83,3,0)</f>
        <v>3</v>
      </c>
      <c r="D323" s="108" t="str">
        <f>VLOOKUP(B323,'Gebouwgegevens Allacker'!$J$5:$Q$83,4,0)</f>
        <v>Window</v>
      </c>
      <c r="E323" s="108">
        <f>VLOOKUP(B323,'Gebouwgegevens Allacker'!$J$5:$Q$83,5,0)</f>
        <v>2</v>
      </c>
      <c r="F323" s="108" t="str">
        <f>VLOOKUP(B323,'Gebouwgegevens Allacker'!$J$5:$Q$83,6,0)</f>
        <v>right</v>
      </c>
      <c r="G323" s="108">
        <f>VLOOKUP(B323,'Gebouwgegevens Allacker'!$J$5:$Q$83,7,0)</f>
        <v>5</v>
      </c>
      <c r="H323" s="109">
        <f>VLOOKUP(B323,'Gebouwgegevens Allacker'!$J$5:$Q$83,8,0)</f>
        <v>10</v>
      </c>
      <c r="I323" s="109">
        <v>1</v>
      </c>
      <c r="J323" s="99"/>
      <c r="K323" s="99"/>
      <c r="L323" s="99"/>
      <c r="M323" s="99"/>
      <c r="N323" s="99"/>
      <c r="O323" s="99"/>
      <c r="P323" s="97"/>
    </row>
    <row r="324" spans="1:16" ht="16.5" customHeight="1" x14ac:dyDescent="0.25">
      <c r="A324" s="96"/>
      <c r="B324" s="107" t="s">
        <v>89</v>
      </c>
      <c r="C324" s="108">
        <f>VLOOKUP(B324,'Gebouwgegevens Allacker'!$J$5:$Q$83,3,0)</f>
        <v>3</v>
      </c>
      <c r="D324" s="108" t="str">
        <f>VLOOKUP(B324,'Gebouwgegevens Allacker'!$J$5:$Q$83,4,0)</f>
        <v>Window</v>
      </c>
      <c r="E324" s="108">
        <f>VLOOKUP(B324,'Gebouwgegevens Allacker'!$J$5:$Q$83,5,0)</f>
        <v>0</v>
      </c>
      <c r="F324" s="108" t="str">
        <f>VLOOKUP(B324,'Gebouwgegevens Allacker'!$J$5:$Q$83,6,0)</f>
        <v>back</v>
      </c>
      <c r="G324" s="108">
        <f>VLOOKUP(B324,'Gebouwgegevens Allacker'!$J$5:$Q$83,7,0)</f>
        <v>5</v>
      </c>
      <c r="H324" s="109">
        <f>VLOOKUP(B324,'Gebouwgegevens Allacker'!$J$5:$Q$83,8,0)</f>
        <v>0</v>
      </c>
      <c r="I324" s="109">
        <v>1</v>
      </c>
      <c r="J324" s="99"/>
      <c r="K324" s="99"/>
      <c r="L324" s="99"/>
      <c r="M324" s="99"/>
      <c r="N324" s="99"/>
      <c r="O324" s="99"/>
      <c r="P324" s="97"/>
    </row>
    <row r="325" spans="1:16" ht="16.5" customHeight="1" x14ac:dyDescent="0.25">
      <c r="A325" s="96"/>
      <c r="B325" s="107" t="s">
        <v>92</v>
      </c>
      <c r="C325" s="108">
        <f>VLOOKUP(B325,'Gebouwgegevens Allacker'!$J$5:$Q$83,3,0)</f>
        <v>3</v>
      </c>
      <c r="D325" s="108" t="str">
        <f>VLOOKUP(B325,'Gebouwgegevens Allacker'!$J$5:$Q$83,4,0)</f>
        <v>Window</v>
      </c>
      <c r="E325" s="108">
        <f>VLOOKUP(B325,'Gebouwgegevens Allacker'!$J$5:$Q$83,5,0)</f>
        <v>0</v>
      </c>
      <c r="F325" s="108" t="str">
        <f>VLOOKUP(B325,'Gebouwgegevens Allacker'!$J$5:$Q$83,6,0)</f>
        <v>left</v>
      </c>
      <c r="G325" s="108">
        <f>VLOOKUP(B325,'Gebouwgegevens Allacker'!$J$5:$Q$83,7,0)</f>
        <v>5</v>
      </c>
      <c r="H325" s="109">
        <f>VLOOKUP(B325,'Gebouwgegevens Allacker'!$J$5:$Q$83,8,0)</f>
        <v>0</v>
      </c>
      <c r="I325" s="109">
        <v>1</v>
      </c>
      <c r="J325" s="99"/>
      <c r="K325" s="99"/>
      <c r="L325" s="99"/>
      <c r="M325" s="99"/>
      <c r="N325" s="99"/>
      <c r="O325" s="99"/>
      <c r="P325" s="97"/>
    </row>
    <row r="326" spans="1:16" ht="16.5" customHeight="1" x14ac:dyDescent="0.25">
      <c r="A326" s="96"/>
      <c r="B326" s="107"/>
      <c r="C326" s="108"/>
      <c r="D326" s="108"/>
      <c r="E326" s="108"/>
      <c r="F326" s="108"/>
      <c r="G326" s="108"/>
      <c r="H326" s="109"/>
      <c r="I326" s="109"/>
      <c r="J326" s="99"/>
      <c r="K326" s="99"/>
      <c r="L326" s="99"/>
      <c r="M326" s="99"/>
      <c r="N326" s="99"/>
      <c r="O326" s="99"/>
      <c r="P326" s="97"/>
    </row>
    <row r="327" spans="1:16" ht="16.5" customHeight="1" x14ac:dyDescent="0.25">
      <c r="A327" s="96"/>
      <c r="B327" s="107"/>
      <c r="C327" s="108"/>
      <c r="D327" s="108"/>
      <c r="E327" s="108"/>
      <c r="F327" s="108"/>
      <c r="G327" s="108"/>
      <c r="H327" s="109"/>
      <c r="I327" s="109"/>
      <c r="J327" s="99"/>
      <c r="K327" s="99"/>
      <c r="L327" s="99"/>
      <c r="M327" s="99"/>
      <c r="N327" s="99"/>
      <c r="O327" s="99"/>
      <c r="P327" s="97"/>
    </row>
    <row r="328" spans="1:16" ht="16.5" customHeight="1" x14ac:dyDescent="0.25">
      <c r="A328" s="96"/>
      <c r="B328" s="107"/>
      <c r="C328" s="108"/>
      <c r="D328" s="108"/>
      <c r="E328" s="108"/>
      <c r="F328" s="108"/>
      <c r="G328" s="108"/>
      <c r="H328" s="109"/>
      <c r="I328" s="109"/>
      <c r="J328" s="99"/>
      <c r="K328" s="99"/>
      <c r="L328" s="99"/>
      <c r="M328" s="99"/>
      <c r="N328" s="99"/>
      <c r="O328" s="99"/>
      <c r="P328" s="97"/>
    </row>
    <row r="329" spans="1:16" ht="16.5" customHeight="1" x14ac:dyDescent="0.25">
      <c r="A329" s="96"/>
      <c r="B329" s="107"/>
      <c r="C329" s="108"/>
      <c r="D329" s="108"/>
      <c r="E329" s="108"/>
      <c r="F329" s="108"/>
      <c r="G329" s="108"/>
      <c r="H329" s="109"/>
      <c r="I329" s="109"/>
      <c r="J329" s="99"/>
      <c r="K329" s="99"/>
      <c r="L329" s="99"/>
      <c r="M329" s="99"/>
      <c r="N329" s="99"/>
      <c r="O329" s="99"/>
      <c r="P329" s="97"/>
    </row>
    <row r="330" spans="1:16" ht="16.5" customHeight="1" x14ac:dyDescent="0.25">
      <c r="A330" s="96"/>
      <c r="B330" s="107"/>
      <c r="C330" s="108"/>
      <c r="D330" s="108"/>
      <c r="E330" s="108"/>
      <c r="F330" s="108"/>
      <c r="G330" s="108"/>
      <c r="H330" s="109"/>
      <c r="I330" s="109"/>
      <c r="J330" s="99"/>
      <c r="K330" s="99"/>
      <c r="L330" s="99"/>
      <c r="M330" s="99"/>
      <c r="N330" s="99"/>
      <c r="O330" s="99"/>
      <c r="P330" s="97"/>
    </row>
    <row r="331" spans="1:16" ht="16.5" customHeight="1" x14ac:dyDescent="0.25">
      <c r="A331" s="96"/>
      <c r="B331" s="107"/>
      <c r="C331" s="108"/>
      <c r="D331" s="108"/>
      <c r="E331" s="108"/>
      <c r="F331" s="108"/>
      <c r="G331" s="108"/>
      <c r="H331" s="109"/>
      <c r="I331" s="109"/>
      <c r="J331" s="99"/>
      <c r="K331" s="99"/>
      <c r="L331" s="99"/>
      <c r="M331" s="99"/>
      <c r="N331" s="99"/>
      <c r="O331" s="99"/>
      <c r="P331" s="97"/>
    </row>
    <row r="332" spans="1:16" ht="16.5" customHeight="1" x14ac:dyDescent="0.25">
      <c r="A332" s="96"/>
      <c r="B332" s="107"/>
      <c r="C332" s="108"/>
      <c r="D332" s="108"/>
      <c r="E332" s="108"/>
      <c r="F332" s="108"/>
      <c r="G332" s="108"/>
      <c r="H332" s="109"/>
      <c r="I332" s="109"/>
      <c r="J332" s="99"/>
      <c r="K332" s="99"/>
      <c r="L332" s="99"/>
      <c r="M332" s="99"/>
      <c r="N332" s="99"/>
      <c r="O332" s="99"/>
      <c r="P332" s="97"/>
    </row>
    <row r="333" spans="1:16" ht="16.5" customHeight="1" x14ac:dyDescent="0.25">
      <c r="A333" s="96"/>
      <c r="B333" s="107"/>
      <c r="C333" s="108"/>
      <c r="D333" s="108"/>
      <c r="E333" s="108"/>
      <c r="F333" s="108"/>
      <c r="G333" s="108"/>
      <c r="H333" s="109"/>
      <c r="I333" s="109"/>
      <c r="J333" s="99"/>
      <c r="K333" s="99"/>
      <c r="L333" s="99"/>
      <c r="M333" s="99"/>
      <c r="N333" s="99"/>
      <c r="O333" s="99"/>
      <c r="P333" s="97"/>
    </row>
    <row r="334" spans="1:16" ht="15.75" customHeight="1" x14ac:dyDescent="0.25">
      <c r="A334" s="96"/>
      <c r="B334" s="58"/>
      <c r="C334" s="58"/>
      <c r="D334" s="58"/>
      <c r="E334" s="58"/>
      <c r="F334" s="58"/>
      <c r="G334" s="115"/>
      <c r="H334" s="58"/>
      <c r="I334" s="58"/>
      <c r="J334" s="99"/>
      <c r="K334" s="99"/>
      <c r="L334" s="99"/>
      <c r="M334" s="99"/>
      <c r="N334" s="99"/>
      <c r="O334" s="99"/>
      <c r="P334" s="97"/>
    </row>
    <row r="335" spans="1:16" ht="15" customHeight="1" x14ac:dyDescent="0.25">
      <c r="A335" s="96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7"/>
    </row>
    <row r="336" spans="1:16" ht="15" customHeight="1" x14ac:dyDescent="0.25">
      <c r="A336" s="104" t="s">
        <v>180</v>
      </c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7"/>
    </row>
    <row r="337" spans="1:16" ht="15.75" customHeight="1" x14ac:dyDescent="0.25">
      <c r="A337" s="96"/>
      <c r="B337" s="58" t="s">
        <v>10</v>
      </c>
      <c r="C337" s="58" t="s">
        <v>181</v>
      </c>
      <c r="D337" s="58" t="s">
        <v>175</v>
      </c>
      <c r="E337" s="58" t="s">
        <v>182</v>
      </c>
      <c r="F337" s="58" t="s">
        <v>16</v>
      </c>
      <c r="G337" s="115" t="s">
        <v>17</v>
      </c>
      <c r="H337" s="115" t="s">
        <v>178</v>
      </c>
      <c r="I337" s="58" t="s">
        <v>183</v>
      </c>
      <c r="J337" s="58" t="s">
        <v>184</v>
      </c>
      <c r="K337" s="58" t="s">
        <v>185</v>
      </c>
      <c r="L337" s="116" t="s">
        <v>186</v>
      </c>
      <c r="M337" s="116" t="s">
        <v>187</v>
      </c>
      <c r="N337" s="116" t="s">
        <v>188</v>
      </c>
      <c r="O337" s="99"/>
      <c r="P337" s="97"/>
    </row>
    <row r="338" spans="1:16" ht="16.5" customHeight="1" x14ac:dyDescent="0.25">
      <c r="A338" s="96"/>
      <c r="B338" s="117"/>
      <c r="C338" s="118"/>
      <c r="D338" s="118"/>
      <c r="E338" s="118"/>
      <c r="F338" s="118"/>
      <c r="G338" s="119"/>
      <c r="H338" s="119"/>
      <c r="I338" s="118"/>
      <c r="J338" s="117"/>
      <c r="K338" s="117"/>
      <c r="L338" s="120"/>
      <c r="M338" s="120"/>
      <c r="N338" s="121"/>
      <c r="O338" s="99"/>
      <c r="P338" s="97"/>
    </row>
    <row r="339" spans="1:16" ht="16.5" customHeight="1" x14ac:dyDescent="0.25">
      <c r="A339" s="96"/>
      <c r="B339" s="117"/>
      <c r="C339" s="118"/>
      <c r="D339" s="118"/>
      <c r="E339" s="118"/>
      <c r="F339" s="118"/>
      <c r="G339" s="119"/>
      <c r="H339" s="119"/>
      <c r="I339" s="118"/>
      <c r="J339" s="117"/>
      <c r="K339" s="117"/>
      <c r="L339" s="120"/>
      <c r="M339" s="120"/>
      <c r="N339" s="121"/>
      <c r="O339" s="99"/>
      <c r="P339" s="97"/>
    </row>
    <row r="340" spans="1:16" ht="16.5" customHeight="1" x14ac:dyDescent="0.25">
      <c r="A340" s="96"/>
      <c r="B340" s="117"/>
      <c r="C340" s="118"/>
      <c r="D340" s="118"/>
      <c r="E340" s="118"/>
      <c r="F340" s="118"/>
      <c r="G340" s="119"/>
      <c r="H340" s="119"/>
      <c r="I340" s="118"/>
      <c r="J340" s="117"/>
      <c r="K340" s="117"/>
      <c r="L340" s="120"/>
      <c r="M340" s="120"/>
      <c r="N340" s="121"/>
      <c r="O340" s="99"/>
      <c r="P340" s="97"/>
    </row>
    <row r="341" spans="1:16" ht="16.5" customHeight="1" x14ac:dyDescent="0.25">
      <c r="A341" s="96"/>
      <c r="B341" s="117"/>
      <c r="C341" s="118"/>
      <c r="D341" s="118"/>
      <c r="E341" s="118"/>
      <c r="F341" s="118"/>
      <c r="G341" s="119"/>
      <c r="H341" s="119"/>
      <c r="I341" s="118"/>
      <c r="J341" s="117"/>
      <c r="K341" s="117"/>
      <c r="L341" s="120"/>
      <c r="M341" s="120"/>
      <c r="N341" s="121"/>
      <c r="O341" s="99"/>
      <c r="P341" s="97"/>
    </row>
    <row r="342" spans="1:16" ht="16.5" customHeight="1" x14ac:dyDescent="0.25">
      <c r="A342" s="139"/>
      <c r="B342" s="117"/>
      <c r="C342" s="118"/>
      <c r="D342" s="118"/>
      <c r="E342" s="118"/>
      <c r="F342" s="118"/>
      <c r="G342" s="119"/>
      <c r="H342" s="119"/>
      <c r="I342" s="118"/>
      <c r="J342" s="117"/>
      <c r="K342" s="117"/>
      <c r="L342" s="120"/>
      <c r="M342" s="120"/>
      <c r="N342" s="121"/>
      <c r="O342" s="99"/>
      <c r="P342" s="97"/>
    </row>
    <row r="343" spans="1:16" ht="15.75" customHeight="1" x14ac:dyDescent="0.25">
      <c r="A343" s="96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7"/>
    </row>
    <row r="344" spans="1:16" ht="15" customHeight="1" x14ac:dyDescent="0.25">
      <c r="A344" s="104" t="s">
        <v>189</v>
      </c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7"/>
    </row>
    <row r="345" spans="1:16" ht="15.75" customHeight="1" x14ac:dyDescent="0.25">
      <c r="A345" s="96"/>
      <c r="B345" s="58" t="s">
        <v>10</v>
      </c>
      <c r="C345" s="58" t="s">
        <v>190</v>
      </c>
      <c r="D345" s="58" t="s">
        <v>191</v>
      </c>
      <c r="E345" s="58" t="s">
        <v>135</v>
      </c>
      <c r="F345" s="58" t="s">
        <v>192</v>
      </c>
      <c r="G345" s="58" t="s">
        <v>193</v>
      </c>
      <c r="H345" s="58" t="s">
        <v>194</v>
      </c>
      <c r="I345" s="58" t="s">
        <v>16</v>
      </c>
      <c r="J345" s="115" t="s">
        <v>17</v>
      </c>
      <c r="K345" s="115" t="s">
        <v>178</v>
      </c>
      <c r="L345" s="99"/>
      <c r="M345" s="99"/>
      <c r="N345" s="99"/>
      <c r="O345" s="99"/>
      <c r="P345" s="97"/>
    </row>
    <row r="346" spans="1:16" ht="16.5" customHeight="1" x14ac:dyDescent="0.25">
      <c r="A346" s="96"/>
      <c r="B346" s="122" t="s">
        <v>231</v>
      </c>
      <c r="C346" s="123" t="e">
        <f>IF(VLOOKUP(B346,'Gebouwgegevens Allacker'!$J$5:$Q$83,2,0)=$B$316,VLOOKUP(B346,'Gebouwgegevens Allacker'!$J$5:$Q$83,2,0),VLOOKUP(B346,'Gebouwgegevens Allacker'!$J$5:$Q$83,3,0))</f>
        <v>#N/A</v>
      </c>
      <c r="D346" s="123" t="e">
        <f>IF(VLOOKUP(B346,'Gebouwgegevens Allacker'!$J$5:$Q$83,2,0)=$B$316,VLOOKUP(B346,'Gebouwgegevens Allacker'!$J$5:$Q$83,3,0),VLOOKUP(B346,'Gebouwgegevens Allacker'!$J$5:$Q$83,2,0))</f>
        <v>#N/A</v>
      </c>
      <c r="E346" s="123" t="e">
        <f>VLOOKUP(B346,'Gebouwgegevens Allacker'!$J$5:$Q$83,4,0)</f>
        <v>#N/A</v>
      </c>
      <c r="F346" s="123" t="e">
        <f>VLOOKUP(B346,'Gebouwgegevens Allacker'!$J$5:$Q$83,5,0)</f>
        <v>#N/A</v>
      </c>
      <c r="G346" s="123" t="e">
        <f>VLOOKUP('Verwarming Tabula'!C346,'Gebouwgegevens Allacker'!$A$35:$F$46,5,0)</f>
        <v>#N/A</v>
      </c>
      <c r="H346" s="123" t="e">
        <f>VLOOKUP('Verwarming Tabula'!D346,'Gebouwgegevens Allacker'!$A$35:$F$46,5,0)</f>
        <v>#N/A</v>
      </c>
      <c r="I346" s="123" t="e">
        <f>VLOOKUP(B346,'Gebouwgegevens Allacker'!$J$5:$Q$83,7,0)</f>
        <v>#N/A</v>
      </c>
      <c r="J346" s="119" t="e">
        <f>VLOOKUP(B346,'Gebouwgegevens Allacker'!$J$5:$Q$83,8,0)</f>
        <v>#N/A</v>
      </c>
      <c r="K346" s="119" t="e">
        <f>(G346-H346)/(G346-$B$4)</f>
        <v>#N/A</v>
      </c>
      <c r="L346" s="99"/>
      <c r="M346" s="99"/>
      <c r="N346" s="99"/>
      <c r="O346" s="99"/>
      <c r="P346" s="97"/>
    </row>
    <row r="347" spans="1:16" ht="16.5" customHeight="1" x14ac:dyDescent="0.25">
      <c r="A347" s="96"/>
      <c r="B347" s="122" t="s">
        <v>236</v>
      </c>
      <c r="C347" s="123" t="e">
        <f>IF(VLOOKUP(B347,'Gebouwgegevens Allacker'!$J$5:$Q$83,2,0)=$B$316,VLOOKUP(B347,'Gebouwgegevens Allacker'!$J$5:$Q$83,2,0),VLOOKUP(B347,'Gebouwgegevens Allacker'!$J$5:$Q$83,3,0))</f>
        <v>#N/A</v>
      </c>
      <c r="D347" s="123" t="e">
        <f>IF(VLOOKUP(B347,'Gebouwgegevens Allacker'!$J$5:$Q$83,2,0)=$B$316,VLOOKUP(B347,'Gebouwgegevens Allacker'!$J$5:$Q$83,3,0),VLOOKUP(B347,'Gebouwgegevens Allacker'!$J$5:$Q$83,2,0))</f>
        <v>#N/A</v>
      </c>
      <c r="E347" s="123" t="e">
        <f>VLOOKUP(B347,'Gebouwgegevens Allacker'!$J$5:$Q$83,4,0)</f>
        <v>#N/A</v>
      </c>
      <c r="F347" s="123" t="e">
        <f>VLOOKUP(B347,'Gebouwgegevens Allacker'!$J$5:$Q$83,5,0)</f>
        <v>#N/A</v>
      </c>
      <c r="G347" s="123" t="e">
        <f>VLOOKUP('Verwarming Tabula'!C347,'Gebouwgegevens Allacker'!$A$35:$F$46,5,0)</f>
        <v>#N/A</v>
      </c>
      <c r="H347" s="123" t="e">
        <f>VLOOKUP('Verwarming Tabula'!D347,'Gebouwgegevens Allacker'!$A$35:$F$46,5,0)</f>
        <v>#N/A</v>
      </c>
      <c r="I347" s="123" t="e">
        <f>VLOOKUP(B347,'Gebouwgegevens Allacker'!$J$5:$Q$83,7,0)</f>
        <v>#N/A</v>
      </c>
      <c r="J347" s="119" t="e">
        <f>VLOOKUP(B347,'Gebouwgegevens Allacker'!$J$5:$Q$83,8,0)</f>
        <v>#N/A</v>
      </c>
      <c r="K347" s="119" t="e">
        <f>(G347-H347)/(G347-$B$4)</f>
        <v>#N/A</v>
      </c>
      <c r="L347" s="99"/>
      <c r="M347" s="99"/>
      <c r="N347" s="99"/>
      <c r="O347" s="99"/>
      <c r="P347" s="97"/>
    </row>
    <row r="348" spans="1:16" ht="16.5" customHeight="1" x14ac:dyDescent="0.25">
      <c r="A348" s="96"/>
      <c r="B348" s="122" t="s">
        <v>237</v>
      </c>
      <c r="C348" s="123" t="e">
        <f>IF(VLOOKUP(B348,'Gebouwgegevens Allacker'!$J$5:$Q$83,2,0)=$B$316,VLOOKUP(B348,'Gebouwgegevens Allacker'!$J$5:$Q$83,2,0),VLOOKUP(B348,'Gebouwgegevens Allacker'!$J$5:$Q$83,3,0))</f>
        <v>#N/A</v>
      </c>
      <c r="D348" s="123" t="e">
        <f>IF(VLOOKUP(B348,'Gebouwgegevens Allacker'!$J$5:$Q$83,2,0)=$B$316,VLOOKUP(B348,'Gebouwgegevens Allacker'!$J$5:$Q$83,3,0),VLOOKUP(B348,'Gebouwgegevens Allacker'!$J$5:$Q$83,2,0))</f>
        <v>#N/A</v>
      </c>
      <c r="E348" s="123" t="e">
        <f>VLOOKUP(B348,'Gebouwgegevens Allacker'!$J$5:$Q$83,4,0)</f>
        <v>#N/A</v>
      </c>
      <c r="F348" s="123" t="e">
        <f>VLOOKUP(B348,'Gebouwgegevens Allacker'!$J$5:$Q$83,5,0)</f>
        <v>#N/A</v>
      </c>
      <c r="G348" s="123" t="e">
        <f>VLOOKUP('Verwarming Tabula'!C348,'Gebouwgegevens Allacker'!$A$35:$F$46,5,0)</f>
        <v>#N/A</v>
      </c>
      <c r="H348" s="123" t="e">
        <f>VLOOKUP('Verwarming Tabula'!D348,'Gebouwgegevens Allacker'!$A$35:$F$46,5,0)</f>
        <v>#N/A</v>
      </c>
      <c r="I348" s="123" t="e">
        <f>VLOOKUP(B348,'Gebouwgegevens Allacker'!$J$5:$Q$83,7,0)</f>
        <v>#N/A</v>
      </c>
      <c r="J348" s="119" t="e">
        <f>VLOOKUP(B348,'Gebouwgegevens Allacker'!$J$5:$Q$83,8,0)</f>
        <v>#N/A</v>
      </c>
      <c r="K348" s="119" t="e">
        <f>(G348-H348)/(G348-$B$4)</f>
        <v>#N/A</v>
      </c>
      <c r="L348" s="99"/>
      <c r="M348" s="99"/>
      <c r="N348" s="99"/>
      <c r="O348" s="99"/>
      <c r="P348" s="97"/>
    </row>
    <row r="349" spans="1:16" ht="16.5" customHeight="1" x14ac:dyDescent="0.25">
      <c r="A349" s="96"/>
      <c r="B349" s="93" t="s">
        <v>238</v>
      </c>
      <c r="C349" s="123" t="e">
        <f>IF(VLOOKUP(B349,'Gebouwgegevens Allacker'!$J$5:$Q$83,2,0)=$B$316,VLOOKUP(B349,'Gebouwgegevens Allacker'!$J$5:$Q$83,2,0),VLOOKUP(B349,'Gebouwgegevens Allacker'!$J$5:$Q$83,3,0))</f>
        <v>#N/A</v>
      </c>
      <c r="D349" s="123" t="e">
        <f>IF(VLOOKUP(B349,'Gebouwgegevens Allacker'!$J$5:$Q$83,2,0)=$B$316,VLOOKUP(B349,'Gebouwgegevens Allacker'!$J$5:$Q$83,3,0),VLOOKUP(B349,'Gebouwgegevens Allacker'!$J$5:$Q$83,2,0))</f>
        <v>#N/A</v>
      </c>
      <c r="E349" s="123" t="e">
        <f>VLOOKUP(B349,'Gebouwgegevens Allacker'!$J$5:$Q$83,4,0)</f>
        <v>#N/A</v>
      </c>
      <c r="F349" s="123" t="e">
        <f>VLOOKUP(B349,'Gebouwgegevens Allacker'!$J$5:$Q$83,5,0)</f>
        <v>#N/A</v>
      </c>
      <c r="G349" s="123" t="e">
        <f>VLOOKUP('Verwarming Tabula'!C349,'Gebouwgegevens Allacker'!$A$35:$F$46,5,0)</f>
        <v>#N/A</v>
      </c>
      <c r="H349" s="123" t="e">
        <f>VLOOKUP('Verwarming Tabula'!D349,'Gebouwgegevens Allacker'!$A$35:$F$46,5,0)</f>
        <v>#N/A</v>
      </c>
      <c r="I349" s="123" t="e">
        <f>VLOOKUP(B349,'Gebouwgegevens Allacker'!$J$5:$Q$83,7,0)</f>
        <v>#N/A</v>
      </c>
      <c r="J349" s="119" t="e">
        <f>VLOOKUP(B349,'Gebouwgegevens Allacker'!$J$5:$Q$83,8,0)</f>
        <v>#N/A</v>
      </c>
      <c r="K349" s="119" t="e">
        <f>(G349-H349)/(G349-$B$4)</f>
        <v>#N/A</v>
      </c>
      <c r="L349" s="99"/>
      <c r="M349" s="99"/>
      <c r="N349" s="99"/>
      <c r="O349" s="99"/>
      <c r="P349" s="97"/>
    </row>
    <row r="350" spans="1:16" ht="16.5" customHeight="1" x14ac:dyDescent="0.25">
      <c r="A350" s="96"/>
      <c r="B350" s="124" t="s">
        <v>239</v>
      </c>
      <c r="C350" s="123" t="e">
        <f>IF(VLOOKUP(B350,'Gebouwgegevens Allacker'!$J$5:$Q$83,2,0)=$B$316,VLOOKUP(B350,'Gebouwgegevens Allacker'!$J$5:$Q$83,2,0),VLOOKUP(B350,'Gebouwgegevens Allacker'!$J$5:$Q$83,3,0))</f>
        <v>#N/A</v>
      </c>
      <c r="D350" s="123" t="e">
        <f>IF(VLOOKUP(B350,'Gebouwgegevens Allacker'!$J$5:$Q$83,2,0)=$B$316,VLOOKUP(B350,'Gebouwgegevens Allacker'!$J$5:$Q$83,3,0),VLOOKUP(B350,'Gebouwgegevens Allacker'!$J$5:$Q$83,2,0))</f>
        <v>#N/A</v>
      </c>
      <c r="E350" s="123" t="e">
        <f>VLOOKUP(B350,'Gebouwgegevens Allacker'!$J$5:$Q$83,4,0)</f>
        <v>#N/A</v>
      </c>
      <c r="F350" s="123" t="e">
        <f>VLOOKUP(B350,'Gebouwgegevens Allacker'!$J$5:$Q$83,5,0)</f>
        <v>#N/A</v>
      </c>
      <c r="G350" s="123" t="e">
        <f>VLOOKUP('Verwarming Tabula'!C350,'Gebouwgegevens Allacker'!$A$35:$F$46,5,0)</f>
        <v>#N/A</v>
      </c>
      <c r="H350" s="123" t="e">
        <f>VLOOKUP('Verwarming Tabula'!D350,'Gebouwgegevens Allacker'!$A$35:$F$46,5,0)</f>
        <v>#N/A</v>
      </c>
      <c r="I350" s="123" t="e">
        <f>VLOOKUP(B350,'Gebouwgegevens Allacker'!$J$5:$Q$83,7,0)</f>
        <v>#N/A</v>
      </c>
      <c r="J350" s="119" t="e">
        <f>VLOOKUP(B350,'Gebouwgegevens Allacker'!$J$5:$Q$83,8,0)</f>
        <v>#N/A</v>
      </c>
      <c r="K350" s="119" t="e">
        <f>(G350-H350)/(G350-$B$4)</f>
        <v>#N/A</v>
      </c>
      <c r="L350" s="99"/>
      <c r="M350" s="99"/>
      <c r="N350" s="99"/>
      <c r="O350" s="99"/>
      <c r="P350" s="97"/>
    </row>
    <row r="351" spans="1:16" ht="16.5" customHeight="1" x14ac:dyDescent="0.25">
      <c r="A351" s="96"/>
      <c r="B351" s="124"/>
      <c r="C351" s="140"/>
      <c r="D351" s="123"/>
      <c r="E351" s="123"/>
      <c r="F351" s="123"/>
      <c r="G351" s="123"/>
      <c r="H351" s="123"/>
      <c r="I351" s="123"/>
      <c r="J351" s="119"/>
      <c r="K351" s="119"/>
      <c r="L351" s="99"/>
      <c r="M351" s="99"/>
      <c r="N351" s="99"/>
      <c r="O351" s="99"/>
      <c r="P351" s="97"/>
    </row>
    <row r="352" spans="1:16" ht="16.5" customHeight="1" x14ac:dyDescent="0.25">
      <c r="A352" s="96"/>
      <c r="B352" s="124"/>
      <c r="C352" s="140"/>
      <c r="D352" s="123"/>
      <c r="E352" s="123"/>
      <c r="F352" s="123"/>
      <c r="G352" s="123"/>
      <c r="H352" s="123"/>
      <c r="I352" s="123"/>
      <c r="J352" s="119"/>
      <c r="K352" s="119"/>
      <c r="L352" s="99"/>
      <c r="M352" s="99"/>
      <c r="N352" s="99"/>
      <c r="O352" s="99"/>
      <c r="P352" s="97"/>
    </row>
    <row r="353" spans="1:16" ht="16.5" customHeight="1" x14ac:dyDescent="0.25">
      <c r="A353" s="96"/>
      <c r="B353" s="124"/>
      <c r="C353" s="140"/>
      <c r="D353" s="123"/>
      <c r="E353" s="123"/>
      <c r="F353" s="123"/>
      <c r="G353" s="123"/>
      <c r="H353" s="123"/>
      <c r="I353" s="123"/>
      <c r="J353" s="119"/>
      <c r="K353" s="119"/>
      <c r="L353" s="99"/>
      <c r="M353" s="99"/>
      <c r="N353" s="99"/>
      <c r="O353" s="99"/>
      <c r="P353" s="97"/>
    </row>
    <row r="354" spans="1:16" ht="16.5" customHeight="1" x14ac:dyDescent="0.25">
      <c r="A354" s="96"/>
      <c r="B354" s="124"/>
      <c r="C354" s="140"/>
      <c r="D354" s="123"/>
      <c r="E354" s="123"/>
      <c r="F354" s="123"/>
      <c r="G354" s="123"/>
      <c r="H354" s="123"/>
      <c r="I354" s="123"/>
      <c r="J354" s="119"/>
      <c r="K354" s="119"/>
      <c r="L354" s="99"/>
      <c r="M354" s="99"/>
      <c r="N354" s="99"/>
      <c r="O354" s="99"/>
      <c r="P354" s="97"/>
    </row>
    <row r="355" spans="1:16" ht="16.5" customHeight="1" x14ac:dyDescent="0.25">
      <c r="A355" s="96"/>
      <c r="B355" s="124"/>
      <c r="C355" s="140"/>
      <c r="D355" s="123"/>
      <c r="E355" s="123"/>
      <c r="F355" s="123"/>
      <c r="G355" s="123"/>
      <c r="H355" s="123"/>
      <c r="I355" s="123"/>
      <c r="J355" s="119"/>
      <c r="K355" s="119"/>
      <c r="L355" s="99"/>
      <c r="M355" s="99"/>
      <c r="N355" s="99"/>
      <c r="O355" s="99"/>
      <c r="P355" s="97"/>
    </row>
    <row r="356" spans="1:16" ht="15.75" customHeight="1" x14ac:dyDescent="0.25">
      <c r="A356" s="96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99"/>
      <c r="M356" s="99"/>
      <c r="N356" s="99"/>
      <c r="O356" s="99"/>
      <c r="P356" s="97"/>
    </row>
    <row r="357" spans="1:16" ht="15" customHeight="1" x14ac:dyDescent="0.25">
      <c r="A357" s="96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7"/>
    </row>
    <row r="358" spans="1:16" ht="15.75" customHeight="1" x14ac:dyDescent="0.25">
      <c r="A358" s="104" t="s">
        <v>195</v>
      </c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7"/>
    </row>
    <row r="359" spans="1:16" ht="16.5" customHeight="1" x14ac:dyDescent="0.25">
      <c r="A359" s="125" t="s">
        <v>196</v>
      </c>
      <c r="B359" s="119" t="e">
        <f>SUMPRODUCT(H322:H333,I322:I333)+SUMPRODUCT(G338:G342,H338:H342)+SUMPRODUCT(J346:J355,K346:K355)</f>
        <v>#N/A</v>
      </c>
      <c r="C359" s="119" t="s">
        <v>107</v>
      </c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7"/>
    </row>
    <row r="360" spans="1:16" ht="16.5" customHeight="1" x14ac:dyDescent="0.25">
      <c r="A360" s="125" t="s">
        <v>170</v>
      </c>
      <c r="B360" s="119" t="e">
        <f>B359*(G346-$B$4)</f>
        <v>#N/A</v>
      </c>
      <c r="C360" s="119" t="s">
        <v>172</v>
      </c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7"/>
    </row>
    <row r="361" spans="1:16" ht="15.75" customHeight="1" x14ac:dyDescent="0.25">
      <c r="A361" s="110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2"/>
    </row>
    <row r="362" spans="1:16" ht="15.75" customHeight="1" x14ac:dyDescent="0.25">
      <c r="A362" s="279" t="s">
        <v>197</v>
      </c>
      <c r="B362" s="279"/>
      <c r="C362" s="279"/>
      <c r="D362" s="126" t="s">
        <v>225</v>
      </c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95"/>
    </row>
    <row r="363" spans="1:16" ht="15" customHeight="1" x14ac:dyDescent="0.25">
      <c r="A363" s="96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7"/>
    </row>
    <row r="364" spans="1:16" ht="15" customHeight="1" x14ac:dyDescent="0.25">
      <c r="A364" s="127" t="s">
        <v>198</v>
      </c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7"/>
    </row>
    <row r="365" spans="1:16" ht="15" customHeight="1" x14ac:dyDescent="0.25">
      <c r="A365" s="128" t="s">
        <v>199</v>
      </c>
      <c r="B365" s="122">
        <v>8</v>
      </c>
      <c r="C365" s="121" t="s">
        <v>200</v>
      </c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7"/>
    </row>
    <row r="366" spans="1:16" ht="15" customHeight="1" x14ac:dyDescent="0.25">
      <c r="A366" s="128" t="s">
        <v>201</v>
      </c>
      <c r="B366" s="122">
        <v>0.03</v>
      </c>
      <c r="C366" s="121" t="s">
        <v>202</v>
      </c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7"/>
    </row>
    <row r="367" spans="1:16" ht="15.75" customHeight="1" x14ac:dyDescent="0.25">
      <c r="A367" s="128" t="s">
        <v>203</v>
      </c>
      <c r="B367" s="122">
        <v>1</v>
      </c>
      <c r="C367" s="121" t="s">
        <v>204</v>
      </c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7"/>
    </row>
    <row r="368" spans="1:16" ht="16.5" customHeight="1" x14ac:dyDescent="0.25">
      <c r="A368" s="125" t="s">
        <v>205</v>
      </c>
      <c r="B368" s="119" t="e">
        <f>2*VLOOKUP(B316,'Gebouwgegevens Allacker'!$A$35:$F$46,6,0)*B365*B366*B367</f>
        <v>#N/A</v>
      </c>
      <c r="C368" s="119" t="s">
        <v>206</v>
      </c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7"/>
    </row>
    <row r="369" spans="1:16" ht="15.75" customHeight="1" x14ac:dyDescent="0.25">
      <c r="A369" s="96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7"/>
    </row>
    <row r="370" spans="1:16" ht="15" customHeight="1" x14ac:dyDescent="0.25">
      <c r="A370" s="127" t="s">
        <v>207</v>
      </c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7"/>
    </row>
    <row r="371" spans="1:16" ht="15.75" customHeight="1" x14ac:dyDescent="0.25">
      <c r="A371" s="96" t="s">
        <v>183</v>
      </c>
      <c r="B371" s="99" t="e">
        <f>VLOOKUP(B316,'Gebouwgegevens Allacker'!$A$35:$F$46,6,0)</f>
        <v>#N/A</v>
      </c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7"/>
    </row>
    <row r="372" spans="1:16" ht="16.5" customHeight="1" x14ac:dyDescent="0.25">
      <c r="A372" s="125" t="s">
        <v>208</v>
      </c>
      <c r="B372" s="129" t="e">
        <f>B371*3.6</f>
        <v>#N/A</v>
      </c>
      <c r="C372" s="119" t="s">
        <v>206</v>
      </c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7"/>
    </row>
    <row r="373" spans="1:16" ht="15.75" customHeight="1" x14ac:dyDescent="0.25">
      <c r="A373" s="96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7"/>
    </row>
    <row r="374" spans="1:16" ht="15.75" customHeight="1" x14ac:dyDescent="0.25">
      <c r="A374" s="96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7"/>
    </row>
    <row r="375" spans="1:16" ht="16.5" customHeight="1" x14ac:dyDescent="0.25">
      <c r="A375" s="125" t="s">
        <v>210</v>
      </c>
      <c r="B375" s="119" t="e">
        <f>MAX(B368,B372)</f>
        <v>#N/A</v>
      </c>
      <c r="C375" s="119" t="s">
        <v>206</v>
      </c>
      <c r="D375" s="99"/>
      <c r="E375" s="99"/>
      <c r="F375" s="119" t="s">
        <v>211</v>
      </c>
      <c r="G375" s="119" t="e">
        <f>B375/VLOOKUP(B316,'Gebouwgegevens Allacker'!$A$35:$B$46,2,0)</f>
        <v>#N/A</v>
      </c>
      <c r="H375" s="99"/>
      <c r="I375" s="99"/>
      <c r="J375" s="99"/>
      <c r="K375" s="99"/>
      <c r="L375" s="99"/>
      <c r="M375" s="99"/>
      <c r="N375" s="99"/>
      <c r="O375" s="99"/>
      <c r="P375" s="97"/>
    </row>
    <row r="376" spans="1:16" ht="16.5" customHeight="1" x14ac:dyDescent="0.25">
      <c r="A376" s="139"/>
      <c r="B376" s="58"/>
      <c r="C376" s="58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7"/>
    </row>
    <row r="377" spans="1:16" ht="16.5" customHeight="1" x14ac:dyDescent="0.25">
      <c r="A377" s="125" t="s">
        <v>212</v>
      </c>
      <c r="B377" s="119" t="e">
        <f>0.34*B375</f>
        <v>#N/A</v>
      </c>
      <c r="C377" s="119" t="s">
        <v>107</v>
      </c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7"/>
    </row>
    <row r="378" spans="1:16" ht="16.5" customHeight="1" x14ac:dyDescent="0.25">
      <c r="A378" s="125" t="s">
        <v>170</v>
      </c>
      <c r="B378" s="119" t="e">
        <f>B377*('Gebouwgegevens Allacker'!E338-$B$4)</f>
        <v>#N/A</v>
      </c>
      <c r="C378" s="119" t="s">
        <v>172</v>
      </c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7"/>
    </row>
    <row r="379" spans="1:16" ht="15.75" customHeight="1" x14ac:dyDescent="0.25">
      <c r="A379" s="141"/>
      <c r="B379" s="142"/>
      <c r="C379" s="142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2"/>
    </row>
    <row r="380" spans="1:16" ht="15.75" customHeight="1" x14ac:dyDescent="0.25">
      <c r="A380" s="279" t="s">
        <v>213</v>
      </c>
      <c r="B380" s="279"/>
      <c r="C380" s="279"/>
      <c r="D380" s="27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7"/>
    </row>
    <row r="381" spans="1:16" ht="15" customHeight="1" x14ac:dyDescent="0.25">
      <c r="A381" s="96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7"/>
    </row>
    <row r="382" spans="1:16" ht="15" customHeight="1" x14ac:dyDescent="0.25">
      <c r="A382" s="128" t="s">
        <v>214</v>
      </c>
      <c r="B382" s="122">
        <v>22</v>
      </c>
      <c r="C382" s="58" t="s">
        <v>235</v>
      </c>
      <c r="D382" s="58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7"/>
    </row>
    <row r="383" spans="1:16" ht="15.75" customHeight="1" x14ac:dyDescent="0.25">
      <c r="A383" s="3" t="s">
        <v>113</v>
      </c>
      <c r="B383" s="58" t="e">
        <f>VLOOKUP(B316,'Gebouwgegevens Allacker'!$A$35:$F$46,6,0)</f>
        <v>#N/A</v>
      </c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7"/>
    </row>
    <row r="384" spans="1:16" ht="16.5" customHeight="1" x14ac:dyDescent="0.25">
      <c r="A384" s="125" t="s">
        <v>216</v>
      </c>
      <c r="B384" s="119" t="e">
        <f>B385/('Gebouwgegevens Allacker'!E338-'Verwarming Tabula'!$B$4)</f>
        <v>#N/A</v>
      </c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7"/>
    </row>
    <row r="385" spans="1:16" ht="16.5" customHeight="1" x14ac:dyDescent="0.25">
      <c r="A385" s="125" t="s">
        <v>170</v>
      </c>
      <c r="B385" s="119" t="e">
        <f>B382*B383</f>
        <v>#N/A</v>
      </c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7"/>
    </row>
    <row r="386" spans="1:16" ht="15.75" customHeight="1" x14ac:dyDescent="0.25">
      <c r="A386" s="96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7"/>
    </row>
    <row r="387" spans="1:16" ht="15.75" customHeight="1" x14ac:dyDescent="0.25">
      <c r="A387" s="96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7"/>
    </row>
    <row r="388" spans="1:16" ht="15.75" customHeight="1" x14ac:dyDescent="0.25">
      <c r="A388" s="130" t="s">
        <v>217</v>
      </c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2"/>
    </row>
    <row r="389" spans="1:16" ht="16.5" customHeight="1" x14ac:dyDescent="0.25">
      <c r="A389" s="125" t="s">
        <v>218</v>
      </c>
      <c r="B389" s="119" t="e">
        <f>SUM(B359,B377,B384)</f>
        <v>#N/A</v>
      </c>
      <c r="C389" s="119" t="s">
        <v>107</v>
      </c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4"/>
    </row>
    <row r="390" spans="1:16" ht="16.5" customHeight="1" x14ac:dyDescent="0.25">
      <c r="A390" s="125" t="s">
        <v>170</v>
      </c>
      <c r="B390" s="119" t="e">
        <f>SUM(B360,B378,B385)</f>
        <v>#N/A</v>
      </c>
      <c r="C390" s="119" t="s">
        <v>172</v>
      </c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4"/>
    </row>
    <row r="391" spans="1:16" ht="16.5" customHeight="1" x14ac:dyDescent="0.25">
      <c r="A391" s="135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7"/>
    </row>
    <row r="392" spans="1:16" ht="15.75" customHeight="1" x14ac:dyDescent="0.25">
      <c r="A392" s="138"/>
      <c r="B392" s="138"/>
      <c r="C392" s="138"/>
      <c r="D392" s="138"/>
      <c r="E392" s="138"/>
      <c r="F392" s="138"/>
      <c r="G392" s="138"/>
      <c r="H392" s="138"/>
      <c r="I392" s="138"/>
      <c r="J392" s="138"/>
      <c r="K392" s="138"/>
      <c r="L392" s="138"/>
      <c r="M392" s="138"/>
      <c r="N392" s="138"/>
      <c r="O392" s="138"/>
      <c r="P392" s="138"/>
    </row>
    <row r="393" spans="1:16" ht="15" customHeight="1" x14ac:dyDescent="0.25">
      <c r="A393" s="94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95"/>
    </row>
    <row r="394" spans="1:16" ht="17.25" customHeight="1" x14ac:dyDescent="0.3">
      <c r="A394" s="98" t="s">
        <v>169</v>
      </c>
      <c r="B394" s="93">
        <v>6</v>
      </c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7"/>
    </row>
    <row r="395" spans="1:16" ht="15.75" customHeight="1" x14ac:dyDescent="0.25">
      <c r="A395" s="279" t="s">
        <v>171</v>
      </c>
      <c r="B395" s="279"/>
      <c r="C395" s="279"/>
      <c r="D395" s="279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95"/>
    </row>
    <row r="396" spans="1:16" ht="15" customHeight="1" x14ac:dyDescent="0.25">
      <c r="A396" s="96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7"/>
    </row>
    <row r="397" spans="1:16" ht="15" customHeight="1" x14ac:dyDescent="0.25">
      <c r="A397" s="104" t="s">
        <v>173</v>
      </c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7"/>
    </row>
    <row r="398" spans="1:16" ht="15" customHeight="1" x14ac:dyDescent="0.25">
      <c r="A398" s="96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7"/>
    </row>
    <row r="399" spans="1:16" ht="15.75" customHeight="1" x14ac:dyDescent="0.25">
      <c r="A399" s="96"/>
      <c r="B399" s="105" t="s">
        <v>10</v>
      </c>
      <c r="C399" s="105" t="s">
        <v>174</v>
      </c>
      <c r="D399" s="105" t="s">
        <v>175</v>
      </c>
      <c r="E399" s="105" t="s">
        <v>176</v>
      </c>
      <c r="F399" s="105" t="s">
        <v>177</v>
      </c>
      <c r="G399" s="105" t="s">
        <v>16</v>
      </c>
      <c r="H399" s="106" t="s">
        <v>17</v>
      </c>
      <c r="I399" s="106" t="s">
        <v>178</v>
      </c>
      <c r="J399" s="99"/>
      <c r="K399" s="99"/>
      <c r="L399" s="99"/>
      <c r="M399" s="99"/>
      <c r="N399" s="99"/>
      <c r="O399" s="99"/>
      <c r="P399" s="97"/>
    </row>
    <row r="400" spans="1:16" ht="16.5" customHeight="1" x14ac:dyDescent="0.25">
      <c r="A400" s="96"/>
      <c r="B400" s="107" t="s">
        <v>96</v>
      </c>
      <c r="C400" s="108">
        <f>VLOOKUP(B400,'Gebouwgegevens Allacker'!$J$5:$Q$83,3,0)</f>
        <v>3</v>
      </c>
      <c r="D400" s="108" t="str">
        <f>VLOOKUP(B400,'Gebouwgegevens Allacker'!$J$5:$Q$83,4,0)</f>
        <v>Roof</v>
      </c>
      <c r="E400" s="108">
        <f>VLOOKUP(B400,'Gebouwgegevens Allacker'!$J$5:$Q$83,5,0)</f>
        <v>99.627515556697489</v>
      </c>
      <c r="F400" s="108" t="str">
        <f>VLOOKUP(B400,'Gebouwgegevens Allacker'!$J$5:$Q$83,6,0)</f>
        <v>front/back</v>
      </c>
      <c r="G400" s="108">
        <f>VLOOKUP(B400,'Gebouwgegevens Allacker'!$J$5:$Q$83,7,0)</f>
        <v>1.6975498473547073</v>
      </c>
      <c r="H400" s="109">
        <f>VLOOKUP(B400,'Gebouwgegevens Allacker'!$J$5:$Q$83,8,0)</f>
        <v>169.12267382560054</v>
      </c>
      <c r="I400" s="109">
        <v>1</v>
      </c>
      <c r="J400" s="99"/>
      <c r="K400" s="99"/>
      <c r="L400" s="99"/>
      <c r="M400" s="99"/>
      <c r="N400" s="99"/>
      <c r="O400" s="99"/>
      <c r="P400" s="97"/>
    </row>
    <row r="401" spans="1:16" ht="16.5" customHeight="1" x14ac:dyDescent="0.25">
      <c r="A401" s="96"/>
      <c r="B401" s="107" t="s">
        <v>98</v>
      </c>
      <c r="C401" s="108">
        <f>VLOOKUP(B401,'Gebouwgegevens Allacker'!$J$5:$Q$83,3,0)</f>
        <v>3</v>
      </c>
      <c r="D401" s="108" t="str">
        <f>VLOOKUP(B401,'Gebouwgegevens Allacker'!$J$5:$Q$83,4,0)</f>
        <v>Floor internal</v>
      </c>
      <c r="E401" s="108">
        <f>VLOOKUP(B401,'Gebouwgegevens Allacker'!$J$5:$Q$83,5,0)</f>
        <v>76.183999999999997</v>
      </c>
      <c r="F401" s="108">
        <f>VLOOKUP(B401,'Gebouwgegevens Allacker'!$J$5:$Q$83,6,0)</f>
        <v>0</v>
      </c>
      <c r="G401" s="108">
        <f>VLOOKUP(B401,'Gebouwgegevens Allacker'!$J$5:$Q$83,7,0)</f>
        <v>2.0895522388059704</v>
      </c>
      <c r="H401" s="109">
        <f>VLOOKUP(B401,'Gebouwgegevens Allacker'!$J$5:$Q$83,8,0)</f>
        <v>159.19044776119404</v>
      </c>
      <c r="I401" s="109">
        <v>1</v>
      </c>
      <c r="J401" s="99"/>
      <c r="K401" s="99"/>
      <c r="L401" s="99"/>
      <c r="M401" s="99"/>
      <c r="N401" s="99"/>
      <c r="O401" s="99"/>
      <c r="P401" s="97"/>
    </row>
    <row r="402" spans="1:16" ht="16.5" customHeight="1" x14ac:dyDescent="0.25">
      <c r="A402" s="96"/>
      <c r="B402" s="107" t="s">
        <v>101</v>
      </c>
      <c r="C402" s="108">
        <f>VLOOKUP(B402,'Gebouwgegevens Allacker'!$J$5:$Q$83,3,0)</f>
        <v>2</v>
      </c>
      <c r="D402" s="108" t="str">
        <f>VLOOKUP(B402,'Gebouwgegevens Allacker'!$J$5:$Q$83,4,0)</f>
        <v>Wall internal</v>
      </c>
      <c r="E402" s="108">
        <f>VLOOKUP(B402,'Gebouwgegevens Allacker'!$J$5:$Q$83,5,0)</f>
        <v>140.84</v>
      </c>
      <c r="F402" s="108">
        <f>VLOOKUP(B402,'Gebouwgegevens Allacker'!$J$5:$Q$83,6,0)</f>
        <v>0</v>
      </c>
      <c r="G402" s="108">
        <f>VLOOKUP(B402,'Gebouwgegevens Allacker'!$J$5:$Q$83,7,0)</f>
        <v>1.9926199261992623</v>
      </c>
      <c r="H402" s="109">
        <f>VLOOKUP(B402,'Gebouwgegevens Allacker'!$J$5:$Q$83,8,0)</f>
        <v>280.64059040590411</v>
      </c>
      <c r="I402" s="109">
        <v>1</v>
      </c>
      <c r="J402" s="99"/>
      <c r="K402" s="99"/>
      <c r="L402" s="99"/>
      <c r="M402" s="99"/>
      <c r="N402" s="99"/>
      <c r="O402" s="99"/>
      <c r="P402" s="97"/>
    </row>
    <row r="403" spans="1:16" ht="16.5" customHeight="1" x14ac:dyDescent="0.25">
      <c r="A403" s="96"/>
      <c r="B403" s="107"/>
      <c r="C403" s="108"/>
      <c r="D403" s="108"/>
      <c r="E403" s="108"/>
      <c r="F403" s="108"/>
      <c r="G403" s="108"/>
      <c r="H403" s="109"/>
      <c r="I403" s="109"/>
      <c r="J403" s="99"/>
      <c r="K403" s="99"/>
      <c r="L403" s="99"/>
      <c r="M403" s="99"/>
      <c r="N403" s="99"/>
      <c r="O403" s="99"/>
      <c r="P403" s="97"/>
    </row>
    <row r="404" spans="1:16" ht="16.5" customHeight="1" x14ac:dyDescent="0.25">
      <c r="A404" s="96"/>
      <c r="B404" s="107"/>
      <c r="C404" s="108"/>
      <c r="D404" s="108"/>
      <c r="E404" s="108"/>
      <c r="F404" s="108"/>
      <c r="G404" s="108"/>
      <c r="H404" s="109"/>
      <c r="I404" s="109"/>
      <c r="J404" s="99"/>
      <c r="K404" s="99"/>
      <c r="L404" s="99"/>
      <c r="M404" s="99"/>
      <c r="N404" s="99"/>
      <c r="O404" s="99"/>
      <c r="P404" s="97"/>
    </row>
    <row r="405" spans="1:16" ht="16.5" customHeight="1" x14ac:dyDescent="0.25">
      <c r="A405" s="96"/>
      <c r="B405" s="107"/>
      <c r="C405" s="108"/>
      <c r="D405" s="108"/>
      <c r="E405" s="108"/>
      <c r="F405" s="108"/>
      <c r="G405" s="108"/>
      <c r="H405" s="109"/>
      <c r="I405" s="109"/>
      <c r="J405" s="99"/>
      <c r="K405" s="99"/>
      <c r="L405" s="99"/>
      <c r="M405" s="99"/>
      <c r="N405" s="99"/>
      <c r="O405" s="99"/>
      <c r="P405" s="97"/>
    </row>
    <row r="406" spans="1:16" ht="16.5" customHeight="1" x14ac:dyDescent="0.25">
      <c r="A406" s="96"/>
      <c r="B406" s="107"/>
      <c r="C406" s="108"/>
      <c r="D406" s="108"/>
      <c r="E406" s="108"/>
      <c r="F406" s="108"/>
      <c r="G406" s="108"/>
      <c r="H406" s="109"/>
      <c r="I406" s="109"/>
      <c r="J406" s="99"/>
      <c r="K406" s="99"/>
      <c r="L406" s="99"/>
      <c r="M406" s="99"/>
      <c r="N406" s="99"/>
      <c r="O406" s="99"/>
      <c r="P406" s="97"/>
    </row>
    <row r="407" spans="1:16" ht="16.5" customHeight="1" x14ac:dyDescent="0.25">
      <c r="A407" s="96"/>
      <c r="B407" s="107"/>
      <c r="C407" s="108"/>
      <c r="D407" s="108"/>
      <c r="E407" s="108"/>
      <c r="F407" s="108"/>
      <c r="G407" s="108"/>
      <c r="H407" s="109"/>
      <c r="I407" s="109"/>
      <c r="J407" s="99"/>
      <c r="K407" s="99"/>
      <c r="L407" s="99"/>
      <c r="M407" s="99"/>
      <c r="N407" s="99"/>
      <c r="O407" s="99"/>
      <c r="P407" s="97"/>
    </row>
    <row r="408" spans="1:16" ht="16.5" customHeight="1" x14ac:dyDescent="0.25">
      <c r="A408" s="96"/>
      <c r="B408" s="107"/>
      <c r="C408" s="108"/>
      <c r="D408" s="108"/>
      <c r="E408" s="108"/>
      <c r="F408" s="108"/>
      <c r="G408" s="108"/>
      <c r="H408" s="109"/>
      <c r="I408" s="109"/>
      <c r="J408" s="99"/>
      <c r="K408" s="99"/>
      <c r="L408" s="99"/>
      <c r="M408" s="99"/>
      <c r="N408" s="99"/>
      <c r="O408" s="99"/>
      <c r="P408" s="97"/>
    </row>
    <row r="409" spans="1:16" ht="16.5" customHeight="1" x14ac:dyDescent="0.25">
      <c r="A409" s="96"/>
      <c r="B409" s="107"/>
      <c r="C409" s="108"/>
      <c r="D409" s="108"/>
      <c r="E409" s="108"/>
      <c r="F409" s="108"/>
      <c r="G409" s="108"/>
      <c r="H409" s="109"/>
      <c r="I409" s="109"/>
      <c r="J409" s="99"/>
      <c r="K409" s="99"/>
      <c r="L409" s="99"/>
      <c r="M409" s="99"/>
      <c r="N409" s="99"/>
      <c r="O409" s="99"/>
      <c r="P409" s="97"/>
    </row>
    <row r="410" spans="1:16" ht="16.5" customHeight="1" x14ac:dyDescent="0.25">
      <c r="A410" s="96"/>
      <c r="B410" s="107"/>
      <c r="C410" s="108"/>
      <c r="D410" s="108"/>
      <c r="E410" s="108"/>
      <c r="F410" s="108"/>
      <c r="G410" s="108"/>
      <c r="H410" s="109"/>
      <c r="I410" s="109"/>
      <c r="J410" s="99"/>
      <c r="K410" s="99"/>
      <c r="L410" s="99"/>
      <c r="M410" s="99"/>
      <c r="N410" s="99"/>
      <c r="O410" s="99"/>
      <c r="P410" s="97"/>
    </row>
    <row r="411" spans="1:16" ht="16.5" customHeight="1" x14ac:dyDescent="0.25">
      <c r="A411" s="96"/>
      <c r="B411" s="107"/>
      <c r="C411" s="108"/>
      <c r="D411" s="108"/>
      <c r="E411" s="108"/>
      <c r="F411" s="108"/>
      <c r="G411" s="108"/>
      <c r="H411" s="109"/>
      <c r="I411" s="109"/>
      <c r="J411" s="99"/>
      <c r="K411" s="99"/>
      <c r="L411" s="99"/>
      <c r="M411" s="99"/>
      <c r="N411" s="99"/>
      <c r="O411" s="99"/>
      <c r="P411" s="97"/>
    </row>
    <row r="412" spans="1:16" ht="15.75" customHeight="1" x14ac:dyDescent="0.25">
      <c r="A412" s="96"/>
      <c r="B412" s="58"/>
      <c r="C412" s="58"/>
      <c r="D412" s="58"/>
      <c r="E412" s="58"/>
      <c r="F412" s="58"/>
      <c r="G412" s="115"/>
      <c r="H412" s="58"/>
      <c r="I412" s="58"/>
      <c r="J412" s="99"/>
      <c r="K412" s="99"/>
      <c r="L412" s="99"/>
      <c r="M412" s="99"/>
      <c r="N412" s="99"/>
      <c r="O412" s="99"/>
      <c r="P412" s="97"/>
    </row>
    <row r="413" spans="1:16" ht="15" customHeight="1" x14ac:dyDescent="0.25">
      <c r="A413" s="96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7"/>
    </row>
    <row r="414" spans="1:16" ht="15" customHeight="1" x14ac:dyDescent="0.25">
      <c r="A414" s="104" t="s">
        <v>180</v>
      </c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7"/>
    </row>
    <row r="415" spans="1:16" ht="15.75" customHeight="1" x14ac:dyDescent="0.25">
      <c r="A415" s="96"/>
      <c r="B415" s="58" t="s">
        <v>10</v>
      </c>
      <c r="C415" s="58" t="s">
        <v>181</v>
      </c>
      <c r="D415" s="58" t="s">
        <v>175</v>
      </c>
      <c r="E415" s="58" t="s">
        <v>182</v>
      </c>
      <c r="F415" s="58" t="s">
        <v>16</v>
      </c>
      <c r="G415" s="115" t="s">
        <v>17</v>
      </c>
      <c r="H415" s="115" t="s">
        <v>178</v>
      </c>
      <c r="I415" s="58" t="s">
        <v>183</v>
      </c>
      <c r="J415" s="58" t="s">
        <v>184</v>
      </c>
      <c r="K415" s="58" t="s">
        <v>185</v>
      </c>
      <c r="L415" s="116" t="s">
        <v>186</v>
      </c>
      <c r="M415" s="116" t="s">
        <v>187</v>
      </c>
      <c r="N415" s="116" t="s">
        <v>188</v>
      </c>
      <c r="O415" s="99"/>
      <c r="P415" s="97"/>
    </row>
    <row r="416" spans="1:16" ht="16.5" customHeight="1" x14ac:dyDescent="0.25">
      <c r="A416" s="96"/>
      <c r="B416" s="117"/>
      <c r="C416" s="118"/>
      <c r="D416" s="118"/>
      <c r="E416" s="118"/>
      <c r="F416" s="118"/>
      <c r="G416" s="119"/>
      <c r="H416" s="119"/>
      <c r="I416" s="118"/>
      <c r="J416" s="117"/>
      <c r="K416" s="117"/>
      <c r="L416" s="120"/>
      <c r="M416" s="120"/>
      <c r="N416" s="121"/>
      <c r="O416" s="99"/>
      <c r="P416" s="97"/>
    </row>
    <row r="417" spans="1:16" ht="16.5" customHeight="1" x14ac:dyDescent="0.25">
      <c r="A417" s="96"/>
      <c r="B417" s="117"/>
      <c r="C417" s="118"/>
      <c r="D417" s="118"/>
      <c r="E417" s="118"/>
      <c r="F417" s="118"/>
      <c r="G417" s="119"/>
      <c r="H417" s="119"/>
      <c r="I417" s="118"/>
      <c r="J417" s="117"/>
      <c r="K417" s="117"/>
      <c r="L417" s="120"/>
      <c r="M417" s="120"/>
      <c r="N417" s="121"/>
      <c r="O417" s="99"/>
      <c r="P417" s="97"/>
    </row>
    <row r="418" spans="1:16" ht="16.5" customHeight="1" x14ac:dyDescent="0.25">
      <c r="A418" s="96"/>
      <c r="B418" s="117"/>
      <c r="C418" s="118"/>
      <c r="D418" s="118"/>
      <c r="E418" s="118"/>
      <c r="F418" s="118"/>
      <c r="G418" s="119"/>
      <c r="H418" s="119"/>
      <c r="I418" s="118"/>
      <c r="J418" s="117"/>
      <c r="K418" s="117"/>
      <c r="L418" s="120"/>
      <c r="M418" s="120"/>
      <c r="N418" s="121"/>
      <c r="O418" s="99"/>
      <c r="P418" s="97"/>
    </row>
    <row r="419" spans="1:16" ht="16.5" customHeight="1" x14ac:dyDescent="0.25">
      <c r="A419" s="96"/>
      <c r="B419" s="117"/>
      <c r="C419" s="118"/>
      <c r="D419" s="118"/>
      <c r="E419" s="118"/>
      <c r="F419" s="118"/>
      <c r="G419" s="119"/>
      <c r="H419" s="119"/>
      <c r="I419" s="118"/>
      <c r="J419" s="117"/>
      <c r="K419" s="117"/>
      <c r="L419" s="120"/>
      <c r="M419" s="120"/>
      <c r="N419" s="121"/>
      <c r="O419" s="99"/>
      <c r="P419" s="97"/>
    </row>
    <row r="420" spans="1:16" ht="16.5" customHeight="1" x14ac:dyDescent="0.25">
      <c r="A420" s="139"/>
      <c r="B420" s="117"/>
      <c r="C420" s="118"/>
      <c r="D420" s="118"/>
      <c r="E420" s="118"/>
      <c r="F420" s="118"/>
      <c r="G420" s="119"/>
      <c r="H420" s="119"/>
      <c r="I420" s="118"/>
      <c r="J420" s="117"/>
      <c r="K420" s="117"/>
      <c r="L420" s="120"/>
      <c r="M420" s="120"/>
      <c r="N420" s="121"/>
      <c r="O420" s="99"/>
      <c r="P420" s="97"/>
    </row>
    <row r="421" spans="1:16" ht="15.75" customHeight="1" x14ac:dyDescent="0.25">
      <c r="A421" s="9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7"/>
    </row>
    <row r="422" spans="1:16" ht="15" customHeight="1" x14ac:dyDescent="0.25">
      <c r="A422" s="104" t="s">
        <v>189</v>
      </c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7"/>
    </row>
    <row r="423" spans="1:16" ht="15.75" customHeight="1" x14ac:dyDescent="0.25">
      <c r="A423" s="96"/>
      <c r="B423" s="58" t="s">
        <v>10</v>
      </c>
      <c r="C423" s="58" t="s">
        <v>190</v>
      </c>
      <c r="D423" s="58" t="s">
        <v>191</v>
      </c>
      <c r="E423" s="58" t="s">
        <v>135</v>
      </c>
      <c r="F423" s="58" t="s">
        <v>192</v>
      </c>
      <c r="G423" s="58" t="s">
        <v>193</v>
      </c>
      <c r="H423" s="58" t="s">
        <v>194</v>
      </c>
      <c r="I423" s="58" t="s">
        <v>16</v>
      </c>
      <c r="J423" s="115" t="s">
        <v>17</v>
      </c>
      <c r="K423" s="115" t="s">
        <v>178</v>
      </c>
      <c r="L423" s="99"/>
      <c r="M423" s="99"/>
      <c r="N423" s="99"/>
      <c r="O423" s="99"/>
      <c r="P423" s="97"/>
    </row>
    <row r="424" spans="1:16" ht="16.5" customHeight="1" x14ac:dyDescent="0.25">
      <c r="A424" s="96"/>
      <c r="B424" s="117" t="s">
        <v>236</v>
      </c>
      <c r="C424" s="123" t="e">
        <f>IF(VLOOKUP(B424,'Gebouwgegevens Allacker'!$J$5:$Q$83,2,0)=$B$394,VLOOKUP(B424,'Gebouwgegevens Allacker'!$J$5:$Q$83,2,0),VLOOKUP(B424,'Gebouwgegevens Allacker'!$J$5:$Q$83,3,0))</f>
        <v>#N/A</v>
      </c>
      <c r="D424" s="123" t="e">
        <f>IF(VLOOKUP(B424,'Gebouwgegevens Allacker'!$J$5:$Q$83,2,0)=$B$394,VLOOKUP(B424,'Gebouwgegevens Allacker'!$J$5:$Q$83,3,0),VLOOKUP(B424,'Gebouwgegevens Allacker'!$J$5:$Q$83,2,0))</f>
        <v>#N/A</v>
      </c>
      <c r="E424" s="123" t="e">
        <f>VLOOKUP(B424,'Gebouwgegevens Allacker'!$J$5:$Q$83,4,0)</f>
        <v>#N/A</v>
      </c>
      <c r="F424" s="123" t="e">
        <f>VLOOKUP(B424,'Gebouwgegevens Allacker'!$J$5:$Q$83,5,0)</f>
        <v>#N/A</v>
      </c>
      <c r="G424" s="123" t="e">
        <f>VLOOKUP('Verwarming Tabula'!C424,'Gebouwgegevens Allacker'!$A$35:$F$46,5,0)</f>
        <v>#N/A</v>
      </c>
      <c r="H424" s="123" t="e">
        <f>VLOOKUP('Verwarming Tabula'!D424,'Gebouwgegevens Allacker'!$A$35:$F$46,5,0)</f>
        <v>#N/A</v>
      </c>
      <c r="I424" s="123" t="e">
        <f>VLOOKUP(B424,'Gebouwgegevens Allacker'!$J$5:$Q$83,7,0)</f>
        <v>#N/A</v>
      </c>
      <c r="J424" s="119" t="e">
        <f>VLOOKUP(B424,'Gebouwgegevens Allacker'!$J$5:$Q$83,8,0)</f>
        <v>#N/A</v>
      </c>
      <c r="K424" s="119" t="e">
        <f>(G424-H424)/(G424-$B$4)</f>
        <v>#N/A</v>
      </c>
      <c r="L424" s="99"/>
      <c r="M424" s="99"/>
      <c r="N424" s="99"/>
      <c r="O424" s="99"/>
      <c r="P424" s="97"/>
    </row>
    <row r="425" spans="1:16" ht="16.5" customHeight="1" x14ac:dyDescent="0.25">
      <c r="A425" s="96"/>
      <c r="B425" s="117" t="s">
        <v>240</v>
      </c>
      <c r="C425" s="123" t="e">
        <f>IF(VLOOKUP(B425,'Gebouwgegevens Allacker'!$J$5:$Q$83,2,0)=$B$394,VLOOKUP(B425,'Gebouwgegevens Allacker'!$J$5:$Q$83,2,0),VLOOKUP(B425,'Gebouwgegevens Allacker'!$J$5:$Q$83,3,0))</f>
        <v>#N/A</v>
      </c>
      <c r="D425" s="123" t="e">
        <f>IF(VLOOKUP(B425,'Gebouwgegevens Allacker'!$J$5:$Q$83,2,0)=$B$394,VLOOKUP(B425,'Gebouwgegevens Allacker'!$J$5:$Q$83,3,0),VLOOKUP(B425,'Gebouwgegevens Allacker'!$J$5:$Q$83,2,0))</f>
        <v>#N/A</v>
      </c>
      <c r="E425" s="123" t="e">
        <f>VLOOKUP(B425,'Gebouwgegevens Allacker'!$J$5:$Q$83,4,0)</f>
        <v>#N/A</v>
      </c>
      <c r="F425" s="123" t="e">
        <f>VLOOKUP(B425,'Gebouwgegevens Allacker'!$J$5:$Q$83,5,0)</f>
        <v>#N/A</v>
      </c>
      <c r="G425" s="123" t="e">
        <f>VLOOKUP('Verwarming Tabula'!C425,'Gebouwgegevens Allacker'!$A$35:$F$46,5,0)</f>
        <v>#N/A</v>
      </c>
      <c r="H425" s="123" t="e">
        <f>VLOOKUP('Verwarming Tabula'!D425,'Gebouwgegevens Allacker'!$A$35:$F$46,5,0)</f>
        <v>#N/A</v>
      </c>
      <c r="I425" s="123" t="e">
        <f>VLOOKUP(B425,'Gebouwgegevens Allacker'!$J$5:$Q$83,7,0)</f>
        <v>#N/A</v>
      </c>
      <c r="J425" s="119" t="e">
        <f>VLOOKUP(B425,'Gebouwgegevens Allacker'!$J$5:$Q$83,8,0)</f>
        <v>#N/A</v>
      </c>
      <c r="K425" s="119" t="e">
        <f>(G425-H425)/(G425-$B$4)</f>
        <v>#N/A</v>
      </c>
      <c r="L425" s="99"/>
      <c r="M425" s="99"/>
      <c r="N425" s="99"/>
      <c r="O425" s="99"/>
      <c r="P425" s="97"/>
    </row>
    <row r="426" spans="1:16" ht="16.5" customHeight="1" x14ac:dyDescent="0.25">
      <c r="A426" s="96"/>
      <c r="B426" s="117" t="s">
        <v>241</v>
      </c>
      <c r="C426" s="123" t="e">
        <f>IF(VLOOKUP(B426,'Gebouwgegevens Allacker'!$J$5:$Q$83,2,0)=$B$394,VLOOKUP(B426,'Gebouwgegevens Allacker'!$J$5:$Q$83,2,0),VLOOKUP(B426,'Gebouwgegevens Allacker'!$J$5:$Q$83,3,0))</f>
        <v>#N/A</v>
      </c>
      <c r="D426" s="123" t="e">
        <f>IF(VLOOKUP(B426,'Gebouwgegevens Allacker'!$J$5:$Q$83,2,0)=$B$394,VLOOKUP(B426,'Gebouwgegevens Allacker'!$J$5:$Q$83,3,0),VLOOKUP(B426,'Gebouwgegevens Allacker'!$J$5:$Q$83,2,0))</f>
        <v>#N/A</v>
      </c>
      <c r="E426" s="123" t="e">
        <f>VLOOKUP(B426,'Gebouwgegevens Allacker'!$J$5:$Q$83,4,0)</f>
        <v>#N/A</v>
      </c>
      <c r="F426" s="123" t="e">
        <f>VLOOKUP(B426,'Gebouwgegevens Allacker'!$J$5:$Q$83,5,0)</f>
        <v>#N/A</v>
      </c>
      <c r="G426" s="123" t="e">
        <f>VLOOKUP('Verwarming Tabula'!C426,'Gebouwgegevens Allacker'!$A$35:$F$46,5,0)</f>
        <v>#N/A</v>
      </c>
      <c r="H426" s="123" t="e">
        <f>VLOOKUP('Verwarming Tabula'!D426,'Gebouwgegevens Allacker'!$A$35:$F$46,5,0)</f>
        <v>#N/A</v>
      </c>
      <c r="I426" s="123" t="e">
        <f>VLOOKUP(B426,'Gebouwgegevens Allacker'!$J$5:$Q$83,7,0)</f>
        <v>#N/A</v>
      </c>
      <c r="J426" s="119" t="e">
        <f>VLOOKUP(B426,'Gebouwgegevens Allacker'!$J$5:$Q$83,8,0)</f>
        <v>#N/A</v>
      </c>
      <c r="K426" s="119" t="e">
        <f>(G426-H426)/(G426-$B$4)</f>
        <v>#N/A</v>
      </c>
      <c r="L426" s="99"/>
      <c r="M426" s="99"/>
      <c r="N426" s="99"/>
      <c r="O426" s="99"/>
      <c r="P426" s="97"/>
    </row>
    <row r="427" spans="1:16" ht="16.5" customHeight="1" x14ac:dyDescent="0.25">
      <c r="A427" s="96"/>
      <c r="B427" s="117" t="s">
        <v>242</v>
      </c>
      <c r="C427" s="123" t="e">
        <f>IF(VLOOKUP(B427,'Gebouwgegevens Allacker'!$J$5:$Q$83,2,0)=$B$394,VLOOKUP(B427,'Gebouwgegevens Allacker'!$J$5:$Q$83,2,0),VLOOKUP(B427,'Gebouwgegevens Allacker'!$J$5:$Q$83,3,0))</f>
        <v>#N/A</v>
      </c>
      <c r="D427" s="123" t="e">
        <f>IF(VLOOKUP(B427,'Gebouwgegevens Allacker'!$J$5:$Q$83,2,0)=$B$394,VLOOKUP(B427,'Gebouwgegevens Allacker'!$J$5:$Q$83,3,0),VLOOKUP(B427,'Gebouwgegevens Allacker'!$J$5:$Q$83,2,0))</f>
        <v>#N/A</v>
      </c>
      <c r="E427" s="123" t="e">
        <f>VLOOKUP(B427,'Gebouwgegevens Allacker'!$J$5:$Q$83,4,0)</f>
        <v>#N/A</v>
      </c>
      <c r="F427" s="123" t="e">
        <f>VLOOKUP(B427,'Gebouwgegevens Allacker'!$J$5:$Q$83,5,0)</f>
        <v>#N/A</v>
      </c>
      <c r="G427" s="123" t="e">
        <f>VLOOKUP('Verwarming Tabula'!C427,'Gebouwgegevens Allacker'!$A$35:$F$46,5,0)</f>
        <v>#N/A</v>
      </c>
      <c r="H427" s="123" t="e">
        <f>VLOOKUP('Verwarming Tabula'!D427,'Gebouwgegevens Allacker'!$A$35:$F$46,5,0)</f>
        <v>#N/A</v>
      </c>
      <c r="I427" s="123" t="e">
        <f>VLOOKUP(B427,'Gebouwgegevens Allacker'!$J$5:$Q$83,7,0)</f>
        <v>#N/A</v>
      </c>
      <c r="J427" s="119" t="e">
        <f>VLOOKUP(B427,'Gebouwgegevens Allacker'!$J$5:$Q$83,8,0)</f>
        <v>#N/A</v>
      </c>
      <c r="K427" s="119" t="e">
        <f>(G427-H427)/(G427-$B$4)</f>
        <v>#N/A</v>
      </c>
      <c r="L427" s="99"/>
      <c r="M427" s="99"/>
      <c r="N427" s="99"/>
      <c r="O427" s="99"/>
      <c r="P427" s="97"/>
    </row>
    <row r="428" spans="1:16" ht="16.5" customHeight="1" x14ac:dyDescent="0.25">
      <c r="A428" s="96"/>
      <c r="B428" s="146" t="s">
        <v>243</v>
      </c>
      <c r="C428" s="123" t="e">
        <f>IF(VLOOKUP(B428,'Gebouwgegevens Allacker'!$J$5:$Q$83,2,0)=$B$394,VLOOKUP(B428,'Gebouwgegevens Allacker'!$J$5:$Q$83,2,0),VLOOKUP(B428,'Gebouwgegevens Allacker'!$J$5:$Q$83,3,0))</f>
        <v>#N/A</v>
      </c>
      <c r="D428" s="123" t="e">
        <f>IF(VLOOKUP(B428,'Gebouwgegevens Allacker'!$J$5:$Q$83,2,0)=$B$394,VLOOKUP(B428,'Gebouwgegevens Allacker'!$J$5:$Q$83,3,0),VLOOKUP(B428,'Gebouwgegevens Allacker'!$J$5:$Q$83,2,0))</f>
        <v>#N/A</v>
      </c>
      <c r="E428" s="123" t="e">
        <f>VLOOKUP(B428,'Gebouwgegevens Allacker'!$J$5:$Q$83,4,0)</f>
        <v>#N/A</v>
      </c>
      <c r="F428" s="123" t="e">
        <f>VLOOKUP(B428,'Gebouwgegevens Allacker'!$J$5:$Q$83,5,0)</f>
        <v>#N/A</v>
      </c>
      <c r="G428" s="123" t="e">
        <f>VLOOKUP('Verwarming Tabula'!C428,'Gebouwgegevens Allacker'!$A$35:$F$46,5,0)</f>
        <v>#N/A</v>
      </c>
      <c r="H428" s="123" t="e">
        <f>VLOOKUP('Verwarming Tabula'!D428,'Gebouwgegevens Allacker'!$A$35:$F$46,5,0)</f>
        <v>#N/A</v>
      </c>
      <c r="I428" s="123" t="e">
        <f>VLOOKUP(B428,'Gebouwgegevens Allacker'!$J$5:$Q$83,7,0)</f>
        <v>#N/A</v>
      </c>
      <c r="J428" s="119" t="e">
        <f>VLOOKUP(B428,'Gebouwgegevens Allacker'!$J$5:$Q$83,8,0)</f>
        <v>#N/A</v>
      </c>
      <c r="K428" s="119" t="e">
        <f>(G428-H428)/(G428-$B$4)</f>
        <v>#N/A</v>
      </c>
      <c r="L428" s="99"/>
      <c r="M428" s="99"/>
      <c r="N428" s="99"/>
      <c r="O428" s="99"/>
      <c r="P428" s="97"/>
    </row>
    <row r="429" spans="1:16" ht="16.5" customHeight="1" x14ac:dyDescent="0.25">
      <c r="A429" s="96"/>
      <c r="B429" s="124"/>
      <c r="C429" s="140"/>
      <c r="D429" s="123"/>
      <c r="E429" s="123"/>
      <c r="F429" s="123"/>
      <c r="G429" s="123"/>
      <c r="H429" s="123"/>
      <c r="I429" s="123"/>
      <c r="J429" s="119"/>
      <c r="K429" s="119"/>
      <c r="L429" s="99"/>
      <c r="M429" s="99"/>
      <c r="N429" s="99"/>
      <c r="O429" s="99"/>
      <c r="P429" s="97"/>
    </row>
    <row r="430" spans="1:16" ht="16.5" customHeight="1" x14ac:dyDescent="0.25">
      <c r="A430" s="96"/>
      <c r="B430" s="124"/>
      <c r="C430" s="140"/>
      <c r="D430" s="123"/>
      <c r="E430" s="123"/>
      <c r="F430" s="123"/>
      <c r="G430" s="123"/>
      <c r="H430" s="123"/>
      <c r="I430" s="123"/>
      <c r="J430" s="119"/>
      <c r="K430" s="119"/>
      <c r="L430" s="99"/>
      <c r="M430" s="99"/>
      <c r="N430" s="99"/>
      <c r="O430" s="99"/>
      <c r="P430" s="97"/>
    </row>
    <row r="431" spans="1:16" ht="16.5" customHeight="1" x14ac:dyDescent="0.25">
      <c r="A431" s="96"/>
      <c r="B431" s="124"/>
      <c r="C431" s="140"/>
      <c r="D431" s="123"/>
      <c r="E431" s="123"/>
      <c r="F431" s="123"/>
      <c r="G431" s="123"/>
      <c r="H431" s="123"/>
      <c r="I431" s="123"/>
      <c r="J431" s="119"/>
      <c r="K431" s="119"/>
      <c r="L431" s="99"/>
      <c r="M431" s="99"/>
      <c r="N431" s="99"/>
      <c r="O431" s="99"/>
      <c r="P431" s="97"/>
    </row>
    <row r="432" spans="1:16" ht="16.5" customHeight="1" x14ac:dyDescent="0.25">
      <c r="A432" s="96"/>
      <c r="B432" s="124"/>
      <c r="C432" s="140"/>
      <c r="D432" s="123"/>
      <c r="E432" s="123"/>
      <c r="F432" s="123"/>
      <c r="G432" s="123"/>
      <c r="H432" s="123"/>
      <c r="I432" s="123"/>
      <c r="J432" s="119"/>
      <c r="K432" s="119"/>
      <c r="L432" s="99"/>
      <c r="M432" s="99"/>
      <c r="N432" s="99"/>
      <c r="O432" s="99"/>
      <c r="P432" s="97"/>
    </row>
    <row r="433" spans="1:16" ht="16.5" customHeight="1" x14ac:dyDescent="0.25">
      <c r="A433" s="96"/>
      <c r="B433" s="124"/>
      <c r="C433" s="140"/>
      <c r="D433" s="123"/>
      <c r="E433" s="123"/>
      <c r="F433" s="123"/>
      <c r="G433" s="123"/>
      <c r="H433" s="123"/>
      <c r="I433" s="123"/>
      <c r="J433" s="119"/>
      <c r="K433" s="119"/>
      <c r="L433" s="99"/>
      <c r="M433" s="99"/>
      <c r="N433" s="99"/>
      <c r="O433" s="99"/>
      <c r="P433" s="97"/>
    </row>
    <row r="434" spans="1:16" ht="15.75" customHeight="1" x14ac:dyDescent="0.25">
      <c r="A434" s="96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99"/>
      <c r="M434" s="99"/>
      <c r="N434" s="99"/>
      <c r="O434" s="99"/>
      <c r="P434" s="97"/>
    </row>
    <row r="435" spans="1:16" ht="15" customHeight="1" x14ac:dyDescent="0.25">
      <c r="A435" s="96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7"/>
    </row>
    <row r="436" spans="1:16" ht="15.75" customHeight="1" x14ac:dyDescent="0.25">
      <c r="A436" s="104" t="s">
        <v>195</v>
      </c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7"/>
    </row>
    <row r="437" spans="1:16" ht="16.5" customHeight="1" x14ac:dyDescent="0.25">
      <c r="A437" s="125" t="s">
        <v>196</v>
      </c>
      <c r="B437" s="119" t="e">
        <f>SUMPRODUCT(H400:H411,I400:I411)+SUMPRODUCT(G416:G420,H416:H420)+SUMPRODUCT(J424:J433,K424:K433)</f>
        <v>#N/A</v>
      </c>
      <c r="C437" s="119" t="s">
        <v>107</v>
      </c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7"/>
    </row>
    <row r="438" spans="1:16" ht="16.5" customHeight="1" x14ac:dyDescent="0.25">
      <c r="A438" s="125" t="s">
        <v>170</v>
      </c>
      <c r="B438" s="119" t="e">
        <f>B437*(G424-$B$4)</f>
        <v>#N/A</v>
      </c>
      <c r="C438" s="119" t="s">
        <v>172</v>
      </c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7"/>
    </row>
    <row r="439" spans="1:16" ht="15.75" customHeight="1" x14ac:dyDescent="0.25">
      <c r="A439" s="110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2"/>
    </row>
    <row r="440" spans="1:16" ht="15.75" customHeight="1" x14ac:dyDescent="0.25">
      <c r="A440" s="279" t="s">
        <v>197</v>
      </c>
      <c r="B440" s="279"/>
      <c r="C440" s="279"/>
      <c r="D440" s="126" t="s">
        <v>225</v>
      </c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95"/>
    </row>
    <row r="441" spans="1:16" ht="15" customHeight="1" x14ac:dyDescent="0.25">
      <c r="A441" s="96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7"/>
    </row>
    <row r="442" spans="1:16" ht="15" customHeight="1" x14ac:dyDescent="0.25">
      <c r="A442" s="127" t="s">
        <v>198</v>
      </c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7"/>
    </row>
    <row r="443" spans="1:16" ht="15" customHeight="1" x14ac:dyDescent="0.25">
      <c r="A443" s="128" t="s">
        <v>199</v>
      </c>
      <c r="B443" s="122">
        <v>8</v>
      </c>
      <c r="C443" s="121" t="s">
        <v>200</v>
      </c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7"/>
    </row>
    <row r="444" spans="1:16" ht="15" customHeight="1" x14ac:dyDescent="0.25">
      <c r="A444" s="128" t="s">
        <v>201</v>
      </c>
      <c r="B444" s="122">
        <v>0.03</v>
      </c>
      <c r="C444" s="121" t="s">
        <v>202</v>
      </c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7"/>
    </row>
    <row r="445" spans="1:16" ht="15.75" customHeight="1" x14ac:dyDescent="0.25">
      <c r="A445" s="128" t="s">
        <v>203</v>
      </c>
      <c r="B445" s="122">
        <v>1</v>
      </c>
      <c r="C445" s="121" t="s">
        <v>204</v>
      </c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7"/>
    </row>
    <row r="446" spans="1:16" ht="16.5" customHeight="1" x14ac:dyDescent="0.25">
      <c r="A446" s="125" t="s">
        <v>205</v>
      </c>
      <c r="B446" s="119" t="e">
        <f>2*VLOOKUP(B394,'Gebouwgegevens Allacker'!$A$35:$F$46,6,0)*B443*B444*B445</f>
        <v>#N/A</v>
      </c>
      <c r="C446" s="119" t="s">
        <v>206</v>
      </c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7"/>
    </row>
    <row r="447" spans="1:16" ht="15.75" customHeight="1" x14ac:dyDescent="0.25">
      <c r="A447" s="96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7"/>
    </row>
    <row r="448" spans="1:16" ht="15" customHeight="1" x14ac:dyDescent="0.25">
      <c r="A448" s="127" t="s">
        <v>207</v>
      </c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7"/>
    </row>
    <row r="449" spans="1:16" ht="15.75" customHeight="1" x14ac:dyDescent="0.25">
      <c r="A449" s="96" t="s">
        <v>183</v>
      </c>
      <c r="B449" s="99" t="e">
        <f>VLOOKUP(B394,'Gebouwgegevens Allacker'!$A$35:$F$46,6,0)</f>
        <v>#N/A</v>
      </c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7"/>
    </row>
    <row r="450" spans="1:16" ht="16.5" customHeight="1" x14ac:dyDescent="0.25">
      <c r="A450" s="125" t="s">
        <v>208</v>
      </c>
      <c r="B450" s="129" t="e">
        <f>B449*3.6</f>
        <v>#N/A</v>
      </c>
      <c r="C450" s="119" t="s">
        <v>206</v>
      </c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7"/>
    </row>
    <row r="451" spans="1:16" ht="15.75" customHeight="1" x14ac:dyDescent="0.25">
      <c r="A451" s="139"/>
      <c r="B451" s="58"/>
      <c r="C451" s="58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7"/>
    </row>
    <row r="452" spans="1:16" ht="15.75" customHeight="1" x14ac:dyDescent="0.25">
      <c r="A452" s="139"/>
      <c r="B452" s="58"/>
      <c r="C452" s="58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7"/>
    </row>
    <row r="453" spans="1:16" ht="16.5" customHeight="1" x14ac:dyDescent="0.25">
      <c r="A453" s="125" t="s">
        <v>210</v>
      </c>
      <c r="B453" s="119" t="e">
        <f>MAX(B446,B450)</f>
        <v>#N/A</v>
      </c>
      <c r="C453" s="119" t="s">
        <v>206</v>
      </c>
      <c r="D453" s="99"/>
      <c r="E453" s="99"/>
      <c r="F453" s="119" t="s">
        <v>211</v>
      </c>
      <c r="G453" s="119" t="e">
        <f>B453/VLOOKUP(B394,'Gebouwgegevens Allacker'!$A$35:$B$46,2,0)</f>
        <v>#N/A</v>
      </c>
      <c r="H453" s="99"/>
      <c r="I453" s="99"/>
      <c r="J453" s="99"/>
      <c r="K453" s="99"/>
      <c r="L453" s="99"/>
      <c r="M453" s="99"/>
      <c r="N453" s="99"/>
      <c r="O453" s="99"/>
      <c r="P453" s="97"/>
    </row>
    <row r="454" spans="1:16" ht="16.5" customHeight="1" x14ac:dyDescent="0.25">
      <c r="A454" s="139"/>
      <c r="B454" s="58"/>
      <c r="C454" s="58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7"/>
    </row>
    <row r="455" spans="1:16" ht="16.5" customHeight="1" x14ac:dyDescent="0.25">
      <c r="A455" s="125" t="s">
        <v>212</v>
      </c>
      <c r="B455" s="119" t="e">
        <f>0.34*B453</f>
        <v>#N/A</v>
      </c>
      <c r="C455" s="119" t="s">
        <v>107</v>
      </c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7"/>
    </row>
    <row r="456" spans="1:16" ht="16.5" customHeight="1" x14ac:dyDescent="0.25">
      <c r="A456" s="125" t="s">
        <v>170</v>
      </c>
      <c r="B456" s="119" t="e">
        <f>B455*('Gebouwgegevens Allacker'!E416-$B$4)</f>
        <v>#N/A</v>
      </c>
      <c r="C456" s="119" t="s">
        <v>172</v>
      </c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7"/>
    </row>
    <row r="457" spans="1:16" ht="15.75" customHeight="1" x14ac:dyDescent="0.25">
      <c r="A457" s="141"/>
      <c r="B457" s="142"/>
      <c r="C457" s="142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2"/>
    </row>
    <row r="458" spans="1:16" ht="15.75" customHeight="1" x14ac:dyDescent="0.25">
      <c r="A458" s="279" t="s">
        <v>213</v>
      </c>
      <c r="B458" s="279"/>
      <c r="C458" s="279"/>
      <c r="D458" s="27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7"/>
    </row>
    <row r="459" spans="1:16" ht="15" customHeight="1" x14ac:dyDescent="0.25">
      <c r="A459" s="96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7"/>
    </row>
    <row r="460" spans="1:16" ht="15" customHeight="1" x14ac:dyDescent="0.25">
      <c r="A460" s="128" t="s">
        <v>214</v>
      </c>
      <c r="B460" s="122">
        <v>22</v>
      </c>
      <c r="C460" s="58" t="s">
        <v>235</v>
      </c>
      <c r="D460" s="58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7"/>
    </row>
    <row r="461" spans="1:16" ht="15.75" customHeight="1" x14ac:dyDescent="0.25">
      <c r="A461" s="3" t="s">
        <v>113</v>
      </c>
      <c r="B461" s="58" t="e">
        <f>VLOOKUP(B394,'Gebouwgegevens Allacker'!$A$35:$F$46,6,0)</f>
        <v>#N/A</v>
      </c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7"/>
    </row>
    <row r="462" spans="1:16" ht="16.5" customHeight="1" x14ac:dyDescent="0.25">
      <c r="A462" s="125" t="s">
        <v>216</v>
      </c>
      <c r="B462" s="119" t="e">
        <f>B463/('Gebouwgegevens Allacker'!E416-'Verwarming Tabula'!$B$4)</f>
        <v>#N/A</v>
      </c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7"/>
    </row>
    <row r="463" spans="1:16" ht="16.5" customHeight="1" x14ac:dyDescent="0.25">
      <c r="A463" s="125" t="s">
        <v>170</v>
      </c>
      <c r="B463" s="119" t="e">
        <f>B460*B461</f>
        <v>#N/A</v>
      </c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7"/>
    </row>
    <row r="464" spans="1:16" ht="15.75" customHeight="1" x14ac:dyDescent="0.25">
      <c r="A464" s="96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7"/>
    </row>
    <row r="465" spans="1:16" ht="15.75" customHeight="1" x14ac:dyDescent="0.25">
      <c r="A465" s="96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7"/>
    </row>
    <row r="466" spans="1:16" ht="15.75" customHeight="1" x14ac:dyDescent="0.25">
      <c r="A466" s="130" t="s">
        <v>217</v>
      </c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2"/>
    </row>
    <row r="467" spans="1:16" ht="16.5" customHeight="1" x14ac:dyDescent="0.25">
      <c r="A467" s="125" t="s">
        <v>218</v>
      </c>
      <c r="B467" s="119" t="e">
        <f>SUM(B437,B455,B462)</f>
        <v>#N/A</v>
      </c>
      <c r="C467" s="119" t="s">
        <v>107</v>
      </c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4"/>
    </row>
    <row r="468" spans="1:16" ht="16.5" customHeight="1" x14ac:dyDescent="0.25">
      <c r="A468" s="125" t="s">
        <v>170</v>
      </c>
      <c r="B468" s="119" t="e">
        <f>SUM(B438,B456,B463)</f>
        <v>#N/A</v>
      </c>
      <c r="C468" s="119" t="s">
        <v>172</v>
      </c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4"/>
    </row>
    <row r="469" spans="1:16" ht="16.5" customHeight="1" x14ac:dyDescent="0.25">
      <c r="A469" s="135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7"/>
    </row>
    <row r="470" spans="1:16" ht="15.75" customHeight="1" x14ac:dyDescent="0.25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</row>
    <row r="471" spans="1:16" ht="15" customHeight="1" x14ac:dyDescent="0.25">
      <c r="A471" s="94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95"/>
    </row>
    <row r="472" spans="1:16" ht="17.25" customHeight="1" x14ac:dyDescent="0.3">
      <c r="A472" s="98" t="s">
        <v>169</v>
      </c>
      <c r="B472" s="93">
        <v>7</v>
      </c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7"/>
    </row>
    <row r="473" spans="1:16" ht="15.75" customHeight="1" x14ac:dyDescent="0.25">
      <c r="A473" s="279" t="s">
        <v>171</v>
      </c>
      <c r="B473" s="279"/>
      <c r="C473" s="279"/>
      <c r="D473" s="279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95"/>
    </row>
    <row r="474" spans="1:16" ht="15" customHeight="1" x14ac:dyDescent="0.25">
      <c r="A474" s="96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7"/>
    </row>
    <row r="475" spans="1:16" ht="15" customHeight="1" x14ac:dyDescent="0.25">
      <c r="A475" s="104" t="s">
        <v>173</v>
      </c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7"/>
    </row>
    <row r="476" spans="1:16" ht="15" customHeight="1" x14ac:dyDescent="0.25">
      <c r="A476" s="96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7"/>
    </row>
    <row r="477" spans="1:16" ht="15.75" customHeight="1" x14ac:dyDescent="0.25">
      <c r="A477" s="96"/>
      <c r="B477" s="105" t="s">
        <v>10</v>
      </c>
      <c r="C477" s="105" t="s">
        <v>174</v>
      </c>
      <c r="D477" s="105" t="s">
        <v>175</v>
      </c>
      <c r="E477" s="105" t="s">
        <v>176</v>
      </c>
      <c r="F477" s="105" t="s">
        <v>177</v>
      </c>
      <c r="G477" s="105" t="s">
        <v>16</v>
      </c>
      <c r="H477" s="106" t="s">
        <v>17</v>
      </c>
      <c r="I477" s="106" t="s">
        <v>178</v>
      </c>
      <c r="J477" s="99"/>
      <c r="K477" s="99"/>
      <c r="L477" s="99"/>
      <c r="M477" s="99"/>
      <c r="N477" s="99"/>
      <c r="O477" s="99"/>
      <c r="P477" s="97"/>
    </row>
    <row r="478" spans="1:16" ht="16.5" customHeight="1" x14ac:dyDescent="0.25">
      <c r="A478" s="96"/>
      <c r="B478" s="107" t="s">
        <v>102</v>
      </c>
      <c r="C478" s="108">
        <f>VLOOKUP(B478,'Gebouwgegevens Allacker'!$J$5:$Q$83,3,0)</f>
        <v>2</v>
      </c>
      <c r="D478" s="108" t="str">
        <f>VLOOKUP(B478,'Gebouwgegevens Allacker'!$J$5:$Q$83,4,0)</f>
        <v>Wall internal</v>
      </c>
      <c r="E478" s="108">
        <f>VLOOKUP(B478,'Gebouwgegevens Allacker'!$J$5:$Q$83,5,0)</f>
        <v>14.24</v>
      </c>
      <c r="F478" s="108">
        <f>VLOOKUP(B478,'Gebouwgegevens Allacker'!$J$5:$Q$83,6,0)</f>
        <v>0</v>
      </c>
      <c r="G478" s="108">
        <f>VLOOKUP(B478,'Gebouwgegevens Allacker'!$J$5:$Q$83,7,0)</f>
        <v>1.9926199261992623</v>
      </c>
      <c r="H478" s="109">
        <f>VLOOKUP(B478,'Gebouwgegevens Allacker'!$J$5:$Q$83,8,0)</f>
        <v>28.374907749077497</v>
      </c>
      <c r="I478" s="109">
        <v>1</v>
      </c>
      <c r="J478" s="99"/>
      <c r="K478" s="99"/>
      <c r="L478" s="99"/>
      <c r="M478" s="99"/>
      <c r="N478" s="99"/>
      <c r="O478" s="99"/>
      <c r="P478" s="97"/>
    </row>
    <row r="479" spans="1:16" ht="16.5" customHeight="1" x14ac:dyDescent="0.25">
      <c r="A479" s="96"/>
      <c r="B479" s="107" t="s">
        <v>102</v>
      </c>
      <c r="C479" s="108">
        <f>VLOOKUP(B479,'Gebouwgegevens Allacker'!$J$5:$Q$83,3,0)</f>
        <v>2</v>
      </c>
      <c r="D479" s="108" t="str">
        <f>VLOOKUP(B479,'Gebouwgegevens Allacker'!$J$5:$Q$83,4,0)</f>
        <v>Wall internal</v>
      </c>
      <c r="E479" s="108">
        <f>VLOOKUP(B479,'Gebouwgegevens Allacker'!$J$5:$Q$83,5,0)</f>
        <v>14.24</v>
      </c>
      <c r="F479" s="108">
        <f>VLOOKUP(B479,'Gebouwgegevens Allacker'!$J$5:$Q$83,6,0)</f>
        <v>0</v>
      </c>
      <c r="G479" s="108">
        <f>VLOOKUP(B479,'Gebouwgegevens Allacker'!$J$5:$Q$83,7,0)</f>
        <v>1.9926199261992623</v>
      </c>
      <c r="H479" s="109">
        <f>VLOOKUP(B479,'Gebouwgegevens Allacker'!$J$5:$Q$83,8,0)</f>
        <v>28.374907749077497</v>
      </c>
      <c r="I479" s="109">
        <v>1</v>
      </c>
      <c r="J479" s="99"/>
      <c r="K479" s="99"/>
      <c r="L479" s="99"/>
      <c r="M479" s="99"/>
      <c r="N479" s="99"/>
      <c r="O479" s="99"/>
      <c r="P479" s="97"/>
    </row>
    <row r="480" spans="1:16" ht="16.5" customHeight="1" x14ac:dyDescent="0.25">
      <c r="A480" s="96"/>
      <c r="B480" s="107" t="s">
        <v>244</v>
      </c>
      <c r="C480" s="108" t="e">
        <f>VLOOKUP(B480,'Gebouwgegevens Allacker'!$J$5:$Q$83,3,0)</f>
        <v>#N/A</v>
      </c>
      <c r="D480" s="108" t="e">
        <f>VLOOKUP(B480,'Gebouwgegevens Allacker'!$J$5:$Q$83,4,0)</f>
        <v>#N/A</v>
      </c>
      <c r="E480" s="108" t="e">
        <f>VLOOKUP(B480,'Gebouwgegevens Allacker'!$J$5:$Q$83,5,0)</f>
        <v>#N/A</v>
      </c>
      <c r="F480" s="108" t="e">
        <f>VLOOKUP(B480,'Gebouwgegevens Allacker'!$J$5:$Q$83,6,0)</f>
        <v>#N/A</v>
      </c>
      <c r="G480" s="108" t="e">
        <f>VLOOKUP(B480,'Gebouwgegevens Allacker'!$J$5:$Q$83,7,0)</f>
        <v>#N/A</v>
      </c>
      <c r="H480" s="109" t="e">
        <f>VLOOKUP(B480,'Gebouwgegevens Allacker'!$J$5:$Q$83,8,0)</f>
        <v>#N/A</v>
      </c>
      <c r="I480" s="109">
        <v>1</v>
      </c>
      <c r="J480" s="99"/>
      <c r="K480" s="99"/>
      <c r="L480" s="99"/>
      <c r="M480" s="99"/>
      <c r="N480" s="99"/>
      <c r="O480" s="99"/>
      <c r="P480" s="97"/>
    </row>
    <row r="481" spans="1:16" ht="16.5" customHeight="1" x14ac:dyDescent="0.25">
      <c r="A481" s="96"/>
      <c r="B481" s="107" t="s">
        <v>245</v>
      </c>
      <c r="C481" s="108" t="e">
        <f>VLOOKUP(B481,'Gebouwgegevens Allacker'!$J$5:$Q$83,3,0)</f>
        <v>#N/A</v>
      </c>
      <c r="D481" s="108" t="e">
        <f>VLOOKUP(B481,'Gebouwgegevens Allacker'!$J$5:$Q$83,4,0)</f>
        <v>#N/A</v>
      </c>
      <c r="E481" s="108" t="e">
        <f>VLOOKUP(B481,'Gebouwgegevens Allacker'!$J$5:$Q$83,5,0)</f>
        <v>#N/A</v>
      </c>
      <c r="F481" s="108" t="e">
        <f>VLOOKUP(B481,'Gebouwgegevens Allacker'!$J$5:$Q$83,6,0)</f>
        <v>#N/A</v>
      </c>
      <c r="G481" s="108" t="e">
        <f>VLOOKUP(B481,'Gebouwgegevens Allacker'!$J$5:$Q$83,7,0)</f>
        <v>#N/A</v>
      </c>
      <c r="H481" s="109" t="e">
        <f>VLOOKUP(B481,'Gebouwgegevens Allacker'!$J$5:$Q$83,8,0)</f>
        <v>#N/A</v>
      </c>
      <c r="I481" s="109">
        <v>1</v>
      </c>
      <c r="J481" s="99"/>
      <c r="K481" s="99"/>
      <c r="L481" s="99"/>
      <c r="M481" s="99"/>
      <c r="N481" s="99"/>
      <c r="O481" s="99"/>
      <c r="P481" s="97"/>
    </row>
    <row r="482" spans="1:16" ht="16.5" customHeight="1" x14ac:dyDescent="0.25">
      <c r="A482" s="96"/>
      <c r="B482" s="107" t="s">
        <v>246</v>
      </c>
      <c r="C482" s="108" t="e">
        <f>VLOOKUP(B482,'Gebouwgegevens Allacker'!$J$5:$Q$83,3,0)</f>
        <v>#N/A</v>
      </c>
      <c r="D482" s="108" t="e">
        <f>VLOOKUP(B482,'Gebouwgegevens Allacker'!$J$5:$Q$83,4,0)</f>
        <v>#N/A</v>
      </c>
      <c r="E482" s="108" t="e">
        <f>VLOOKUP(B482,'Gebouwgegevens Allacker'!$J$5:$Q$83,5,0)</f>
        <v>#N/A</v>
      </c>
      <c r="F482" s="108" t="e">
        <f>VLOOKUP(B482,'Gebouwgegevens Allacker'!$J$5:$Q$83,6,0)</f>
        <v>#N/A</v>
      </c>
      <c r="G482" s="108" t="e">
        <f>VLOOKUP(B482,'Gebouwgegevens Allacker'!$J$5:$Q$83,7,0)</f>
        <v>#N/A</v>
      </c>
      <c r="H482" s="109" t="e">
        <f>VLOOKUP(B482,'Gebouwgegevens Allacker'!$J$5:$Q$83,8,0)</f>
        <v>#N/A</v>
      </c>
      <c r="I482" s="109">
        <v>1</v>
      </c>
      <c r="J482" s="99"/>
      <c r="K482" s="99"/>
      <c r="L482" s="99"/>
      <c r="M482" s="99"/>
      <c r="N482" s="99"/>
      <c r="O482" s="99"/>
      <c r="P482" s="97"/>
    </row>
    <row r="483" spans="1:16" ht="16.5" customHeight="1" x14ac:dyDescent="0.25">
      <c r="A483" s="96"/>
      <c r="B483" s="107" t="s">
        <v>247</v>
      </c>
      <c r="C483" s="108" t="e">
        <f>VLOOKUP(B483,'Gebouwgegevens Allacker'!$J$5:$Q$83,3,0)</f>
        <v>#N/A</v>
      </c>
      <c r="D483" s="108" t="e">
        <f>VLOOKUP(B483,'Gebouwgegevens Allacker'!$J$5:$Q$83,4,0)</f>
        <v>#N/A</v>
      </c>
      <c r="E483" s="108" t="e">
        <f>VLOOKUP(B483,'Gebouwgegevens Allacker'!$J$5:$Q$83,5,0)</f>
        <v>#N/A</v>
      </c>
      <c r="F483" s="108" t="e">
        <f>VLOOKUP(B483,'Gebouwgegevens Allacker'!$J$5:$Q$83,6,0)</f>
        <v>#N/A</v>
      </c>
      <c r="G483" s="108" t="e">
        <f>VLOOKUP(B483,'Gebouwgegevens Allacker'!$J$5:$Q$83,7,0)</f>
        <v>#N/A</v>
      </c>
      <c r="H483" s="109" t="e">
        <f>VLOOKUP(B483,'Gebouwgegevens Allacker'!$J$5:$Q$83,8,0)</f>
        <v>#N/A</v>
      </c>
      <c r="I483" s="109">
        <v>1</v>
      </c>
      <c r="J483" s="99"/>
      <c r="K483" s="99"/>
      <c r="L483" s="99"/>
      <c r="M483" s="99"/>
      <c r="N483" s="99"/>
      <c r="O483" s="99"/>
      <c r="P483" s="97"/>
    </row>
    <row r="484" spans="1:16" ht="16.5" customHeight="1" x14ac:dyDescent="0.25">
      <c r="A484" s="96"/>
      <c r="B484" s="107"/>
      <c r="C484" s="108"/>
      <c r="D484" s="108"/>
      <c r="E484" s="108"/>
      <c r="F484" s="108"/>
      <c r="G484" s="108"/>
      <c r="H484" s="109"/>
      <c r="I484" s="109"/>
      <c r="J484" s="99"/>
      <c r="K484" s="99"/>
      <c r="L484" s="99"/>
      <c r="M484" s="99"/>
      <c r="N484" s="99"/>
      <c r="O484" s="99"/>
      <c r="P484" s="97"/>
    </row>
    <row r="485" spans="1:16" ht="16.5" customHeight="1" x14ac:dyDescent="0.25">
      <c r="A485" s="96"/>
      <c r="B485" s="107"/>
      <c r="C485" s="108"/>
      <c r="D485" s="108"/>
      <c r="E485" s="108"/>
      <c r="F485" s="108"/>
      <c r="G485" s="108"/>
      <c r="H485" s="109"/>
      <c r="I485" s="109"/>
      <c r="J485" s="99"/>
      <c r="K485" s="99"/>
      <c r="L485" s="99"/>
      <c r="M485" s="99"/>
      <c r="N485" s="99"/>
      <c r="O485" s="99"/>
      <c r="P485" s="97"/>
    </row>
    <row r="486" spans="1:16" ht="16.5" customHeight="1" x14ac:dyDescent="0.25">
      <c r="A486" s="96"/>
      <c r="B486" s="107"/>
      <c r="C486" s="108"/>
      <c r="D486" s="108"/>
      <c r="E486" s="108"/>
      <c r="F486" s="108"/>
      <c r="G486" s="108"/>
      <c r="H486" s="109"/>
      <c r="I486" s="109"/>
      <c r="J486" s="99"/>
      <c r="K486" s="99"/>
      <c r="L486" s="99"/>
      <c r="M486" s="99"/>
      <c r="N486" s="99"/>
      <c r="O486" s="99"/>
      <c r="P486" s="97"/>
    </row>
    <row r="487" spans="1:16" ht="16.5" customHeight="1" x14ac:dyDescent="0.25">
      <c r="A487" s="96"/>
      <c r="B487" s="107"/>
      <c r="C487" s="108"/>
      <c r="D487" s="108"/>
      <c r="E487" s="108"/>
      <c r="F487" s="108"/>
      <c r="G487" s="108"/>
      <c r="H487" s="109"/>
      <c r="I487" s="109"/>
      <c r="J487" s="99"/>
      <c r="K487" s="99"/>
      <c r="L487" s="99"/>
      <c r="M487" s="99"/>
      <c r="N487" s="99"/>
      <c r="O487" s="99"/>
      <c r="P487" s="97"/>
    </row>
    <row r="488" spans="1:16" ht="16.5" customHeight="1" x14ac:dyDescent="0.25">
      <c r="A488" s="96"/>
      <c r="B488" s="107"/>
      <c r="C488" s="108"/>
      <c r="D488" s="108"/>
      <c r="E488" s="108"/>
      <c r="F488" s="108"/>
      <c r="G488" s="108"/>
      <c r="H488" s="109"/>
      <c r="I488" s="109"/>
      <c r="J488" s="99"/>
      <c r="K488" s="99"/>
      <c r="L488" s="99"/>
      <c r="M488" s="99"/>
      <c r="N488" s="99"/>
      <c r="O488" s="99"/>
      <c r="P488" s="97"/>
    </row>
    <row r="489" spans="1:16" ht="16.5" customHeight="1" x14ac:dyDescent="0.25">
      <c r="A489" s="96"/>
      <c r="B489" s="107"/>
      <c r="C489" s="108"/>
      <c r="D489" s="108"/>
      <c r="E489" s="108"/>
      <c r="F489" s="108"/>
      <c r="G489" s="108"/>
      <c r="H489" s="109"/>
      <c r="I489" s="109"/>
      <c r="J489" s="99"/>
      <c r="K489" s="99"/>
      <c r="L489" s="99"/>
      <c r="M489" s="99"/>
      <c r="N489" s="99"/>
      <c r="O489" s="99"/>
      <c r="P489" s="97"/>
    </row>
    <row r="490" spans="1:16" ht="15.75" customHeight="1" x14ac:dyDescent="0.25">
      <c r="A490" s="96"/>
      <c r="B490" s="58"/>
      <c r="C490" s="58"/>
      <c r="D490" s="58"/>
      <c r="E490" s="58"/>
      <c r="F490" s="58"/>
      <c r="G490" s="115"/>
      <c r="H490" s="58"/>
      <c r="I490" s="58"/>
      <c r="J490" s="99"/>
      <c r="K490" s="99"/>
      <c r="L490" s="99"/>
      <c r="M490" s="99"/>
      <c r="N490" s="99"/>
      <c r="O490" s="99"/>
      <c r="P490" s="97"/>
    </row>
    <row r="491" spans="1:16" ht="15" customHeight="1" x14ac:dyDescent="0.25">
      <c r="A491" s="96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7"/>
    </row>
    <row r="492" spans="1:16" ht="15" customHeight="1" x14ac:dyDescent="0.25">
      <c r="A492" s="104" t="s">
        <v>180</v>
      </c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7"/>
    </row>
    <row r="493" spans="1:16" ht="15.75" customHeight="1" x14ac:dyDescent="0.25">
      <c r="A493" s="96"/>
      <c r="B493" s="58" t="s">
        <v>10</v>
      </c>
      <c r="C493" s="58" t="s">
        <v>181</v>
      </c>
      <c r="D493" s="58" t="s">
        <v>175</v>
      </c>
      <c r="E493" s="58" t="s">
        <v>182</v>
      </c>
      <c r="F493" s="58" t="s">
        <v>16</v>
      </c>
      <c r="G493" s="115" t="s">
        <v>17</v>
      </c>
      <c r="H493" s="115" t="s">
        <v>178</v>
      </c>
      <c r="I493" s="58" t="s">
        <v>183</v>
      </c>
      <c r="J493" s="58" t="s">
        <v>184</v>
      </c>
      <c r="K493" s="58" t="s">
        <v>185</v>
      </c>
      <c r="L493" s="116" t="s">
        <v>186</v>
      </c>
      <c r="M493" s="116" t="s">
        <v>187</v>
      </c>
      <c r="N493" s="116" t="s">
        <v>188</v>
      </c>
      <c r="O493" s="99"/>
      <c r="P493" s="97"/>
    </row>
    <row r="494" spans="1:16" ht="16.5" customHeight="1" x14ac:dyDescent="0.25">
      <c r="A494" s="96"/>
      <c r="B494" s="117"/>
      <c r="C494" s="118"/>
      <c r="D494" s="118"/>
      <c r="E494" s="118"/>
      <c r="F494" s="118"/>
      <c r="G494" s="119"/>
      <c r="H494" s="119"/>
      <c r="I494" s="118"/>
      <c r="J494" s="117"/>
      <c r="K494" s="117"/>
      <c r="L494" s="120"/>
      <c r="M494" s="120"/>
      <c r="N494" s="121"/>
      <c r="O494" s="99"/>
      <c r="P494" s="97"/>
    </row>
    <row r="495" spans="1:16" ht="16.5" customHeight="1" x14ac:dyDescent="0.25">
      <c r="A495" s="96"/>
      <c r="B495" s="117"/>
      <c r="C495" s="118"/>
      <c r="D495" s="118"/>
      <c r="E495" s="118"/>
      <c r="F495" s="118"/>
      <c r="G495" s="119"/>
      <c r="H495" s="119"/>
      <c r="I495" s="118"/>
      <c r="J495" s="117"/>
      <c r="K495" s="117"/>
      <c r="L495" s="120"/>
      <c r="M495" s="120"/>
      <c r="N495" s="121"/>
      <c r="O495" s="99"/>
      <c r="P495" s="97"/>
    </row>
    <row r="496" spans="1:16" ht="16.5" customHeight="1" x14ac:dyDescent="0.25">
      <c r="A496" s="96"/>
      <c r="B496" s="117"/>
      <c r="C496" s="118"/>
      <c r="D496" s="118"/>
      <c r="E496" s="118"/>
      <c r="F496" s="118"/>
      <c r="G496" s="119"/>
      <c r="H496" s="119"/>
      <c r="I496" s="118"/>
      <c r="J496" s="117"/>
      <c r="K496" s="117"/>
      <c r="L496" s="120"/>
      <c r="M496" s="120"/>
      <c r="N496" s="121"/>
      <c r="O496" s="99"/>
      <c r="P496" s="97"/>
    </row>
    <row r="497" spans="1:16" ht="16.5" customHeight="1" x14ac:dyDescent="0.25">
      <c r="A497" s="96"/>
      <c r="B497" s="117"/>
      <c r="C497" s="118"/>
      <c r="D497" s="118"/>
      <c r="E497" s="118"/>
      <c r="F497" s="118"/>
      <c r="G497" s="119"/>
      <c r="H497" s="119"/>
      <c r="I497" s="118"/>
      <c r="J497" s="117"/>
      <c r="K497" s="117"/>
      <c r="L497" s="120"/>
      <c r="M497" s="120"/>
      <c r="N497" s="121"/>
      <c r="O497" s="99"/>
      <c r="P497" s="97"/>
    </row>
    <row r="498" spans="1:16" ht="16.5" customHeight="1" x14ac:dyDescent="0.25">
      <c r="A498" s="139"/>
      <c r="B498" s="117"/>
      <c r="C498" s="118"/>
      <c r="D498" s="118"/>
      <c r="E498" s="118"/>
      <c r="F498" s="118"/>
      <c r="G498" s="119"/>
      <c r="H498" s="119"/>
      <c r="I498" s="118"/>
      <c r="J498" s="117"/>
      <c r="K498" s="117"/>
      <c r="L498" s="120"/>
      <c r="M498" s="120"/>
      <c r="N498" s="121"/>
      <c r="O498" s="99"/>
      <c r="P498" s="97"/>
    </row>
    <row r="499" spans="1:16" ht="15.75" customHeight="1" x14ac:dyDescent="0.25">
      <c r="A499" s="96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7"/>
    </row>
    <row r="500" spans="1:16" ht="15" customHeight="1" x14ac:dyDescent="0.25">
      <c r="A500" s="104" t="s">
        <v>189</v>
      </c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7"/>
    </row>
    <row r="501" spans="1:16" ht="15.75" customHeight="1" x14ac:dyDescent="0.25">
      <c r="A501" s="96"/>
      <c r="B501" s="58" t="s">
        <v>10</v>
      </c>
      <c r="C501" s="58" t="s">
        <v>190</v>
      </c>
      <c r="D501" s="58" t="s">
        <v>191</v>
      </c>
      <c r="E501" s="58" t="s">
        <v>135</v>
      </c>
      <c r="F501" s="58" t="s">
        <v>192</v>
      </c>
      <c r="G501" s="58" t="s">
        <v>193</v>
      </c>
      <c r="H501" s="58" t="s">
        <v>194</v>
      </c>
      <c r="I501" s="58" t="s">
        <v>16</v>
      </c>
      <c r="J501" s="115" t="s">
        <v>17</v>
      </c>
      <c r="K501" s="115" t="s">
        <v>178</v>
      </c>
      <c r="L501" s="99"/>
      <c r="M501" s="99"/>
      <c r="N501" s="99"/>
      <c r="O501" s="99"/>
      <c r="P501" s="97"/>
    </row>
    <row r="502" spans="1:16" ht="16.5" customHeight="1" x14ac:dyDescent="0.25">
      <c r="A502" s="96"/>
      <c r="B502" s="117" t="s">
        <v>240</v>
      </c>
      <c r="C502" s="123" t="e">
        <f>IF(VLOOKUP(B502,'Gebouwgegevens Allacker'!$J$5:$Q$83,2,0)=$B$472,VLOOKUP(B502,'Gebouwgegevens Allacker'!$J$5:$Q$83,2,0),VLOOKUP(B502,'Gebouwgegevens Allacker'!$J$5:$Q$83,3,0))</f>
        <v>#N/A</v>
      </c>
      <c r="D502" s="123" t="e">
        <f>IF(VLOOKUP(B502,'Gebouwgegevens Allacker'!$J$5:$Q$83,2,0)=$B$472,VLOOKUP(B502,'Gebouwgegevens Allacker'!$J$5:$Q$83,3,0),VLOOKUP(B502,'Gebouwgegevens Allacker'!$J$5:$Q$83,2,0))</f>
        <v>#N/A</v>
      </c>
      <c r="E502" s="123" t="e">
        <f>VLOOKUP(B502,'Gebouwgegevens Allacker'!$J$5:$Q$83,4,0)</f>
        <v>#N/A</v>
      </c>
      <c r="F502" s="123" t="e">
        <f>VLOOKUP(B502,'Gebouwgegevens Allacker'!$J$5:$Q$83,5,0)</f>
        <v>#N/A</v>
      </c>
      <c r="G502" s="123" t="e">
        <f>VLOOKUP('Verwarming Tabula'!C502,'Gebouwgegevens Allacker'!$A$35:$F$46,5,0)</f>
        <v>#N/A</v>
      </c>
      <c r="H502" s="123" t="e">
        <f>VLOOKUP('Verwarming Tabula'!D502,'Gebouwgegevens Allacker'!$A$35:$F$46,5,0)</f>
        <v>#N/A</v>
      </c>
      <c r="I502" s="123" t="e">
        <f>VLOOKUP(B502,'Gebouwgegevens Allacker'!$J$5:$Q$83,7,0)</f>
        <v>#N/A</v>
      </c>
      <c r="J502" s="119" t="e">
        <f>VLOOKUP(B502,'Gebouwgegevens Allacker'!$J$5:$Q$83,8,0)</f>
        <v>#N/A</v>
      </c>
      <c r="K502" s="119" t="e">
        <f>(G502-H502)/(G502-$B$4)</f>
        <v>#N/A</v>
      </c>
      <c r="L502" s="99"/>
      <c r="M502" s="99"/>
      <c r="N502" s="99"/>
      <c r="O502" s="99"/>
      <c r="P502" s="97"/>
    </row>
    <row r="503" spans="1:16" ht="16.5" customHeight="1" x14ac:dyDescent="0.25">
      <c r="A503" s="96"/>
      <c r="B503" s="117" t="s">
        <v>224</v>
      </c>
      <c r="C503" s="123" t="e">
        <f>IF(VLOOKUP(B503,'Gebouwgegevens Allacker'!$J$5:$Q$83,2,0)=$B$472,VLOOKUP(B503,'Gebouwgegevens Allacker'!$J$5:$Q$83,2,0),VLOOKUP(B503,'Gebouwgegevens Allacker'!$J$5:$Q$83,3,0))</f>
        <v>#N/A</v>
      </c>
      <c r="D503" s="123" t="e">
        <f>IF(VLOOKUP(B503,'Gebouwgegevens Allacker'!$J$5:$Q$83,2,0)=$B$472,VLOOKUP(B503,'Gebouwgegevens Allacker'!$J$5:$Q$83,3,0),VLOOKUP(B503,'Gebouwgegevens Allacker'!$J$5:$Q$83,2,0))</f>
        <v>#N/A</v>
      </c>
      <c r="E503" s="123" t="e">
        <f>VLOOKUP(B503,'Gebouwgegevens Allacker'!$J$5:$Q$83,4,0)</f>
        <v>#N/A</v>
      </c>
      <c r="F503" s="123" t="e">
        <f>VLOOKUP(B503,'Gebouwgegevens Allacker'!$J$5:$Q$83,5,0)</f>
        <v>#N/A</v>
      </c>
      <c r="G503" s="123" t="e">
        <f>VLOOKUP('Verwarming Tabula'!C503,'Gebouwgegevens Allacker'!$A$35:$F$46,5,0)</f>
        <v>#N/A</v>
      </c>
      <c r="H503" s="123" t="e">
        <f>VLOOKUP('Verwarming Tabula'!D503,'Gebouwgegevens Allacker'!$A$35:$F$46,5,0)</f>
        <v>#N/A</v>
      </c>
      <c r="I503" s="123" t="e">
        <f>VLOOKUP(B503,'Gebouwgegevens Allacker'!$J$5:$Q$83,7,0)</f>
        <v>#N/A</v>
      </c>
      <c r="J503" s="119" t="e">
        <f>VLOOKUP(B503,'Gebouwgegevens Allacker'!$J$5:$Q$83,8,0)</f>
        <v>#N/A</v>
      </c>
      <c r="K503" s="119" t="e">
        <f>(G503-H503)/(G503-$B$4)</f>
        <v>#N/A</v>
      </c>
      <c r="L503" s="99"/>
      <c r="M503" s="99"/>
      <c r="N503" s="99"/>
      <c r="O503" s="99"/>
      <c r="P503" s="97"/>
    </row>
    <row r="504" spans="1:16" ht="16.5" customHeight="1" x14ac:dyDescent="0.25">
      <c r="A504" s="96"/>
      <c r="B504" s="117" t="s">
        <v>248</v>
      </c>
      <c r="C504" s="123" t="e">
        <f>IF(VLOOKUP(B504,'Gebouwgegevens Allacker'!$J$5:$Q$83,2,0)=$B$472,VLOOKUP(B504,'Gebouwgegevens Allacker'!$J$5:$Q$83,2,0),VLOOKUP(B504,'Gebouwgegevens Allacker'!$J$5:$Q$83,3,0))</f>
        <v>#N/A</v>
      </c>
      <c r="D504" s="123" t="e">
        <f>IF(VLOOKUP(B504,'Gebouwgegevens Allacker'!$J$5:$Q$83,2,0)=$B$472,VLOOKUP(B504,'Gebouwgegevens Allacker'!$J$5:$Q$83,3,0),VLOOKUP(B504,'Gebouwgegevens Allacker'!$J$5:$Q$83,2,0))</f>
        <v>#N/A</v>
      </c>
      <c r="E504" s="123" t="e">
        <f>VLOOKUP(B504,'Gebouwgegevens Allacker'!$J$5:$Q$83,4,0)</f>
        <v>#N/A</v>
      </c>
      <c r="F504" s="123" t="e">
        <f>VLOOKUP(B504,'Gebouwgegevens Allacker'!$J$5:$Q$83,5,0)</f>
        <v>#N/A</v>
      </c>
      <c r="G504" s="123" t="e">
        <f>VLOOKUP('Verwarming Tabula'!C504,'Gebouwgegevens Allacker'!$A$35:$F$46,5,0)</f>
        <v>#N/A</v>
      </c>
      <c r="H504" s="123" t="e">
        <f>VLOOKUP('Verwarming Tabula'!D504,'Gebouwgegevens Allacker'!$A$35:$F$46,5,0)</f>
        <v>#N/A</v>
      </c>
      <c r="I504" s="123" t="e">
        <f>VLOOKUP(B504,'Gebouwgegevens Allacker'!$J$5:$Q$83,7,0)</f>
        <v>#N/A</v>
      </c>
      <c r="J504" s="119" t="e">
        <f>VLOOKUP(B504,'Gebouwgegevens Allacker'!$J$5:$Q$83,8,0)</f>
        <v>#N/A</v>
      </c>
      <c r="K504" s="119" t="e">
        <f>(G504-H504)/(G504-$B$4)</f>
        <v>#N/A</v>
      </c>
      <c r="L504" s="99"/>
      <c r="M504" s="99"/>
      <c r="N504" s="99"/>
      <c r="O504" s="99"/>
      <c r="P504" s="97"/>
    </row>
    <row r="505" spans="1:16" ht="16.5" customHeight="1" x14ac:dyDescent="0.25">
      <c r="A505" s="96"/>
      <c r="B505" s="117"/>
      <c r="C505" s="123"/>
      <c r="D505" s="123"/>
      <c r="E505" s="123"/>
      <c r="F505" s="123"/>
      <c r="G505" s="123"/>
      <c r="H505" s="123"/>
      <c r="I505" s="123"/>
      <c r="J505" s="119"/>
      <c r="K505" s="119"/>
      <c r="L505" s="99"/>
      <c r="M505" s="99"/>
      <c r="N505" s="99"/>
      <c r="O505" s="99"/>
      <c r="P505" s="97"/>
    </row>
    <row r="506" spans="1:16" ht="16.5" customHeight="1" x14ac:dyDescent="0.25">
      <c r="A506" s="96"/>
      <c r="B506" s="146"/>
      <c r="C506" s="123"/>
      <c r="D506" s="123"/>
      <c r="E506" s="123"/>
      <c r="F506" s="123"/>
      <c r="G506" s="123"/>
      <c r="H506" s="123"/>
      <c r="I506" s="123"/>
      <c r="J506" s="119"/>
      <c r="K506" s="119"/>
      <c r="L506" s="99"/>
      <c r="M506" s="99"/>
      <c r="N506" s="99"/>
      <c r="O506" s="99"/>
      <c r="P506" s="97"/>
    </row>
    <row r="507" spans="1:16" ht="16.5" customHeight="1" x14ac:dyDescent="0.25">
      <c r="A507" s="96"/>
      <c r="B507" s="124"/>
      <c r="C507" s="140"/>
      <c r="D507" s="123"/>
      <c r="E507" s="123"/>
      <c r="F507" s="123"/>
      <c r="G507" s="123"/>
      <c r="H507" s="123"/>
      <c r="I507" s="123"/>
      <c r="J507" s="119"/>
      <c r="K507" s="119"/>
      <c r="L507" s="99"/>
      <c r="M507" s="99"/>
      <c r="N507" s="99"/>
      <c r="O507" s="99"/>
      <c r="P507" s="97"/>
    </row>
    <row r="508" spans="1:16" ht="16.5" customHeight="1" x14ac:dyDescent="0.25">
      <c r="A508" s="96"/>
      <c r="B508" s="124"/>
      <c r="C508" s="140"/>
      <c r="D508" s="123"/>
      <c r="E508" s="123"/>
      <c r="F508" s="123"/>
      <c r="G508" s="123"/>
      <c r="H508" s="123"/>
      <c r="I508" s="123"/>
      <c r="J508" s="119"/>
      <c r="K508" s="119"/>
      <c r="L508" s="99"/>
      <c r="M508" s="99"/>
      <c r="N508" s="99"/>
      <c r="O508" s="99"/>
      <c r="P508" s="97"/>
    </row>
    <row r="509" spans="1:16" ht="16.5" customHeight="1" x14ac:dyDescent="0.25">
      <c r="A509" s="96"/>
      <c r="B509" s="124"/>
      <c r="C509" s="140"/>
      <c r="D509" s="123"/>
      <c r="E509" s="123"/>
      <c r="F509" s="123"/>
      <c r="G509" s="123"/>
      <c r="H509" s="123"/>
      <c r="I509" s="123"/>
      <c r="J509" s="119"/>
      <c r="K509" s="119"/>
      <c r="L509" s="99"/>
      <c r="M509" s="99"/>
      <c r="N509" s="99"/>
      <c r="O509" s="99"/>
      <c r="P509" s="97"/>
    </row>
    <row r="510" spans="1:16" ht="16.5" customHeight="1" x14ac:dyDescent="0.25">
      <c r="A510" s="96"/>
      <c r="B510" s="124"/>
      <c r="C510" s="140"/>
      <c r="D510" s="123"/>
      <c r="E510" s="123"/>
      <c r="F510" s="123"/>
      <c r="G510" s="123"/>
      <c r="H510" s="123"/>
      <c r="I510" s="123"/>
      <c r="J510" s="119"/>
      <c r="K510" s="119"/>
      <c r="L510" s="99"/>
      <c r="M510" s="99"/>
      <c r="N510" s="99"/>
      <c r="O510" s="99"/>
      <c r="P510" s="97"/>
    </row>
    <row r="511" spans="1:16" ht="16.5" customHeight="1" x14ac:dyDescent="0.25">
      <c r="A511" s="96"/>
      <c r="B511" s="124"/>
      <c r="C511" s="140"/>
      <c r="D511" s="123"/>
      <c r="E511" s="123"/>
      <c r="F511" s="123"/>
      <c r="G511" s="123"/>
      <c r="H511" s="123"/>
      <c r="I511" s="123"/>
      <c r="J511" s="119"/>
      <c r="K511" s="119"/>
      <c r="L511" s="99"/>
      <c r="M511" s="99"/>
      <c r="N511" s="99"/>
      <c r="O511" s="99"/>
      <c r="P511" s="97"/>
    </row>
    <row r="512" spans="1:16" ht="15.75" customHeight="1" x14ac:dyDescent="0.25">
      <c r="A512" s="96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99"/>
      <c r="M512" s="99"/>
      <c r="N512" s="99"/>
      <c r="O512" s="99"/>
      <c r="P512" s="97"/>
    </row>
    <row r="513" spans="1:16" ht="15" customHeight="1" x14ac:dyDescent="0.25">
      <c r="A513" s="96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7"/>
    </row>
    <row r="514" spans="1:16" ht="15.75" customHeight="1" x14ac:dyDescent="0.25">
      <c r="A514" s="104" t="s">
        <v>195</v>
      </c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7"/>
    </row>
    <row r="515" spans="1:16" ht="16.5" customHeight="1" x14ac:dyDescent="0.25">
      <c r="A515" s="125" t="s">
        <v>196</v>
      </c>
      <c r="B515" s="119" t="e">
        <f>SUMPRODUCT(H478:H489,I478:I489)+SUMPRODUCT(G494:G498,H494:H498)+SUMPRODUCT(J502:J511,K502:K511)</f>
        <v>#N/A</v>
      </c>
      <c r="C515" s="119" t="s">
        <v>107</v>
      </c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7"/>
    </row>
    <row r="516" spans="1:16" ht="16.5" customHeight="1" x14ac:dyDescent="0.25">
      <c r="A516" s="125" t="s">
        <v>170</v>
      </c>
      <c r="B516" s="119" t="e">
        <f>B515*(G502-$B$4)</f>
        <v>#N/A</v>
      </c>
      <c r="C516" s="119" t="s">
        <v>172</v>
      </c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7"/>
    </row>
    <row r="517" spans="1:16" ht="15.75" customHeight="1" x14ac:dyDescent="0.25">
      <c r="A517" s="110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2"/>
    </row>
    <row r="518" spans="1:16" ht="15.75" customHeight="1" x14ac:dyDescent="0.25">
      <c r="A518" s="279" t="s">
        <v>197</v>
      </c>
      <c r="B518" s="279"/>
      <c r="C518" s="279"/>
      <c r="D518" s="126" t="s">
        <v>225</v>
      </c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95"/>
    </row>
    <row r="519" spans="1:16" ht="15" customHeight="1" x14ac:dyDescent="0.25">
      <c r="A519" s="96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7"/>
    </row>
    <row r="520" spans="1:16" ht="15" customHeight="1" x14ac:dyDescent="0.25">
      <c r="A520" s="127" t="s">
        <v>198</v>
      </c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7"/>
    </row>
    <row r="521" spans="1:16" ht="15" customHeight="1" x14ac:dyDescent="0.25">
      <c r="A521" s="128" t="s">
        <v>199</v>
      </c>
      <c r="B521" s="122">
        <v>8</v>
      </c>
      <c r="C521" s="121" t="s">
        <v>200</v>
      </c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7"/>
    </row>
    <row r="522" spans="1:16" ht="15" customHeight="1" x14ac:dyDescent="0.25">
      <c r="A522" s="128" t="s">
        <v>201</v>
      </c>
      <c r="B522" s="122">
        <v>0.03</v>
      </c>
      <c r="C522" s="121" t="s">
        <v>202</v>
      </c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7"/>
    </row>
    <row r="523" spans="1:16" ht="15.75" customHeight="1" x14ac:dyDescent="0.25">
      <c r="A523" s="128" t="s">
        <v>203</v>
      </c>
      <c r="B523" s="122">
        <v>1</v>
      </c>
      <c r="C523" s="121" t="s">
        <v>204</v>
      </c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7"/>
    </row>
    <row r="524" spans="1:16" ht="16.5" customHeight="1" x14ac:dyDescent="0.25">
      <c r="A524" s="125" t="s">
        <v>205</v>
      </c>
      <c r="B524" s="119" t="e">
        <f>2*VLOOKUP(B472,'Gebouwgegevens Allacker'!$A$35:$F$46,6,0)*B521*B522*B523</f>
        <v>#N/A</v>
      </c>
      <c r="C524" s="119" t="s">
        <v>206</v>
      </c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7"/>
    </row>
    <row r="525" spans="1:16" ht="15.75" customHeight="1" x14ac:dyDescent="0.25">
      <c r="A525" s="139"/>
      <c r="B525" s="58"/>
      <c r="C525" s="58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7"/>
    </row>
    <row r="526" spans="1:16" ht="15" customHeight="1" x14ac:dyDescent="0.25">
      <c r="A526" s="147" t="s">
        <v>207</v>
      </c>
      <c r="B526" s="58"/>
      <c r="C526" s="58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7"/>
    </row>
    <row r="527" spans="1:16" ht="15.75" customHeight="1" x14ac:dyDescent="0.25">
      <c r="A527" s="139" t="s">
        <v>183</v>
      </c>
      <c r="B527" s="58" t="e">
        <f>VLOOKUP(B472,'Gebouwgegevens Allacker'!$A$35:$F$46,6,0)</f>
        <v>#N/A</v>
      </c>
      <c r="C527" s="58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7"/>
    </row>
    <row r="528" spans="1:16" ht="16.5" customHeight="1" x14ac:dyDescent="0.25">
      <c r="A528" s="125" t="s">
        <v>208</v>
      </c>
      <c r="B528" s="129" t="e">
        <f>B527*3.6</f>
        <v>#N/A</v>
      </c>
      <c r="C528" s="119" t="s">
        <v>206</v>
      </c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7"/>
    </row>
    <row r="529" spans="1:16" ht="15.75" customHeight="1" x14ac:dyDescent="0.25">
      <c r="A529" s="139"/>
      <c r="B529" s="58"/>
      <c r="C529" s="58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7"/>
    </row>
    <row r="530" spans="1:16" ht="15.75" customHeight="1" x14ac:dyDescent="0.25">
      <c r="A530" s="139"/>
      <c r="B530" s="58"/>
      <c r="C530" s="58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7"/>
    </row>
    <row r="531" spans="1:16" ht="16.5" customHeight="1" x14ac:dyDescent="0.25">
      <c r="A531" s="125" t="s">
        <v>210</v>
      </c>
      <c r="B531" s="119" t="e">
        <f>MAX(B524,B528)</f>
        <v>#N/A</v>
      </c>
      <c r="C531" s="119" t="s">
        <v>206</v>
      </c>
      <c r="D531" s="99"/>
      <c r="E531" s="99"/>
      <c r="F531" s="119" t="s">
        <v>211</v>
      </c>
      <c r="G531" s="119" t="e">
        <f>B531/VLOOKUP(B472,'Gebouwgegevens Allacker'!$A$35:$B$46,2,0)</f>
        <v>#N/A</v>
      </c>
      <c r="H531" s="99"/>
      <c r="I531" s="99"/>
      <c r="J531" s="99"/>
      <c r="K531" s="99"/>
      <c r="L531" s="99"/>
      <c r="M531" s="99"/>
      <c r="N531" s="99"/>
      <c r="O531" s="99"/>
      <c r="P531" s="97"/>
    </row>
    <row r="532" spans="1:16" ht="16.5" customHeight="1" x14ac:dyDescent="0.25">
      <c r="A532" s="139"/>
      <c r="B532" s="58"/>
      <c r="C532" s="58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7"/>
    </row>
    <row r="533" spans="1:16" ht="16.5" customHeight="1" x14ac:dyDescent="0.25">
      <c r="A533" s="125" t="s">
        <v>212</v>
      </c>
      <c r="B533" s="119" t="e">
        <f>0.34*B531</f>
        <v>#N/A</v>
      </c>
      <c r="C533" s="119" t="s">
        <v>107</v>
      </c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7"/>
    </row>
    <row r="534" spans="1:16" ht="16.5" customHeight="1" x14ac:dyDescent="0.25">
      <c r="A534" s="125" t="s">
        <v>170</v>
      </c>
      <c r="B534" s="119" t="e">
        <f>B533*('Gebouwgegevens Allacker'!E494-$B$4)</f>
        <v>#N/A</v>
      </c>
      <c r="C534" s="119" t="s">
        <v>172</v>
      </c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7"/>
    </row>
    <row r="535" spans="1:16" ht="15.75" customHeight="1" x14ac:dyDescent="0.25">
      <c r="A535" s="141"/>
      <c r="B535" s="142"/>
      <c r="C535" s="142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2"/>
    </row>
    <row r="536" spans="1:16" ht="15.75" customHeight="1" x14ac:dyDescent="0.25">
      <c r="A536" s="279" t="s">
        <v>213</v>
      </c>
      <c r="B536" s="279"/>
      <c r="C536" s="279"/>
      <c r="D536" s="27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7"/>
    </row>
    <row r="537" spans="1:16" ht="15" customHeight="1" x14ac:dyDescent="0.25">
      <c r="A537" s="9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7"/>
    </row>
    <row r="538" spans="1:16" ht="15" customHeight="1" x14ac:dyDescent="0.25">
      <c r="A538" s="128" t="s">
        <v>214</v>
      </c>
      <c r="B538" s="122">
        <v>22</v>
      </c>
      <c r="C538" s="58" t="s">
        <v>235</v>
      </c>
      <c r="D538" s="58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7"/>
    </row>
    <row r="539" spans="1:16" ht="15.75" customHeight="1" x14ac:dyDescent="0.25">
      <c r="A539" s="92" t="s">
        <v>113</v>
      </c>
      <c r="B539" s="99" t="e">
        <f>VLOOKUP(B472,'Gebouwgegevens Allacker'!$A$35:$F$46,6,0)</f>
        <v>#N/A</v>
      </c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7"/>
    </row>
    <row r="540" spans="1:16" ht="16.5" customHeight="1" x14ac:dyDescent="0.25">
      <c r="A540" s="125" t="s">
        <v>216</v>
      </c>
      <c r="B540" s="119" t="e">
        <f>B541/('Gebouwgegevens Allacker'!E494-'Verwarming Tabula'!$B$4)</f>
        <v>#N/A</v>
      </c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7"/>
    </row>
    <row r="541" spans="1:16" ht="16.5" customHeight="1" x14ac:dyDescent="0.25">
      <c r="A541" s="125" t="s">
        <v>170</v>
      </c>
      <c r="B541" s="119" t="e">
        <f>B538*B539</f>
        <v>#N/A</v>
      </c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7"/>
    </row>
    <row r="542" spans="1:16" ht="15.75" customHeight="1" x14ac:dyDescent="0.25">
      <c r="A542" s="96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7"/>
    </row>
    <row r="543" spans="1:16" ht="15.75" customHeight="1" x14ac:dyDescent="0.25">
      <c r="A543" s="96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7"/>
    </row>
    <row r="544" spans="1:16" ht="15.75" customHeight="1" x14ac:dyDescent="0.25">
      <c r="A544" s="130" t="s">
        <v>217</v>
      </c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2"/>
    </row>
    <row r="545" spans="1:16" ht="16.5" customHeight="1" x14ac:dyDescent="0.25">
      <c r="A545" s="125" t="s">
        <v>218</v>
      </c>
      <c r="B545" s="119" t="e">
        <f>SUM(B515,B533,B540)</f>
        <v>#N/A</v>
      </c>
      <c r="C545" s="119" t="s">
        <v>107</v>
      </c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4"/>
    </row>
    <row r="546" spans="1:16" ht="16.5" customHeight="1" x14ac:dyDescent="0.25">
      <c r="A546" s="125" t="s">
        <v>170</v>
      </c>
      <c r="B546" s="119" t="e">
        <f>SUM(B516,B534,B541)</f>
        <v>#N/A</v>
      </c>
      <c r="C546" s="119" t="s">
        <v>172</v>
      </c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4"/>
    </row>
    <row r="547" spans="1:16" ht="16.5" customHeight="1" x14ac:dyDescent="0.25">
      <c r="A547" s="135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7"/>
    </row>
    <row r="548" spans="1:16" ht="15" customHeight="1" x14ac:dyDescent="0.25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</row>
    <row r="549" spans="1:16" ht="15.75" customHeight="1" x14ac:dyDescent="0.25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</row>
    <row r="550" spans="1:16" ht="15" customHeight="1" x14ac:dyDescent="0.25">
      <c r="A550" s="94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95"/>
    </row>
    <row r="551" spans="1:16" ht="17.25" customHeight="1" x14ac:dyDescent="0.3">
      <c r="A551" s="98" t="s">
        <v>169</v>
      </c>
      <c r="B551" s="93">
        <v>8</v>
      </c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7"/>
    </row>
    <row r="552" spans="1:16" ht="15.75" customHeight="1" x14ac:dyDescent="0.25">
      <c r="A552" s="279" t="s">
        <v>171</v>
      </c>
      <c r="B552" s="279"/>
      <c r="C552" s="279"/>
      <c r="D552" s="279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95"/>
    </row>
    <row r="553" spans="1:16" ht="15" customHeight="1" x14ac:dyDescent="0.25">
      <c r="A553" s="96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7"/>
    </row>
    <row r="554" spans="1:16" ht="15" customHeight="1" x14ac:dyDescent="0.25">
      <c r="A554" s="104" t="s">
        <v>173</v>
      </c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7"/>
    </row>
    <row r="555" spans="1:16" ht="15" customHeight="1" x14ac:dyDescent="0.25">
      <c r="A555" s="96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7"/>
    </row>
    <row r="556" spans="1:16" ht="15.75" customHeight="1" x14ac:dyDescent="0.25">
      <c r="A556" s="96"/>
      <c r="B556" s="105" t="s">
        <v>10</v>
      </c>
      <c r="C556" s="105" t="s">
        <v>174</v>
      </c>
      <c r="D556" s="105" t="s">
        <v>175</v>
      </c>
      <c r="E556" s="105" t="s">
        <v>176</v>
      </c>
      <c r="F556" s="105" t="s">
        <v>177</v>
      </c>
      <c r="G556" s="105" t="s">
        <v>16</v>
      </c>
      <c r="H556" s="106" t="s">
        <v>17</v>
      </c>
      <c r="I556" s="106" t="s">
        <v>178</v>
      </c>
      <c r="J556" s="99"/>
      <c r="K556" s="99"/>
      <c r="L556" s="99"/>
      <c r="M556" s="99"/>
      <c r="N556" s="99"/>
      <c r="O556" s="99"/>
      <c r="P556" s="97"/>
    </row>
    <row r="557" spans="1:16" ht="16.5" customHeight="1" x14ac:dyDescent="0.25">
      <c r="A557" s="96"/>
      <c r="B557" s="107" t="s">
        <v>249</v>
      </c>
      <c r="C557" s="108" t="e">
        <f>VLOOKUP(B557,'Gebouwgegevens Allacker'!$J$5:$Q$83,3,0)</f>
        <v>#N/A</v>
      </c>
      <c r="D557" s="108" t="e">
        <f>VLOOKUP(B557,'Gebouwgegevens Allacker'!$J$5:$Q$83,4,0)</f>
        <v>#N/A</v>
      </c>
      <c r="E557" s="108" t="e">
        <f>VLOOKUP(B557,'Gebouwgegevens Allacker'!$J$5:$Q$83,5,0)</f>
        <v>#N/A</v>
      </c>
      <c r="F557" s="108" t="e">
        <f>VLOOKUP(B557,'Gebouwgegevens Allacker'!$J$5:$Q$83,6,0)</f>
        <v>#N/A</v>
      </c>
      <c r="G557" s="108" t="e">
        <f>VLOOKUP(B557,'Gebouwgegevens Allacker'!$J$5:$Q$83,7,0)</f>
        <v>#N/A</v>
      </c>
      <c r="H557" s="109" t="e">
        <f>VLOOKUP(B557,'Gebouwgegevens Allacker'!$J$5:$Q$83,8,0)</f>
        <v>#N/A</v>
      </c>
      <c r="I557" s="109">
        <v>1</v>
      </c>
      <c r="J557" s="99"/>
      <c r="K557" s="99"/>
      <c r="L557" s="99"/>
      <c r="M557" s="99"/>
      <c r="N557" s="99"/>
      <c r="O557" s="99"/>
      <c r="P557" s="97"/>
    </row>
    <row r="558" spans="1:16" ht="16.5" customHeight="1" x14ac:dyDescent="0.25">
      <c r="A558" s="96"/>
      <c r="B558" s="107" t="s">
        <v>250</v>
      </c>
      <c r="C558" s="108" t="e">
        <f>VLOOKUP(B558,'Gebouwgegevens Allacker'!$J$5:$Q$83,3,0)</f>
        <v>#N/A</v>
      </c>
      <c r="D558" s="108" t="e">
        <f>VLOOKUP(B558,'Gebouwgegevens Allacker'!$J$5:$Q$83,4,0)</f>
        <v>#N/A</v>
      </c>
      <c r="E558" s="108" t="e">
        <f>VLOOKUP(B558,'Gebouwgegevens Allacker'!$J$5:$Q$83,5,0)</f>
        <v>#N/A</v>
      </c>
      <c r="F558" s="108" t="e">
        <f>VLOOKUP(B558,'Gebouwgegevens Allacker'!$J$5:$Q$83,6,0)</f>
        <v>#N/A</v>
      </c>
      <c r="G558" s="108" t="e">
        <f>VLOOKUP(B558,'Gebouwgegevens Allacker'!$J$5:$Q$83,7,0)</f>
        <v>#N/A</v>
      </c>
      <c r="H558" s="109" t="e">
        <f>VLOOKUP(B558,'Gebouwgegevens Allacker'!$J$5:$Q$83,8,0)</f>
        <v>#N/A</v>
      </c>
      <c r="I558" s="109">
        <v>1</v>
      </c>
      <c r="J558" s="99"/>
      <c r="K558" s="99"/>
      <c r="L558" s="99"/>
      <c r="M558" s="99"/>
      <c r="N558" s="99"/>
      <c r="O558" s="99"/>
      <c r="P558" s="97"/>
    </row>
    <row r="559" spans="1:16" ht="16.5" customHeight="1" x14ac:dyDescent="0.25">
      <c r="A559" s="96"/>
      <c r="B559" s="107" t="s">
        <v>251</v>
      </c>
      <c r="C559" s="108" t="e">
        <f>VLOOKUP(B559,'Gebouwgegevens Allacker'!$J$5:$Q$83,3,0)</f>
        <v>#N/A</v>
      </c>
      <c r="D559" s="108" t="e">
        <f>VLOOKUP(B559,'Gebouwgegevens Allacker'!$J$5:$Q$83,4,0)</f>
        <v>#N/A</v>
      </c>
      <c r="E559" s="108" t="e">
        <f>VLOOKUP(B559,'Gebouwgegevens Allacker'!$J$5:$Q$83,5,0)</f>
        <v>#N/A</v>
      </c>
      <c r="F559" s="108" t="e">
        <f>VLOOKUP(B559,'Gebouwgegevens Allacker'!$J$5:$Q$83,6,0)</f>
        <v>#N/A</v>
      </c>
      <c r="G559" s="108" t="e">
        <f>VLOOKUP(B559,'Gebouwgegevens Allacker'!$J$5:$Q$83,7,0)</f>
        <v>#N/A</v>
      </c>
      <c r="H559" s="109" t="e">
        <f>VLOOKUP(B559,'Gebouwgegevens Allacker'!$J$5:$Q$83,8,0)</f>
        <v>#N/A</v>
      </c>
      <c r="I559" s="109">
        <v>1</v>
      </c>
      <c r="J559" s="99"/>
      <c r="K559" s="99"/>
      <c r="L559" s="99"/>
      <c r="M559" s="99"/>
      <c r="N559" s="99"/>
      <c r="O559" s="99"/>
      <c r="P559" s="97"/>
    </row>
    <row r="560" spans="1:16" ht="16.5" customHeight="1" x14ac:dyDescent="0.25">
      <c r="A560" s="96"/>
      <c r="B560" s="107"/>
      <c r="C560" s="108"/>
      <c r="D560" s="108"/>
      <c r="E560" s="108"/>
      <c r="F560" s="108"/>
      <c r="G560" s="108"/>
      <c r="H560" s="109"/>
      <c r="I560" s="109"/>
      <c r="J560" s="99"/>
      <c r="K560" s="99"/>
      <c r="L560" s="99"/>
      <c r="M560" s="99"/>
      <c r="N560" s="99"/>
      <c r="O560" s="99"/>
      <c r="P560" s="97"/>
    </row>
    <row r="561" spans="1:16" ht="16.5" customHeight="1" x14ac:dyDescent="0.25">
      <c r="A561" s="96"/>
      <c r="B561" s="107"/>
      <c r="C561" s="108"/>
      <c r="D561" s="108"/>
      <c r="E561" s="108"/>
      <c r="F561" s="108"/>
      <c r="G561" s="108"/>
      <c r="H561" s="109"/>
      <c r="I561" s="109"/>
      <c r="J561" s="99"/>
      <c r="K561" s="99"/>
      <c r="L561" s="99"/>
      <c r="M561" s="99"/>
      <c r="N561" s="99"/>
      <c r="O561" s="99"/>
      <c r="P561" s="97"/>
    </row>
    <row r="562" spans="1:16" ht="16.5" customHeight="1" x14ac:dyDescent="0.25">
      <c r="A562" s="96"/>
      <c r="B562" s="107"/>
      <c r="C562" s="108"/>
      <c r="D562" s="108"/>
      <c r="E562" s="108"/>
      <c r="F562" s="108"/>
      <c r="G562" s="108"/>
      <c r="H562" s="109"/>
      <c r="I562" s="109"/>
      <c r="J562" s="99"/>
      <c r="K562" s="99"/>
      <c r="L562" s="99"/>
      <c r="M562" s="99"/>
      <c r="N562" s="99"/>
      <c r="O562" s="99"/>
      <c r="P562" s="97"/>
    </row>
    <row r="563" spans="1:16" ht="16.5" customHeight="1" x14ac:dyDescent="0.25">
      <c r="A563" s="96"/>
      <c r="B563" s="107"/>
      <c r="C563" s="108"/>
      <c r="D563" s="108"/>
      <c r="E563" s="108"/>
      <c r="F563" s="108"/>
      <c r="G563" s="108"/>
      <c r="H563" s="109"/>
      <c r="I563" s="109"/>
      <c r="J563" s="99"/>
      <c r="K563" s="99"/>
      <c r="L563" s="99"/>
      <c r="M563" s="99"/>
      <c r="N563" s="99"/>
      <c r="O563" s="99"/>
      <c r="P563" s="97"/>
    </row>
    <row r="564" spans="1:16" ht="16.5" customHeight="1" x14ac:dyDescent="0.25">
      <c r="A564" s="96"/>
      <c r="B564" s="107"/>
      <c r="C564" s="108"/>
      <c r="D564" s="108"/>
      <c r="E564" s="108"/>
      <c r="F564" s="108"/>
      <c r="G564" s="108"/>
      <c r="H564" s="109"/>
      <c r="I564" s="109"/>
      <c r="J564" s="99"/>
      <c r="K564" s="99"/>
      <c r="L564" s="99"/>
      <c r="M564" s="99"/>
      <c r="N564" s="99"/>
      <c r="O564" s="99"/>
      <c r="P564" s="97"/>
    </row>
    <row r="565" spans="1:16" ht="16.5" customHeight="1" x14ac:dyDescent="0.25">
      <c r="A565" s="96"/>
      <c r="B565" s="107"/>
      <c r="C565" s="108"/>
      <c r="D565" s="108"/>
      <c r="E565" s="108"/>
      <c r="F565" s="108"/>
      <c r="G565" s="108"/>
      <c r="H565" s="109"/>
      <c r="I565" s="109"/>
      <c r="J565" s="99"/>
      <c r="K565" s="99"/>
      <c r="L565" s="99"/>
      <c r="M565" s="99"/>
      <c r="N565" s="99"/>
      <c r="O565" s="99"/>
      <c r="P565" s="97"/>
    </row>
    <row r="566" spans="1:16" ht="16.5" customHeight="1" x14ac:dyDescent="0.25">
      <c r="A566" s="96"/>
      <c r="B566" s="107"/>
      <c r="C566" s="108"/>
      <c r="D566" s="108"/>
      <c r="E566" s="108"/>
      <c r="F566" s="108"/>
      <c r="G566" s="108"/>
      <c r="H566" s="109"/>
      <c r="I566" s="109"/>
      <c r="J566" s="99"/>
      <c r="K566" s="99"/>
      <c r="L566" s="99"/>
      <c r="M566" s="99"/>
      <c r="N566" s="99"/>
      <c r="O566" s="99"/>
      <c r="P566" s="97"/>
    </row>
    <row r="567" spans="1:16" ht="16.5" customHeight="1" x14ac:dyDescent="0.25">
      <c r="A567" s="96"/>
      <c r="B567" s="107"/>
      <c r="C567" s="108"/>
      <c r="D567" s="108"/>
      <c r="E567" s="108"/>
      <c r="F567" s="108"/>
      <c r="G567" s="108"/>
      <c r="H567" s="109"/>
      <c r="I567" s="109"/>
      <c r="J567" s="99"/>
      <c r="K567" s="99"/>
      <c r="L567" s="99"/>
      <c r="M567" s="99"/>
      <c r="N567" s="99"/>
      <c r="O567" s="99"/>
      <c r="P567" s="97"/>
    </row>
    <row r="568" spans="1:16" ht="16.5" customHeight="1" x14ac:dyDescent="0.25">
      <c r="A568" s="96"/>
      <c r="B568" s="107"/>
      <c r="C568" s="108"/>
      <c r="D568" s="108"/>
      <c r="E568" s="108"/>
      <c r="F568" s="108"/>
      <c r="G568" s="108"/>
      <c r="H568" s="109"/>
      <c r="I568" s="109"/>
      <c r="J568" s="99"/>
      <c r="K568" s="99"/>
      <c r="L568" s="99"/>
      <c r="M568" s="99"/>
      <c r="N568" s="99"/>
      <c r="O568" s="99"/>
      <c r="P568" s="97"/>
    </row>
    <row r="569" spans="1:16" ht="15.75" customHeight="1" x14ac:dyDescent="0.25">
      <c r="A569" s="96"/>
      <c r="B569" s="58"/>
      <c r="C569" s="58"/>
      <c r="D569" s="58"/>
      <c r="E569" s="58"/>
      <c r="F569" s="58"/>
      <c r="G569" s="115"/>
      <c r="H569" s="58"/>
      <c r="I569" s="58"/>
      <c r="J569" s="99"/>
      <c r="K569" s="99"/>
      <c r="L569" s="99"/>
      <c r="M569" s="99"/>
      <c r="N569" s="99"/>
      <c r="O569" s="99"/>
      <c r="P569" s="97"/>
    </row>
    <row r="570" spans="1:16" ht="15" customHeight="1" x14ac:dyDescent="0.25">
      <c r="A570" s="96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7"/>
    </row>
    <row r="571" spans="1:16" ht="15" customHeight="1" x14ac:dyDescent="0.25">
      <c r="A571" s="104" t="s">
        <v>180</v>
      </c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7"/>
    </row>
    <row r="572" spans="1:16" ht="15.75" customHeight="1" x14ac:dyDescent="0.25">
      <c r="A572" s="96"/>
      <c r="B572" s="58" t="s">
        <v>10</v>
      </c>
      <c r="C572" s="58" t="s">
        <v>181</v>
      </c>
      <c r="D572" s="58" t="s">
        <v>175</v>
      </c>
      <c r="E572" s="58" t="s">
        <v>182</v>
      </c>
      <c r="F572" s="58" t="s">
        <v>16</v>
      </c>
      <c r="G572" s="115" t="s">
        <v>17</v>
      </c>
      <c r="H572" s="115" t="s">
        <v>178</v>
      </c>
      <c r="I572" s="58" t="s">
        <v>183</v>
      </c>
      <c r="J572" s="58" t="s">
        <v>184</v>
      </c>
      <c r="K572" s="58" t="s">
        <v>185</v>
      </c>
      <c r="L572" s="116" t="s">
        <v>186</v>
      </c>
      <c r="M572" s="116" t="s">
        <v>187</v>
      </c>
      <c r="N572" s="116" t="s">
        <v>188</v>
      </c>
      <c r="O572" s="99"/>
      <c r="P572" s="97"/>
    </row>
    <row r="573" spans="1:16" ht="16.5" customHeight="1" x14ac:dyDescent="0.25">
      <c r="A573" s="96"/>
      <c r="B573" s="117" t="s">
        <v>252</v>
      </c>
      <c r="C573" s="118" t="e">
        <f>VLOOKUP(B573,'Gebouwgegevens Allacker'!$J$5:$Q$83,3,0)</f>
        <v>#N/A</v>
      </c>
      <c r="D573" s="118" t="e">
        <f>VLOOKUP(B573,'Gebouwgegevens Allacker'!$J$5:$Q$83,4,0)</f>
        <v>#N/A</v>
      </c>
      <c r="E573" s="118" t="e">
        <f>VLOOKUP(B573,'Gebouwgegevens Allacker'!$J$5:$Q$83,5,0)</f>
        <v>#N/A</v>
      </c>
      <c r="F573" s="118" t="e">
        <f>VLOOKUP(B573,'Gebouwgegevens Allacker'!$J$5:$Q$83,7,0)</f>
        <v>#N/A</v>
      </c>
      <c r="G573" s="119" t="e">
        <f>VLOOKUP(B573,'Gebouwgegevens Allacker'!$J$5:$Q$83,8,0)</f>
        <v>#N/A</v>
      </c>
      <c r="H573" s="119" t="e">
        <f>N573/F573</f>
        <v>#N/A</v>
      </c>
      <c r="I573" s="118" t="e">
        <f>VLOOKUP(C573,'Gebouwgegevens Allacker'!$A$35:$F$46,6,0)</f>
        <v>#N/A</v>
      </c>
      <c r="J573" s="117">
        <v>6.11</v>
      </c>
      <c r="K573" s="117">
        <v>0.33</v>
      </c>
      <c r="L573" s="120" t="e">
        <f>I573/(0.5*J573)</f>
        <v>#N/A</v>
      </c>
      <c r="M573" s="120" t="e">
        <f>K573+2*(1/F573)</f>
        <v>#N/A</v>
      </c>
      <c r="N573" s="121" t="e">
        <f>IF(M573&lt;L573,2*2/(PI()*L573+M573)*LN(PI()*L573/M573+1),2/(0.457*L573+M573))</f>
        <v>#N/A</v>
      </c>
      <c r="O573" s="99"/>
      <c r="P573" s="97"/>
    </row>
    <row r="574" spans="1:16" ht="16.5" customHeight="1" x14ac:dyDescent="0.25">
      <c r="A574" s="96"/>
      <c r="B574" s="117"/>
      <c r="C574" s="118"/>
      <c r="D574" s="118"/>
      <c r="E574" s="118"/>
      <c r="F574" s="118"/>
      <c r="G574" s="119"/>
      <c r="H574" s="119"/>
      <c r="I574" s="118"/>
      <c r="J574" s="117"/>
      <c r="K574" s="117"/>
      <c r="L574" s="120"/>
      <c r="M574" s="120"/>
      <c r="N574" s="121"/>
      <c r="O574" s="99"/>
      <c r="P574" s="97"/>
    </row>
    <row r="575" spans="1:16" ht="16.5" customHeight="1" x14ac:dyDescent="0.25">
      <c r="A575" s="96"/>
      <c r="B575" s="117"/>
      <c r="C575" s="118"/>
      <c r="D575" s="118"/>
      <c r="E575" s="118"/>
      <c r="F575" s="118"/>
      <c r="G575" s="119"/>
      <c r="H575" s="119"/>
      <c r="I575" s="118"/>
      <c r="J575" s="117"/>
      <c r="K575" s="117"/>
      <c r="L575" s="120"/>
      <c r="M575" s="120"/>
      <c r="N575" s="121"/>
      <c r="O575" s="99"/>
      <c r="P575" s="97"/>
    </row>
    <row r="576" spans="1:16" ht="16.5" customHeight="1" x14ac:dyDescent="0.25">
      <c r="A576" s="96"/>
      <c r="B576" s="117"/>
      <c r="C576" s="118"/>
      <c r="D576" s="118"/>
      <c r="E576" s="118"/>
      <c r="F576" s="118"/>
      <c r="G576" s="119"/>
      <c r="H576" s="119"/>
      <c r="I576" s="118"/>
      <c r="J576" s="117"/>
      <c r="K576" s="117"/>
      <c r="L576" s="120"/>
      <c r="M576" s="120"/>
      <c r="N576" s="121"/>
      <c r="O576" s="99"/>
      <c r="P576" s="97"/>
    </row>
    <row r="577" spans="1:16" ht="16.5" customHeight="1" x14ac:dyDescent="0.25">
      <c r="A577" s="139"/>
      <c r="B577" s="117"/>
      <c r="C577" s="118"/>
      <c r="D577" s="118"/>
      <c r="E577" s="118"/>
      <c r="F577" s="118"/>
      <c r="G577" s="119"/>
      <c r="H577" s="119"/>
      <c r="I577" s="118"/>
      <c r="J577" s="117"/>
      <c r="K577" s="117"/>
      <c r="L577" s="120"/>
      <c r="M577" s="120"/>
      <c r="N577" s="121"/>
      <c r="O577" s="99"/>
      <c r="P577" s="97"/>
    </row>
    <row r="578" spans="1:16" ht="15.75" customHeight="1" x14ac:dyDescent="0.25">
      <c r="A578" s="96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7"/>
    </row>
    <row r="579" spans="1:16" ht="15" customHeight="1" x14ac:dyDescent="0.25">
      <c r="A579" s="104" t="s">
        <v>189</v>
      </c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7"/>
    </row>
    <row r="580" spans="1:16" ht="15.75" customHeight="1" x14ac:dyDescent="0.25">
      <c r="A580" s="96"/>
      <c r="B580" s="58" t="s">
        <v>10</v>
      </c>
      <c r="C580" s="58" t="s">
        <v>190</v>
      </c>
      <c r="D580" s="58" t="s">
        <v>191</v>
      </c>
      <c r="E580" s="58" t="s">
        <v>135</v>
      </c>
      <c r="F580" s="58" t="s">
        <v>192</v>
      </c>
      <c r="G580" s="58" t="s">
        <v>193</v>
      </c>
      <c r="H580" s="58" t="s">
        <v>194</v>
      </c>
      <c r="I580" s="58" t="s">
        <v>16</v>
      </c>
      <c r="J580" s="115" t="s">
        <v>17</v>
      </c>
      <c r="K580" s="115" t="s">
        <v>178</v>
      </c>
      <c r="L580" s="99"/>
      <c r="M580" s="99"/>
      <c r="N580" s="99"/>
      <c r="O580" s="99"/>
      <c r="P580" s="97"/>
    </row>
    <row r="581" spans="1:16" ht="16.5" customHeight="1" x14ac:dyDescent="0.25">
      <c r="A581" s="96"/>
      <c r="B581" s="117" t="s">
        <v>253</v>
      </c>
      <c r="C581" s="123" t="e">
        <f>IF(VLOOKUP(B581,'Gebouwgegevens Allacker'!$J$5:$Q$83,2,0)=$B$551,VLOOKUP(B581,'Gebouwgegevens Allacker'!$J$5:$Q$83,2,0),VLOOKUP(B581,'Gebouwgegevens Allacker'!$J$5:$Q$83,3,0))</f>
        <v>#N/A</v>
      </c>
      <c r="D581" s="123" t="e">
        <f>IF(VLOOKUP(B581,'Gebouwgegevens Allacker'!$J$5:$Q$83,2,0)=$B$551,VLOOKUP(B581,'Gebouwgegevens Allacker'!$J$5:$Q$83,3,0),VLOOKUP(B581,'Gebouwgegevens Allacker'!$J$5:$Q$83,2,0))</f>
        <v>#N/A</v>
      </c>
      <c r="E581" s="123" t="e">
        <f>VLOOKUP(B581,'Gebouwgegevens Allacker'!$J$5:$Q$83,4,0)</f>
        <v>#N/A</v>
      </c>
      <c r="F581" s="123" t="e">
        <f>VLOOKUP(B581,'Gebouwgegevens Allacker'!$J$5:$Q$83,5,0)</f>
        <v>#N/A</v>
      </c>
      <c r="G581" s="123" t="e">
        <f>VLOOKUP('Verwarming Tabula'!C581,'Gebouwgegevens Allacker'!$A$35:$F$46,5,0)</f>
        <v>#N/A</v>
      </c>
      <c r="H581" s="123" t="e">
        <f>VLOOKUP('Verwarming Tabula'!D581,'Gebouwgegevens Allacker'!$A$35:$F$46,5,0)</f>
        <v>#N/A</v>
      </c>
      <c r="I581" s="123" t="e">
        <f>VLOOKUP(B581,'Gebouwgegevens Allacker'!$J$5:$Q$83,7,0)</f>
        <v>#N/A</v>
      </c>
      <c r="J581" s="119" t="e">
        <f>VLOOKUP(B581,'Gebouwgegevens Allacker'!$J$5:$Q$83,8,0)</f>
        <v>#N/A</v>
      </c>
      <c r="K581" s="119" t="e">
        <f>(G581-H581)/(G581-$B$4)</f>
        <v>#N/A</v>
      </c>
      <c r="L581" s="99"/>
      <c r="M581" s="99"/>
      <c r="N581" s="99"/>
      <c r="O581" s="99"/>
      <c r="P581" s="97"/>
    </row>
    <row r="582" spans="1:16" ht="16.5" customHeight="1" x14ac:dyDescent="0.25">
      <c r="A582" s="96"/>
      <c r="B582" s="117" t="s">
        <v>227</v>
      </c>
      <c r="C582" s="123" t="e">
        <f>IF(VLOOKUP(B582,'Gebouwgegevens Allacker'!$J$5:$Q$83,2,0)=$B$551,VLOOKUP(B582,'Gebouwgegevens Allacker'!$J$5:$Q$83,2,0),VLOOKUP(B582,'Gebouwgegevens Allacker'!$J$5:$Q$83,3,0))</f>
        <v>#N/A</v>
      </c>
      <c r="D582" s="123" t="e">
        <f>IF(VLOOKUP(B582,'Gebouwgegevens Allacker'!$J$5:$Q$83,2,0)=$B$551,VLOOKUP(B582,'Gebouwgegevens Allacker'!$J$5:$Q$83,3,0),VLOOKUP(B582,'Gebouwgegevens Allacker'!$J$5:$Q$83,2,0))</f>
        <v>#N/A</v>
      </c>
      <c r="E582" s="123" t="e">
        <f>VLOOKUP(B582,'Gebouwgegevens Allacker'!$J$5:$Q$83,4,0)</f>
        <v>#N/A</v>
      </c>
      <c r="F582" s="123" t="e">
        <f>VLOOKUP(B582,'Gebouwgegevens Allacker'!$J$5:$Q$83,5,0)</f>
        <v>#N/A</v>
      </c>
      <c r="G582" s="123" t="e">
        <f>VLOOKUP('Verwarming Tabula'!C582,'Gebouwgegevens Allacker'!$A$35:$F$46,5,0)</f>
        <v>#N/A</v>
      </c>
      <c r="H582" s="123" t="e">
        <f>VLOOKUP('Verwarming Tabula'!D582,'Gebouwgegevens Allacker'!$A$35:$F$46,5,0)</f>
        <v>#N/A</v>
      </c>
      <c r="I582" s="123" t="e">
        <f>VLOOKUP(B582,'Gebouwgegevens Allacker'!$J$5:$Q$83,7,0)</f>
        <v>#N/A</v>
      </c>
      <c r="J582" s="119" t="e">
        <f>VLOOKUP(B582,'Gebouwgegevens Allacker'!$J$5:$Q$83,8,0)</f>
        <v>#N/A</v>
      </c>
      <c r="K582" s="119" t="e">
        <f>(G582-H582)/(G582-$B$4)</f>
        <v>#N/A</v>
      </c>
      <c r="L582" s="99"/>
      <c r="M582" s="99"/>
      <c r="N582" s="99"/>
      <c r="O582" s="99"/>
      <c r="P582" s="97"/>
    </row>
    <row r="583" spans="1:16" ht="16.5" customHeight="1" x14ac:dyDescent="0.25">
      <c r="A583" s="96"/>
      <c r="B583" s="117" t="s">
        <v>233</v>
      </c>
      <c r="C583" s="123" t="e">
        <f>IF(VLOOKUP(B583,'Gebouwgegevens Allacker'!$J$5:$Q$83,2,0)=$B$551,VLOOKUP(B583,'Gebouwgegevens Allacker'!$J$5:$Q$83,2,0),VLOOKUP(B583,'Gebouwgegevens Allacker'!$J$5:$Q$83,3,0))</f>
        <v>#N/A</v>
      </c>
      <c r="D583" s="123" t="e">
        <f>IF(VLOOKUP(B583,'Gebouwgegevens Allacker'!$J$5:$Q$83,2,0)=$B$551,VLOOKUP(B583,'Gebouwgegevens Allacker'!$J$5:$Q$83,3,0),VLOOKUP(B583,'Gebouwgegevens Allacker'!$J$5:$Q$83,2,0))</f>
        <v>#N/A</v>
      </c>
      <c r="E583" s="123" t="e">
        <f>VLOOKUP(B583,'Gebouwgegevens Allacker'!$J$5:$Q$83,4,0)</f>
        <v>#N/A</v>
      </c>
      <c r="F583" s="123" t="e">
        <f>VLOOKUP(B583,'Gebouwgegevens Allacker'!$J$5:$Q$83,5,0)</f>
        <v>#N/A</v>
      </c>
      <c r="G583" s="123" t="e">
        <f>VLOOKUP('Verwarming Tabula'!C583,'Gebouwgegevens Allacker'!$A$35:$F$46,5,0)</f>
        <v>#N/A</v>
      </c>
      <c r="H583" s="123" t="e">
        <f>VLOOKUP('Verwarming Tabula'!D583,'Gebouwgegevens Allacker'!$A$35:$F$46,5,0)</f>
        <v>#N/A</v>
      </c>
      <c r="I583" s="123" t="e">
        <f>VLOOKUP(B583,'Gebouwgegevens Allacker'!$J$5:$Q$83,7,0)</f>
        <v>#N/A</v>
      </c>
      <c r="J583" s="119" t="e">
        <f>VLOOKUP(B583,'Gebouwgegevens Allacker'!$J$5:$Q$83,8,0)</f>
        <v>#N/A</v>
      </c>
      <c r="K583" s="119" t="e">
        <f>(G583-H583)/(G583-$B$4)</f>
        <v>#N/A</v>
      </c>
      <c r="L583" s="99"/>
      <c r="M583" s="99"/>
      <c r="N583" s="99"/>
      <c r="O583" s="99"/>
      <c r="P583" s="97"/>
    </row>
    <row r="584" spans="1:16" ht="16.5" customHeight="1" x14ac:dyDescent="0.25">
      <c r="A584" s="96"/>
      <c r="B584" s="117"/>
      <c r="C584" s="123"/>
      <c r="D584" s="123"/>
      <c r="E584" s="123"/>
      <c r="F584" s="123"/>
      <c r="G584" s="123"/>
      <c r="H584" s="123"/>
      <c r="I584" s="123"/>
      <c r="J584" s="119"/>
      <c r="K584" s="119"/>
      <c r="L584" s="99"/>
      <c r="M584" s="99"/>
      <c r="N584" s="99"/>
      <c r="O584" s="99"/>
      <c r="P584" s="97"/>
    </row>
    <row r="585" spans="1:16" ht="16.5" customHeight="1" x14ac:dyDescent="0.25">
      <c r="A585" s="96"/>
      <c r="B585" s="146"/>
      <c r="C585" s="123"/>
      <c r="D585" s="123"/>
      <c r="E585" s="123"/>
      <c r="F585" s="123"/>
      <c r="G585" s="123"/>
      <c r="H585" s="123"/>
      <c r="I585" s="123"/>
      <c r="J585" s="119"/>
      <c r="K585" s="119"/>
      <c r="L585" s="99"/>
      <c r="M585" s="99"/>
      <c r="N585" s="99"/>
      <c r="O585" s="99"/>
      <c r="P585" s="97"/>
    </row>
    <row r="586" spans="1:16" ht="16.5" customHeight="1" x14ac:dyDescent="0.25">
      <c r="A586" s="96"/>
      <c r="B586" s="124"/>
      <c r="C586" s="140"/>
      <c r="D586" s="123"/>
      <c r="E586" s="123"/>
      <c r="F586" s="123"/>
      <c r="G586" s="123"/>
      <c r="H586" s="123"/>
      <c r="I586" s="123"/>
      <c r="J586" s="119"/>
      <c r="K586" s="119"/>
      <c r="L586" s="99"/>
      <c r="M586" s="99"/>
      <c r="N586" s="99"/>
      <c r="O586" s="99"/>
      <c r="P586" s="97"/>
    </row>
    <row r="587" spans="1:16" ht="16.5" customHeight="1" x14ac:dyDescent="0.25">
      <c r="A587" s="96"/>
      <c r="B587" s="124"/>
      <c r="C587" s="140"/>
      <c r="D587" s="123"/>
      <c r="E587" s="123"/>
      <c r="F587" s="123"/>
      <c r="G587" s="123"/>
      <c r="H587" s="123"/>
      <c r="I587" s="123"/>
      <c r="J587" s="119"/>
      <c r="K587" s="119"/>
      <c r="L587" s="99"/>
      <c r="M587" s="99"/>
      <c r="N587" s="99"/>
      <c r="O587" s="99"/>
      <c r="P587" s="97"/>
    </row>
    <row r="588" spans="1:16" ht="16.5" customHeight="1" x14ac:dyDescent="0.25">
      <c r="A588" s="96"/>
      <c r="B588" s="124"/>
      <c r="C588" s="140"/>
      <c r="D588" s="123"/>
      <c r="E588" s="123"/>
      <c r="F588" s="123"/>
      <c r="G588" s="123"/>
      <c r="H588" s="123"/>
      <c r="I588" s="123"/>
      <c r="J588" s="119"/>
      <c r="K588" s="119"/>
      <c r="L588" s="99"/>
      <c r="M588" s="99"/>
      <c r="N588" s="99"/>
      <c r="O588" s="99"/>
      <c r="P588" s="97"/>
    </row>
    <row r="589" spans="1:16" ht="16.5" customHeight="1" x14ac:dyDescent="0.25">
      <c r="A589" s="96"/>
      <c r="B589" s="124"/>
      <c r="C589" s="140"/>
      <c r="D589" s="123"/>
      <c r="E589" s="123"/>
      <c r="F589" s="123"/>
      <c r="G589" s="123"/>
      <c r="H589" s="123"/>
      <c r="I589" s="123"/>
      <c r="J589" s="119"/>
      <c r="K589" s="119"/>
      <c r="L589" s="99"/>
      <c r="M589" s="99"/>
      <c r="N589" s="99"/>
      <c r="O589" s="99"/>
      <c r="P589" s="97"/>
    </row>
    <row r="590" spans="1:16" ht="16.5" customHeight="1" x14ac:dyDescent="0.25">
      <c r="A590" s="96"/>
      <c r="B590" s="124"/>
      <c r="C590" s="140"/>
      <c r="D590" s="123"/>
      <c r="E590" s="123"/>
      <c r="F590" s="123"/>
      <c r="G590" s="123"/>
      <c r="H590" s="123"/>
      <c r="I590" s="123"/>
      <c r="J590" s="119"/>
      <c r="K590" s="119"/>
      <c r="L590" s="99"/>
      <c r="M590" s="99"/>
      <c r="N590" s="99"/>
      <c r="O590" s="99"/>
      <c r="P590" s="97"/>
    </row>
    <row r="591" spans="1:16" ht="15.75" customHeight="1" x14ac:dyDescent="0.25">
      <c r="A591" s="96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99"/>
      <c r="M591" s="99"/>
      <c r="N591" s="99"/>
      <c r="O591" s="99"/>
      <c r="P591" s="97"/>
    </row>
    <row r="592" spans="1:16" ht="15" customHeight="1" x14ac:dyDescent="0.25">
      <c r="A592" s="96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7"/>
    </row>
    <row r="593" spans="1:16" ht="15.75" customHeight="1" x14ac:dyDescent="0.25">
      <c r="A593" s="104" t="s">
        <v>195</v>
      </c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7"/>
    </row>
    <row r="594" spans="1:16" ht="16.5" customHeight="1" x14ac:dyDescent="0.25">
      <c r="A594" s="125" t="s">
        <v>196</v>
      </c>
      <c r="B594" s="119" t="e">
        <f>SUMPRODUCT(H557:H568,I557:I568)+SUMPRODUCT(G573:G577,H573:H577)+SUMPRODUCT(J581:J590,K581:K590)</f>
        <v>#N/A</v>
      </c>
      <c r="C594" s="119" t="s">
        <v>107</v>
      </c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7"/>
    </row>
    <row r="595" spans="1:16" ht="16.5" customHeight="1" x14ac:dyDescent="0.25">
      <c r="A595" s="125" t="s">
        <v>170</v>
      </c>
      <c r="B595" s="119" t="e">
        <f>B594*(G581-$B$4)</f>
        <v>#N/A</v>
      </c>
      <c r="C595" s="119" t="s">
        <v>172</v>
      </c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7"/>
    </row>
    <row r="596" spans="1:16" ht="15.75" customHeight="1" x14ac:dyDescent="0.25">
      <c r="A596" s="110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2"/>
    </row>
    <row r="597" spans="1:16" ht="15.75" customHeight="1" x14ac:dyDescent="0.25">
      <c r="A597" s="279" t="s">
        <v>197</v>
      </c>
      <c r="B597" s="279"/>
      <c r="C597" s="279"/>
      <c r="D597" s="126" t="s">
        <v>225</v>
      </c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95"/>
    </row>
    <row r="598" spans="1:16" ht="15" customHeight="1" x14ac:dyDescent="0.25">
      <c r="A598" s="96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7"/>
    </row>
    <row r="599" spans="1:16" ht="15" customHeight="1" x14ac:dyDescent="0.25">
      <c r="A599" s="127" t="s">
        <v>198</v>
      </c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7"/>
    </row>
    <row r="600" spans="1:16" ht="15" customHeight="1" x14ac:dyDescent="0.25">
      <c r="A600" s="128" t="s">
        <v>199</v>
      </c>
      <c r="B600" s="122">
        <v>8</v>
      </c>
      <c r="C600" s="121" t="s">
        <v>200</v>
      </c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7"/>
    </row>
    <row r="601" spans="1:16" ht="15" customHeight="1" x14ac:dyDescent="0.25">
      <c r="A601" s="128" t="s">
        <v>201</v>
      </c>
      <c r="B601" s="122">
        <v>0.03</v>
      </c>
      <c r="C601" s="121" t="s">
        <v>202</v>
      </c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7"/>
    </row>
    <row r="602" spans="1:16" ht="15.75" customHeight="1" x14ac:dyDescent="0.25">
      <c r="A602" s="128" t="s">
        <v>203</v>
      </c>
      <c r="B602" s="122">
        <v>1</v>
      </c>
      <c r="C602" s="121" t="s">
        <v>204</v>
      </c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7"/>
    </row>
    <row r="603" spans="1:16" ht="16.5" customHeight="1" x14ac:dyDescent="0.25">
      <c r="A603" s="125" t="s">
        <v>205</v>
      </c>
      <c r="B603" s="119" t="e">
        <f>2*VLOOKUP(B551,'Gebouwgegevens Allacker'!$A$35:$F$46,6,0)*B600*B601*B602</f>
        <v>#N/A</v>
      </c>
      <c r="C603" s="119" t="s">
        <v>206</v>
      </c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7"/>
    </row>
    <row r="604" spans="1:16" ht="15.75" customHeight="1" x14ac:dyDescent="0.25">
      <c r="A604" s="139"/>
      <c r="B604" s="58"/>
      <c r="C604" s="58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7"/>
    </row>
    <row r="605" spans="1:16" ht="15" customHeight="1" x14ac:dyDescent="0.25">
      <c r="A605" s="147" t="s">
        <v>207</v>
      </c>
      <c r="B605" s="58"/>
      <c r="C605" s="58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7"/>
    </row>
    <row r="606" spans="1:16" ht="15.75" customHeight="1" x14ac:dyDescent="0.25">
      <c r="A606" s="139" t="s">
        <v>183</v>
      </c>
      <c r="B606" s="58" t="e">
        <f>VLOOKUP(B551,'Gebouwgegevens Allacker'!$A$35:$F$46,6,0)</f>
        <v>#N/A</v>
      </c>
      <c r="C606" s="58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7"/>
    </row>
    <row r="607" spans="1:16" ht="16.5" customHeight="1" x14ac:dyDescent="0.25">
      <c r="A607" s="125" t="s">
        <v>208</v>
      </c>
      <c r="B607" s="129" t="e">
        <f>B606*3.6</f>
        <v>#N/A</v>
      </c>
      <c r="C607" s="119" t="s">
        <v>206</v>
      </c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7"/>
    </row>
    <row r="608" spans="1:16" ht="15.75" customHeight="1" x14ac:dyDescent="0.25">
      <c r="A608" s="139"/>
      <c r="B608" s="58"/>
      <c r="C608" s="58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7"/>
    </row>
    <row r="609" spans="1:16" ht="15.75" customHeight="1" x14ac:dyDescent="0.25">
      <c r="A609" s="139"/>
      <c r="B609" s="58"/>
      <c r="C609" s="58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7"/>
    </row>
    <row r="610" spans="1:16" ht="16.5" customHeight="1" x14ac:dyDescent="0.25">
      <c r="A610" s="125" t="s">
        <v>210</v>
      </c>
      <c r="B610" s="119" t="e">
        <f>MAX(B603,B607)</f>
        <v>#N/A</v>
      </c>
      <c r="C610" s="119" t="s">
        <v>206</v>
      </c>
      <c r="D610" s="99"/>
      <c r="E610" s="99"/>
      <c r="F610" s="119" t="s">
        <v>211</v>
      </c>
      <c r="G610" s="119" t="e">
        <f>B610/VLOOKUP(B551,'Gebouwgegevens Allacker'!$A$35:$B$46,2,0)</f>
        <v>#N/A</v>
      </c>
      <c r="H610" s="99"/>
      <c r="I610" s="99"/>
      <c r="J610" s="99"/>
      <c r="K610" s="99"/>
      <c r="L610" s="99"/>
      <c r="M610" s="99"/>
      <c r="N610" s="99"/>
      <c r="O610" s="99"/>
      <c r="P610" s="97"/>
    </row>
    <row r="611" spans="1:16" ht="16.5" customHeight="1" x14ac:dyDescent="0.25">
      <c r="A611" s="139"/>
      <c r="B611" s="58"/>
      <c r="C611" s="58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7"/>
    </row>
    <row r="612" spans="1:16" ht="16.5" customHeight="1" x14ac:dyDescent="0.25">
      <c r="A612" s="125" t="s">
        <v>212</v>
      </c>
      <c r="B612" s="119" t="e">
        <f>0.34*B610</f>
        <v>#N/A</v>
      </c>
      <c r="C612" s="119" t="s">
        <v>107</v>
      </c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7"/>
    </row>
    <row r="613" spans="1:16" ht="16.5" customHeight="1" x14ac:dyDescent="0.25">
      <c r="A613" s="125" t="s">
        <v>170</v>
      </c>
      <c r="B613" s="119" t="e">
        <f>B612*('Gebouwgegevens Allacker'!E573-$B$4)</f>
        <v>#N/A</v>
      </c>
      <c r="C613" s="119" t="s">
        <v>172</v>
      </c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7"/>
    </row>
    <row r="614" spans="1:16" ht="15.75" customHeight="1" x14ac:dyDescent="0.25">
      <c r="A614" s="141"/>
      <c r="B614" s="142"/>
      <c r="C614" s="142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2"/>
    </row>
    <row r="615" spans="1:16" ht="15.75" customHeight="1" x14ac:dyDescent="0.25">
      <c r="A615" s="279" t="s">
        <v>213</v>
      </c>
      <c r="B615" s="279"/>
      <c r="C615" s="279"/>
      <c r="D615" s="27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7"/>
    </row>
    <row r="616" spans="1:16" ht="15" customHeight="1" x14ac:dyDescent="0.25">
      <c r="A616" s="96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7"/>
    </row>
    <row r="617" spans="1:16" ht="15" customHeight="1" x14ac:dyDescent="0.25">
      <c r="A617" s="128" t="s">
        <v>214</v>
      </c>
      <c r="B617" s="122">
        <v>45</v>
      </c>
      <c r="C617" s="58" t="s">
        <v>235</v>
      </c>
      <c r="D617" s="58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7"/>
    </row>
    <row r="618" spans="1:16" ht="15.75" customHeight="1" x14ac:dyDescent="0.25">
      <c r="A618" s="3" t="s">
        <v>113</v>
      </c>
      <c r="B618" s="58" t="e">
        <f>VLOOKUP(B551,'Gebouwgegevens Allacker'!$A$35:$F$46,6,0)</f>
        <v>#N/A</v>
      </c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7"/>
    </row>
    <row r="619" spans="1:16" ht="16.5" customHeight="1" x14ac:dyDescent="0.25">
      <c r="A619" s="125" t="s">
        <v>216</v>
      </c>
      <c r="B619" s="119" t="e">
        <f>B620/('Gebouwgegevens Allacker'!E573-'Verwarming Tabula'!$B$4)</f>
        <v>#N/A</v>
      </c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7"/>
    </row>
    <row r="620" spans="1:16" ht="16.5" customHeight="1" x14ac:dyDescent="0.25">
      <c r="A620" s="125" t="s">
        <v>170</v>
      </c>
      <c r="B620" s="119" t="e">
        <f>B617*B618</f>
        <v>#N/A</v>
      </c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7"/>
    </row>
    <row r="621" spans="1:16" ht="15.75" customHeight="1" x14ac:dyDescent="0.25">
      <c r="A621" s="96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7"/>
    </row>
    <row r="622" spans="1:16" ht="15.75" customHeight="1" x14ac:dyDescent="0.25">
      <c r="A622" s="96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7"/>
    </row>
    <row r="623" spans="1:16" ht="15.75" customHeight="1" x14ac:dyDescent="0.25">
      <c r="A623" s="130" t="s">
        <v>217</v>
      </c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2"/>
    </row>
    <row r="624" spans="1:16" ht="16.5" customHeight="1" x14ac:dyDescent="0.25">
      <c r="A624" s="125" t="s">
        <v>218</v>
      </c>
      <c r="B624" s="119" t="e">
        <f>SUM(B594,B612,B619)</f>
        <v>#N/A</v>
      </c>
      <c r="C624" s="119" t="s">
        <v>107</v>
      </c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4"/>
    </row>
    <row r="625" spans="1:16" ht="16.5" customHeight="1" x14ac:dyDescent="0.25">
      <c r="A625" s="125" t="s">
        <v>170</v>
      </c>
      <c r="B625" s="119" t="e">
        <f>SUM(B595,B613,B620)</f>
        <v>#N/A</v>
      </c>
      <c r="C625" s="119" t="s">
        <v>172</v>
      </c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4"/>
    </row>
    <row r="626" spans="1:16" ht="16.5" customHeight="1" x14ac:dyDescent="0.25">
      <c r="A626" s="135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7"/>
    </row>
    <row r="627" spans="1:16" ht="15" customHeight="1" x14ac:dyDescent="0.25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</row>
    <row r="628" spans="1:16" ht="15.75" customHeight="1" x14ac:dyDescent="0.25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</row>
    <row r="629" spans="1:16" ht="15" customHeight="1" x14ac:dyDescent="0.25">
      <c r="A629" s="94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95"/>
    </row>
    <row r="630" spans="1:16" ht="17.25" customHeight="1" x14ac:dyDescent="0.3">
      <c r="A630" s="98" t="s">
        <v>169</v>
      </c>
      <c r="B630" s="93">
        <v>9</v>
      </c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7"/>
    </row>
    <row r="631" spans="1:16" ht="15.75" customHeight="1" x14ac:dyDescent="0.25">
      <c r="A631" s="279" t="s">
        <v>171</v>
      </c>
      <c r="B631" s="279"/>
      <c r="C631" s="279"/>
      <c r="D631" s="279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95"/>
    </row>
    <row r="632" spans="1:16" ht="15" customHeight="1" x14ac:dyDescent="0.25">
      <c r="A632" s="96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7"/>
    </row>
    <row r="633" spans="1:16" ht="15" customHeight="1" x14ac:dyDescent="0.25">
      <c r="A633" s="104" t="s">
        <v>173</v>
      </c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7"/>
    </row>
    <row r="634" spans="1:16" ht="15" customHeight="1" x14ac:dyDescent="0.25">
      <c r="A634" s="96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7"/>
    </row>
    <row r="635" spans="1:16" ht="15.75" customHeight="1" x14ac:dyDescent="0.25">
      <c r="A635" s="96"/>
      <c r="B635" s="105" t="s">
        <v>10</v>
      </c>
      <c r="C635" s="105" t="s">
        <v>174</v>
      </c>
      <c r="D635" s="105" t="s">
        <v>175</v>
      </c>
      <c r="E635" s="105" t="s">
        <v>176</v>
      </c>
      <c r="F635" s="105" t="s">
        <v>177</v>
      </c>
      <c r="G635" s="105" t="s">
        <v>16</v>
      </c>
      <c r="H635" s="106" t="s">
        <v>17</v>
      </c>
      <c r="I635" s="106" t="s">
        <v>178</v>
      </c>
      <c r="J635" s="99"/>
      <c r="K635" s="99"/>
      <c r="L635" s="99"/>
      <c r="M635" s="99"/>
      <c r="N635" s="99"/>
      <c r="O635" s="99"/>
      <c r="P635" s="97"/>
    </row>
    <row r="636" spans="1:16" ht="16.5" customHeight="1" x14ac:dyDescent="0.25">
      <c r="A636" s="96"/>
      <c r="B636" s="107" t="s">
        <v>254</v>
      </c>
      <c r="C636" s="108" t="e">
        <f>VLOOKUP(B636,'Gebouwgegevens Allacker'!$J$5:$Q$83,3,0)</f>
        <v>#N/A</v>
      </c>
      <c r="D636" s="108" t="e">
        <f>VLOOKUP(B636,'Gebouwgegevens Allacker'!$J$5:$Q$83,4,0)</f>
        <v>#N/A</v>
      </c>
      <c r="E636" s="108" t="e">
        <f>VLOOKUP(B636,'Gebouwgegevens Allacker'!$J$5:$Q$83,5,0)</f>
        <v>#N/A</v>
      </c>
      <c r="F636" s="108" t="e">
        <f>VLOOKUP(B636,'Gebouwgegevens Allacker'!$J$5:$Q$83,6,0)</f>
        <v>#N/A</v>
      </c>
      <c r="G636" s="108" t="e">
        <f>VLOOKUP(B636,'Gebouwgegevens Allacker'!$J$5:$Q$83,7,0)</f>
        <v>#N/A</v>
      </c>
      <c r="H636" s="109" t="e">
        <f>VLOOKUP(B636,'Gebouwgegevens Allacker'!$J$5:$Q$83,8,0)</f>
        <v>#N/A</v>
      </c>
      <c r="I636" s="109">
        <v>1</v>
      </c>
      <c r="J636" s="99"/>
      <c r="K636" s="99"/>
      <c r="L636" s="99"/>
      <c r="M636" s="99"/>
      <c r="N636" s="99"/>
      <c r="O636" s="99"/>
      <c r="P636" s="97"/>
    </row>
    <row r="637" spans="1:16" ht="16.5" customHeight="1" x14ac:dyDescent="0.25">
      <c r="A637" s="96"/>
      <c r="B637" s="107" t="s">
        <v>255</v>
      </c>
      <c r="C637" s="108" t="e">
        <f>VLOOKUP(B637,'Gebouwgegevens Allacker'!$J$5:$Q$83,3,0)</f>
        <v>#N/A</v>
      </c>
      <c r="D637" s="108" t="e">
        <f>VLOOKUP(B637,'Gebouwgegevens Allacker'!$J$5:$Q$83,4,0)</f>
        <v>#N/A</v>
      </c>
      <c r="E637" s="108" t="e">
        <f>VLOOKUP(B637,'Gebouwgegevens Allacker'!$J$5:$Q$83,5,0)</f>
        <v>#N/A</v>
      </c>
      <c r="F637" s="108" t="e">
        <f>VLOOKUP(B637,'Gebouwgegevens Allacker'!$J$5:$Q$83,6,0)</f>
        <v>#N/A</v>
      </c>
      <c r="G637" s="108" t="e">
        <f>VLOOKUP(B637,'Gebouwgegevens Allacker'!$J$5:$Q$83,7,0)</f>
        <v>#N/A</v>
      </c>
      <c r="H637" s="109" t="e">
        <f>VLOOKUP(B637,'Gebouwgegevens Allacker'!$J$5:$Q$83,8,0)</f>
        <v>#N/A</v>
      </c>
      <c r="I637" s="109">
        <v>1</v>
      </c>
      <c r="J637" s="99"/>
      <c r="K637" s="99"/>
      <c r="L637" s="99"/>
      <c r="M637" s="99"/>
      <c r="N637" s="99"/>
      <c r="O637" s="99"/>
      <c r="P637" s="97"/>
    </row>
    <row r="638" spans="1:16" ht="16.5" customHeight="1" x14ac:dyDescent="0.25">
      <c r="A638" s="96"/>
      <c r="B638" s="107"/>
      <c r="C638" s="108"/>
      <c r="D638" s="108"/>
      <c r="E638" s="108"/>
      <c r="F638" s="108"/>
      <c r="G638" s="108"/>
      <c r="H638" s="109"/>
      <c r="I638" s="109"/>
      <c r="J638" s="99"/>
      <c r="K638" s="99"/>
      <c r="L638" s="99"/>
      <c r="M638" s="99"/>
      <c r="N638" s="99"/>
      <c r="O638" s="99"/>
      <c r="P638" s="97"/>
    </row>
    <row r="639" spans="1:16" ht="16.5" customHeight="1" x14ac:dyDescent="0.25">
      <c r="A639" s="96"/>
      <c r="B639" s="107"/>
      <c r="C639" s="108"/>
      <c r="D639" s="108"/>
      <c r="E639" s="108"/>
      <c r="F639" s="108"/>
      <c r="G639" s="108"/>
      <c r="H639" s="109"/>
      <c r="I639" s="109"/>
      <c r="J639" s="99"/>
      <c r="K639" s="99"/>
      <c r="L639" s="99"/>
      <c r="M639" s="99"/>
      <c r="N639" s="99"/>
      <c r="O639" s="99"/>
      <c r="P639" s="97"/>
    </row>
    <row r="640" spans="1:16" ht="16.5" customHeight="1" x14ac:dyDescent="0.25">
      <c r="A640" s="96"/>
      <c r="B640" s="107"/>
      <c r="C640" s="108"/>
      <c r="D640" s="108"/>
      <c r="E640" s="108"/>
      <c r="F640" s="108"/>
      <c r="G640" s="108"/>
      <c r="H640" s="109"/>
      <c r="I640" s="109"/>
      <c r="J640" s="99"/>
      <c r="K640" s="99"/>
      <c r="L640" s="99"/>
      <c r="M640" s="99"/>
      <c r="N640" s="99"/>
      <c r="O640" s="99"/>
      <c r="P640" s="97"/>
    </row>
    <row r="641" spans="1:16" ht="16.5" customHeight="1" x14ac:dyDescent="0.25">
      <c r="A641" s="96"/>
      <c r="B641" s="107"/>
      <c r="C641" s="108"/>
      <c r="D641" s="108"/>
      <c r="E641" s="108"/>
      <c r="F641" s="108"/>
      <c r="G641" s="108"/>
      <c r="H641" s="109"/>
      <c r="I641" s="109"/>
      <c r="J641" s="99"/>
      <c r="K641" s="99"/>
      <c r="L641" s="99"/>
      <c r="M641" s="99"/>
      <c r="N641" s="99"/>
      <c r="O641" s="99"/>
      <c r="P641" s="97"/>
    </row>
    <row r="642" spans="1:16" ht="16.5" customHeight="1" x14ac:dyDescent="0.25">
      <c r="A642" s="96"/>
      <c r="B642" s="107"/>
      <c r="C642" s="108"/>
      <c r="D642" s="108"/>
      <c r="E642" s="108"/>
      <c r="F642" s="108"/>
      <c r="G642" s="108"/>
      <c r="H642" s="109"/>
      <c r="I642" s="109"/>
      <c r="J642" s="99"/>
      <c r="K642" s="99"/>
      <c r="L642" s="99"/>
      <c r="M642" s="99"/>
      <c r="N642" s="99"/>
      <c r="O642" s="99"/>
      <c r="P642" s="97"/>
    </row>
    <row r="643" spans="1:16" ht="16.5" customHeight="1" x14ac:dyDescent="0.25">
      <c r="A643" s="96"/>
      <c r="B643" s="107"/>
      <c r="C643" s="108"/>
      <c r="D643" s="108"/>
      <c r="E643" s="108"/>
      <c r="F643" s="108"/>
      <c r="G643" s="108"/>
      <c r="H643" s="109"/>
      <c r="I643" s="109"/>
      <c r="J643" s="99"/>
      <c r="K643" s="99"/>
      <c r="L643" s="99"/>
      <c r="M643" s="99"/>
      <c r="N643" s="99"/>
      <c r="O643" s="99"/>
      <c r="P643" s="97"/>
    </row>
    <row r="644" spans="1:16" ht="16.5" customHeight="1" x14ac:dyDescent="0.25">
      <c r="A644" s="96"/>
      <c r="B644" s="107"/>
      <c r="C644" s="108"/>
      <c r="D644" s="108"/>
      <c r="E644" s="108"/>
      <c r="F644" s="108"/>
      <c r="G644" s="108"/>
      <c r="H644" s="109"/>
      <c r="I644" s="109"/>
      <c r="J644" s="99"/>
      <c r="K644" s="99"/>
      <c r="L644" s="99"/>
      <c r="M644" s="99"/>
      <c r="N644" s="99"/>
      <c r="O644" s="99"/>
      <c r="P644" s="97"/>
    </row>
    <row r="645" spans="1:16" ht="16.5" customHeight="1" x14ac:dyDescent="0.25">
      <c r="A645" s="96"/>
      <c r="B645" s="107"/>
      <c r="C645" s="108"/>
      <c r="D645" s="108"/>
      <c r="E645" s="108"/>
      <c r="F645" s="108"/>
      <c r="G645" s="108"/>
      <c r="H645" s="109"/>
      <c r="I645" s="109"/>
      <c r="J645" s="99"/>
      <c r="K645" s="99"/>
      <c r="L645" s="99"/>
      <c r="M645" s="99"/>
      <c r="N645" s="99"/>
      <c r="O645" s="99"/>
      <c r="P645" s="97"/>
    </row>
    <row r="646" spans="1:16" ht="16.5" customHeight="1" x14ac:dyDescent="0.25">
      <c r="A646" s="96"/>
      <c r="B646" s="107"/>
      <c r="C646" s="108"/>
      <c r="D646" s="108"/>
      <c r="E646" s="108"/>
      <c r="F646" s="108"/>
      <c r="G646" s="108"/>
      <c r="H646" s="109"/>
      <c r="I646" s="109"/>
      <c r="J646" s="99"/>
      <c r="K646" s="99"/>
      <c r="L646" s="99"/>
      <c r="M646" s="99"/>
      <c r="N646" s="99"/>
      <c r="O646" s="99"/>
      <c r="P646" s="97"/>
    </row>
    <row r="647" spans="1:16" ht="16.5" customHeight="1" x14ac:dyDescent="0.25">
      <c r="A647" s="96"/>
      <c r="B647" s="107"/>
      <c r="C647" s="108"/>
      <c r="D647" s="108"/>
      <c r="E647" s="108"/>
      <c r="F647" s="108"/>
      <c r="G647" s="108"/>
      <c r="H647" s="109"/>
      <c r="I647" s="109"/>
      <c r="J647" s="99"/>
      <c r="K647" s="99"/>
      <c r="L647" s="99"/>
      <c r="M647" s="99"/>
      <c r="N647" s="99"/>
      <c r="O647" s="99"/>
      <c r="P647" s="97"/>
    </row>
    <row r="648" spans="1:16" ht="15.75" customHeight="1" x14ac:dyDescent="0.25">
      <c r="A648" s="96"/>
      <c r="B648" s="58"/>
      <c r="C648" s="58"/>
      <c r="D648" s="58"/>
      <c r="E648" s="58"/>
      <c r="F648" s="58"/>
      <c r="G648" s="115"/>
      <c r="H648" s="58"/>
      <c r="I648" s="58"/>
      <c r="J648" s="99"/>
      <c r="K648" s="99"/>
      <c r="L648" s="99"/>
      <c r="M648" s="99"/>
      <c r="N648" s="99"/>
      <c r="O648" s="99"/>
      <c r="P648" s="97"/>
    </row>
    <row r="649" spans="1:16" ht="15" customHeight="1" x14ac:dyDescent="0.25">
      <c r="A649" s="96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7"/>
    </row>
    <row r="650" spans="1:16" ht="15" customHeight="1" x14ac:dyDescent="0.25">
      <c r="A650" s="104" t="s">
        <v>180</v>
      </c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7"/>
    </row>
    <row r="651" spans="1:16" ht="15.75" customHeight="1" x14ac:dyDescent="0.25">
      <c r="A651" s="96"/>
      <c r="B651" s="58" t="s">
        <v>10</v>
      </c>
      <c r="C651" s="58" t="s">
        <v>181</v>
      </c>
      <c r="D651" s="58" t="s">
        <v>175</v>
      </c>
      <c r="E651" s="58" t="s">
        <v>182</v>
      </c>
      <c r="F651" s="58" t="s">
        <v>16</v>
      </c>
      <c r="G651" s="115" t="s">
        <v>17</v>
      </c>
      <c r="H651" s="115" t="s">
        <v>178</v>
      </c>
      <c r="I651" s="58" t="s">
        <v>183</v>
      </c>
      <c r="J651" s="58" t="s">
        <v>184</v>
      </c>
      <c r="K651" s="58" t="s">
        <v>185</v>
      </c>
      <c r="L651" s="116" t="s">
        <v>186</v>
      </c>
      <c r="M651" s="116" t="s">
        <v>187</v>
      </c>
      <c r="N651" s="116" t="s">
        <v>188</v>
      </c>
      <c r="O651" s="99"/>
      <c r="P651" s="97"/>
    </row>
    <row r="652" spans="1:16" ht="16.5" customHeight="1" x14ac:dyDescent="0.25">
      <c r="A652" s="96"/>
      <c r="B652" s="117" t="s">
        <v>256</v>
      </c>
      <c r="C652" s="118" t="e">
        <f>VLOOKUP(B652,'Gebouwgegevens Allacker'!$J$5:$Q$83,3,0)</f>
        <v>#N/A</v>
      </c>
      <c r="D652" s="118" t="e">
        <f>VLOOKUP(B652,'Gebouwgegevens Allacker'!$J$5:$Q$83,4,0)</f>
        <v>#N/A</v>
      </c>
      <c r="E652" s="118" t="e">
        <f>VLOOKUP(B652,'Gebouwgegevens Allacker'!$J$5:$Q$83,5,0)</f>
        <v>#N/A</v>
      </c>
      <c r="F652" s="118" t="e">
        <f>VLOOKUP(B652,'Gebouwgegevens Allacker'!$J$5:$Q$83,7,0)</f>
        <v>#N/A</v>
      </c>
      <c r="G652" s="119" t="e">
        <f>VLOOKUP(B652,'Gebouwgegevens Allacker'!$J$5:$Q$83,8,0)</f>
        <v>#N/A</v>
      </c>
      <c r="H652" s="119" t="e">
        <f>N652/F652</f>
        <v>#N/A</v>
      </c>
      <c r="I652" s="118" t="e">
        <f>VLOOKUP(C652,'Gebouwgegevens Allacker'!$A$35:$F$46,6,0)</f>
        <v>#N/A</v>
      </c>
      <c r="J652" s="117">
        <v>6.52</v>
      </c>
      <c r="K652" s="117">
        <v>0.33</v>
      </c>
      <c r="L652" s="120" t="e">
        <f>I652/(0.5*J652)</f>
        <v>#N/A</v>
      </c>
      <c r="M652" s="120" t="e">
        <f>K652+2*(1/F652)</f>
        <v>#N/A</v>
      </c>
      <c r="N652" s="121" t="e">
        <f>IF(M652&lt;L652,2*2/(PI()*L652+M652)*LN(PI()*L652/M652+1),2/(0.457*L652+M652))</f>
        <v>#N/A</v>
      </c>
      <c r="O652" s="99"/>
      <c r="P652" s="97"/>
    </row>
    <row r="653" spans="1:16" ht="16.5" customHeight="1" x14ac:dyDescent="0.25">
      <c r="A653" s="96"/>
      <c r="B653" s="117"/>
      <c r="C653" s="118"/>
      <c r="D653" s="118"/>
      <c r="E653" s="118"/>
      <c r="F653" s="118"/>
      <c r="G653" s="119"/>
      <c r="H653" s="119"/>
      <c r="I653" s="118"/>
      <c r="J653" s="117"/>
      <c r="K653" s="117"/>
      <c r="L653" s="120"/>
      <c r="M653" s="120"/>
      <c r="N653" s="121"/>
      <c r="O653" s="99"/>
      <c r="P653" s="97"/>
    </row>
    <row r="654" spans="1:16" ht="16.5" customHeight="1" x14ac:dyDescent="0.25">
      <c r="A654" s="96"/>
      <c r="B654" s="117"/>
      <c r="C654" s="118"/>
      <c r="D654" s="118"/>
      <c r="E654" s="118"/>
      <c r="F654" s="118"/>
      <c r="G654" s="119"/>
      <c r="H654" s="119"/>
      <c r="I654" s="118"/>
      <c r="J654" s="117"/>
      <c r="K654" s="117"/>
      <c r="L654" s="120"/>
      <c r="M654" s="120"/>
      <c r="N654" s="121"/>
      <c r="O654" s="99"/>
      <c r="P654" s="97"/>
    </row>
    <row r="655" spans="1:16" ht="16.5" customHeight="1" x14ac:dyDescent="0.25">
      <c r="A655" s="96"/>
      <c r="B655" s="117"/>
      <c r="C655" s="118"/>
      <c r="D655" s="118"/>
      <c r="E655" s="118"/>
      <c r="F655" s="118"/>
      <c r="G655" s="119"/>
      <c r="H655" s="119"/>
      <c r="I655" s="118"/>
      <c r="J655" s="117"/>
      <c r="K655" s="117"/>
      <c r="L655" s="120"/>
      <c r="M655" s="120"/>
      <c r="N655" s="121"/>
      <c r="O655" s="99"/>
      <c r="P655" s="97"/>
    </row>
    <row r="656" spans="1:16" ht="16.5" customHeight="1" x14ac:dyDescent="0.25">
      <c r="A656" s="139"/>
      <c r="B656" s="117"/>
      <c r="C656" s="118"/>
      <c r="D656" s="118"/>
      <c r="E656" s="118"/>
      <c r="F656" s="118"/>
      <c r="G656" s="119"/>
      <c r="H656" s="119"/>
      <c r="I656" s="118"/>
      <c r="J656" s="117"/>
      <c r="K656" s="117"/>
      <c r="L656" s="120"/>
      <c r="M656" s="120"/>
      <c r="N656" s="121"/>
      <c r="O656" s="99"/>
      <c r="P656" s="97"/>
    </row>
    <row r="657" spans="1:16" ht="15.75" customHeight="1" x14ac:dyDescent="0.25">
      <c r="A657" s="96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7"/>
    </row>
    <row r="658" spans="1:16" ht="15" customHeight="1" x14ac:dyDescent="0.25">
      <c r="A658" s="104" t="s">
        <v>189</v>
      </c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7"/>
    </row>
    <row r="659" spans="1:16" ht="15.75" customHeight="1" x14ac:dyDescent="0.25">
      <c r="A659" s="96"/>
      <c r="B659" s="58" t="s">
        <v>10</v>
      </c>
      <c r="C659" s="58" t="s">
        <v>190</v>
      </c>
      <c r="D659" s="58" t="s">
        <v>191</v>
      </c>
      <c r="E659" s="58" t="s">
        <v>135</v>
      </c>
      <c r="F659" s="58" t="s">
        <v>192</v>
      </c>
      <c r="G659" s="58" t="s">
        <v>193</v>
      </c>
      <c r="H659" s="58" t="s">
        <v>194</v>
      </c>
      <c r="I659" s="58" t="s">
        <v>16</v>
      </c>
      <c r="J659" s="115" t="s">
        <v>17</v>
      </c>
      <c r="K659" s="115" t="s">
        <v>178</v>
      </c>
      <c r="L659" s="99"/>
      <c r="M659" s="99"/>
      <c r="N659" s="99"/>
      <c r="O659" s="99"/>
      <c r="P659" s="97"/>
    </row>
    <row r="660" spans="1:16" ht="16.5" customHeight="1" x14ac:dyDescent="0.25">
      <c r="A660" s="96"/>
      <c r="B660" s="117" t="s">
        <v>222</v>
      </c>
      <c r="C660" s="123" t="e">
        <f>IF(VLOOKUP(B660,'Gebouwgegevens Allacker'!$J$5:$Q$83,2,0)=$B$630,VLOOKUP(B660,'Gebouwgegevens Allacker'!$J$5:$Q$83,2,0),VLOOKUP(B660,'Gebouwgegevens Allacker'!$J$5:$Q$83,3,0))</f>
        <v>#N/A</v>
      </c>
      <c r="D660" s="123" t="e">
        <f>IF(VLOOKUP(B660,'Gebouwgegevens Allacker'!$J$5:$Q$83,2,0)=$B$630,VLOOKUP(B660,'Gebouwgegevens Allacker'!$J$5:$Q$83,3,0),VLOOKUP(B660,'Gebouwgegevens Allacker'!$J$5:$Q$83,2,0))</f>
        <v>#N/A</v>
      </c>
      <c r="E660" s="123" t="e">
        <f>VLOOKUP(B660,'Gebouwgegevens Allacker'!$J$5:$Q$83,4,0)</f>
        <v>#N/A</v>
      </c>
      <c r="F660" s="123" t="e">
        <f>VLOOKUP(B660,'Gebouwgegevens Allacker'!$J$5:$Q$83,5,0)</f>
        <v>#N/A</v>
      </c>
      <c r="G660" s="123" t="e">
        <f>VLOOKUP('Verwarming Tabula'!C660,'Gebouwgegevens Allacker'!$A$35:$F$46,5,0)</f>
        <v>#N/A</v>
      </c>
      <c r="H660" s="123" t="e">
        <f>VLOOKUP('Verwarming Tabula'!D660,'Gebouwgegevens Allacker'!$A$35:$F$46,5,0)</f>
        <v>#N/A</v>
      </c>
      <c r="I660" s="123" t="e">
        <f>VLOOKUP(B660,'Gebouwgegevens Allacker'!$J$5:$Q$83,7,0)</f>
        <v>#N/A</v>
      </c>
      <c r="J660" s="119" t="e">
        <f>VLOOKUP(B660,'Gebouwgegevens Allacker'!$J$5:$Q$83,8,0)</f>
        <v>#N/A</v>
      </c>
      <c r="K660" s="119" t="e">
        <f>(G660-H660)/(G660-$B$4)</f>
        <v>#N/A</v>
      </c>
      <c r="L660" s="99"/>
      <c r="M660" s="99"/>
      <c r="N660" s="99"/>
      <c r="O660" s="99"/>
      <c r="P660" s="97"/>
    </row>
    <row r="661" spans="1:16" ht="16.5" customHeight="1" x14ac:dyDescent="0.25">
      <c r="A661" s="96"/>
      <c r="B661" s="117" t="s">
        <v>257</v>
      </c>
      <c r="C661" s="123" t="e">
        <f>IF(VLOOKUP(B661,'Gebouwgegevens Allacker'!$J$5:$Q$83,2,0)=$B$630,VLOOKUP(B661,'Gebouwgegevens Allacker'!$J$5:$Q$83,2,0),VLOOKUP(B661,'Gebouwgegevens Allacker'!$J$5:$Q$83,3,0))</f>
        <v>#N/A</v>
      </c>
      <c r="D661" s="123" t="e">
        <f>IF(VLOOKUP(B661,'Gebouwgegevens Allacker'!$J$5:$Q$83,2,0)=$B$630,VLOOKUP(B661,'Gebouwgegevens Allacker'!$J$5:$Q$83,3,0),VLOOKUP(B661,'Gebouwgegevens Allacker'!$J$5:$Q$83,2,0))</f>
        <v>#N/A</v>
      </c>
      <c r="E661" s="123" t="e">
        <f>VLOOKUP(B661,'Gebouwgegevens Allacker'!$J$5:$Q$83,4,0)</f>
        <v>#N/A</v>
      </c>
      <c r="F661" s="123" t="e">
        <f>VLOOKUP(B661,'Gebouwgegevens Allacker'!$J$5:$Q$83,5,0)</f>
        <v>#N/A</v>
      </c>
      <c r="G661" s="123" t="e">
        <f>VLOOKUP('Verwarming Tabula'!C661,'Gebouwgegevens Allacker'!$A$35:$F$46,5,0)</f>
        <v>#N/A</v>
      </c>
      <c r="H661" s="123" t="e">
        <f>VLOOKUP('Verwarming Tabula'!D661,'Gebouwgegevens Allacker'!$A$35:$F$46,5,0)</f>
        <v>#N/A</v>
      </c>
      <c r="I661" s="123" t="e">
        <f>VLOOKUP(B661,'Gebouwgegevens Allacker'!$J$5:$Q$83,7,0)</f>
        <v>#N/A</v>
      </c>
      <c r="J661" s="119" t="e">
        <f>VLOOKUP(B661,'Gebouwgegevens Allacker'!$J$5:$Q$83,8,0)</f>
        <v>#N/A</v>
      </c>
      <c r="K661" s="119" t="e">
        <f>(G661-H661)/(G661-$B$4)</f>
        <v>#N/A</v>
      </c>
      <c r="L661" s="99"/>
      <c r="M661" s="99"/>
      <c r="N661" s="99"/>
      <c r="O661" s="99"/>
      <c r="P661" s="97"/>
    </row>
    <row r="662" spans="1:16" ht="16.5" customHeight="1" x14ac:dyDescent="0.25">
      <c r="A662" s="96"/>
      <c r="B662" s="117"/>
      <c r="C662" s="123"/>
      <c r="D662" s="123"/>
      <c r="E662" s="123"/>
      <c r="F662" s="123"/>
      <c r="G662" s="123"/>
      <c r="H662" s="123"/>
      <c r="I662" s="123"/>
      <c r="J662" s="119"/>
      <c r="K662" s="119"/>
      <c r="L662" s="99"/>
      <c r="M662" s="99"/>
      <c r="N662" s="99"/>
      <c r="O662" s="99"/>
      <c r="P662" s="97"/>
    </row>
    <row r="663" spans="1:16" ht="16.5" customHeight="1" x14ac:dyDescent="0.25">
      <c r="A663" s="96"/>
      <c r="B663" s="117"/>
      <c r="C663" s="123"/>
      <c r="D663" s="123"/>
      <c r="E663" s="123"/>
      <c r="F663" s="123"/>
      <c r="G663" s="123"/>
      <c r="H663" s="123"/>
      <c r="I663" s="123"/>
      <c r="J663" s="119"/>
      <c r="K663" s="119"/>
      <c r="L663" s="99"/>
      <c r="M663" s="99"/>
      <c r="N663" s="99"/>
      <c r="O663" s="99"/>
      <c r="P663" s="97"/>
    </row>
    <row r="664" spans="1:16" ht="16.5" customHeight="1" x14ac:dyDescent="0.25">
      <c r="A664" s="96"/>
      <c r="B664" s="146"/>
      <c r="C664" s="123"/>
      <c r="D664" s="123"/>
      <c r="E664" s="123"/>
      <c r="F664" s="123"/>
      <c r="G664" s="123"/>
      <c r="H664" s="123"/>
      <c r="I664" s="123"/>
      <c r="J664" s="119"/>
      <c r="K664" s="119"/>
      <c r="L664" s="99"/>
      <c r="M664" s="99"/>
      <c r="N664" s="99"/>
      <c r="O664" s="99"/>
      <c r="P664" s="97"/>
    </row>
    <row r="665" spans="1:16" ht="16.5" customHeight="1" x14ac:dyDescent="0.25">
      <c r="A665" s="96"/>
      <c r="B665" s="124"/>
      <c r="C665" s="140"/>
      <c r="D665" s="123"/>
      <c r="E665" s="123"/>
      <c r="F665" s="123"/>
      <c r="G665" s="123"/>
      <c r="H665" s="123"/>
      <c r="I665" s="123"/>
      <c r="J665" s="119"/>
      <c r="K665" s="119"/>
      <c r="L665" s="99"/>
      <c r="M665" s="99"/>
      <c r="N665" s="99"/>
      <c r="O665" s="99"/>
      <c r="P665" s="97"/>
    </row>
    <row r="666" spans="1:16" ht="16.5" customHeight="1" x14ac:dyDescent="0.25">
      <c r="A666" s="96"/>
      <c r="B666" s="124"/>
      <c r="C666" s="140"/>
      <c r="D666" s="123"/>
      <c r="E666" s="123"/>
      <c r="F666" s="123"/>
      <c r="G666" s="123"/>
      <c r="H666" s="123"/>
      <c r="I666" s="123"/>
      <c r="J666" s="119"/>
      <c r="K666" s="119"/>
      <c r="L666" s="99"/>
      <c r="M666" s="99"/>
      <c r="N666" s="99"/>
      <c r="O666" s="99"/>
      <c r="P666" s="97"/>
    </row>
    <row r="667" spans="1:16" ht="16.5" customHeight="1" x14ac:dyDescent="0.25">
      <c r="A667" s="96"/>
      <c r="B667" s="124"/>
      <c r="C667" s="140"/>
      <c r="D667" s="123"/>
      <c r="E667" s="123"/>
      <c r="F667" s="123"/>
      <c r="G667" s="123"/>
      <c r="H667" s="123"/>
      <c r="I667" s="123"/>
      <c r="J667" s="119"/>
      <c r="K667" s="119"/>
      <c r="L667" s="99"/>
      <c r="M667" s="99"/>
      <c r="N667" s="99"/>
      <c r="O667" s="99"/>
      <c r="P667" s="97"/>
    </row>
    <row r="668" spans="1:16" ht="16.5" customHeight="1" x14ac:dyDescent="0.25">
      <c r="A668" s="96"/>
      <c r="B668" s="124"/>
      <c r="C668" s="140"/>
      <c r="D668" s="123"/>
      <c r="E668" s="123"/>
      <c r="F668" s="123"/>
      <c r="G668" s="123"/>
      <c r="H668" s="123"/>
      <c r="I668" s="123"/>
      <c r="J668" s="119"/>
      <c r="K668" s="119"/>
      <c r="L668" s="99"/>
      <c r="M668" s="99"/>
      <c r="N668" s="99"/>
      <c r="O668" s="99"/>
      <c r="P668" s="97"/>
    </row>
    <row r="669" spans="1:16" ht="16.5" customHeight="1" x14ac:dyDescent="0.25">
      <c r="A669" s="96"/>
      <c r="B669" s="124"/>
      <c r="C669" s="140"/>
      <c r="D669" s="123"/>
      <c r="E669" s="123"/>
      <c r="F669" s="123"/>
      <c r="G669" s="123"/>
      <c r="H669" s="123"/>
      <c r="I669" s="123"/>
      <c r="J669" s="119"/>
      <c r="K669" s="119"/>
      <c r="L669" s="99"/>
      <c r="M669" s="99"/>
      <c r="N669" s="99"/>
      <c r="O669" s="99"/>
      <c r="P669" s="97"/>
    </row>
    <row r="670" spans="1:16" ht="15.75" customHeight="1" x14ac:dyDescent="0.25">
      <c r="A670" s="96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99"/>
      <c r="M670" s="99"/>
      <c r="N670" s="99"/>
      <c r="O670" s="99"/>
      <c r="P670" s="97"/>
    </row>
    <row r="671" spans="1:16" ht="15" customHeight="1" x14ac:dyDescent="0.25">
      <c r="A671" s="96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7"/>
    </row>
    <row r="672" spans="1:16" ht="15.75" customHeight="1" x14ac:dyDescent="0.25">
      <c r="A672" s="104" t="s">
        <v>195</v>
      </c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7"/>
    </row>
    <row r="673" spans="1:16" ht="16.5" customHeight="1" x14ac:dyDescent="0.25">
      <c r="A673" s="125" t="s">
        <v>196</v>
      </c>
      <c r="B673" s="119" t="e">
        <f>SUMPRODUCT(H636:H647,I636:I647)+SUMPRODUCT(G652:G656,H652:H656)+SUMPRODUCT(J660:J669,K660:K669)</f>
        <v>#N/A</v>
      </c>
      <c r="C673" s="119" t="s">
        <v>107</v>
      </c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7"/>
    </row>
    <row r="674" spans="1:16" ht="16.5" customHeight="1" x14ac:dyDescent="0.25">
      <c r="A674" s="125" t="s">
        <v>170</v>
      </c>
      <c r="B674" s="119" t="e">
        <f>B673*(G660-$B$4)</f>
        <v>#N/A</v>
      </c>
      <c r="C674" s="119" t="s">
        <v>172</v>
      </c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7"/>
    </row>
    <row r="675" spans="1:16" ht="15.75" customHeight="1" x14ac:dyDescent="0.25">
      <c r="A675" s="110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2"/>
    </row>
    <row r="676" spans="1:16" ht="15.75" customHeight="1" x14ac:dyDescent="0.25">
      <c r="A676" s="279" t="s">
        <v>197</v>
      </c>
      <c r="B676" s="279"/>
      <c r="C676" s="279"/>
      <c r="D676" s="126" t="s">
        <v>225</v>
      </c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95"/>
    </row>
    <row r="677" spans="1:16" ht="15" customHeight="1" x14ac:dyDescent="0.25">
      <c r="A677" s="96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7"/>
    </row>
    <row r="678" spans="1:16" ht="15" customHeight="1" x14ac:dyDescent="0.25">
      <c r="A678" s="127" t="s">
        <v>198</v>
      </c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7"/>
    </row>
    <row r="679" spans="1:16" ht="15" customHeight="1" x14ac:dyDescent="0.25">
      <c r="A679" s="128" t="s">
        <v>199</v>
      </c>
      <c r="B679" s="122">
        <v>8</v>
      </c>
      <c r="C679" s="121" t="s">
        <v>200</v>
      </c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7"/>
    </row>
    <row r="680" spans="1:16" ht="15" customHeight="1" x14ac:dyDescent="0.25">
      <c r="A680" s="128" t="s">
        <v>201</v>
      </c>
      <c r="B680" s="122">
        <v>0.03</v>
      </c>
      <c r="C680" s="121" t="s">
        <v>202</v>
      </c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7"/>
    </row>
    <row r="681" spans="1:16" ht="15.75" customHeight="1" x14ac:dyDescent="0.25">
      <c r="A681" s="128" t="s">
        <v>203</v>
      </c>
      <c r="B681" s="122">
        <v>1</v>
      </c>
      <c r="C681" s="121" t="s">
        <v>204</v>
      </c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7"/>
    </row>
    <row r="682" spans="1:16" ht="16.5" customHeight="1" x14ac:dyDescent="0.25">
      <c r="A682" s="125" t="s">
        <v>205</v>
      </c>
      <c r="B682" s="119" t="e">
        <f>2*VLOOKUP(B630,'Gebouwgegevens Allacker'!$A$35:$F$46,6,0)*B679*B680*B681</f>
        <v>#N/A</v>
      </c>
      <c r="C682" s="119" t="s">
        <v>206</v>
      </c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7"/>
    </row>
    <row r="683" spans="1:16" ht="15.75" customHeight="1" x14ac:dyDescent="0.25">
      <c r="A683" s="139"/>
      <c r="B683" s="58"/>
      <c r="C683" s="58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7"/>
    </row>
    <row r="684" spans="1:16" ht="15" customHeight="1" x14ac:dyDescent="0.25">
      <c r="A684" s="147" t="s">
        <v>207</v>
      </c>
      <c r="B684" s="58"/>
      <c r="C684" s="58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7"/>
    </row>
    <row r="685" spans="1:16" ht="15.75" customHeight="1" x14ac:dyDescent="0.25">
      <c r="A685" s="139" t="s">
        <v>183</v>
      </c>
      <c r="B685" s="58" t="e">
        <f>VLOOKUP(B630,'Gebouwgegevens Allacker'!$A$35:$F$46,6,0)</f>
        <v>#N/A</v>
      </c>
      <c r="C685" s="58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7"/>
    </row>
    <row r="686" spans="1:16" ht="16.5" customHeight="1" x14ac:dyDescent="0.25">
      <c r="A686" s="125" t="s">
        <v>208</v>
      </c>
      <c r="B686" s="129">
        <v>50</v>
      </c>
      <c r="C686" s="119" t="s">
        <v>206</v>
      </c>
      <c r="D686" s="148" t="s">
        <v>258</v>
      </c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7"/>
    </row>
    <row r="687" spans="1:16" ht="15.75" customHeight="1" x14ac:dyDescent="0.25">
      <c r="A687" s="139"/>
      <c r="B687" s="58"/>
      <c r="C687" s="58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7"/>
    </row>
    <row r="688" spans="1:16" ht="15.75" customHeight="1" x14ac:dyDescent="0.25">
      <c r="A688" s="139"/>
      <c r="B688" s="58"/>
      <c r="C688" s="58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7"/>
    </row>
    <row r="689" spans="1:16" ht="16.5" customHeight="1" x14ac:dyDescent="0.25">
      <c r="A689" s="125" t="s">
        <v>210</v>
      </c>
      <c r="B689" s="119" t="e">
        <f>MAX(B682,B686)</f>
        <v>#N/A</v>
      </c>
      <c r="C689" s="119" t="s">
        <v>206</v>
      </c>
      <c r="D689" s="99"/>
      <c r="E689" s="99"/>
      <c r="F689" s="119" t="s">
        <v>211</v>
      </c>
      <c r="G689" s="119" t="e">
        <f>B689/VLOOKUP(B630,'Gebouwgegevens Allacker'!$A$35:$B$46,2,0)</f>
        <v>#N/A</v>
      </c>
      <c r="H689" s="99"/>
      <c r="I689" s="99"/>
      <c r="J689" s="99"/>
      <c r="K689" s="99"/>
      <c r="L689" s="99"/>
      <c r="M689" s="99"/>
      <c r="N689" s="99"/>
      <c r="O689" s="99"/>
      <c r="P689" s="97"/>
    </row>
    <row r="690" spans="1:16" ht="16.5" customHeight="1" x14ac:dyDescent="0.25">
      <c r="A690" s="139"/>
      <c r="B690" s="58"/>
      <c r="C690" s="58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7"/>
    </row>
    <row r="691" spans="1:16" ht="16.5" customHeight="1" x14ac:dyDescent="0.25">
      <c r="A691" s="125" t="s">
        <v>212</v>
      </c>
      <c r="B691" s="119" t="e">
        <f>0.34*B689</f>
        <v>#N/A</v>
      </c>
      <c r="C691" s="119" t="s">
        <v>107</v>
      </c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7"/>
    </row>
    <row r="692" spans="1:16" ht="16.5" customHeight="1" x14ac:dyDescent="0.25">
      <c r="A692" s="125" t="s">
        <v>170</v>
      </c>
      <c r="B692" s="119" t="e">
        <f>B691*('Gebouwgegevens Allacker'!E652-$B$4)</f>
        <v>#N/A</v>
      </c>
      <c r="C692" s="119" t="s">
        <v>172</v>
      </c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7"/>
    </row>
    <row r="693" spans="1:16" ht="15.75" customHeight="1" x14ac:dyDescent="0.25">
      <c r="A693" s="141"/>
      <c r="B693" s="142"/>
      <c r="C693" s="142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2"/>
    </row>
    <row r="694" spans="1:16" ht="15.75" customHeight="1" x14ac:dyDescent="0.25">
      <c r="A694" s="279" t="s">
        <v>213</v>
      </c>
      <c r="B694" s="279"/>
      <c r="C694" s="279"/>
      <c r="D694" s="27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7"/>
    </row>
    <row r="695" spans="1:16" ht="15" customHeight="1" x14ac:dyDescent="0.25">
      <c r="A695" s="96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7"/>
    </row>
    <row r="696" spans="1:16" ht="15" customHeight="1" x14ac:dyDescent="0.25">
      <c r="A696" s="128" t="s">
        <v>214</v>
      </c>
      <c r="B696" s="122">
        <v>0</v>
      </c>
      <c r="C696" s="58" t="s">
        <v>235</v>
      </c>
      <c r="D696" s="58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7"/>
    </row>
    <row r="697" spans="1:16" ht="15.75" customHeight="1" x14ac:dyDescent="0.25">
      <c r="A697" s="3" t="s">
        <v>113</v>
      </c>
      <c r="B697" s="58" t="e">
        <f>VLOOKUP(B630,'Gebouwgegevens Allacker'!$A$35:$F$46,6,0)</f>
        <v>#N/A</v>
      </c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7"/>
    </row>
    <row r="698" spans="1:16" ht="16.5" customHeight="1" x14ac:dyDescent="0.25">
      <c r="A698" s="125" t="s">
        <v>216</v>
      </c>
      <c r="B698" s="119" t="e">
        <f>B699/('Gebouwgegevens Allacker'!E652-'Verwarming Tabula'!$B$4)</f>
        <v>#N/A</v>
      </c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7"/>
    </row>
    <row r="699" spans="1:16" ht="16.5" customHeight="1" x14ac:dyDescent="0.25">
      <c r="A699" s="125" t="s">
        <v>170</v>
      </c>
      <c r="B699" s="119" t="e">
        <f>B696*B697</f>
        <v>#N/A</v>
      </c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7"/>
    </row>
    <row r="700" spans="1:16" ht="15.75" customHeight="1" x14ac:dyDescent="0.25">
      <c r="A700" s="96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7"/>
    </row>
    <row r="701" spans="1:16" ht="15.75" customHeight="1" x14ac:dyDescent="0.25">
      <c r="A701" s="96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7"/>
    </row>
    <row r="702" spans="1:16" ht="15.75" customHeight="1" x14ac:dyDescent="0.25">
      <c r="A702" s="130" t="s">
        <v>217</v>
      </c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2"/>
    </row>
    <row r="703" spans="1:16" ht="16.5" customHeight="1" x14ac:dyDescent="0.25">
      <c r="A703" s="125" t="s">
        <v>218</v>
      </c>
      <c r="B703" s="119" t="e">
        <f>SUM(B673,B691,B698)</f>
        <v>#N/A</v>
      </c>
      <c r="C703" s="119" t="s">
        <v>107</v>
      </c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4"/>
    </row>
    <row r="704" spans="1:16" ht="16.5" customHeight="1" x14ac:dyDescent="0.25">
      <c r="A704" s="125" t="s">
        <v>170</v>
      </c>
      <c r="B704" s="119" t="e">
        <f>SUM(B674,B692,B699)</f>
        <v>#N/A</v>
      </c>
      <c r="C704" s="119" t="s">
        <v>172</v>
      </c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4"/>
    </row>
    <row r="705" spans="1:16" ht="16.5" customHeight="1" x14ac:dyDescent="0.25">
      <c r="A705" s="135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7"/>
    </row>
    <row r="706" spans="1:16" ht="15" customHeight="1" x14ac:dyDescent="0.25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</row>
    <row r="707" spans="1:16" ht="15.75" customHeight="1" x14ac:dyDescent="0.25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</row>
    <row r="708" spans="1:16" ht="15" customHeight="1" x14ac:dyDescent="0.25">
      <c r="A708" s="94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95"/>
    </row>
    <row r="709" spans="1:16" ht="17.25" customHeight="1" x14ac:dyDescent="0.3">
      <c r="A709" s="98" t="s">
        <v>169</v>
      </c>
      <c r="B709" s="93">
        <v>10</v>
      </c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7"/>
    </row>
    <row r="710" spans="1:16" ht="15.75" customHeight="1" x14ac:dyDescent="0.25">
      <c r="A710" s="279" t="s">
        <v>171</v>
      </c>
      <c r="B710" s="279"/>
      <c r="C710" s="279"/>
      <c r="D710" s="279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95"/>
    </row>
    <row r="711" spans="1:16" ht="15" customHeight="1" x14ac:dyDescent="0.25">
      <c r="A711" s="96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7"/>
    </row>
    <row r="712" spans="1:16" ht="15" customHeight="1" x14ac:dyDescent="0.25">
      <c r="A712" s="104" t="s">
        <v>173</v>
      </c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7"/>
    </row>
    <row r="713" spans="1:16" ht="15" customHeight="1" x14ac:dyDescent="0.25">
      <c r="A713" s="96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7"/>
    </row>
    <row r="714" spans="1:16" ht="15.75" customHeight="1" x14ac:dyDescent="0.25">
      <c r="A714" s="96"/>
      <c r="B714" s="105" t="s">
        <v>10</v>
      </c>
      <c r="C714" s="105" t="s">
        <v>174</v>
      </c>
      <c r="D714" s="105" t="s">
        <v>175</v>
      </c>
      <c r="E714" s="105" t="s">
        <v>176</v>
      </c>
      <c r="F714" s="105" t="s">
        <v>177</v>
      </c>
      <c r="G714" s="105" t="s">
        <v>16</v>
      </c>
      <c r="H714" s="106" t="s">
        <v>17</v>
      </c>
      <c r="I714" s="106" t="s">
        <v>178</v>
      </c>
      <c r="J714" s="99"/>
      <c r="K714" s="99"/>
      <c r="L714" s="99"/>
      <c r="M714" s="99"/>
      <c r="N714" s="99"/>
      <c r="O714" s="99"/>
      <c r="P714" s="97"/>
    </row>
    <row r="715" spans="1:16" ht="16.5" customHeight="1" x14ac:dyDescent="0.25">
      <c r="A715" s="96"/>
      <c r="B715" s="107" t="s">
        <v>259</v>
      </c>
      <c r="C715" s="108" t="e">
        <f>VLOOKUP(B715,'Gebouwgegevens Allacker'!$J$5:$Q$83,3,0)</f>
        <v>#N/A</v>
      </c>
      <c r="D715" s="108" t="e">
        <f>VLOOKUP(B715,'Gebouwgegevens Allacker'!$J$5:$Q$83,4,0)</f>
        <v>#N/A</v>
      </c>
      <c r="E715" s="108" t="e">
        <f>VLOOKUP(B715,'Gebouwgegevens Allacker'!$J$5:$Q$83,5,0)</f>
        <v>#N/A</v>
      </c>
      <c r="F715" s="108" t="e">
        <f>VLOOKUP(B715,'Gebouwgegevens Allacker'!$J$5:$Q$83,6,0)</f>
        <v>#N/A</v>
      </c>
      <c r="G715" s="108" t="e">
        <f>VLOOKUP(B715,'Gebouwgegevens Allacker'!$J$5:$Q$83,7,0)</f>
        <v>#N/A</v>
      </c>
      <c r="H715" s="109" t="e">
        <f>VLOOKUP(B715,'Gebouwgegevens Allacker'!$J$5:$Q$83,8,0)</f>
        <v>#N/A</v>
      </c>
      <c r="I715" s="109">
        <v>1</v>
      </c>
      <c r="J715" s="99"/>
      <c r="K715" s="99"/>
      <c r="L715" s="99"/>
      <c r="M715" s="99"/>
      <c r="N715" s="99"/>
      <c r="O715" s="99"/>
      <c r="P715" s="97"/>
    </row>
    <row r="716" spans="1:16" ht="16.5" customHeight="1" x14ac:dyDescent="0.25">
      <c r="A716" s="96"/>
      <c r="B716" s="107" t="s">
        <v>260</v>
      </c>
      <c r="C716" s="108" t="e">
        <f>VLOOKUP(B716,'Gebouwgegevens Allacker'!$J$5:$Q$83,3,0)</f>
        <v>#N/A</v>
      </c>
      <c r="D716" s="108" t="e">
        <f>VLOOKUP(B716,'Gebouwgegevens Allacker'!$J$5:$Q$83,4,0)</f>
        <v>#N/A</v>
      </c>
      <c r="E716" s="108" t="e">
        <f>VLOOKUP(B716,'Gebouwgegevens Allacker'!$J$5:$Q$83,5,0)</f>
        <v>#N/A</v>
      </c>
      <c r="F716" s="108" t="e">
        <f>VLOOKUP(B716,'Gebouwgegevens Allacker'!$J$5:$Q$83,6,0)</f>
        <v>#N/A</v>
      </c>
      <c r="G716" s="108" t="e">
        <f>VLOOKUP(B716,'Gebouwgegevens Allacker'!$J$5:$Q$83,7,0)</f>
        <v>#N/A</v>
      </c>
      <c r="H716" s="109" t="e">
        <f>VLOOKUP(B716,'Gebouwgegevens Allacker'!$J$5:$Q$83,8,0)</f>
        <v>#N/A</v>
      </c>
      <c r="I716" s="109">
        <v>1</v>
      </c>
      <c r="J716" s="99"/>
      <c r="K716" s="99"/>
      <c r="L716" s="99"/>
      <c r="M716" s="99"/>
      <c r="N716" s="99"/>
      <c r="O716" s="99"/>
      <c r="P716" s="97"/>
    </row>
    <row r="717" spans="1:16" ht="16.5" customHeight="1" x14ac:dyDescent="0.25">
      <c r="A717" s="96"/>
      <c r="B717" s="107" t="s">
        <v>261</v>
      </c>
      <c r="C717" s="108" t="e">
        <f>VLOOKUP(B717,'Gebouwgegevens Allacker'!$J$5:$Q$83,3,0)</f>
        <v>#N/A</v>
      </c>
      <c r="D717" s="108" t="e">
        <f>VLOOKUP(B717,'Gebouwgegevens Allacker'!$J$5:$Q$83,4,0)</f>
        <v>#N/A</v>
      </c>
      <c r="E717" s="108" t="e">
        <f>VLOOKUP(B717,'Gebouwgegevens Allacker'!$J$5:$Q$83,5,0)</f>
        <v>#N/A</v>
      </c>
      <c r="F717" s="108" t="e">
        <f>VLOOKUP(B717,'Gebouwgegevens Allacker'!$J$5:$Q$83,6,0)</f>
        <v>#N/A</v>
      </c>
      <c r="G717" s="108" t="e">
        <f>VLOOKUP(B717,'Gebouwgegevens Allacker'!$J$5:$Q$83,7,0)</f>
        <v>#N/A</v>
      </c>
      <c r="H717" s="109" t="e">
        <f>VLOOKUP(B717,'Gebouwgegevens Allacker'!$J$5:$Q$83,8,0)</f>
        <v>#N/A</v>
      </c>
      <c r="I717" s="109">
        <v>1</v>
      </c>
      <c r="J717" s="99"/>
      <c r="K717" s="99"/>
      <c r="L717" s="99"/>
      <c r="M717" s="99"/>
      <c r="N717" s="99"/>
      <c r="O717" s="99"/>
      <c r="P717" s="97"/>
    </row>
    <row r="718" spans="1:16" ht="16.5" customHeight="1" x14ac:dyDescent="0.25">
      <c r="A718" s="96"/>
      <c r="B718" s="107"/>
      <c r="C718" s="108"/>
      <c r="D718" s="108"/>
      <c r="E718" s="108"/>
      <c r="F718" s="108"/>
      <c r="G718" s="108"/>
      <c r="H718" s="109"/>
      <c r="I718" s="109"/>
      <c r="J718" s="99"/>
      <c r="K718" s="99"/>
      <c r="L718" s="99"/>
      <c r="M718" s="99"/>
      <c r="N718" s="99"/>
      <c r="O718" s="99"/>
      <c r="P718" s="97"/>
    </row>
    <row r="719" spans="1:16" ht="16.5" customHeight="1" x14ac:dyDescent="0.25">
      <c r="A719" s="96"/>
      <c r="B719" s="107"/>
      <c r="C719" s="108"/>
      <c r="D719" s="108"/>
      <c r="E719" s="108"/>
      <c r="F719" s="108"/>
      <c r="G719" s="108"/>
      <c r="H719" s="109"/>
      <c r="I719" s="109"/>
      <c r="J719" s="99"/>
      <c r="K719" s="99"/>
      <c r="L719" s="99"/>
      <c r="M719" s="99"/>
      <c r="N719" s="99"/>
      <c r="O719" s="99"/>
      <c r="P719" s="97"/>
    </row>
    <row r="720" spans="1:16" ht="16.5" customHeight="1" x14ac:dyDescent="0.25">
      <c r="A720" s="96"/>
      <c r="B720" s="107"/>
      <c r="C720" s="108"/>
      <c r="D720" s="108"/>
      <c r="E720" s="108"/>
      <c r="F720" s="108"/>
      <c r="G720" s="108"/>
      <c r="H720" s="109"/>
      <c r="I720" s="109"/>
      <c r="J720" s="99"/>
      <c r="K720" s="99"/>
      <c r="L720" s="99"/>
      <c r="M720" s="99"/>
      <c r="N720" s="99"/>
      <c r="O720" s="99"/>
      <c r="P720" s="97"/>
    </row>
    <row r="721" spans="1:16" ht="16.5" customHeight="1" x14ac:dyDescent="0.25">
      <c r="A721" s="96"/>
      <c r="B721" s="107"/>
      <c r="C721" s="108"/>
      <c r="D721" s="108"/>
      <c r="E721" s="108"/>
      <c r="F721" s="108"/>
      <c r="G721" s="108"/>
      <c r="H721" s="109"/>
      <c r="I721" s="109"/>
      <c r="J721" s="99"/>
      <c r="K721" s="99"/>
      <c r="L721" s="99"/>
      <c r="M721" s="99"/>
      <c r="N721" s="99"/>
      <c r="O721" s="99"/>
      <c r="P721" s="97"/>
    </row>
    <row r="722" spans="1:16" ht="16.5" customHeight="1" x14ac:dyDescent="0.25">
      <c r="A722" s="96"/>
      <c r="B722" s="107"/>
      <c r="C722" s="108"/>
      <c r="D722" s="108"/>
      <c r="E722" s="108"/>
      <c r="F722" s="108"/>
      <c r="G722" s="108"/>
      <c r="H722" s="109"/>
      <c r="I722" s="109"/>
      <c r="J722" s="99"/>
      <c r="K722" s="99"/>
      <c r="L722" s="99"/>
      <c r="M722" s="99"/>
      <c r="N722" s="99"/>
      <c r="O722" s="99"/>
      <c r="P722" s="97"/>
    </row>
    <row r="723" spans="1:16" ht="16.5" customHeight="1" x14ac:dyDescent="0.25">
      <c r="A723" s="96"/>
      <c r="B723" s="107"/>
      <c r="C723" s="108"/>
      <c r="D723" s="108"/>
      <c r="E723" s="108"/>
      <c r="F723" s="108"/>
      <c r="G723" s="108"/>
      <c r="H723" s="109"/>
      <c r="I723" s="109"/>
      <c r="J723" s="99"/>
      <c r="K723" s="99"/>
      <c r="L723" s="99"/>
      <c r="M723" s="99"/>
      <c r="N723" s="99"/>
      <c r="O723" s="99"/>
      <c r="P723" s="97"/>
    </row>
    <row r="724" spans="1:16" ht="16.5" customHeight="1" x14ac:dyDescent="0.25">
      <c r="A724" s="96"/>
      <c r="B724" s="107"/>
      <c r="C724" s="108"/>
      <c r="D724" s="108"/>
      <c r="E724" s="108"/>
      <c r="F724" s="108"/>
      <c r="G724" s="108"/>
      <c r="H724" s="109"/>
      <c r="I724" s="109"/>
      <c r="J724" s="99"/>
      <c r="K724" s="99"/>
      <c r="L724" s="99"/>
      <c r="M724" s="99"/>
      <c r="N724" s="99"/>
      <c r="O724" s="99"/>
      <c r="P724" s="97"/>
    </row>
    <row r="725" spans="1:16" ht="16.5" customHeight="1" x14ac:dyDescent="0.25">
      <c r="A725" s="96"/>
      <c r="B725" s="107"/>
      <c r="C725" s="108"/>
      <c r="D725" s="108"/>
      <c r="E725" s="108"/>
      <c r="F725" s="108"/>
      <c r="G725" s="108"/>
      <c r="H725" s="109"/>
      <c r="I725" s="109"/>
      <c r="J725" s="99"/>
      <c r="K725" s="99"/>
      <c r="L725" s="99"/>
      <c r="M725" s="99"/>
      <c r="N725" s="99"/>
      <c r="O725" s="99"/>
      <c r="P725" s="97"/>
    </row>
    <row r="726" spans="1:16" ht="16.5" customHeight="1" x14ac:dyDescent="0.25">
      <c r="A726" s="96"/>
      <c r="B726" s="107"/>
      <c r="C726" s="108"/>
      <c r="D726" s="108"/>
      <c r="E726" s="108"/>
      <c r="F726" s="108"/>
      <c r="G726" s="108"/>
      <c r="H726" s="109"/>
      <c r="I726" s="109"/>
      <c r="J726" s="99"/>
      <c r="K726" s="99"/>
      <c r="L726" s="99"/>
      <c r="M726" s="99"/>
      <c r="N726" s="99"/>
      <c r="O726" s="99"/>
      <c r="P726" s="97"/>
    </row>
    <row r="727" spans="1:16" ht="15.75" customHeight="1" x14ac:dyDescent="0.25">
      <c r="A727" s="96"/>
      <c r="B727" s="58"/>
      <c r="C727" s="58"/>
      <c r="D727" s="58"/>
      <c r="E727" s="58"/>
      <c r="F727" s="58"/>
      <c r="G727" s="115"/>
      <c r="H727" s="58"/>
      <c r="I727" s="58"/>
      <c r="J727" s="99"/>
      <c r="K727" s="99"/>
      <c r="L727" s="99"/>
      <c r="M727" s="99"/>
      <c r="N727" s="99"/>
      <c r="O727" s="99"/>
      <c r="P727" s="97"/>
    </row>
    <row r="728" spans="1:16" ht="15" customHeight="1" x14ac:dyDescent="0.25">
      <c r="A728" s="96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7"/>
    </row>
    <row r="729" spans="1:16" ht="15" customHeight="1" x14ac:dyDescent="0.25">
      <c r="A729" s="104" t="s">
        <v>180</v>
      </c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7"/>
    </row>
    <row r="730" spans="1:16" ht="15.75" customHeight="1" x14ac:dyDescent="0.25">
      <c r="A730" s="96"/>
      <c r="B730" s="58" t="s">
        <v>10</v>
      </c>
      <c r="C730" s="58" t="s">
        <v>181</v>
      </c>
      <c r="D730" s="58" t="s">
        <v>175</v>
      </c>
      <c r="E730" s="58" t="s">
        <v>182</v>
      </c>
      <c r="F730" s="58" t="s">
        <v>16</v>
      </c>
      <c r="G730" s="115" t="s">
        <v>17</v>
      </c>
      <c r="H730" s="115" t="s">
        <v>178</v>
      </c>
      <c r="I730" s="58" t="s">
        <v>183</v>
      </c>
      <c r="J730" s="58" t="s">
        <v>184</v>
      </c>
      <c r="K730" s="58" t="s">
        <v>185</v>
      </c>
      <c r="L730" s="116" t="s">
        <v>186</v>
      </c>
      <c r="M730" s="116" t="s">
        <v>187</v>
      </c>
      <c r="N730" s="116" t="s">
        <v>188</v>
      </c>
      <c r="O730" s="99"/>
      <c r="P730" s="97"/>
    </row>
    <row r="731" spans="1:16" ht="16.5" customHeight="1" x14ac:dyDescent="0.25">
      <c r="A731" s="96"/>
      <c r="B731" s="117" t="s">
        <v>262</v>
      </c>
      <c r="C731" s="118" t="e">
        <f>VLOOKUP(B731,'Gebouwgegevens Allacker'!$J$5:$Q$83,3,0)</f>
        <v>#N/A</v>
      </c>
      <c r="D731" s="118" t="e">
        <f>VLOOKUP(B731,'Gebouwgegevens Allacker'!$J$5:$Q$83,4,0)</f>
        <v>#N/A</v>
      </c>
      <c r="E731" s="118" t="e">
        <f>VLOOKUP(B731,'Gebouwgegevens Allacker'!$J$5:$Q$83,5,0)</f>
        <v>#N/A</v>
      </c>
      <c r="F731" s="118" t="e">
        <f>VLOOKUP(B731,'Gebouwgegevens Allacker'!$J$5:$Q$83,7,0)</f>
        <v>#N/A</v>
      </c>
      <c r="G731" s="119" t="e">
        <f>VLOOKUP(B731,'Gebouwgegevens Allacker'!$J$5:$Q$83,8,0)</f>
        <v>#N/A</v>
      </c>
      <c r="H731" s="119" t="e">
        <f>N731/F731</f>
        <v>#N/A</v>
      </c>
      <c r="I731" s="118" t="e">
        <f>VLOOKUP(C731,'Gebouwgegevens Allacker'!$A$35:$F$46,6,0)</f>
        <v>#N/A</v>
      </c>
      <c r="J731" s="117">
        <v>4.68</v>
      </c>
      <c r="K731" s="117">
        <v>0.33</v>
      </c>
      <c r="L731" s="120" t="e">
        <f>I731/(0.5*J731)</f>
        <v>#N/A</v>
      </c>
      <c r="M731" s="120" t="e">
        <f>K731+2*(1/F731)</f>
        <v>#N/A</v>
      </c>
      <c r="N731" s="121" t="e">
        <f>IF(M731&lt;L731,2*2/(PI()*L731+M731)*LN(PI()*L731/M731+1),2/(0.457*L731+M731))</f>
        <v>#N/A</v>
      </c>
      <c r="O731" s="99"/>
      <c r="P731" s="97"/>
    </row>
    <row r="732" spans="1:16" ht="16.5" customHeight="1" x14ac:dyDescent="0.25">
      <c r="A732" s="96"/>
      <c r="B732" s="117"/>
      <c r="C732" s="118"/>
      <c r="D732" s="118"/>
      <c r="E732" s="118"/>
      <c r="F732" s="118"/>
      <c r="G732" s="119"/>
      <c r="H732" s="119"/>
      <c r="I732" s="118"/>
      <c r="J732" s="117"/>
      <c r="K732" s="117"/>
      <c r="L732" s="120"/>
      <c r="M732" s="120"/>
      <c r="N732" s="121"/>
      <c r="O732" s="99"/>
      <c r="P732" s="97"/>
    </row>
    <row r="733" spans="1:16" ht="16.5" customHeight="1" x14ac:dyDescent="0.25">
      <c r="A733" s="96"/>
      <c r="B733" s="117"/>
      <c r="C733" s="118"/>
      <c r="D733" s="118"/>
      <c r="E733" s="118"/>
      <c r="F733" s="118"/>
      <c r="G733" s="119"/>
      <c r="H733" s="119"/>
      <c r="I733" s="118"/>
      <c r="J733" s="117"/>
      <c r="K733" s="117"/>
      <c r="L733" s="120"/>
      <c r="M733" s="120"/>
      <c r="N733" s="121"/>
      <c r="O733" s="99"/>
      <c r="P733" s="97"/>
    </row>
    <row r="734" spans="1:16" ht="16.5" customHeight="1" x14ac:dyDescent="0.25">
      <c r="A734" s="96"/>
      <c r="B734" s="117"/>
      <c r="C734" s="118"/>
      <c r="D734" s="118"/>
      <c r="E734" s="118"/>
      <c r="F734" s="118"/>
      <c r="G734" s="119"/>
      <c r="H734" s="119"/>
      <c r="I734" s="118"/>
      <c r="J734" s="117"/>
      <c r="K734" s="117"/>
      <c r="L734" s="120"/>
      <c r="M734" s="120"/>
      <c r="N734" s="121"/>
      <c r="O734" s="99"/>
      <c r="P734" s="97"/>
    </row>
    <row r="735" spans="1:16" ht="16.5" customHeight="1" x14ac:dyDescent="0.25">
      <c r="A735" s="139"/>
      <c r="B735" s="117"/>
      <c r="C735" s="118"/>
      <c r="D735" s="118"/>
      <c r="E735" s="118"/>
      <c r="F735" s="118"/>
      <c r="G735" s="119"/>
      <c r="H735" s="119"/>
      <c r="I735" s="118"/>
      <c r="J735" s="117"/>
      <c r="K735" s="117"/>
      <c r="L735" s="120"/>
      <c r="M735" s="120"/>
      <c r="N735" s="121"/>
      <c r="O735" s="99"/>
      <c r="P735" s="97"/>
    </row>
    <row r="736" spans="1:16" ht="15.75" customHeight="1" x14ac:dyDescent="0.25">
      <c r="A736" s="96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7"/>
    </row>
    <row r="737" spans="1:16" ht="15" customHeight="1" x14ac:dyDescent="0.25">
      <c r="A737" s="104" t="s">
        <v>189</v>
      </c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7"/>
    </row>
    <row r="738" spans="1:16" ht="15.75" customHeight="1" x14ac:dyDescent="0.25">
      <c r="A738" s="96"/>
      <c r="B738" s="58" t="s">
        <v>10</v>
      </c>
      <c r="C738" s="58" t="s">
        <v>190</v>
      </c>
      <c r="D738" s="58" t="s">
        <v>191</v>
      </c>
      <c r="E738" s="58" t="s">
        <v>135</v>
      </c>
      <c r="F738" s="58" t="s">
        <v>192</v>
      </c>
      <c r="G738" s="58" t="s">
        <v>193</v>
      </c>
      <c r="H738" s="58" t="s">
        <v>194</v>
      </c>
      <c r="I738" s="58" t="s">
        <v>16</v>
      </c>
      <c r="J738" s="115" t="s">
        <v>17</v>
      </c>
      <c r="K738" s="115" t="s">
        <v>178</v>
      </c>
      <c r="L738" s="99"/>
      <c r="M738" s="99"/>
      <c r="N738" s="99"/>
      <c r="O738" s="99"/>
      <c r="P738" s="97"/>
    </row>
    <row r="739" spans="1:16" ht="16.5" customHeight="1" x14ac:dyDescent="0.25">
      <c r="A739" s="96"/>
      <c r="B739" s="117" t="s">
        <v>263</v>
      </c>
      <c r="C739" s="123" t="e">
        <f>IF(VLOOKUP(B739,'Gebouwgegevens Allacker'!$J$5:$Q$83,2,0)=$B$709,VLOOKUP(B739,'Gebouwgegevens Allacker'!$J$5:$Q$83,2,0),VLOOKUP(B739,'Gebouwgegevens Allacker'!$J$5:$Q$83,3,0))</f>
        <v>#N/A</v>
      </c>
      <c r="D739" s="123" t="e">
        <f>IF(VLOOKUP(B739,'Gebouwgegevens Allacker'!$J$5:$Q$83,2,0)=$B$709,VLOOKUP(B739,'Gebouwgegevens Allacker'!$J$5:$Q$83,3,0),VLOOKUP(B739,'Gebouwgegevens Allacker'!$J$5:$Q$83,2,0))</f>
        <v>#N/A</v>
      </c>
      <c r="E739" s="123" t="e">
        <f>VLOOKUP(B739,'Gebouwgegevens Allacker'!$J$5:$Q$83,4,0)</f>
        <v>#N/A</v>
      </c>
      <c r="F739" s="123" t="e">
        <f>VLOOKUP(B739,'Gebouwgegevens Allacker'!$J$5:$Q$83,5,0)</f>
        <v>#N/A</v>
      </c>
      <c r="G739" s="123" t="e">
        <f>VLOOKUP('Verwarming Tabula'!C739,'Gebouwgegevens Allacker'!$A$35:$F$46,5,0)</f>
        <v>#N/A</v>
      </c>
      <c r="H739" s="123" t="e">
        <f>VLOOKUP('Verwarming Tabula'!D739,'Gebouwgegevens Allacker'!$A$35:$F$46,5,0)</f>
        <v>#N/A</v>
      </c>
      <c r="I739" s="123" t="e">
        <f>VLOOKUP(B739,'Gebouwgegevens Allacker'!$J$5:$Q$83,7,0)</f>
        <v>#N/A</v>
      </c>
      <c r="J739" s="119" t="e">
        <f>VLOOKUP(B739,'Gebouwgegevens Allacker'!$J$5:$Q$83,8,0)</f>
        <v>#N/A</v>
      </c>
      <c r="K739" s="119" t="e">
        <f t="shared" ref="K739:K750" si="0">(G739-H739)/(G739-$B$4)</f>
        <v>#N/A</v>
      </c>
      <c r="L739" s="99"/>
      <c r="M739" s="99"/>
      <c r="N739" s="99"/>
      <c r="O739" s="99"/>
      <c r="P739" s="97"/>
    </row>
    <row r="740" spans="1:16" ht="16.5" customHeight="1" x14ac:dyDescent="0.25">
      <c r="A740" s="96"/>
      <c r="B740" s="117" t="s">
        <v>223</v>
      </c>
      <c r="C740" s="123" t="e">
        <f>IF(VLOOKUP(B740,'Gebouwgegevens Allacker'!$J$5:$Q$83,2,0)=$B$709,VLOOKUP(B740,'Gebouwgegevens Allacker'!$J$5:$Q$83,2,0),VLOOKUP(B740,'Gebouwgegevens Allacker'!$J$5:$Q$83,3,0))</f>
        <v>#N/A</v>
      </c>
      <c r="D740" s="123" t="e">
        <f>IF(VLOOKUP(B740,'Gebouwgegevens Allacker'!$J$5:$Q$83,2,0)=$B$709,VLOOKUP(B740,'Gebouwgegevens Allacker'!$J$5:$Q$83,3,0),VLOOKUP(B740,'Gebouwgegevens Allacker'!$J$5:$Q$83,2,0))</f>
        <v>#N/A</v>
      </c>
      <c r="E740" s="123" t="e">
        <f>VLOOKUP(B740,'Gebouwgegevens Allacker'!$J$5:$Q$83,4,0)</f>
        <v>#N/A</v>
      </c>
      <c r="F740" s="123" t="e">
        <f>VLOOKUP(B740,'Gebouwgegevens Allacker'!$J$5:$Q$83,5,0)</f>
        <v>#N/A</v>
      </c>
      <c r="G740" s="123" t="e">
        <f>VLOOKUP('Verwarming Tabula'!C740,'Gebouwgegevens Allacker'!$A$35:$F$46,5,0)</f>
        <v>#N/A</v>
      </c>
      <c r="H740" s="123" t="e">
        <f>VLOOKUP('Verwarming Tabula'!D740,'Gebouwgegevens Allacker'!$A$35:$F$46,5,0)</f>
        <v>#N/A</v>
      </c>
      <c r="I740" s="123" t="e">
        <f>VLOOKUP(B740,'Gebouwgegevens Allacker'!$J$5:$Q$83,7,0)</f>
        <v>#N/A</v>
      </c>
      <c r="J740" s="119" t="e">
        <f>VLOOKUP(B740,'Gebouwgegevens Allacker'!$J$5:$Q$83,8,0)</f>
        <v>#N/A</v>
      </c>
      <c r="K740" s="119" t="e">
        <f t="shared" si="0"/>
        <v>#N/A</v>
      </c>
      <c r="L740" s="99"/>
      <c r="M740" s="99"/>
      <c r="N740" s="99"/>
      <c r="O740" s="99"/>
      <c r="P740" s="97"/>
    </row>
    <row r="741" spans="1:16" ht="16.5" customHeight="1" x14ac:dyDescent="0.25">
      <c r="A741" s="96"/>
      <c r="B741" s="117" t="s">
        <v>228</v>
      </c>
      <c r="C741" s="123" t="e">
        <f>IF(VLOOKUP(B741,'Gebouwgegevens Allacker'!$J$5:$Q$83,2,0)=$B$709,VLOOKUP(B741,'Gebouwgegevens Allacker'!$J$5:$Q$83,2,0),VLOOKUP(B741,'Gebouwgegevens Allacker'!$J$5:$Q$83,3,0))</f>
        <v>#N/A</v>
      </c>
      <c r="D741" s="123" t="e">
        <f>IF(VLOOKUP(B741,'Gebouwgegevens Allacker'!$J$5:$Q$83,2,0)=$B$709,VLOOKUP(B741,'Gebouwgegevens Allacker'!$J$5:$Q$83,3,0),VLOOKUP(B741,'Gebouwgegevens Allacker'!$J$5:$Q$83,2,0))</f>
        <v>#N/A</v>
      </c>
      <c r="E741" s="123" t="e">
        <f>VLOOKUP(B741,'Gebouwgegevens Allacker'!$J$5:$Q$83,4,0)</f>
        <v>#N/A</v>
      </c>
      <c r="F741" s="123" t="e">
        <f>VLOOKUP(B741,'Gebouwgegevens Allacker'!$J$5:$Q$83,5,0)</f>
        <v>#N/A</v>
      </c>
      <c r="G741" s="123" t="e">
        <f>VLOOKUP('Verwarming Tabula'!C741,'Gebouwgegevens Allacker'!$A$35:$F$46,5,0)</f>
        <v>#N/A</v>
      </c>
      <c r="H741" s="123" t="e">
        <f>VLOOKUP('Verwarming Tabula'!D741,'Gebouwgegevens Allacker'!$A$35:$F$46,5,0)</f>
        <v>#N/A</v>
      </c>
      <c r="I741" s="123" t="e">
        <f>VLOOKUP(B741,'Gebouwgegevens Allacker'!$J$5:$Q$83,7,0)</f>
        <v>#N/A</v>
      </c>
      <c r="J741" s="119" t="e">
        <f>VLOOKUP(B741,'Gebouwgegevens Allacker'!$J$5:$Q$83,8,0)</f>
        <v>#N/A</v>
      </c>
      <c r="K741" s="119" t="e">
        <f t="shared" si="0"/>
        <v>#N/A</v>
      </c>
      <c r="L741" s="99"/>
      <c r="M741" s="99"/>
      <c r="N741" s="99"/>
      <c r="O741" s="99"/>
      <c r="P741" s="97"/>
    </row>
    <row r="742" spans="1:16" ht="16.5" customHeight="1" x14ac:dyDescent="0.25">
      <c r="A742" s="96"/>
      <c r="B742" s="117" t="s">
        <v>232</v>
      </c>
      <c r="C742" s="123" t="e">
        <f>IF(VLOOKUP(B742,'Gebouwgegevens Allacker'!$J$5:$Q$83,2,0)=$B$709,VLOOKUP(B742,'Gebouwgegevens Allacker'!$J$5:$Q$83,2,0),VLOOKUP(B742,'Gebouwgegevens Allacker'!$J$5:$Q$83,3,0))</f>
        <v>#N/A</v>
      </c>
      <c r="D742" s="123" t="e">
        <f>IF(VLOOKUP(B742,'Gebouwgegevens Allacker'!$J$5:$Q$83,2,0)=$B$709,VLOOKUP(B742,'Gebouwgegevens Allacker'!$J$5:$Q$83,3,0),VLOOKUP(B742,'Gebouwgegevens Allacker'!$J$5:$Q$83,2,0))</f>
        <v>#N/A</v>
      </c>
      <c r="E742" s="123" t="e">
        <f>VLOOKUP(B742,'Gebouwgegevens Allacker'!$J$5:$Q$83,4,0)</f>
        <v>#N/A</v>
      </c>
      <c r="F742" s="123" t="e">
        <f>VLOOKUP(B742,'Gebouwgegevens Allacker'!$J$5:$Q$83,5,0)</f>
        <v>#N/A</v>
      </c>
      <c r="G742" s="123" t="e">
        <f>VLOOKUP('Verwarming Tabula'!C742,'Gebouwgegevens Allacker'!$A$35:$F$46,5,0)</f>
        <v>#N/A</v>
      </c>
      <c r="H742" s="123" t="e">
        <f>VLOOKUP('Verwarming Tabula'!D742,'Gebouwgegevens Allacker'!$A$35:$F$46,5,0)</f>
        <v>#N/A</v>
      </c>
      <c r="I742" s="123" t="e">
        <f>VLOOKUP(B742,'Gebouwgegevens Allacker'!$J$5:$Q$83,7,0)</f>
        <v>#N/A</v>
      </c>
      <c r="J742" s="119" t="e">
        <f>VLOOKUP(B742,'Gebouwgegevens Allacker'!$J$5:$Q$83,8,0)</f>
        <v>#N/A</v>
      </c>
      <c r="K742" s="119" t="e">
        <f t="shared" si="0"/>
        <v>#N/A</v>
      </c>
      <c r="L742" s="99"/>
      <c r="M742" s="99"/>
      <c r="N742" s="99"/>
      <c r="O742" s="99"/>
      <c r="P742" s="97"/>
    </row>
    <row r="743" spans="1:16" ht="16.5" customHeight="1" x14ac:dyDescent="0.25">
      <c r="A743" s="96"/>
      <c r="B743" s="146" t="s">
        <v>237</v>
      </c>
      <c r="C743" s="123" t="e">
        <f>IF(VLOOKUP(B743,'Gebouwgegevens Allacker'!$J$5:$Q$83,2,0)=$B$709,VLOOKUP(B743,'Gebouwgegevens Allacker'!$J$5:$Q$83,2,0),VLOOKUP(B743,'Gebouwgegevens Allacker'!$J$5:$Q$83,3,0))</f>
        <v>#N/A</v>
      </c>
      <c r="D743" s="123" t="e">
        <f>IF(VLOOKUP(B743,'Gebouwgegevens Allacker'!$J$5:$Q$83,2,0)=$B$709,VLOOKUP(B743,'Gebouwgegevens Allacker'!$J$5:$Q$83,3,0),VLOOKUP(B743,'Gebouwgegevens Allacker'!$J$5:$Q$83,2,0))</f>
        <v>#N/A</v>
      </c>
      <c r="E743" s="123" t="e">
        <f>VLOOKUP(B743,'Gebouwgegevens Allacker'!$J$5:$Q$83,4,0)</f>
        <v>#N/A</v>
      </c>
      <c r="F743" s="123" t="e">
        <f>VLOOKUP(B743,'Gebouwgegevens Allacker'!$J$5:$Q$83,5,0)</f>
        <v>#N/A</v>
      </c>
      <c r="G743" s="123" t="e">
        <f>VLOOKUP('Verwarming Tabula'!C743,'Gebouwgegevens Allacker'!$A$35:$F$46,5,0)</f>
        <v>#N/A</v>
      </c>
      <c r="H743" s="123" t="e">
        <f>VLOOKUP('Verwarming Tabula'!D743,'Gebouwgegevens Allacker'!$A$35:$F$46,5,0)</f>
        <v>#N/A</v>
      </c>
      <c r="I743" s="123" t="e">
        <f>VLOOKUP(B743,'Gebouwgegevens Allacker'!$J$5:$Q$83,7,0)</f>
        <v>#N/A</v>
      </c>
      <c r="J743" s="119" t="e">
        <f>VLOOKUP(B743,'Gebouwgegevens Allacker'!$J$5:$Q$83,8,0)</f>
        <v>#N/A</v>
      </c>
      <c r="K743" s="119" t="e">
        <f t="shared" si="0"/>
        <v>#N/A</v>
      </c>
      <c r="L743" s="99"/>
      <c r="M743" s="99"/>
      <c r="N743" s="99"/>
      <c r="O743" s="99"/>
      <c r="P743" s="97"/>
    </row>
    <row r="744" spans="1:16" ht="16.5" customHeight="1" x14ac:dyDescent="0.25">
      <c r="A744" s="96"/>
      <c r="B744" s="124" t="s">
        <v>241</v>
      </c>
      <c r="C744" s="123" t="e">
        <f>IF(VLOOKUP(B744,'Gebouwgegevens Allacker'!$J$5:$Q$83,2,0)=$B$709,VLOOKUP(B744,'Gebouwgegevens Allacker'!$J$5:$Q$83,2,0),VLOOKUP(B744,'Gebouwgegevens Allacker'!$J$5:$Q$83,3,0))</f>
        <v>#N/A</v>
      </c>
      <c r="D744" s="123" t="e">
        <f>IF(VLOOKUP(B744,'Gebouwgegevens Allacker'!$J$5:$Q$83,2,0)=$B$709,VLOOKUP(B744,'Gebouwgegevens Allacker'!$J$5:$Q$83,3,0),VLOOKUP(B744,'Gebouwgegevens Allacker'!$J$5:$Q$83,2,0))</f>
        <v>#N/A</v>
      </c>
      <c r="E744" s="123" t="e">
        <f>VLOOKUP(B744,'Gebouwgegevens Allacker'!$J$5:$Q$83,4,0)</f>
        <v>#N/A</v>
      </c>
      <c r="F744" s="123" t="e">
        <f>VLOOKUP(B744,'Gebouwgegevens Allacker'!$J$5:$Q$83,5,0)</f>
        <v>#N/A</v>
      </c>
      <c r="G744" s="123" t="e">
        <f>VLOOKUP('Verwarming Tabula'!C744,'Gebouwgegevens Allacker'!$A$35:$F$46,5,0)</f>
        <v>#N/A</v>
      </c>
      <c r="H744" s="123" t="e">
        <f>VLOOKUP('Verwarming Tabula'!D744,'Gebouwgegevens Allacker'!$A$35:$F$46,5,0)</f>
        <v>#N/A</v>
      </c>
      <c r="I744" s="123" t="e">
        <f>VLOOKUP(B744,'Gebouwgegevens Allacker'!$J$5:$Q$83,7,0)</f>
        <v>#N/A</v>
      </c>
      <c r="J744" s="119" t="e">
        <f>VLOOKUP(B744,'Gebouwgegevens Allacker'!$J$5:$Q$83,8,0)</f>
        <v>#N/A</v>
      </c>
      <c r="K744" s="119" t="e">
        <f t="shared" si="0"/>
        <v>#N/A</v>
      </c>
      <c r="L744" s="99"/>
      <c r="M744" s="99"/>
      <c r="N744" s="99"/>
      <c r="O744" s="99"/>
      <c r="P744" s="97"/>
    </row>
    <row r="745" spans="1:16" ht="16.5" customHeight="1" x14ac:dyDescent="0.25">
      <c r="A745" s="96"/>
      <c r="B745" s="124" t="s">
        <v>264</v>
      </c>
      <c r="C745" s="123" t="e">
        <f>IF(VLOOKUP(B745,'Gebouwgegevens Allacker'!$J$5:$Q$83,2,0)=$B$709,VLOOKUP(B745,'Gebouwgegevens Allacker'!$J$5:$Q$83,2,0),VLOOKUP(B745,'Gebouwgegevens Allacker'!$J$5:$Q$83,3,0))</f>
        <v>#N/A</v>
      </c>
      <c r="D745" s="123" t="e">
        <f>IF(VLOOKUP(B745,'Gebouwgegevens Allacker'!$J$5:$Q$83,2,0)=$B$709,VLOOKUP(B745,'Gebouwgegevens Allacker'!$J$5:$Q$83,3,0),VLOOKUP(B745,'Gebouwgegevens Allacker'!$J$5:$Q$83,2,0))</f>
        <v>#N/A</v>
      </c>
      <c r="E745" s="123" t="e">
        <f>VLOOKUP(B745,'Gebouwgegevens Allacker'!$J$5:$Q$83,4,0)</f>
        <v>#N/A</v>
      </c>
      <c r="F745" s="123" t="e">
        <f>VLOOKUP(B745,'Gebouwgegevens Allacker'!$J$5:$Q$83,5,0)</f>
        <v>#N/A</v>
      </c>
      <c r="G745" s="123" t="e">
        <f>VLOOKUP('Verwarming Tabula'!C745,'Gebouwgegevens Allacker'!$A$35:$F$46,5,0)</f>
        <v>#N/A</v>
      </c>
      <c r="H745" s="123" t="e">
        <f>VLOOKUP('Verwarming Tabula'!D745,'Gebouwgegevens Allacker'!$A$35:$F$46,5,0)</f>
        <v>#N/A</v>
      </c>
      <c r="I745" s="123" t="e">
        <f>VLOOKUP(B745,'Gebouwgegevens Allacker'!$J$5:$Q$83,7,0)</f>
        <v>#N/A</v>
      </c>
      <c r="J745" s="119" t="e">
        <f>VLOOKUP(B745,'Gebouwgegevens Allacker'!$J$5:$Q$83,8,0)</f>
        <v>#N/A</v>
      </c>
      <c r="K745" s="119" t="e">
        <f t="shared" si="0"/>
        <v>#N/A</v>
      </c>
      <c r="L745" s="99"/>
      <c r="M745" s="99"/>
      <c r="N745" s="99"/>
      <c r="O745" s="99"/>
      <c r="P745" s="97"/>
    </row>
    <row r="746" spans="1:16" ht="16.5" customHeight="1" x14ac:dyDescent="0.25">
      <c r="A746" s="96"/>
      <c r="B746" s="124" t="s">
        <v>265</v>
      </c>
      <c r="C746" s="123" t="e">
        <f>IF(VLOOKUP(B746,'Gebouwgegevens Allacker'!$J$5:$Q$83,2,0)=$B$709,VLOOKUP(B746,'Gebouwgegevens Allacker'!$J$5:$Q$83,2,0),VLOOKUP(B746,'Gebouwgegevens Allacker'!$J$5:$Q$83,3,0))</f>
        <v>#N/A</v>
      </c>
      <c r="D746" s="123" t="e">
        <f>IF(VLOOKUP(B746,'Gebouwgegevens Allacker'!$J$5:$Q$83,2,0)=$B$709,VLOOKUP(B746,'Gebouwgegevens Allacker'!$J$5:$Q$83,3,0),VLOOKUP(B746,'Gebouwgegevens Allacker'!$J$5:$Q$83,2,0))</f>
        <v>#N/A</v>
      </c>
      <c r="E746" s="123" t="e">
        <f>VLOOKUP(B746,'Gebouwgegevens Allacker'!$J$5:$Q$83,4,0)</f>
        <v>#N/A</v>
      </c>
      <c r="F746" s="123" t="e">
        <f>VLOOKUP(B746,'Gebouwgegevens Allacker'!$J$5:$Q$83,5,0)</f>
        <v>#N/A</v>
      </c>
      <c r="G746" s="123" t="e">
        <f>VLOOKUP('Verwarming Tabula'!C746,'Gebouwgegevens Allacker'!$A$35:$F$46,5,0)</f>
        <v>#N/A</v>
      </c>
      <c r="H746" s="123" t="e">
        <f>VLOOKUP('Verwarming Tabula'!D746,'Gebouwgegevens Allacker'!$A$35:$F$46,5,0)</f>
        <v>#N/A</v>
      </c>
      <c r="I746" s="123" t="e">
        <f>VLOOKUP(B746,'Gebouwgegevens Allacker'!$J$5:$Q$83,7,0)</f>
        <v>#N/A</v>
      </c>
      <c r="J746" s="119" t="e">
        <f>VLOOKUP(B746,'Gebouwgegevens Allacker'!$J$5:$Q$83,8,0)</f>
        <v>#N/A</v>
      </c>
      <c r="K746" s="119" t="e">
        <f t="shared" si="0"/>
        <v>#N/A</v>
      </c>
      <c r="L746" s="99"/>
      <c r="M746" s="99"/>
      <c r="N746" s="99"/>
      <c r="O746" s="99"/>
      <c r="P746" s="97"/>
    </row>
    <row r="747" spans="1:16" ht="16.5" customHeight="1" x14ac:dyDescent="0.25">
      <c r="A747" s="96"/>
      <c r="B747" s="124" t="s">
        <v>266</v>
      </c>
      <c r="C747" s="123" t="e">
        <f>IF(VLOOKUP(B747,'Gebouwgegevens Allacker'!$J$5:$Q$83,2,0)=$B$709,VLOOKUP(B747,'Gebouwgegevens Allacker'!$J$5:$Q$83,2,0),VLOOKUP(B747,'Gebouwgegevens Allacker'!$J$5:$Q$83,3,0))</f>
        <v>#N/A</v>
      </c>
      <c r="D747" s="123" t="e">
        <f>IF(VLOOKUP(B747,'Gebouwgegevens Allacker'!$J$5:$Q$83,2,0)=$B$709,VLOOKUP(B747,'Gebouwgegevens Allacker'!$J$5:$Q$83,3,0),VLOOKUP(B747,'Gebouwgegevens Allacker'!$J$5:$Q$83,2,0))</f>
        <v>#N/A</v>
      </c>
      <c r="E747" s="123" t="e">
        <f>VLOOKUP(B747,'Gebouwgegevens Allacker'!$J$5:$Q$83,4,0)</f>
        <v>#N/A</v>
      </c>
      <c r="F747" s="123" t="e">
        <f>VLOOKUP(B747,'Gebouwgegevens Allacker'!$J$5:$Q$83,5,0)</f>
        <v>#N/A</v>
      </c>
      <c r="G747" s="123" t="e">
        <f>VLOOKUP('Verwarming Tabula'!C747,'Gebouwgegevens Allacker'!$A$35:$F$46,5,0)</f>
        <v>#N/A</v>
      </c>
      <c r="H747" s="123" t="e">
        <f>VLOOKUP('Verwarming Tabula'!D747,'Gebouwgegevens Allacker'!$A$35:$F$46,5,0)</f>
        <v>#N/A</v>
      </c>
      <c r="I747" s="123" t="e">
        <f>VLOOKUP(B747,'Gebouwgegevens Allacker'!$J$5:$Q$83,7,0)</f>
        <v>#N/A</v>
      </c>
      <c r="J747" s="119" t="e">
        <f>VLOOKUP(B747,'Gebouwgegevens Allacker'!$J$5:$Q$83,8,0)</f>
        <v>#N/A</v>
      </c>
      <c r="K747" s="119" t="e">
        <f t="shared" si="0"/>
        <v>#N/A</v>
      </c>
      <c r="L747" s="99"/>
      <c r="M747" s="99"/>
      <c r="N747" s="99"/>
      <c r="O747" s="99"/>
      <c r="P747" s="97"/>
    </row>
    <row r="748" spans="1:16" ht="16.5" customHeight="1" x14ac:dyDescent="0.25">
      <c r="A748" s="96"/>
      <c r="B748" s="124" t="s">
        <v>229</v>
      </c>
      <c r="C748" s="123" t="e">
        <f>IF(VLOOKUP(B748,'Gebouwgegevens Allacker'!$J$5:$Q$83,2,0)=$B$709,VLOOKUP(B748,'Gebouwgegevens Allacker'!$J$5:$Q$83,2,0),VLOOKUP(B748,'Gebouwgegevens Allacker'!$J$5:$Q$83,3,0))</f>
        <v>#N/A</v>
      </c>
      <c r="D748" s="123" t="e">
        <f>IF(VLOOKUP(B748,'Gebouwgegevens Allacker'!$J$5:$Q$83,2,0)=$B$709,VLOOKUP(B748,'Gebouwgegevens Allacker'!$J$5:$Q$83,3,0),VLOOKUP(B748,'Gebouwgegevens Allacker'!$J$5:$Q$83,2,0))</f>
        <v>#N/A</v>
      </c>
      <c r="E748" s="123" t="e">
        <f>VLOOKUP(B748,'Gebouwgegevens Allacker'!$J$5:$Q$83,4,0)</f>
        <v>#N/A</v>
      </c>
      <c r="F748" s="123" t="e">
        <f>VLOOKUP(B748,'Gebouwgegevens Allacker'!$J$5:$Q$83,5,0)</f>
        <v>#N/A</v>
      </c>
      <c r="G748" s="123" t="e">
        <f>VLOOKUP('Verwarming Tabula'!C748,'Gebouwgegevens Allacker'!$A$35:$F$46,5,0)</f>
        <v>#N/A</v>
      </c>
      <c r="H748" s="123" t="e">
        <f>VLOOKUP('Verwarming Tabula'!D748,'Gebouwgegevens Allacker'!$A$35:$F$46,5,0)</f>
        <v>#N/A</v>
      </c>
      <c r="I748" s="123" t="e">
        <f>VLOOKUP(B748,'Gebouwgegevens Allacker'!$J$5:$Q$83,7,0)</f>
        <v>#N/A</v>
      </c>
      <c r="J748" s="119" t="e">
        <f>VLOOKUP(B748,'Gebouwgegevens Allacker'!$J$5:$Q$83,8,0)</f>
        <v>#N/A</v>
      </c>
      <c r="K748" s="119" t="e">
        <f t="shared" si="0"/>
        <v>#N/A</v>
      </c>
      <c r="L748" s="99"/>
      <c r="M748" s="99"/>
      <c r="N748" s="99"/>
      <c r="O748" s="99"/>
      <c r="P748" s="97"/>
    </row>
    <row r="749" spans="1:16" ht="16.5" customHeight="1" x14ac:dyDescent="0.25">
      <c r="A749" s="96"/>
      <c r="B749" s="124" t="s">
        <v>267</v>
      </c>
      <c r="C749" s="123" t="e">
        <f>IF(VLOOKUP(B749,'Gebouwgegevens Allacker'!$J$5:$Q$83,2,0)=$B$709,VLOOKUP(B749,'Gebouwgegevens Allacker'!$J$5:$Q$83,2,0),VLOOKUP(B749,'Gebouwgegevens Allacker'!$J$5:$Q$83,3,0))</f>
        <v>#N/A</v>
      </c>
      <c r="D749" s="123" t="e">
        <f>IF(VLOOKUP(B749,'Gebouwgegevens Allacker'!$J$5:$Q$83,2,0)=$B$709,VLOOKUP(B749,'Gebouwgegevens Allacker'!$J$5:$Q$83,3,0),VLOOKUP(B749,'Gebouwgegevens Allacker'!$J$5:$Q$83,2,0))</f>
        <v>#N/A</v>
      </c>
      <c r="E749" s="123" t="e">
        <f>VLOOKUP(B749,'Gebouwgegevens Allacker'!$J$5:$Q$83,4,0)</f>
        <v>#N/A</v>
      </c>
      <c r="F749" s="123" t="e">
        <f>VLOOKUP(B749,'Gebouwgegevens Allacker'!$J$5:$Q$83,5,0)</f>
        <v>#N/A</v>
      </c>
      <c r="G749" s="123" t="e">
        <f>VLOOKUP('Verwarming Tabula'!C749,'Gebouwgegevens Allacker'!$A$35:$F$46,5,0)</f>
        <v>#N/A</v>
      </c>
      <c r="H749" s="123" t="e">
        <f>VLOOKUP('Verwarming Tabula'!D749,'Gebouwgegevens Allacker'!$A$35:$F$46,5,0)</f>
        <v>#N/A</v>
      </c>
      <c r="I749" s="123" t="e">
        <f>VLOOKUP(B749,'Gebouwgegevens Allacker'!$J$5:$Q$83,7,0)</f>
        <v>#N/A</v>
      </c>
      <c r="J749" s="119" t="e">
        <f>VLOOKUP(B749,'Gebouwgegevens Allacker'!$J$5:$Q$83,8,0)</f>
        <v>#N/A</v>
      </c>
      <c r="K749" s="119" t="e">
        <f t="shared" si="0"/>
        <v>#N/A</v>
      </c>
      <c r="L749" s="99"/>
      <c r="M749" s="99"/>
      <c r="N749" s="99"/>
      <c r="O749" s="99"/>
      <c r="P749" s="97"/>
    </row>
    <row r="750" spans="1:16" ht="16.5" customHeight="1" x14ac:dyDescent="0.25">
      <c r="A750" s="96"/>
      <c r="B750" s="124" t="s">
        <v>268</v>
      </c>
      <c r="C750" s="123" t="e">
        <f>IF(VLOOKUP(B750,'Gebouwgegevens Allacker'!$J$5:$Q$83,2,0)=$B$709,VLOOKUP(B750,'Gebouwgegevens Allacker'!$J$5:$Q$83,2,0),VLOOKUP(B750,'Gebouwgegevens Allacker'!$J$5:$Q$83,3,0))</f>
        <v>#N/A</v>
      </c>
      <c r="D750" s="123" t="e">
        <f>IF(VLOOKUP(B750,'Gebouwgegevens Allacker'!$J$5:$Q$83,2,0)=$B$709,VLOOKUP(B750,'Gebouwgegevens Allacker'!$J$5:$Q$83,3,0),VLOOKUP(B750,'Gebouwgegevens Allacker'!$J$5:$Q$83,2,0))</f>
        <v>#N/A</v>
      </c>
      <c r="E750" s="123" t="e">
        <f>VLOOKUP(B750,'Gebouwgegevens Allacker'!$J$5:$Q$83,4,0)</f>
        <v>#N/A</v>
      </c>
      <c r="F750" s="123" t="e">
        <f>VLOOKUP(B750,'Gebouwgegevens Allacker'!$J$5:$Q$83,5,0)</f>
        <v>#N/A</v>
      </c>
      <c r="G750" s="123" t="e">
        <f>VLOOKUP('Verwarming Tabula'!C750,'Gebouwgegevens Allacker'!$A$35:$F$46,5,0)</f>
        <v>#N/A</v>
      </c>
      <c r="H750" s="123" t="e">
        <f>VLOOKUP('Verwarming Tabula'!D750,'Gebouwgegevens Allacker'!$A$35:$F$46,5,0)</f>
        <v>#N/A</v>
      </c>
      <c r="I750" s="123" t="e">
        <f>VLOOKUP(B750,'Gebouwgegevens Allacker'!$J$5:$Q$83,7,0)</f>
        <v>#N/A</v>
      </c>
      <c r="J750" s="119" t="e">
        <f>VLOOKUP(B750,'Gebouwgegevens Allacker'!$J$5:$Q$83,8,0)</f>
        <v>#N/A</v>
      </c>
      <c r="K750" s="119" t="e">
        <f t="shared" si="0"/>
        <v>#N/A</v>
      </c>
      <c r="L750" s="99"/>
      <c r="M750" s="99"/>
      <c r="N750" s="99"/>
      <c r="O750" s="99"/>
      <c r="P750" s="97"/>
    </row>
    <row r="751" spans="1:16" ht="16.5" customHeight="1" x14ac:dyDescent="0.25">
      <c r="A751" s="104" t="s">
        <v>195</v>
      </c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7"/>
    </row>
    <row r="752" spans="1:16" ht="16.5" customHeight="1" x14ac:dyDescent="0.25">
      <c r="A752" s="125" t="s">
        <v>196</v>
      </c>
      <c r="B752" s="119" t="e">
        <f>SUMPRODUCT(H715:H726,I715:I726)+SUMPRODUCT(G731:G735,H731:H735)+SUMPRODUCT(J739:J750,K739:K750)</f>
        <v>#N/A</v>
      </c>
      <c r="C752" s="119" t="s">
        <v>107</v>
      </c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7"/>
    </row>
    <row r="753" spans="1:16" ht="16.5" customHeight="1" x14ac:dyDescent="0.25">
      <c r="A753" s="125" t="s">
        <v>170</v>
      </c>
      <c r="B753" s="119" t="e">
        <f>B752*(G739-$B$4)</f>
        <v>#N/A</v>
      </c>
      <c r="C753" s="119" t="s">
        <v>172</v>
      </c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7"/>
    </row>
    <row r="754" spans="1:16" ht="15.75" customHeight="1" x14ac:dyDescent="0.25">
      <c r="A754" s="110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2"/>
    </row>
    <row r="755" spans="1:16" ht="15.75" customHeight="1" x14ac:dyDescent="0.25">
      <c r="A755" s="279" t="s">
        <v>197</v>
      </c>
      <c r="B755" s="279"/>
      <c r="C755" s="279"/>
      <c r="D755" s="126" t="s">
        <v>225</v>
      </c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95"/>
    </row>
    <row r="756" spans="1:16" ht="15" customHeight="1" x14ac:dyDescent="0.25">
      <c r="A756" s="96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7"/>
    </row>
    <row r="757" spans="1:16" ht="15" customHeight="1" x14ac:dyDescent="0.25">
      <c r="A757" s="127" t="s">
        <v>198</v>
      </c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7"/>
    </row>
    <row r="758" spans="1:16" ht="15" customHeight="1" x14ac:dyDescent="0.25">
      <c r="A758" s="128" t="s">
        <v>199</v>
      </c>
      <c r="B758" s="122">
        <v>8</v>
      </c>
      <c r="C758" s="121" t="s">
        <v>200</v>
      </c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7"/>
    </row>
    <row r="759" spans="1:16" ht="15" customHeight="1" x14ac:dyDescent="0.25">
      <c r="A759" s="128" t="s">
        <v>201</v>
      </c>
      <c r="B759" s="122">
        <v>0.03</v>
      </c>
      <c r="C759" s="121" t="s">
        <v>202</v>
      </c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7"/>
    </row>
    <row r="760" spans="1:16" ht="15.75" customHeight="1" x14ac:dyDescent="0.25">
      <c r="A760" s="128" t="s">
        <v>203</v>
      </c>
      <c r="B760" s="122">
        <v>1</v>
      </c>
      <c r="C760" s="121" t="s">
        <v>204</v>
      </c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7"/>
    </row>
    <row r="761" spans="1:16" ht="16.5" customHeight="1" x14ac:dyDescent="0.25">
      <c r="A761" s="125" t="s">
        <v>205</v>
      </c>
      <c r="B761" s="119" t="e">
        <f>2*VLOOKUP(B709,'Gebouwgegevens Allacker'!$A$35:$F$46,6,0)*B758*B759*B760</f>
        <v>#N/A</v>
      </c>
      <c r="C761" s="119" t="s">
        <v>206</v>
      </c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7"/>
    </row>
    <row r="762" spans="1:16" ht="15.75" customHeight="1" x14ac:dyDescent="0.25">
      <c r="A762" s="139"/>
      <c r="B762" s="58"/>
      <c r="C762" s="58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7"/>
    </row>
    <row r="763" spans="1:16" ht="15" customHeight="1" x14ac:dyDescent="0.25">
      <c r="A763" s="147" t="s">
        <v>207</v>
      </c>
      <c r="B763" s="58"/>
      <c r="C763" s="58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7"/>
    </row>
    <row r="764" spans="1:16" ht="15.75" customHeight="1" x14ac:dyDescent="0.25">
      <c r="A764" s="139" t="s">
        <v>183</v>
      </c>
      <c r="B764" s="58" t="e">
        <f>VLOOKUP(B709,'Gebouwgegevens Allacker'!$A$35:$F$46,6,0)</f>
        <v>#N/A</v>
      </c>
      <c r="C764" s="58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7"/>
    </row>
    <row r="765" spans="1:16" ht="16.5" customHeight="1" x14ac:dyDescent="0.25">
      <c r="A765" s="125" t="s">
        <v>208</v>
      </c>
      <c r="B765" s="119">
        <v>0</v>
      </c>
      <c r="C765" s="119" t="s">
        <v>206</v>
      </c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7"/>
    </row>
    <row r="766" spans="1:16" ht="15.75" customHeight="1" x14ac:dyDescent="0.25">
      <c r="A766" s="139"/>
      <c r="B766" s="58"/>
      <c r="C766" s="58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7"/>
    </row>
    <row r="767" spans="1:16" ht="15.75" customHeight="1" x14ac:dyDescent="0.25">
      <c r="A767" s="139"/>
      <c r="B767" s="58"/>
      <c r="C767" s="58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7"/>
    </row>
    <row r="768" spans="1:16" ht="16.5" customHeight="1" x14ac:dyDescent="0.25">
      <c r="A768" s="125" t="s">
        <v>210</v>
      </c>
      <c r="B768" s="119" t="e">
        <f>MAX(B761,B765)</f>
        <v>#N/A</v>
      </c>
      <c r="C768" s="119" t="s">
        <v>206</v>
      </c>
      <c r="D768" s="99"/>
      <c r="E768" s="99"/>
      <c r="F768" s="119" t="s">
        <v>211</v>
      </c>
      <c r="G768" s="119" t="e">
        <f>B768/VLOOKUP(B709,'Gebouwgegevens Allacker'!$A$35:$B$46,2,0)</f>
        <v>#N/A</v>
      </c>
      <c r="H768" s="99"/>
      <c r="I768" s="99"/>
      <c r="J768" s="99"/>
      <c r="K768" s="99"/>
      <c r="L768" s="99"/>
      <c r="M768" s="99"/>
      <c r="N768" s="99"/>
      <c r="O768" s="99"/>
      <c r="P768" s="97"/>
    </row>
    <row r="769" spans="1:16" ht="16.5" customHeight="1" x14ac:dyDescent="0.25">
      <c r="A769" s="139"/>
      <c r="B769" s="58"/>
      <c r="C769" s="58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7"/>
    </row>
    <row r="770" spans="1:16" ht="16.5" customHeight="1" x14ac:dyDescent="0.25">
      <c r="A770" s="125" t="s">
        <v>212</v>
      </c>
      <c r="B770" s="119" t="e">
        <f>0.34*B768</f>
        <v>#N/A</v>
      </c>
      <c r="C770" s="119" t="s">
        <v>107</v>
      </c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7"/>
    </row>
    <row r="771" spans="1:16" ht="16.5" customHeight="1" x14ac:dyDescent="0.25">
      <c r="A771" s="125" t="s">
        <v>170</v>
      </c>
      <c r="B771" s="119" t="e">
        <f>B770*('Gebouwgegevens Allacker'!E731-$B$4)</f>
        <v>#N/A</v>
      </c>
      <c r="C771" s="119" t="s">
        <v>172</v>
      </c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7"/>
    </row>
    <row r="772" spans="1:16" ht="15.75" customHeight="1" x14ac:dyDescent="0.25">
      <c r="A772" s="141"/>
      <c r="B772" s="142"/>
      <c r="C772" s="142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2"/>
    </row>
    <row r="773" spans="1:16" ht="15.75" customHeight="1" x14ac:dyDescent="0.25">
      <c r="A773" s="279" t="s">
        <v>213</v>
      </c>
      <c r="B773" s="279"/>
      <c r="C773" s="279"/>
      <c r="D773" s="27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7"/>
    </row>
    <row r="774" spans="1:16" ht="15" customHeight="1" x14ac:dyDescent="0.25">
      <c r="A774" s="96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7"/>
    </row>
    <row r="775" spans="1:16" ht="15" customHeight="1" x14ac:dyDescent="0.25">
      <c r="A775" s="128" t="s">
        <v>214</v>
      </c>
      <c r="B775" s="122">
        <v>0</v>
      </c>
      <c r="C775" s="58" t="s">
        <v>235</v>
      </c>
      <c r="D775" s="58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7"/>
    </row>
    <row r="776" spans="1:16" ht="15.75" customHeight="1" x14ac:dyDescent="0.25">
      <c r="A776" s="3" t="s">
        <v>113</v>
      </c>
      <c r="B776" s="58" t="e">
        <f>VLOOKUP(B709,'Gebouwgegevens Allacker'!$A$35:$F$46,6,0)</f>
        <v>#N/A</v>
      </c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7"/>
    </row>
    <row r="777" spans="1:16" ht="16.5" customHeight="1" x14ac:dyDescent="0.25">
      <c r="A777" s="125" t="s">
        <v>216</v>
      </c>
      <c r="B777" s="119" t="e">
        <f>B778/('Gebouwgegevens Allacker'!E731-'Verwarming Tabula'!$B$4)</f>
        <v>#N/A</v>
      </c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7"/>
    </row>
    <row r="778" spans="1:16" ht="16.5" customHeight="1" x14ac:dyDescent="0.25">
      <c r="A778" s="125" t="s">
        <v>170</v>
      </c>
      <c r="B778" s="119" t="e">
        <f>B775*B776</f>
        <v>#N/A</v>
      </c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7"/>
    </row>
    <row r="779" spans="1:16" ht="15.75" customHeight="1" x14ac:dyDescent="0.25">
      <c r="A779" s="96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7"/>
    </row>
    <row r="780" spans="1:16" ht="15.75" customHeight="1" x14ac:dyDescent="0.25">
      <c r="A780" s="96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7"/>
    </row>
    <row r="781" spans="1:16" ht="15.75" customHeight="1" x14ac:dyDescent="0.25">
      <c r="A781" s="130" t="s">
        <v>217</v>
      </c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2"/>
    </row>
    <row r="782" spans="1:16" ht="16.5" customHeight="1" x14ac:dyDescent="0.25">
      <c r="A782" s="125" t="s">
        <v>218</v>
      </c>
      <c r="B782" s="119" t="e">
        <f>SUM(B752,B770,B777)</f>
        <v>#N/A</v>
      </c>
      <c r="C782" s="119" t="s">
        <v>107</v>
      </c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4"/>
    </row>
    <row r="783" spans="1:16" ht="16.5" customHeight="1" x14ac:dyDescent="0.25">
      <c r="A783" s="125" t="s">
        <v>170</v>
      </c>
      <c r="B783" s="119" t="e">
        <f>SUM(B753,B771,B778)</f>
        <v>#N/A</v>
      </c>
      <c r="C783" s="119" t="s">
        <v>172</v>
      </c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4"/>
    </row>
    <row r="784" spans="1:16" ht="16.5" customHeight="1" x14ac:dyDescent="0.25">
      <c r="A784" s="135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7"/>
    </row>
  </sheetData>
  <mergeCells count="32">
    <mergeCell ref="A755:C755"/>
    <mergeCell ref="A773:D773"/>
    <mergeCell ref="A615:D615"/>
    <mergeCell ref="A631:D631"/>
    <mergeCell ref="A676:C676"/>
    <mergeCell ref="A694:D694"/>
    <mergeCell ref="A710:D710"/>
    <mergeCell ref="A473:D473"/>
    <mergeCell ref="A518:C518"/>
    <mergeCell ref="A536:D536"/>
    <mergeCell ref="A552:D552"/>
    <mergeCell ref="A597:C597"/>
    <mergeCell ref="A362:C362"/>
    <mergeCell ref="A380:D380"/>
    <mergeCell ref="A395:D395"/>
    <mergeCell ref="A440:C440"/>
    <mergeCell ref="A458:D458"/>
    <mergeCell ref="A222:D222"/>
    <mergeCell ref="A238:D238"/>
    <mergeCell ref="A283:C283"/>
    <mergeCell ref="A301:D301"/>
    <mergeCell ref="A317:D317"/>
    <mergeCell ref="A79:D79"/>
    <mergeCell ref="A124:C124"/>
    <mergeCell ref="A142:D142"/>
    <mergeCell ref="A159:D159"/>
    <mergeCell ref="A204:C204"/>
    <mergeCell ref="A1:I1"/>
    <mergeCell ref="V5:X5"/>
    <mergeCell ref="A7:D7"/>
    <mergeCell ref="A45:C45"/>
    <mergeCell ref="A63:D6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K122"/>
  <sheetViews>
    <sheetView tabSelected="1" topLeftCell="BL1" zoomScale="55" zoomScaleNormal="55" workbookViewId="0">
      <selection activeCell="BW62" sqref="BW62"/>
    </sheetView>
  </sheetViews>
  <sheetFormatPr defaultRowHeight="16.5" thickTop="1" thickBottom="1" x14ac:dyDescent="0.3"/>
  <cols>
    <col min="1" max="1" width="9.140625" style="81"/>
    <col min="2" max="2" width="20.5703125"/>
    <col min="3" max="3" width="15.42578125" bestFit="1" customWidth="1"/>
    <col min="4" max="4" width="14.85546875" bestFit="1" customWidth="1"/>
    <col min="5" max="5" width="22.140625"/>
    <col min="7" max="7" width="7.140625"/>
    <col min="8" max="8" width="6"/>
    <col min="9" max="9" width="7.7109375"/>
    <col min="10" max="10" width="9.140625" style="1"/>
    <col min="12" max="12" width="10.42578125" style="2"/>
    <col min="13" max="13" width="8" style="2"/>
    <col min="14" max="14" width="16.85546875" style="2"/>
    <col min="15" max="15" width="12.5703125"/>
    <col min="16" max="16" width="11.28515625"/>
    <col min="17" max="18" width="9.28515625" style="3"/>
    <col min="19" max="19" width="15.140625"/>
    <col min="20" max="20" width="11.7109375"/>
    <col min="21" max="21" width="12.140625"/>
    <col min="22" max="22" width="3.140625" style="1"/>
    <col min="23" max="23" width="3" style="172"/>
    <col min="24" max="34" width="9.140625" style="172"/>
    <col min="36" max="37" width="9.140625" style="157"/>
    <col min="38" max="38" width="9.140625" style="158"/>
    <col min="39" max="39" width="10.28515625" style="158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0"/>
    <col min="52" max="52" width="14.7109375" style="161" bestFit="1" customWidth="1"/>
    <col min="53" max="53" width="9.140625" style="160"/>
    <col min="54" max="54" width="9.140625" style="170"/>
    <col min="68" max="68" width="15.42578125" customWidth="1"/>
    <col min="70" max="70" width="9.140625" style="170"/>
    <col min="83" max="83" width="15" bestFit="1" customWidth="1"/>
    <col min="86" max="86" width="9.140625" style="238"/>
    <col min="88" max="90" width="9.140625" style="81"/>
    <col min="93" max="94" width="9.140625" style="243"/>
    <col min="95" max="95" width="12.42578125" style="243" customWidth="1"/>
    <col min="96" max="99" width="9.140625" style="243"/>
    <col min="101" max="101" width="15.5703125" style="245" bestFit="1" customWidth="1"/>
    <col min="102" max="103" width="9.140625" style="245"/>
    <col min="104" max="104" width="10.28515625" style="245" customWidth="1"/>
    <col min="105" max="105" width="9.140625" style="245"/>
    <col min="107" max="109" width="9.140625" style="81"/>
    <col min="110" max="110" width="16.5703125" style="81" customWidth="1"/>
    <col min="111" max="111" width="9.140625" style="81"/>
  </cols>
  <sheetData>
    <row r="1" spans="2:111" ht="20.25" customHeight="1" thickTop="1" thickBot="1" x14ac:dyDescent="0.35">
      <c r="B1" s="277" t="s">
        <v>307</v>
      </c>
      <c r="C1" s="277"/>
      <c r="D1" s="277"/>
      <c r="E1" s="277"/>
      <c r="F1" s="277"/>
      <c r="G1" s="277"/>
      <c r="H1" s="277"/>
      <c r="AO1" s="159" t="s">
        <v>309</v>
      </c>
      <c r="BS1" t="s">
        <v>427</v>
      </c>
      <c r="DC1" s="169"/>
      <c r="DD1" s="169"/>
      <c r="DE1" s="169"/>
      <c r="DF1" s="169"/>
      <c r="DG1" s="169"/>
    </row>
    <row r="2" spans="2:111" thickTop="1" thickBot="1" x14ac:dyDescent="0.3">
      <c r="AO2" s="81" t="s">
        <v>310</v>
      </c>
      <c r="CA2" s="165" t="s">
        <v>313</v>
      </c>
      <c r="CB2" s="160"/>
      <c r="CC2" s="160"/>
      <c r="CD2" s="160"/>
      <c r="CE2" s="161"/>
      <c r="CF2" s="160"/>
      <c r="CI2" s="81" t="s">
        <v>311</v>
      </c>
      <c r="CJ2" s="79" t="s">
        <v>437</v>
      </c>
      <c r="CK2" s="79" t="s">
        <v>438</v>
      </c>
      <c r="CL2" s="79" t="s">
        <v>439</v>
      </c>
      <c r="CO2" s="243" t="s">
        <v>440</v>
      </c>
      <c r="DC2" s="169"/>
      <c r="DD2" s="169"/>
      <c r="DE2" s="169"/>
      <c r="DF2" s="169"/>
      <c r="DG2" s="169"/>
    </row>
    <row r="3" spans="2:111" thickTop="1" thickBot="1" x14ac:dyDescent="0.3">
      <c r="B3" s="281" t="s">
        <v>1</v>
      </c>
      <c r="C3" s="282"/>
      <c r="D3" s="282"/>
      <c r="E3" s="282"/>
      <c r="F3" s="282"/>
      <c r="G3" s="282"/>
      <c r="H3" s="282"/>
      <c r="I3" s="283"/>
      <c r="K3" s="274" t="s">
        <v>2</v>
      </c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4"/>
      <c r="W3" s="280" t="s">
        <v>3</v>
      </c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O3" s="162" t="s">
        <v>311</v>
      </c>
      <c r="AP3" s="163" t="s">
        <v>312</v>
      </c>
      <c r="AQ3" s="163"/>
      <c r="AR3" s="164"/>
      <c r="AS3" s="164"/>
      <c r="AT3" s="164"/>
      <c r="AV3" s="165" t="s">
        <v>313</v>
      </c>
      <c r="BC3" s="81" t="s">
        <v>373</v>
      </c>
      <c r="BD3" s="81" t="s">
        <v>374</v>
      </c>
      <c r="BE3" s="81" t="s">
        <v>375</v>
      </c>
      <c r="BF3" s="81"/>
      <c r="BG3" s="81"/>
      <c r="BH3" s="81"/>
      <c r="BI3" s="81"/>
      <c r="BL3" s="165" t="s">
        <v>313</v>
      </c>
      <c r="BM3" s="160"/>
      <c r="BN3" s="160"/>
      <c r="BO3" s="160"/>
      <c r="BP3" s="161"/>
      <c r="BQ3" s="160"/>
      <c r="BS3" s="81" t="s">
        <v>373</v>
      </c>
      <c r="BT3" s="81" t="s">
        <v>374</v>
      </c>
      <c r="BU3" s="81" t="s">
        <v>375</v>
      </c>
      <c r="BV3" s="81"/>
      <c r="BW3" s="81"/>
      <c r="BX3" s="81"/>
      <c r="BY3" s="81"/>
      <c r="BZ3" s="81"/>
      <c r="CA3" s="167" t="s">
        <v>314</v>
      </c>
      <c r="CB3" s="167" t="s">
        <v>315</v>
      </c>
      <c r="CC3" s="167" t="s">
        <v>316</v>
      </c>
      <c r="CD3" s="171" t="s">
        <v>318</v>
      </c>
      <c r="CE3" s="161">
        <f>BU11</f>
        <v>0.216</v>
      </c>
      <c r="CF3" s="167" t="s">
        <v>317</v>
      </c>
      <c r="CI3" s="81" t="s">
        <v>316</v>
      </c>
      <c r="CJ3" s="239">
        <f>AZ4</f>
        <v>0.227264302806133</v>
      </c>
      <c r="CK3" s="239">
        <f>BP4</f>
        <v>0.18</v>
      </c>
      <c r="CL3" s="239">
        <f>CE3</f>
        <v>0.216</v>
      </c>
      <c r="CO3" s="243" t="s">
        <v>373</v>
      </c>
      <c r="CP3" s="243" t="s">
        <v>374</v>
      </c>
      <c r="CQ3" s="243" t="s">
        <v>441</v>
      </c>
      <c r="CV3" s="81"/>
      <c r="CW3" s="245" t="s">
        <v>459</v>
      </c>
      <c r="DC3" s="245" t="s">
        <v>508</v>
      </c>
      <c r="DD3" s="169"/>
      <c r="DE3" s="169"/>
      <c r="DF3" s="169"/>
      <c r="DG3" s="169"/>
    </row>
    <row r="4" spans="2:111" ht="15.75" customHeight="1" thickTop="1" thickBot="1" x14ac:dyDescent="0.3">
      <c r="B4" s="234" t="s">
        <v>6</v>
      </c>
      <c r="C4" s="235">
        <f>'Tabula data'!B5</f>
        <v>766</v>
      </c>
      <c r="D4" s="235" t="s">
        <v>7</v>
      </c>
      <c r="E4" s="234" t="s">
        <v>8</v>
      </c>
      <c r="F4" s="235"/>
      <c r="G4" s="235"/>
      <c r="H4" s="236">
        <f>SUM(I6:I13)</f>
        <v>41.2</v>
      </c>
      <c r="I4" s="237" t="s">
        <v>9</v>
      </c>
      <c r="L4" s="284" t="s">
        <v>432</v>
      </c>
      <c r="M4" s="285"/>
      <c r="N4" s="285"/>
      <c r="O4" s="285"/>
      <c r="P4" s="286"/>
      <c r="Z4" s="221" t="s">
        <v>4</v>
      </c>
      <c r="AA4" s="221">
        <v>1.7</v>
      </c>
      <c r="AB4" s="221" t="s">
        <v>5</v>
      </c>
      <c r="AM4" s="158" t="s">
        <v>314</v>
      </c>
      <c r="AN4" s="81" t="s">
        <v>315</v>
      </c>
      <c r="AO4" s="81" t="s">
        <v>316</v>
      </c>
      <c r="AP4" s="81">
        <f>SUM(O6:O9)/SUM($O$6:$O$14,$O$26,2*$O$27)</f>
        <v>0.227264302806133</v>
      </c>
      <c r="AQ4" s="81" t="s">
        <v>317</v>
      </c>
      <c r="AR4" s="166">
        <v>0.1641929</v>
      </c>
      <c r="AV4" s="167" t="s">
        <v>314</v>
      </c>
      <c r="AW4" s="167" t="s">
        <v>315</v>
      </c>
      <c r="AX4" s="167" t="s">
        <v>316</v>
      </c>
      <c r="AY4" s="168" t="s">
        <v>318</v>
      </c>
      <c r="AZ4" s="161">
        <f>AP4</f>
        <v>0.227264302806133</v>
      </c>
      <c r="BA4" s="167" t="s">
        <v>317</v>
      </c>
      <c r="BC4" s="81" t="s">
        <v>373</v>
      </c>
      <c r="BD4" s="81" t="s">
        <v>376</v>
      </c>
      <c r="BE4" s="81"/>
      <c r="BF4" s="81"/>
      <c r="BG4" s="81"/>
      <c r="BH4" s="81"/>
      <c r="BI4" s="81"/>
      <c r="BL4" s="167" t="s">
        <v>314</v>
      </c>
      <c r="BM4" s="167" t="s">
        <v>315</v>
      </c>
      <c r="BN4" s="167" t="s">
        <v>316</v>
      </c>
      <c r="BO4" s="168" t="s">
        <v>318</v>
      </c>
      <c r="BP4" s="161">
        <f>BE11</f>
        <v>0.18</v>
      </c>
      <c r="BQ4" s="167" t="s">
        <v>317</v>
      </c>
      <c r="BS4" s="81" t="s">
        <v>373</v>
      </c>
      <c r="BT4" s="81" t="s">
        <v>376</v>
      </c>
      <c r="BU4" s="81"/>
      <c r="BV4" s="81"/>
      <c r="BW4" s="81"/>
      <c r="BX4" s="81"/>
      <c r="BY4" s="81"/>
      <c r="BZ4" s="81"/>
      <c r="CA4" s="167" t="s">
        <v>314</v>
      </c>
      <c r="CB4" s="167" t="s">
        <v>315</v>
      </c>
      <c r="CC4" s="167" t="s">
        <v>319</v>
      </c>
      <c r="CD4" s="171" t="s">
        <v>318</v>
      </c>
      <c r="CE4" s="161">
        <f t="shared" ref="CE4:CE6" si="0">BU12</f>
        <v>0.439</v>
      </c>
      <c r="CF4" s="167" t="s">
        <v>317</v>
      </c>
      <c r="CI4" s="81" t="s">
        <v>319</v>
      </c>
      <c r="CJ4" s="239">
        <f t="shared" ref="CJ4:CJ49" si="1">AZ5</f>
        <v>0.45452860561226599</v>
      </c>
      <c r="CK4" s="239">
        <f t="shared" ref="CK4:CK49" si="2">BP5</f>
        <v>0.33600000000000002</v>
      </c>
      <c r="CL4" s="239">
        <f t="shared" ref="CL4:CL49" si="3">CE4</f>
        <v>0.439</v>
      </c>
      <c r="CO4" s="243" t="s">
        <v>373</v>
      </c>
      <c r="CP4" s="243" t="s">
        <v>376</v>
      </c>
      <c r="CV4" s="81"/>
      <c r="DC4" s="169"/>
      <c r="DD4" s="169"/>
      <c r="DE4" s="169"/>
      <c r="DF4" s="169"/>
      <c r="DG4" s="169"/>
    </row>
    <row r="5" spans="2:111" ht="15" customHeight="1" thickTop="1" thickBot="1" x14ac:dyDescent="0.3">
      <c r="B5" s="173"/>
      <c r="C5" s="174"/>
      <c r="D5" s="174"/>
      <c r="E5" s="175"/>
      <c r="F5" s="176"/>
      <c r="G5" s="176"/>
      <c r="H5" s="176"/>
      <c r="I5" s="177"/>
      <c r="K5" t="s">
        <v>10</v>
      </c>
      <c r="L5" s="201" t="s">
        <v>11</v>
      </c>
      <c r="M5" s="202" t="s">
        <v>12</v>
      </c>
      <c r="N5" s="202" t="s">
        <v>13</v>
      </c>
      <c r="O5" s="202" t="s">
        <v>14</v>
      </c>
      <c r="P5" s="20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16" t="s">
        <v>20</v>
      </c>
      <c r="Y5" s="217"/>
      <c r="Z5" s="218" t="s">
        <v>21</v>
      </c>
      <c r="AA5" s="219">
        <f>1/(1/10+SUM(AD7:AD10)+1/23)</f>
        <v>1.714339326947635</v>
      </c>
      <c r="AB5" s="217" t="s">
        <v>5</v>
      </c>
      <c r="AC5" s="217"/>
      <c r="AD5" s="217" t="s">
        <v>22</v>
      </c>
      <c r="AE5" s="220">
        <f>SUM(AE7:AE10)</f>
        <v>77930</v>
      </c>
      <c r="AF5" s="222" t="s">
        <v>23</v>
      </c>
      <c r="AG5" s="222">
        <f>SUM(AE9:AE10)</f>
        <v>42230</v>
      </c>
      <c r="AH5" s="222"/>
      <c r="AM5" s="158" t="s">
        <v>314</v>
      </c>
      <c r="AN5" s="81" t="s">
        <v>315</v>
      </c>
      <c r="AO5" s="81" t="s">
        <v>319</v>
      </c>
      <c r="AP5" s="81">
        <f>SUM(2*O27)/SUM($O$6:$O$14,$O$26,2*$O$27)</f>
        <v>0.45452860561226599</v>
      </c>
      <c r="AQ5" s="81" t="s">
        <v>317</v>
      </c>
      <c r="AR5" s="166">
        <v>0.42146270000000002</v>
      </c>
      <c r="AV5" s="167" t="s">
        <v>314</v>
      </c>
      <c r="AW5" s="167" t="s">
        <v>315</v>
      </c>
      <c r="AX5" s="167" t="s">
        <v>319</v>
      </c>
      <c r="AY5" s="168" t="s">
        <v>318</v>
      </c>
      <c r="AZ5" s="161">
        <f t="shared" ref="AZ5:AZ7" si="4">AP5</f>
        <v>0.45452860561226599</v>
      </c>
      <c r="BA5" s="167" t="s">
        <v>317</v>
      </c>
      <c r="BC5" s="81" t="s">
        <v>373</v>
      </c>
      <c r="BD5" s="81" t="s">
        <v>377</v>
      </c>
      <c r="BE5" s="81" t="s">
        <v>378</v>
      </c>
      <c r="BF5" s="81" t="s">
        <v>379</v>
      </c>
      <c r="BG5" s="81" t="s">
        <v>380</v>
      </c>
      <c r="BH5" s="81" t="s">
        <v>381</v>
      </c>
      <c r="BI5" s="81" t="s">
        <v>382</v>
      </c>
      <c r="BL5" s="167" t="s">
        <v>314</v>
      </c>
      <c r="BM5" s="167" t="s">
        <v>315</v>
      </c>
      <c r="BN5" s="167" t="s">
        <v>319</v>
      </c>
      <c r="BO5" s="168" t="s">
        <v>318</v>
      </c>
      <c r="BP5" s="161">
        <f t="shared" ref="BP5:BP7" si="5">BE12</f>
        <v>0.33600000000000002</v>
      </c>
      <c r="BQ5" s="167" t="s">
        <v>317</v>
      </c>
      <c r="BS5" s="81" t="s">
        <v>373</v>
      </c>
      <c r="BT5" s="81" t="s">
        <v>377</v>
      </c>
      <c r="BU5" s="81" t="s">
        <v>378</v>
      </c>
      <c r="BV5" s="81" t="s">
        <v>379</v>
      </c>
      <c r="BW5" s="81" t="s">
        <v>380</v>
      </c>
      <c r="BX5" s="81" t="s">
        <v>381</v>
      </c>
      <c r="BY5" s="81" t="s">
        <v>382</v>
      </c>
      <c r="BZ5" s="81"/>
      <c r="CA5" s="167" t="s">
        <v>314</v>
      </c>
      <c r="CB5" s="167" t="s">
        <v>315</v>
      </c>
      <c r="CC5" s="167" t="s">
        <v>320</v>
      </c>
      <c r="CD5" s="168" t="s">
        <v>318</v>
      </c>
      <c r="CE5" s="161">
        <f t="shared" si="0"/>
        <v>9.2700000000000005E-2</v>
      </c>
      <c r="CF5" s="167" t="s">
        <v>317</v>
      </c>
      <c r="CI5" s="81" t="s">
        <v>320</v>
      </c>
      <c r="CJ5" s="239">
        <f t="shared" si="1"/>
        <v>2.9811241298120371E-2</v>
      </c>
      <c r="CK5" s="239">
        <f t="shared" si="2"/>
        <v>0.33700000000000002</v>
      </c>
      <c r="CL5" s="239">
        <f t="shared" si="3"/>
        <v>9.2700000000000005E-2</v>
      </c>
      <c r="CO5" s="243" t="s">
        <v>373</v>
      </c>
      <c r="CP5" s="243" t="s">
        <v>377</v>
      </c>
      <c r="CQ5" s="243" t="s">
        <v>378</v>
      </c>
      <c r="CR5" s="243" t="s">
        <v>379</v>
      </c>
      <c r="CS5" s="243" t="s">
        <v>380</v>
      </c>
      <c r="CT5" s="243" t="s">
        <v>381</v>
      </c>
      <c r="CU5" s="243" t="s">
        <v>382</v>
      </c>
      <c r="CV5" s="81"/>
      <c r="CW5" s="245" t="s">
        <v>460</v>
      </c>
      <c r="CX5" s="246" t="s">
        <v>461</v>
      </c>
      <c r="CY5" s="246" t="s">
        <v>318</v>
      </c>
      <c r="CZ5" s="265">
        <f>CQ11</f>
        <v>0.873</v>
      </c>
      <c r="DA5" s="245" t="s">
        <v>317</v>
      </c>
      <c r="DC5" s="169" t="s">
        <v>460</v>
      </c>
      <c r="DD5" s="258" t="s">
        <v>461</v>
      </c>
      <c r="DE5" s="258" t="s">
        <v>318</v>
      </c>
      <c r="DF5" s="169">
        <f>$O$11*$Z$37*$AP$4</f>
        <v>1.2871568318030953</v>
      </c>
      <c r="DG5" s="169" t="s">
        <v>317</v>
      </c>
    </row>
    <row r="6" spans="2:111" ht="15" customHeight="1" thickTop="1" thickBot="1" x14ac:dyDescent="0.3">
      <c r="B6" s="193" t="s">
        <v>34</v>
      </c>
      <c r="C6" s="195">
        <f>'Tabula data'!B4</f>
        <v>279</v>
      </c>
      <c r="D6" s="196" t="s">
        <v>9</v>
      </c>
      <c r="E6" s="178" t="s">
        <v>35</v>
      </c>
      <c r="F6" s="176" t="s">
        <v>36</v>
      </c>
      <c r="G6" s="179">
        <f t="shared" ref="G6:G13" si="6">I6/$H$4</f>
        <v>0.18349514563106795</v>
      </c>
      <c r="H6" s="176"/>
      <c r="I6" s="180">
        <f>'Tabula data'!B16*'Gebouwgegevens Tabula 2zone'!D45</f>
        <v>7.56</v>
      </c>
      <c r="K6" t="s">
        <v>24</v>
      </c>
      <c r="L6" s="204">
        <v>0</v>
      </c>
      <c r="M6" s="205">
        <v>1</v>
      </c>
      <c r="N6" s="205" t="s">
        <v>25</v>
      </c>
      <c r="O6" s="206">
        <f>'Tabula data'!B10*D42/2*D43</f>
        <v>69.641550000000009</v>
      </c>
      <c r="P6" s="207" t="s">
        <v>26</v>
      </c>
      <c r="Q6" s="30">
        <f t="shared" ref="Q6:Q28" si="7">VLOOKUP(N6,$X$5:$AA$392,4,0)</f>
        <v>2.2022341505875525</v>
      </c>
      <c r="R6" s="30">
        <f t="shared" ref="R6:R28" si="8">Q6*O6</f>
        <v>153.36699970985057</v>
      </c>
      <c r="S6" s="30">
        <f t="shared" ref="S6:S14" si="9">VLOOKUP(N6,$X$5:$AE$392,8,0)*O6</f>
        <v>31330340.514000006</v>
      </c>
      <c r="T6" s="30">
        <f t="shared" ref="T6:T14" si="10">S6/O6</f>
        <v>449880</v>
      </c>
      <c r="U6" s="30">
        <f t="shared" ref="U6:U14" si="11">VLOOKUP(N6,$X$5:$AG$391,10,0)*O6</f>
        <v>28196470.764000002</v>
      </c>
      <c r="V6" s="31"/>
      <c r="W6" s="223"/>
      <c r="X6" s="224"/>
      <c r="Y6" s="225" t="s">
        <v>27</v>
      </c>
      <c r="Z6" s="225" t="s">
        <v>28</v>
      </c>
      <c r="AA6" s="225" t="s">
        <v>29</v>
      </c>
      <c r="AB6" s="225" t="s">
        <v>30</v>
      </c>
      <c r="AC6" s="225" t="s">
        <v>31</v>
      </c>
      <c r="AD6" s="225" t="s">
        <v>32</v>
      </c>
      <c r="AE6" s="226" t="s">
        <v>33</v>
      </c>
      <c r="AF6" s="222"/>
      <c r="AG6" s="222"/>
      <c r="AH6" s="222"/>
      <c r="AM6" s="158" t="s">
        <v>314</v>
      </c>
      <c r="AN6" s="81" t="s">
        <v>315</v>
      </c>
      <c r="AO6" s="81" t="s">
        <v>320</v>
      </c>
      <c r="AP6" s="81">
        <f>SUM(O10:O13)/SUM($O$6:$O$14,$O$26,2*$O$27)</f>
        <v>2.9811241298120371E-2</v>
      </c>
      <c r="AQ6" s="81" t="s">
        <v>317</v>
      </c>
      <c r="AR6" s="166">
        <v>0.13510150000000001</v>
      </c>
      <c r="AV6" s="167" t="s">
        <v>314</v>
      </c>
      <c r="AW6" s="167" t="s">
        <v>315</v>
      </c>
      <c r="AX6" s="167" t="s">
        <v>320</v>
      </c>
      <c r="AY6" s="168" t="s">
        <v>318</v>
      </c>
      <c r="AZ6" s="161">
        <f t="shared" si="4"/>
        <v>2.9811241298120371E-2</v>
      </c>
      <c r="BA6" s="167" t="s">
        <v>317</v>
      </c>
      <c r="BC6" s="81" t="s">
        <v>373</v>
      </c>
      <c r="BD6" s="81" t="s">
        <v>383</v>
      </c>
      <c r="BE6" s="166">
        <v>294</v>
      </c>
      <c r="BF6" s="166">
        <v>7.8200000000000006E-2</v>
      </c>
      <c r="BG6" s="81">
        <v>3752.8</v>
      </c>
      <c r="BH6" s="81" t="s">
        <v>384</v>
      </c>
      <c r="BI6" s="81" t="s">
        <v>385</v>
      </c>
      <c r="BL6" s="167" t="s">
        <v>314</v>
      </c>
      <c r="BM6" s="167" t="s">
        <v>315</v>
      </c>
      <c r="BN6" s="167" t="s">
        <v>320</v>
      </c>
      <c r="BO6" s="168" t="s">
        <v>318</v>
      </c>
      <c r="BP6" s="161">
        <f t="shared" si="5"/>
        <v>0.33700000000000002</v>
      </c>
      <c r="BQ6" s="167" t="s">
        <v>317</v>
      </c>
      <c r="BS6" s="81" t="s">
        <v>373</v>
      </c>
      <c r="BT6" s="81" t="s">
        <v>383</v>
      </c>
      <c r="BU6" s="166">
        <v>291</v>
      </c>
      <c r="BV6" s="166">
        <v>0.215</v>
      </c>
      <c r="BW6" s="81">
        <v>1356.22</v>
      </c>
      <c r="BX6" s="81" t="s">
        <v>420</v>
      </c>
      <c r="BY6" s="166">
        <v>2E-16</v>
      </c>
      <c r="BZ6" s="81" t="s">
        <v>385</v>
      </c>
      <c r="CA6" s="167" t="s">
        <v>314</v>
      </c>
      <c r="CB6" s="167" t="s">
        <v>315</v>
      </c>
      <c r="CC6" s="167" t="s">
        <v>321</v>
      </c>
      <c r="CD6" s="168" t="s">
        <v>318</v>
      </c>
      <c r="CE6" s="161">
        <f t="shared" si="0"/>
        <v>0.14899999999999999</v>
      </c>
      <c r="CF6" s="167" t="s">
        <v>317</v>
      </c>
      <c r="CI6" s="81" t="s">
        <v>321</v>
      </c>
      <c r="CJ6" s="239">
        <f t="shared" si="1"/>
        <v>0.13882280535151062</v>
      </c>
      <c r="CK6" s="239">
        <f t="shared" si="2"/>
        <v>0.10299999999999999</v>
      </c>
      <c r="CL6" s="239">
        <f t="shared" si="3"/>
        <v>0.14899999999999999</v>
      </c>
      <c r="CO6" s="243" t="s">
        <v>373</v>
      </c>
      <c r="CP6" s="243" t="s">
        <v>383</v>
      </c>
      <c r="CQ6" s="244">
        <v>291</v>
      </c>
      <c r="CR6" s="244">
        <v>9.0999999999999998E-2</v>
      </c>
      <c r="CS6" s="243">
        <v>3197.68</v>
      </c>
      <c r="CT6" s="243" t="s">
        <v>420</v>
      </c>
      <c r="CU6" s="244">
        <v>2E-16</v>
      </c>
      <c r="CV6" s="81" t="s">
        <v>385</v>
      </c>
      <c r="CW6" s="245" t="s">
        <v>460</v>
      </c>
      <c r="CX6" s="246" t="s">
        <v>462</v>
      </c>
      <c r="CY6" s="246" t="s">
        <v>318</v>
      </c>
      <c r="CZ6" s="247">
        <f t="shared" ref="CZ6:CZ24" si="12">CQ12</f>
        <v>3.78</v>
      </c>
      <c r="DA6" s="245" t="s">
        <v>317</v>
      </c>
      <c r="DC6" s="169" t="s">
        <v>460</v>
      </c>
      <c r="DD6" s="258" t="s">
        <v>462</v>
      </c>
      <c r="DE6" s="258" t="s">
        <v>318</v>
      </c>
      <c r="DF6" s="169">
        <f>$O$10*$Z$37*$AP$4</f>
        <v>1.4947627724164978</v>
      </c>
      <c r="DG6" s="169" t="s">
        <v>317</v>
      </c>
    </row>
    <row r="7" spans="2:111" ht="15" customHeight="1" thickTop="1" thickBot="1" x14ac:dyDescent="0.3">
      <c r="B7" s="178" t="s">
        <v>42</v>
      </c>
      <c r="C7" s="183">
        <f>'Tabula data'!B14</f>
        <v>134.30000000000001</v>
      </c>
      <c r="D7" s="189" t="s">
        <v>9</v>
      </c>
      <c r="E7" s="178" t="s">
        <v>43</v>
      </c>
      <c r="F7" s="176" t="s">
        <v>36</v>
      </c>
      <c r="G7" s="179">
        <f t="shared" si="6"/>
        <v>0.15800970873786407</v>
      </c>
      <c r="H7" s="176"/>
      <c r="I7" s="180">
        <f>'Tabula data'!B17*'Gebouwgegevens Tabula 2zone'!D45</f>
        <v>6.51</v>
      </c>
      <c r="K7" t="s">
        <v>38</v>
      </c>
      <c r="L7" s="208">
        <v>0</v>
      </c>
      <c r="M7" s="209">
        <v>1</v>
      </c>
      <c r="N7" s="209" t="s">
        <v>25</v>
      </c>
      <c r="O7" s="210">
        <f>'Tabula data'!B10*(1-D42)/2*D44</f>
        <v>40.288499999999999</v>
      </c>
      <c r="P7" s="211" t="s">
        <v>39</v>
      </c>
      <c r="Q7" s="30">
        <f t="shared" si="7"/>
        <v>2.2022341505875525</v>
      </c>
      <c r="R7" s="30">
        <f t="shared" si="8"/>
        <v>88.724710575946602</v>
      </c>
      <c r="S7" s="30">
        <f t="shared" si="9"/>
        <v>18124990.379999999</v>
      </c>
      <c r="T7" s="30">
        <f t="shared" si="10"/>
        <v>449880</v>
      </c>
      <c r="U7" s="30">
        <f t="shared" si="11"/>
        <v>16312007.879999999</v>
      </c>
      <c r="V7" s="31"/>
      <c r="W7" s="223"/>
      <c r="X7" s="175"/>
      <c r="Y7" s="176" t="s">
        <v>40</v>
      </c>
      <c r="Z7" s="176">
        <v>2.5000000000000001E-2</v>
      </c>
      <c r="AA7" s="176">
        <v>1.3</v>
      </c>
      <c r="AB7" s="176">
        <v>1700</v>
      </c>
      <c r="AC7" s="176">
        <v>840</v>
      </c>
      <c r="AD7" s="227">
        <f>Z7/AA7</f>
        <v>1.9230769230769232E-2</v>
      </c>
      <c r="AE7" s="177">
        <f>Z7*AB7*AC7</f>
        <v>35700</v>
      </c>
      <c r="AF7" s="222" t="s">
        <v>41</v>
      </c>
      <c r="AG7" s="222"/>
      <c r="AH7" s="222"/>
      <c r="AM7" s="158" t="s">
        <v>314</v>
      </c>
      <c r="AN7" s="81" t="s">
        <v>315</v>
      </c>
      <c r="AO7" s="81" t="s">
        <v>321</v>
      </c>
      <c r="AP7" s="81">
        <f>SUM(O14)/SUM($O$6:$O$14,$O$26,2*$O$27)</f>
        <v>0.13882280535151062</v>
      </c>
      <c r="AQ7" s="81" t="s">
        <v>317</v>
      </c>
      <c r="AR7" s="166">
        <v>0.161666</v>
      </c>
      <c r="AV7" s="167" t="s">
        <v>314</v>
      </c>
      <c r="AW7" s="167" t="s">
        <v>315</v>
      </c>
      <c r="AX7" s="167" t="s">
        <v>321</v>
      </c>
      <c r="AY7" s="168" t="s">
        <v>318</v>
      </c>
      <c r="AZ7" s="161">
        <f t="shared" si="4"/>
        <v>0.13882280535151062</v>
      </c>
      <c r="BA7" s="167" t="s">
        <v>317</v>
      </c>
      <c r="BC7" s="81" t="s">
        <v>373</v>
      </c>
      <c r="BD7" s="81" t="s">
        <v>386</v>
      </c>
      <c r="BE7" s="166">
        <v>289</v>
      </c>
      <c r="BF7" s="166">
        <v>6.1899999999999997E-2</v>
      </c>
      <c r="BG7" s="81">
        <v>4670.42</v>
      </c>
      <c r="BH7" s="81" t="s">
        <v>384</v>
      </c>
      <c r="BI7" s="81" t="s">
        <v>385</v>
      </c>
      <c r="BL7" s="167" t="s">
        <v>314</v>
      </c>
      <c r="BM7" s="167" t="s">
        <v>315</v>
      </c>
      <c r="BN7" s="167" t="s">
        <v>321</v>
      </c>
      <c r="BO7" s="168" t="s">
        <v>318</v>
      </c>
      <c r="BP7" s="161">
        <f t="shared" si="5"/>
        <v>0.10299999999999999</v>
      </c>
      <c r="BQ7" s="167" t="s">
        <v>317</v>
      </c>
      <c r="BS7" s="81" t="s">
        <v>373</v>
      </c>
      <c r="BT7" s="81" t="s">
        <v>386</v>
      </c>
      <c r="BU7" s="166">
        <v>287</v>
      </c>
      <c r="BV7" s="166">
        <v>5.2999999999999999E-2</v>
      </c>
      <c r="BW7" s="81">
        <v>5413.6</v>
      </c>
      <c r="BX7" s="81" t="s">
        <v>420</v>
      </c>
      <c r="BY7" s="166">
        <v>2E-16</v>
      </c>
      <c r="BZ7" s="81" t="s">
        <v>385</v>
      </c>
      <c r="CA7" s="167"/>
      <c r="CB7" s="167"/>
      <c r="CC7" s="167"/>
      <c r="CD7" s="168"/>
      <c r="CE7" s="161"/>
      <c r="CF7" s="167"/>
      <c r="CI7" s="81"/>
      <c r="CJ7" s="240"/>
      <c r="CK7" s="240"/>
      <c r="CL7" s="240"/>
      <c r="CO7" s="243" t="s">
        <v>373</v>
      </c>
      <c r="CP7" s="243" t="s">
        <v>386</v>
      </c>
      <c r="CQ7" s="244">
        <v>287</v>
      </c>
      <c r="CR7" s="244">
        <v>5.1499999999999997E-2</v>
      </c>
      <c r="CS7" s="243">
        <v>5580.38</v>
      </c>
      <c r="CT7" s="243" t="s">
        <v>420</v>
      </c>
      <c r="CU7" s="244">
        <v>2E-16</v>
      </c>
      <c r="CV7" s="81" t="s">
        <v>385</v>
      </c>
      <c r="CW7" s="245" t="s">
        <v>460</v>
      </c>
      <c r="CX7" s="248" t="s">
        <v>463</v>
      </c>
      <c r="CY7" s="246" t="s">
        <v>318</v>
      </c>
      <c r="CZ7" s="265">
        <f t="shared" si="12"/>
        <v>1.71</v>
      </c>
      <c r="DA7" s="245" t="s">
        <v>317</v>
      </c>
      <c r="DC7" s="169" t="s">
        <v>460</v>
      </c>
      <c r="DD7" s="259" t="s">
        <v>463</v>
      </c>
      <c r="DE7" s="258" t="s">
        <v>318</v>
      </c>
      <c r="DF7" s="169">
        <f>$O$12*$Z$37*$AP$4</f>
        <v>1.6885283169890068</v>
      </c>
      <c r="DG7" s="169" t="s">
        <v>317</v>
      </c>
    </row>
    <row r="8" spans="2:111" ht="15" customHeight="1" thickTop="1" thickBot="1" x14ac:dyDescent="0.3">
      <c r="B8" s="178" t="s">
        <v>47</v>
      </c>
      <c r="C8" s="183">
        <f>C6-C7</f>
        <v>144.69999999999999</v>
      </c>
      <c r="D8" s="176" t="s">
        <v>9</v>
      </c>
      <c r="E8" s="178" t="s">
        <v>48</v>
      </c>
      <c r="F8" s="176" t="s">
        <v>36</v>
      </c>
      <c r="G8" s="179">
        <f t="shared" si="6"/>
        <v>0.2072815533980582</v>
      </c>
      <c r="H8" s="176"/>
      <c r="I8" s="180">
        <f>'Tabula data'!B18*D45</f>
        <v>8.5399999999999991</v>
      </c>
      <c r="K8" t="s">
        <v>44</v>
      </c>
      <c r="L8" s="208">
        <v>0</v>
      </c>
      <c r="M8" s="209">
        <v>1</v>
      </c>
      <c r="N8" s="209" t="s">
        <v>25</v>
      </c>
      <c r="O8" s="210">
        <f>O6</f>
        <v>69.641550000000009</v>
      </c>
      <c r="P8" s="211" t="s">
        <v>45</v>
      </c>
      <c r="Q8" s="30">
        <f t="shared" si="7"/>
        <v>2.2022341505875525</v>
      </c>
      <c r="R8" s="30">
        <f t="shared" si="8"/>
        <v>153.36699970985057</v>
      </c>
      <c r="S8" s="30">
        <f t="shared" si="9"/>
        <v>31330340.514000006</v>
      </c>
      <c r="T8" s="30">
        <f t="shared" si="10"/>
        <v>449880</v>
      </c>
      <c r="U8" s="30">
        <f t="shared" si="11"/>
        <v>28196470.764000002</v>
      </c>
      <c r="V8" s="31"/>
      <c r="W8" s="223"/>
      <c r="X8" s="175"/>
      <c r="Y8" s="176" t="s">
        <v>46</v>
      </c>
      <c r="Z8" s="176">
        <v>0.03</v>
      </c>
      <c r="AA8" s="176">
        <f>0.18/Z8</f>
        <v>6</v>
      </c>
      <c r="AB8" s="176">
        <v>0</v>
      </c>
      <c r="AC8" s="176">
        <v>0</v>
      </c>
      <c r="AD8" s="227">
        <v>0.16</v>
      </c>
      <c r="AE8" s="177">
        <f>Z8*AB8*AC8</f>
        <v>0</v>
      </c>
      <c r="AF8" s="222"/>
      <c r="AG8" s="222"/>
      <c r="AH8" s="222"/>
      <c r="AQ8" s="81" t="s">
        <v>317</v>
      </c>
      <c r="AR8" s="166"/>
      <c r="AV8" s="167"/>
      <c r="AW8" s="167"/>
      <c r="AX8" s="167"/>
      <c r="AY8" s="168"/>
      <c r="BA8" s="167"/>
      <c r="BC8" s="81" t="s">
        <v>373</v>
      </c>
      <c r="BD8" s="81" t="s">
        <v>387</v>
      </c>
      <c r="BE8" s="166">
        <v>294</v>
      </c>
      <c r="BF8" s="166">
        <v>1.9099999999999999E-2</v>
      </c>
      <c r="BG8" s="81">
        <v>15359.29</v>
      </c>
      <c r="BH8" s="81" t="s">
        <v>384</v>
      </c>
      <c r="BI8" s="81" t="s">
        <v>385</v>
      </c>
      <c r="BL8" s="167"/>
      <c r="BM8" s="167"/>
      <c r="BN8" s="167"/>
      <c r="BO8" s="168"/>
      <c r="BP8" s="161"/>
      <c r="BQ8" s="167"/>
      <c r="BS8" s="81" t="s">
        <v>373</v>
      </c>
      <c r="BT8" s="81" t="s">
        <v>387</v>
      </c>
      <c r="BU8" s="166">
        <v>296</v>
      </c>
      <c r="BV8" s="166">
        <v>6.88E-2</v>
      </c>
      <c r="BW8" s="81">
        <v>4301.45</v>
      </c>
      <c r="BX8" s="81" t="s">
        <v>420</v>
      </c>
      <c r="BY8" s="166">
        <v>2E-16</v>
      </c>
      <c r="BZ8" s="81" t="s">
        <v>385</v>
      </c>
      <c r="CA8" s="167" t="s">
        <v>314</v>
      </c>
      <c r="CB8" s="167" t="s">
        <v>315</v>
      </c>
      <c r="CC8" s="167" t="s">
        <v>322</v>
      </c>
      <c r="CD8" s="168" t="s">
        <v>318</v>
      </c>
      <c r="CE8" s="256">
        <f>BU18</f>
        <v>3990000</v>
      </c>
      <c r="CF8" s="167" t="s">
        <v>317</v>
      </c>
      <c r="CI8" s="81" t="s">
        <v>322</v>
      </c>
      <c r="CJ8" s="241">
        <f t="shared" si="1"/>
        <v>1940369.480716846</v>
      </c>
      <c r="CK8" s="241">
        <f t="shared" si="2"/>
        <v>2900000</v>
      </c>
      <c r="CL8" s="241">
        <f t="shared" si="3"/>
        <v>3990000</v>
      </c>
      <c r="CO8" s="243" t="s">
        <v>373</v>
      </c>
      <c r="CP8" s="243" t="s">
        <v>387</v>
      </c>
      <c r="CQ8" s="244">
        <v>296</v>
      </c>
      <c r="CR8" s="244">
        <v>6.4500000000000002E-2</v>
      </c>
      <c r="CS8" s="243">
        <v>4584.37</v>
      </c>
      <c r="CT8" s="243" t="s">
        <v>420</v>
      </c>
      <c r="CU8" s="244">
        <v>2E-16</v>
      </c>
      <c r="CV8" s="81" t="s">
        <v>385</v>
      </c>
      <c r="CW8" s="245" t="s">
        <v>460</v>
      </c>
      <c r="CX8" s="249" t="s">
        <v>464</v>
      </c>
      <c r="CY8" s="246" t="s">
        <v>318</v>
      </c>
      <c r="CZ8" s="265">
        <f t="shared" si="12"/>
        <v>0.997</v>
      </c>
      <c r="DA8" s="245" t="s">
        <v>317</v>
      </c>
      <c r="DC8" s="169" t="s">
        <v>460</v>
      </c>
      <c r="DD8" s="260" t="s">
        <v>464</v>
      </c>
      <c r="DE8" s="258" t="s">
        <v>318</v>
      </c>
      <c r="DF8" s="169">
        <f>$O$13*$Z$37*$AP$4</f>
        <v>1.2317952476395213</v>
      </c>
      <c r="DG8" s="169" t="s">
        <v>317</v>
      </c>
    </row>
    <row r="9" spans="2:111" ht="15" customHeight="1" thickTop="1" thickBot="1" x14ac:dyDescent="0.3">
      <c r="B9" s="175"/>
      <c r="C9" s="176"/>
      <c r="D9" s="176"/>
      <c r="E9" s="178" t="s">
        <v>52</v>
      </c>
      <c r="F9" s="184" t="s">
        <v>36</v>
      </c>
      <c r="G9" s="179">
        <f t="shared" si="6"/>
        <v>0.15121359223300967</v>
      </c>
      <c r="H9" s="176"/>
      <c r="I9" s="180">
        <f>'Tabula data'!B19*'Gebouwgegevens Tabula 2zone'!D45</f>
        <v>6.2299999999999995</v>
      </c>
      <c r="K9" t="s">
        <v>49</v>
      </c>
      <c r="L9" s="208">
        <v>0</v>
      </c>
      <c r="M9" s="209">
        <v>1</v>
      </c>
      <c r="N9" s="209" t="s">
        <v>25</v>
      </c>
      <c r="O9" s="210">
        <f>'Tabula data'!B10*(1-D42)/2*D44</f>
        <v>40.288499999999999</v>
      </c>
      <c r="P9" s="211" t="s">
        <v>50</v>
      </c>
      <c r="Q9" s="30">
        <f t="shared" si="7"/>
        <v>2.2022341505875525</v>
      </c>
      <c r="R9" s="30">
        <f t="shared" si="8"/>
        <v>88.724710575946602</v>
      </c>
      <c r="S9" s="30">
        <f t="shared" si="9"/>
        <v>18124990.379999999</v>
      </c>
      <c r="T9" s="30">
        <f t="shared" si="10"/>
        <v>449880</v>
      </c>
      <c r="U9" s="30">
        <f t="shared" si="11"/>
        <v>16312007.879999999</v>
      </c>
      <c r="V9" s="31"/>
      <c r="W9" s="223"/>
      <c r="X9" s="175"/>
      <c r="Y9" s="184" t="s">
        <v>55</v>
      </c>
      <c r="Z9" s="176">
        <v>2.5000000000000001E-2</v>
      </c>
      <c r="AA9" s="176">
        <v>0.11</v>
      </c>
      <c r="AB9" s="176">
        <v>550</v>
      </c>
      <c r="AC9" s="176">
        <v>1880</v>
      </c>
      <c r="AD9" s="227">
        <f>Z9/AA9</f>
        <v>0.22727272727272729</v>
      </c>
      <c r="AE9" s="177">
        <f>Z9*AB9*AC9</f>
        <v>25850</v>
      </c>
      <c r="AF9" s="228" t="s">
        <v>270</v>
      </c>
      <c r="AG9" s="222"/>
      <c r="AH9" s="222"/>
      <c r="AM9" s="158" t="s">
        <v>314</v>
      </c>
      <c r="AN9" s="81" t="s">
        <v>315</v>
      </c>
      <c r="AO9" s="81" t="s">
        <v>322</v>
      </c>
      <c r="AP9" s="166">
        <f>C34*1.04*1012*5</f>
        <v>1940369.480716846</v>
      </c>
      <c r="AQ9" s="81" t="s">
        <v>317</v>
      </c>
      <c r="AR9" s="166">
        <v>2745646</v>
      </c>
      <c r="AV9" s="167" t="s">
        <v>314</v>
      </c>
      <c r="AW9" s="167" t="s">
        <v>315</v>
      </c>
      <c r="AX9" s="167" t="s">
        <v>322</v>
      </c>
      <c r="AY9" s="168" t="s">
        <v>318</v>
      </c>
      <c r="AZ9" s="161">
        <f>AP9</f>
        <v>1940369.480716846</v>
      </c>
      <c r="BA9" s="167" t="s">
        <v>317</v>
      </c>
      <c r="BC9" s="81" t="s">
        <v>373</v>
      </c>
      <c r="BD9" s="81" t="s">
        <v>388</v>
      </c>
      <c r="BE9" s="166">
        <v>291</v>
      </c>
      <c r="BF9" s="166">
        <v>8.3099999999999993E-2</v>
      </c>
      <c r="BG9" s="81">
        <v>3501.39</v>
      </c>
      <c r="BH9" s="81" t="s">
        <v>384</v>
      </c>
      <c r="BI9" s="81" t="s">
        <v>385</v>
      </c>
      <c r="BL9" s="167" t="s">
        <v>314</v>
      </c>
      <c r="BM9" s="167" t="s">
        <v>315</v>
      </c>
      <c r="BN9" s="167" t="s">
        <v>322</v>
      </c>
      <c r="BO9" s="168" t="s">
        <v>318</v>
      </c>
      <c r="BP9" s="161">
        <f>BE18</f>
        <v>2900000</v>
      </c>
      <c r="BQ9" s="167" t="s">
        <v>317</v>
      </c>
      <c r="BS9" s="81" t="s">
        <v>373</v>
      </c>
      <c r="BT9" s="81" t="s">
        <v>388</v>
      </c>
      <c r="BU9" s="166">
        <v>289</v>
      </c>
      <c r="BV9" s="166">
        <v>0.17100000000000001</v>
      </c>
      <c r="BW9" s="81">
        <v>1684.81</v>
      </c>
      <c r="BX9" s="81" t="s">
        <v>420</v>
      </c>
      <c r="BY9" s="166">
        <v>2E-16</v>
      </c>
      <c r="BZ9" s="81" t="s">
        <v>385</v>
      </c>
      <c r="CA9" s="167" t="s">
        <v>314</v>
      </c>
      <c r="CB9" s="167" t="s">
        <v>315</v>
      </c>
      <c r="CC9" s="167" t="s">
        <v>323</v>
      </c>
      <c r="CD9" s="168" t="s">
        <v>318</v>
      </c>
      <c r="CE9" s="256">
        <f>BU19</f>
        <v>92100000</v>
      </c>
      <c r="CF9" s="167" t="s">
        <v>317</v>
      </c>
      <c r="CI9" s="81" t="s">
        <v>323</v>
      </c>
      <c r="CJ9" s="241">
        <f t="shared" si="1"/>
        <v>89016957.288000003</v>
      </c>
      <c r="CK9" s="241">
        <f t="shared" si="2"/>
        <v>50500000</v>
      </c>
      <c r="CL9" s="241">
        <f t="shared" si="3"/>
        <v>92100000</v>
      </c>
      <c r="CO9" s="243" t="s">
        <v>373</v>
      </c>
      <c r="CP9" s="243" t="s">
        <v>388</v>
      </c>
      <c r="CQ9" s="244">
        <v>289</v>
      </c>
      <c r="CR9" s="244">
        <v>0.14399999999999999</v>
      </c>
      <c r="CS9" s="243">
        <v>2011.32</v>
      </c>
      <c r="CT9" s="243" t="s">
        <v>420</v>
      </c>
      <c r="CU9" s="244">
        <v>2E-16</v>
      </c>
      <c r="CV9" s="81" t="s">
        <v>385</v>
      </c>
      <c r="CW9" s="245" t="s">
        <v>460</v>
      </c>
      <c r="CX9" s="249" t="s">
        <v>465</v>
      </c>
      <c r="CY9" s="246" t="s">
        <v>318</v>
      </c>
      <c r="CZ9" s="265">
        <f t="shared" si="12"/>
        <v>2.21</v>
      </c>
      <c r="DA9" s="245" t="s">
        <v>317</v>
      </c>
      <c r="DC9" s="169" t="s">
        <v>460</v>
      </c>
      <c r="DD9" s="260" t="s">
        <v>465</v>
      </c>
      <c r="DE9" s="258" t="s">
        <v>318</v>
      </c>
      <c r="DF9" s="169">
        <f>$O$11*$Z$37*$AP$5</f>
        <v>2.5743136636061905</v>
      </c>
      <c r="DG9" s="169" t="s">
        <v>317</v>
      </c>
    </row>
    <row r="10" spans="2:111" ht="15" customHeight="1" thickTop="1" thickBot="1" x14ac:dyDescent="0.3">
      <c r="B10" s="175"/>
      <c r="C10" s="176"/>
      <c r="D10" s="176"/>
      <c r="E10" s="178" t="s">
        <v>35</v>
      </c>
      <c r="F10" s="184" t="s">
        <v>56</v>
      </c>
      <c r="G10" s="179">
        <f t="shared" si="6"/>
        <v>7.8640776699029136E-2</v>
      </c>
      <c r="H10" s="176"/>
      <c r="I10" s="185">
        <f>'Tabula data'!B16*(1-D45)</f>
        <v>3.2400000000000007</v>
      </c>
      <c r="K10" t="s">
        <v>53</v>
      </c>
      <c r="L10" s="208">
        <v>0</v>
      </c>
      <c r="M10" s="209">
        <v>1</v>
      </c>
      <c r="N10" s="209" t="s">
        <v>54</v>
      </c>
      <c r="O10" s="210">
        <f>I6</f>
        <v>7.56</v>
      </c>
      <c r="P10" s="211" t="s">
        <v>26</v>
      </c>
      <c r="Q10" s="30">
        <f t="shared" si="7"/>
        <v>5</v>
      </c>
      <c r="R10" s="30">
        <f t="shared" si="8"/>
        <v>37.799999999999997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223"/>
      <c r="X10" s="187"/>
      <c r="Y10" s="174" t="s">
        <v>433</v>
      </c>
      <c r="Z10" s="174">
        <v>0.02</v>
      </c>
      <c r="AA10" s="174">
        <v>0.6</v>
      </c>
      <c r="AB10" s="174">
        <v>975</v>
      </c>
      <c r="AC10" s="174">
        <v>840</v>
      </c>
      <c r="AD10" s="229">
        <f>Z10/AA10</f>
        <v>3.3333333333333333E-2</v>
      </c>
      <c r="AE10" s="192">
        <f>Z10*AB10*AC10</f>
        <v>16380</v>
      </c>
      <c r="AF10" s="222"/>
      <c r="AG10" s="222"/>
      <c r="AH10" s="222"/>
      <c r="AM10" s="158" t="s">
        <v>314</v>
      </c>
      <c r="AN10" s="81" t="s">
        <v>315</v>
      </c>
      <c r="AO10" s="81" t="s">
        <v>323</v>
      </c>
      <c r="AP10" s="166">
        <f>SUM(U6:U9)</f>
        <v>89016957.288000003</v>
      </c>
      <c r="AQ10" s="81" t="s">
        <v>317</v>
      </c>
      <c r="AR10" s="166">
        <v>14395560</v>
      </c>
      <c r="AV10" s="167" t="s">
        <v>314</v>
      </c>
      <c r="AW10" s="167" t="s">
        <v>315</v>
      </c>
      <c r="AX10" s="167" t="s">
        <v>323</v>
      </c>
      <c r="AY10" s="168" t="s">
        <v>318</v>
      </c>
      <c r="AZ10" s="161">
        <f t="shared" ref="AZ10:AZ12" si="13">AP10</f>
        <v>89016957.288000003</v>
      </c>
      <c r="BA10" s="167" t="s">
        <v>317</v>
      </c>
      <c r="BC10" s="81" t="s">
        <v>373</v>
      </c>
      <c r="BD10" s="81" t="s">
        <v>389</v>
      </c>
      <c r="BE10" s="166">
        <v>291</v>
      </c>
      <c r="BF10" s="166">
        <v>7.2099999999999997E-2</v>
      </c>
      <c r="BG10" s="81">
        <v>4032.89</v>
      </c>
      <c r="BH10" s="81" t="s">
        <v>384</v>
      </c>
      <c r="BI10" s="81" t="s">
        <v>385</v>
      </c>
      <c r="BL10" s="167" t="s">
        <v>314</v>
      </c>
      <c r="BM10" s="167" t="s">
        <v>315</v>
      </c>
      <c r="BN10" s="167" t="s">
        <v>323</v>
      </c>
      <c r="BO10" s="168" t="s">
        <v>318</v>
      </c>
      <c r="BP10" s="161">
        <f t="shared" ref="BP10:BP11" si="14">BE19</f>
        <v>50500000</v>
      </c>
      <c r="BQ10" s="167" t="s">
        <v>317</v>
      </c>
      <c r="BS10" s="81" t="s">
        <v>373</v>
      </c>
      <c r="BT10" s="81" t="s">
        <v>389</v>
      </c>
      <c r="BU10" s="166">
        <v>289</v>
      </c>
      <c r="BV10" s="166">
        <v>7.0099999999999996E-2</v>
      </c>
      <c r="BW10" s="81">
        <v>4115.0600000000004</v>
      </c>
      <c r="BX10" s="81" t="s">
        <v>420</v>
      </c>
      <c r="BY10" s="166">
        <v>2E-16</v>
      </c>
      <c r="BZ10" s="81" t="s">
        <v>385</v>
      </c>
      <c r="CA10" s="167" t="s">
        <v>314</v>
      </c>
      <c r="CB10" s="167" t="s">
        <v>315</v>
      </c>
      <c r="CC10" s="167" t="s">
        <v>324</v>
      </c>
      <c r="CD10" s="168" t="s">
        <v>318</v>
      </c>
      <c r="CE10" s="256">
        <f>BU20</f>
        <v>22500000</v>
      </c>
      <c r="CF10" s="167" t="s">
        <v>317</v>
      </c>
      <c r="CI10" s="81" t="s">
        <v>324</v>
      </c>
      <c r="CJ10" s="241">
        <f t="shared" si="1"/>
        <v>33058164.636000004</v>
      </c>
      <c r="CK10" s="241">
        <f t="shared" si="2"/>
        <v>32700000</v>
      </c>
      <c r="CL10" s="241">
        <f t="shared" si="3"/>
        <v>22500000</v>
      </c>
      <c r="CO10" s="243" t="s">
        <v>373</v>
      </c>
      <c r="CP10" s="243" t="s">
        <v>389</v>
      </c>
      <c r="CQ10" s="244">
        <v>290</v>
      </c>
      <c r="CR10" s="244">
        <v>6.2199999999999998E-2</v>
      </c>
      <c r="CS10" s="243">
        <v>4661.5</v>
      </c>
      <c r="CT10" s="243" t="s">
        <v>420</v>
      </c>
      <c r="CU10" s="244">
        <v>2E-16</v>
      </c>
      <c r="CV10" s="81" t="s">
        <v>385</v>
      </c>
      <c r="CW10" s="245" t="s">
        <v>460</v>
      </c>
      <c r="CX10" s="249" t="s">
        <v>466</v>
      </c>
      <c r="CY10" s="246" t="s">
        <v>318</v>
      </c>
      <c r="CZ10" s="247">
        <f t="shared" si="12"/>
        <v>3.14</v>
      </c>
      <c r="DA10" s="245" t="s">
        <v>317</v>
      </c>
      <c r="DC10" s="169" t="s">
        <v>460</v>
      </c>
      <c r="DD10" s="260" t="s">
        <v>466</v>
      </c>
      <c r="DE10" s="258" t="s">
        <v>318</v>
      </c>
      <c r="DF10" s="169">
        <f>$O$10*$Z$37*$AP$5</f>
        <v>2.9895255448329956</v>
      </c>
      <c r="DG10" s="169" t="s">
        <v>317</v>
      </c>
    </row>
    <row r="11" spans="2:111" ht="15" customHeight="1" thickTop="1" thickBot="1" x14ac:dyDescent="0.3">
      <c r="B11" s="175"/>
      <c r="C11" s="176"/>
      <c r="D11" s="176"/>
      <c r="E11" s="178" t="s">
        <v>43</v>
      </c>
      <c r="F11" s="184" t="s">
        <v>56</v>
      </c>
      <c r="G11" s="179">
        <f t="shared" si="6"/>
        <v>6.7718446601941748E-2</v>
      </c>
      <c r="H11" s="176"/>
      <c r="I11" s="185">
        <f>'Tabula data'!B17*(1-'Gebouwgegevens Tabula 2zone'!D45)</f>
        <v>2.7900000000000005</v>
      </c>
      <c r="K11" t="s">
        <v>57</v>
      </c>
      <c r="L11" s="208">
        <v>0</v>
      </c>
      <c r="M11" s="209">
        <v>1</v>
      </c>
      <c r="N11" s="209" t="s">
        <v>54</v>
      </c>
      <c r="O11" s="210">
        <f>I7</f>
        <v>6.51</v>
      </c>
      <c r="P11" s="211" t="s">
        <v>39</v>
      </c>
      <c r="Q11" s="30">
        <f t="shared" si="7"/>
        <v>5</v>
      </c>
      <c r="R11" s="30">
        <f t="shared" si="8"/>
        <v>32.549999999999997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223"/>
      <c r="X11" s="176"/>
      <c r="Y11" s="176"/>
      <c r="Z11" s="230"/>
      <c r="AA11" s="230"/>
      <c r="AB11" s="230"/>
      <c r="AC11" s="176"/>
      <c r="AD11" s="227"/>
      <c r="AE11" s="176"/>
      <c r="AF11" s="222"/>
      <c r="AG11" s="222"/>
      <c r="AH11" s="222"/>
      <c r="AM11" s="158" t="s">
        <v>314</v>
      </c>
      <c r="AN11" s="81" t="s">
        <v>315</v>
      </c>
      <c r="AO11" s="81" t="s">
        <v>324</v>
      </c>
      <c r="AP11" s="166">
        <f>SUM(U27,U30)</f>
        <v>33058164.636000004</v>
      </c>
      <c r="AQ11" s="81" t="s">
        <v>317</v>
      </c>
      <c r="AR11" s="166">
        <v>26154150</v>
      </c>
      <c r="AV11" s="167" t="s">
        <v>314</v>
      </c>
      <c r="AW11" s="167" t="s">
        <v>315</v>
      </c>
      <c r="AX11" s="167" t="s">
        <v>324</v>
      </c>
      <c r="AY11" s="168" t="s">
        <v>318</v>
      </c>
      <c r="AZ11" s="161">
        <f t="shared" si="13"/>
        <v>33058164.636000004</v>
      </c>
      <c r="BA11" s="167" t="s">
        <v>317</v>
      </c>
      <c r="BC11" s="81" t="s">
        <v>373</v>
      </c>
      <c r="BD11" s="81" t="s">
        <v>390</v>
      </c>
      <c r="BE11" s="166">
        <v>0.18</v>
      </c>
      <c r="BF11" s="166">
        <v>2.64E-3</v>
      </c>
      <c r="BG11" s="81">
        <v>67.989999999999995</v>
      </c>
      <c r="BH11" s="81" t="s">
        <v>384</v>
      </c>
      <c r="BI11" s="81" t="s">
        <v>385</v>
      </c>
      <c r="BL11" s="167" t="s">
        <v>314</v>
      </c>
      <c r="BM11" s="167" t="s">
        <v>315</v>
      </c>
      <c r="BN11" s="167" t="s">
        <v>324</v>
      </c>
      <c r="BO11" s="168" t="s">
        <v>318</v>
      </c>
      <c r="BP11" s="161">
        <f t="shared" si="14"/>
        <v>32700000</v>
      </c>
      <c r="BQ11" s="167" t="s">
        <v>317</v>
      </c>
      <c r="BS11" s="81" t="s">
        <v>373</v>
      </c>
      <c r="BT11" s="81" t="s">
        <v>390</v>
      </c>
      <c r="BU11" s="166">
        <v>0.216</v>
      </c>
      <c r="BV11" s="166">
        <v>1.01E-3</v>
      </c>
      <c r="BW11" s="81">
        <v>214.51</v>
      </c>
      <c r="BX11" s="81" t="s">
        <v>420</v>
      </c>
      <c r="BY11" s="166">
        <v>2E-16</v>
      </c>
      <c r="BZ11" s="81" t="s">
        <v>385</v>
      </c>
      <c r="CA11" s="167" t="s">
        <v>314</v>
      </c>
      <c r="CB11" s="167" t="s">
        <v>315</v>
      </c>
      <c r="CC11" s="167" t="s">
        <v>325</v>
      </c>
      <c r="CD11" s="168" t="s">
        <v>318</v>
      </c>
      <c r="CE11" s="256">
        <f>BU17</f>
        <v>3340000000</v>
      </c>
      <c r="CF11" s="167" t="s">
        <v>317</v>
      </c>
      <c r="CI11" s="81" t="s">
        <v>325</v>
      </c>
      <c r="CJ11" s="241">
        <f t="shared" si="1"/>
        <v>14901928.000000002</v>
      </c>
      <c r="CK11" s="241">
        <f t="shared" si="2"/>
        <v>14000000</v>
      </c>
      <c r="CL11" s="241">
        <f t="shared" si="3"/>
        <v>3340000000</v>
      </c>
      <c r="CO11" s="243" t="s">
        <v>373</v>
      </c>
      <c r="CP11" s="243" t="s">
        <v>442</v>
      </c>
      <c r="CQ11" s="244">
        <v>0.873</v>
      </c>
      <c r="CR11" s="244">
        <v>8.3000000000000004E-2</v>
      </c>
      <c r="CS11" s="243">
        <v>10.53</v>
      </c>
      <c r="CT11" s="243" t="s">
        <v>420</v>
      </c>
      <c r="CU11" s="244">
        <v>2E-16</v>
      </c>
      <c r="CV11" s="81" t="s">
        <v>385</v>
      </c>
      <c r="CW11" s="245" t="s">
        <v>460</v>
      </c>
      <c r="CX11" s="249" t="s">
        <v>467</v>
      </c>
      <c r="CY11" s="246" t="s">
        <v>318</v>
      </c>
      <c r="CZ11" s="265">
        <f t="shared" si="12"/>
        <v>2.46</v>
      </c>
      <c r="DA11" s="245" t="s">
        <v>317</v>
      </c>
      <c r="DC11" s="169" t="s">
        <v>460</v>
      </c>
      <c r="DD11" s="260" t="s">
        <v>467</v>
      </c>
      <c r="DE11" s="258" t="s">
        <v>318</v>
      </c>
      <c r="DF11" s="169">
        <f>$O$12*$Z$37*$AP$5</f>
        <v>3.3770566339780137</v>
      </c>
      <c r="DG11" s="169" t="s">
        <v>317</v>
      </c>
    </row>
    <row r="12" spans="2:111" ht="15" customHeight="1" thickTop="1" thickBot="1" x14ac:dyDescent="0.3">
      <c r="B12" s="175"/>
      <c r="C12" s="176"/>
      <c r="D12" s="176"/>
      <c r="E12" s="178" t="s">
        <v>48</v>
      </c>
      <c r="F12" s="184" t="s">
        <v>56</v>
      </c>
      <c r="G12" s="179">
        <f t="shared" si="6"/>
        <v>8.8834951456310679E-2</v>
      </c>
      <c r="H12" s="176"/>
      <c r="I12" s="185">
        <f>'Tabula data'!B18*(1-'Gebouwgegevens Tabula 2zone'!D45)</f>
        <v>3.66</v>
      </c>
      <c r="K12" t="s">
        <v>59</v>
      </c>
      <c r="L12" s="208">
        <v>0</v>
      </c>
      <c r="M12" s="209">
        <v>1</v>
      </c>
      <c r="N12" s="209" t="s">
        <v>54</v>
      </c>
      <c r="O12" s="210">
        <f>I8</f>
        <v>8.5399999999999991</v>
      </c>
      <c r="P12" s="211" t="s">
        <v>45</v>
      </c>
      <c r="Q12" s="30">
        <f t="shared" si="7"/>
        <v>5</v>
      </c>
      <c r="R12" s="30">
        <f t="shared" si="8"/>
        <v>42.699999999999996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223"/>
      <c r="Z12" s="221" t="s">
        <v>4</v>
      </c>
      <c r="AA12" s="221">
        <v>2.2000000000000002</v>
      </c>
      <c r="AB12" s="221" t="s">
        <v>5</v>
      </c>
      <c r="AF12" s="222"/>
      <c r="AG12" s="222"/>
      <c r="AH12" s="222"/>
      <c r="AM12" s="158" t="s">
        <v>314</v>
      </c>
      <c r="AN12" s="81" t="s">
        <v>315</v>
      </c>
      <c r="AO12" s="81" t="s">
        <v>325</v>
      </c>
      <c r="AP12" s="166">
        <f>SUM(U14)</f>
        <v>14901928.000000002</v>
      </c>
      <c r="AQ12" s="81" t="s">
        <v>317</v>
      </c>
      <c r="AR12" s="166">
        <v>12228720</v>
      </c>
      <c r="AV12" s="167" t="s">
        <v>314</v>
      </c>
      <c r="AW12" s="167" t="s">
        <v>315</v>
      </c>
      <c r="AX12" s="167" t="s">
        <v>325</v>
      </c>
      <c r="AY12" s="168" t="s">
        <v>318</v>
      </c>
      <c r="AZ12" s="161">
        <f t="shared" si="13"/>
        <v>14901928.000000002</v>
      </c>
      <c r="BA12" s="167" t="s">
        <v>317</v>
      </c>
      <c r="BC12" s="81" t="s">
        <v>373</v>
      </c>
      <c r="BD12" s="81" t="s">
        <v>391</v>
      </c>
      <c r="BE12" s="166">
        <v>0.33600000000000002</v>
      </c>
      <c r="BF12" s="166">
        <v>2.32E-3</v>
      </c>
      <c r="BG12" s="81">
        <v>144.99</v>
      </c>
      <c r="BH12" s="81" t="s">
        <v>384</v>
      </c>
      <c r="BI12" s="81" t="s">
        <v>385</v>
      </c>
      <c r="BL12" s="167" t="s">
        <v>314</v>
      </c>
      <c r="BM12" s="167" t="s">
        <v>315</v>
      </c>
      <c r="BN12" s="167" t="s">
        <v>325</v>
      </c>
      <c r="BO12" s="168" t="s">
        <v>318</v>
      </c>
      <c r="BP12" s="161">
        <f>BE17</f>
        <v>14000000</v>
      </c>
      <c r="BQ12" s="167" t="s">
        <v>317</v>
      </c>
      <c r="BS12" s="81" t="s">
        <v>373</v>
      </c>
      <c r="BT12" s="81" t="s">
        <v>391</v>
      </c>
      <c r="BU12" s="166">
        <v>0.439</v>
      </c>
      <c r="BV12" s="166">
        <v>1.7799999999999999E-3</v>
      </c>
      <c r="BW12" s="81">
        <v>246.64</v>
      </c>
      <c r="BX12" s="81" t="s">
        <v>420</v>
      </c>
      <c r="BY12" s="166">
        <v>2E-16</v>
      </c>
      <c r="BZ12" s="81" t="s">
        <v>385</v>
      </c>
      <c r="CA12" s="167"/>
      <c r="CB12" s="167"/>
      <c r="CC12" s="167"/>
      <c r="CD12" s="168"/>
      <c r="CE12" s="161"/>
      <c r="CF12" s="167"/>
      <c r="CI12" s="81"/>
      <c r="CJ12" s="240">
        <f t="shared" si="1"/>
        <v>0</v>
      </c>
      <c r="CK12" s="240">
        <f t="shared" si="2"/>
        <v>0</v>
      </c>
      <c r="CL12" s="240">
        <f t="shared" si="3"/>
        <v>0</v>
      </c>
      <c r="CO12" s="243" t="s">
        <v>373</v>
      </c>
      <c r="CP12" s="243" t="s">
        <v>336</v>
      </c>
      <c r="CQ12" s="244">
        <v>3.78</v>
      </c>
      <c r="CR12" s="244">
        <v>0.186</v>
      </c>
      <c r="CS12" s="243">
        <v>20.28</v>
      </c>
      <c r="CT12" s="243" t="s">
        <v>420</v>
      </c>
      <c r="CU12" s="244">
        <v>2E-16</v>
      </c>
      <c r="CV12" s="81" t="s">
        <v>385</v>
      </c>
      <c r="CW12" s="245" t="s">
        <v>460</v>
      </c>
      <c r="CX12" s="248" t="s">
        <v>468</v>
      </c>
      <c r="CY12" s="246" t="s">
        <v>318</v>
      </c>
      <c r="CZ12" s="265">
        <f t="shared" si="12"/>
        <v>2.71</v>
      </c>
      <c r="DA12" s="245" t="s">
        <v>317</v>
      </c>
      <c r="DC12" s="169" t="s">
        <v>460</v>
      </c>
      <c r="DD12" s="259" t="s">
        <v>468</v>
      </c>
      <c r="DE12" s="258" t="s">
        <v>318</v>
      </c>
      <c r="DF12" s="169">
        <f>$O$13*$Z$37*$AP$5</f>
        <v>2.4635904952790426</v>
      </c>
      <c r="DG12" s="169" t="s">
        <v>317</v>
      </c>
    </row>
    <row r="13" spans="2:111" ht="15" customHeight="1" thickTop="1" thickBot="1" x14ac:dyDescent="0.3">
      <c r="B13" s="175"/>
      <c r="C13" s="176"/>
      <c r="D13" s="176"/>
      <c r="E13" s="178" t="s">
        <v>52</v>
      </c>
      <c r="F13" s="184" t="s">
        <v>56</v>
      </c>
      <c r="G13" s="179">
        <f t="shared" si="6"/>
        <v>6.4805825242718454E-2</v>
      </c>
      <c r="H13" s="176"/>
      <c r="I13" s="185">
        <f>'Tabula data'!B19*(1-'Gebouwgegevens Tabula 2zone'!D45)</f>
        <v>2.6700000000000004</v>
      </c>
      <c r="K13" t="s">
        <v>60</v>
      </c>
      <c r="L13" s="208">
        <v>0</v>
      </c>
      <c r="M13" s="209">
        <v>1</v>
      </c>
      <c r="N13" s="209" t="s">
        <v>54</v>
      </c>
      <c r="O13" s="210">
        <f>I9</f>
        <v>6.2299999999999995</v>
      </c>
      <c r="P13" s="211" t="s">
        <v>50</v>
      </c>
      <c r="Q13" s="30">
        <f t="shared" si="7"/>
        <v>5</v>
      </c>
      <c r="R13" s="30">
        <f t="shared" si="8"/>
        <v>31.15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223"/>
      <c r="X13" s="216" t="s">
        <v>64</v>
      </c>
      <c r="Y13" s="217"/>
      <c r="Z13" s="218" t="s">
        <v>21</v>
      </c>
      <c r="AA13" s="219">
        <f>1/(1/8+SUM(AD15:AD19)+1/23)</f>
        <v>2.2022341505875525</v>
      </c>
      <c r="AB13" s="217" t="s">
        <v>5</v>
      </c>
      <c r="AC13" s="217"/>
      <c r="AD13" s="217" t="s">
        <v>22</v>
      </c>
      <c r="AE13" s="220">
        <f>SUM(AE15:AE20)</f>
        <v>449880</v>
      </c>
      <c r="AF13" s="222" t="s">
        <v>23</v>
      </c>
      <c r="AG13" s="222">
        <f>SUM(AE18:AE19)</f>
        <v>404880</v>
      </c>
      <c r="AH13" s="222"/>
      <c r="AP13" s="166"/>
      <c r="AQ13" s="81" t="s">
        <v>317</v>
      </c>
      <c r="AR13" s="166"/>
      <c r="AV13" s="167"/>
      <c r="AW13" s="167"/>
      <c r="AX13" s="167"/>
      <c r="AY13" s="168"/>
      <c r="BA13" s="167"/>
      <c r="BC13" s="81" t="s">
        <v>373</v>
      </c>
      <c r="BD13" s="81" t="s">
        <v>392</v>
      </c>
      <c r="BE13" s="166">
        <v>0.33700000000000002</v>
      </c>
      <c r="BF13" s="166">
        <v>8.6800000000000002E-3</v>
      </c>
      <c r="BG13" s="81">
        <v>38.840000000000003</v>
      </c>
      <c r="BH13" s="81" t="s">
        <v>384</v>
      </c>
      <c r="BI13" s="81" t="s">
        <v>385</v>
      </c>
      <c r="BL13" s="167"/>
      <c r="BM13" s="167"/>
      <c r="BN13" s="167"/>
      <c r="BO13" s="168"/>
      <c r="BP13" s="161"/>
      <c r="BQ13" s="167"/>
      <c r="BS13" s="81" t="s">
        <v>373</v>
      </c>
      <c r="BT13" s="81" t="s">
        <v>392</v>
      </c>
      <c r="BU13" s="166">
        <v>9.2700000000000005E-2</v>
      </c>
      <c r="BV13" s="166">
        <v>1.7000000000000001E-2</v>
      </c>
      <c r="BW13" s="81">
        <v>5.46</v>
      </c>
      <c r="BX13" s="166">
        <v>4.6999999999999997E-8</v>
      </c>
      <c r="BY13" s="81" t="s">
        <v>385</v>
      </c>
      <c r="BZ13" s="81"/>
      <c r="CA13" s="167" t="s">
        <v>314</v>
      </c>
      <c r="CB13" s="167" t="s">
        <v>315</v>
      </c>
      <c r="CC13" s="167" t="s">
        <v>326</v>
      </c>
      <c r="CD13" s="168" t="s">
        <v>318</v>
      </c>
      <c r="CE13" s="161">
        <f>BU26</f>
        <v>8.43E-2</v>
      </c>
      <c r="CF13" s="167" t="s">
        <v>317</v>
      </c>
      <c r="CI13" s="81" t="s">
        <v>326</v>
      </c>
      <c r="CJ13" s="239">
        <f t="shared" si="1"/>
        <v>6.8179290841839893E-2</v>
      </c>
      <c r="CK13" s="239">
        <f t="shared" si="2"/>
        <v>0.128</v>
      </c>
      <c r="CL13" s="239">
        <f t="shared" si="3"/>
        <v>8.43E-2</v>
      </c>
      <c r="CO13" s="243" t="s">
        <v>373</v>
      </c>
      <c r="CP13" s="243" t="s">
        <v>443</v>
      </c>
      <c r="CQ13" s="244">
        <v>1.71</v>
      </c>
      <c r="CR13" s="244">
        <v>3.8800000000000001E-2</v>
      </c>
      <c r="CS13" s="243">
        <v>44.22</v>
      </c>
      <c r="CT13" s="243" t="s">
        <v>420</v>
      </c>
      <c r="CU13" s="244">
        <v>2E-16</v>
      </c>
      <c r="CV13" s="81" t="s">
        <v>385</v>
      </c>
      <c r="CW13" s="245" t="s">
        <v>460</v>
      </c>
      <c r="CX13" s="250" t="s">
        <v>469</v>
      </c>
      <c r="CY13" s="246" t="s">
        <v>318</v>
      </c>
      <c r="CZ13" s="247">
        <f t="shared" si="12"/>
        <v>1.1599999999999999</v>
      </c>
      <c r="DA13" s="245" t="s">
        <v>317</v>
      </c>
      <c r="DC13" s="169" t="s">
        <v>460</v>
      </c>
      <c r="DD13" s="261" t="s">
        <v>469</v>
      </c>
      <c r="DE13" s="258" t="s">
        <v>318</v>
      </c>
      <c r="DF13" s="169">
        <f>$O$11*$Z$37*$AP$6</f>
        <v>0.16884192734016434</v>
      </c>
      <c r="DG13" s="169" t="s">
        <v>317</v>
      </c>
    </row>
    <row r="14" spans="2:111" ht="15" customHeight="1" thickTop="1" thickBot="1" x14ac:dyDescent="0.3">
      <c r="B14" s="175"/>
      <c r="C14" s="176"/>
      <c r="D14" s="176"/>
      <c r="E14" s="197" t="s">
        <v>65</v>
      </c>
      <c r="F14" s="194"/>
      <c r="G14" s="194"/>
      <c r="H14" s="194"/>
      <c r="I14" s="198"/>
      <c r="K14" t="s">
        <v>61</v>
      </c>
      <c r="L14" s="208" t="s">
        <v>62</v>
      </c>
      <c r="M14" s="209">
        <v>1</v>
      </c>
      <c r="N14" s="209" t="s">
        <v>63</v>
      </c>
      <c r="O14" s="210">
        <f>C7</f>
        <v>134.30000000000001</v>
      </c>
      <c r="P14" s="211"/>
      <c r="Q14" s="30">
        <f t="shared" si="7"/>
        <v>2.8187919463087252</v>
      </c>
      <c r="R14" s="30">
        <f t="shared" si="8"/>
        <v>378.56375838926181</v>
      </c>
      <c r="S14" s="30">
        <f t="shared" si="9"/>
        <v>50437708.000000007</v>
      </c>
      <c r="T14" s="30">
        <f t="shared" si="10"/>
        <v>375560</v>
      </c>
      <c r="U14" s="30">
        <f t="shared" si="11"/>
        <v>14901928.000000002</v>
      </c>
      <c r="V14" s="31"/>
      <c r="W14" s="223"/>
      <c r="X14" s="224"/>
      <c r="Y14" s="225" t="s">
        <v>27</v>
      </c>
      <c r="Z14" s="225" t="s">
        <v>28</v>
      </c>
      <c r="AA14" s="225" t="s">
        <v>29</v>
      </c>
      <c r="AB14" s="225" t="s">
        <v>30</v>
      </c>
      <c r="AC14" s="225" t="s">
        <v>31</v>
      </c>
      <c r="AD14" s="225" t="s">
        <v>32</v>
      </c>
      <c r="AE14" s="226" t="s">
        <v>33</v>
      </c>
      <c r="AF14" s="222"/>
      <c r="AG14" s="222"/>
      <c r="AH14" s="222"/>
      <c r="AM14" s="158" t="s">
        <v>314</v>
      </c>
      <c r="AN14" s="81" t="s">
        <v>315</v>
      </c>
      <c r="AO14" s="81" t="s">
        <v>326</v>
      </c>
      <c r="AP14" s="81">
        <f>AP4*0.2</f>
        <v>4.5452860561226605E-2</v>
      </c>
      <c r="AQ14" s="81" t="s">
        <v>317</v>
      </c>
      <c r="AR14" s="166">
        <v>6.5890790000000005E-2</v>
      </c>
      <c r="AV14" s="167" t="s">
        <v>314</v>
      </c>
      <c r="AW14" s="167" t="s">
        <v>315</v>
      </c>
      <c r="AX14" s="167" t="s">
        <v>326</v>
      </c>
      <c r="AY14" s="168" t="s">
        <v>318</v>
      </c>
      <c r="AZ14" s="161">
        <f>AZ4*0.3</f>
        <v>6.8179290841839893E-2</v>
      </c>
      <c r="BA14" s="167" t="s">
        <v>317</v>
      </c>
      <c r="BC14" s="81" t="s">
        <v>373</v>
      </c>
      <c r="BD14" s="81" t="s">
        <v>393</v>
      </c>
      <c r="BE14" s="166">
        <v>0.10299999999999999</v>
      </c>
      <c r="BF14" s="166">
        <v>2.4099999999999998E-3</v>
      </c>
      <c r="BG14" s="81">
        <v>42.8</v>
      </c>
      <c r="BH14" s="81" t="s">
        <v>384</v>
      </c>
      <c r="BI14" s="81" t="s">
        <v>385</v>
      </c>
      <c r="BL14" s="167" t="s">
        <v>314</v>
      </c>
      <c r="BM14" s="167" t="s">
        <v>315</v>
      </c>
      <c r="BN14" s="167" t="s">
        <v>326</v>
      </c>
      <c r="BO14" s="168" t="s">
        <v>318</v>
      </c>
      <c r="BP14" s="161">
        <f>BE26</f>
        <v>0.128</v>
      </c>
      <c r="BQ14" s="167" t="s">
        <v>317</v>
      </c>
      <c r="BS14" s="81" t="s">
        <v>373</v>
      </c>
      <c r="BT14" s="81" t="s">
        <v>393</v>
      </c>
      <c r="BU14" s="166">
        <v>0.14899999999999999</v>
      </c>
      <c r="BV14" s="166">
        <v>5.0299999999999997E-4</v>
      </c>
      <c r="BW14" s="81">
        <v>296.68</v>
      </c>
      <c r="BX14" s="81" t="s">
        <v>420</v>
      </c>
      <c r="BY14" s="166">
        <v>2E-16</v>
      </c>
      <c r="BZ14" s="81" t="s">
        <v>385</v>
      </c>
      <c r="CA14" s="167" t="s">
        <v>314</v>
      </c>
      <c r="CB14" s="167" t="s">
        <v>315</v>
      </c>
      <c r="CC14" s="167" t="s">
        <v>327</v>
      </c>
      <c r="CD14" s="168" t="s">
        <v>318</v>
      </c>
      <c r="CE14" s="161">
        <f>BU27</f>
        <v>0.16600000000000001</v>
      </c>
      <c r="CF14" s="167" t="s">
        <v>317</v>
      </c>
      <c r="CI14" s="81" t="s">
        <v>327</v>
      </c>
      <c r="CJ14" s="239">
        <f t="shared" si="1"/>
        <v>0.13635858168367979</v>
      </c>
      <c r="CK14" s="239">
        <f t="shared" si="2"/>
        <v>0.23499999999999999</v>
      </c>
      <c r="CL14" s="239">
        <f t="shared" si="3"/>
        <v>0.16600000000000001</v>
      </c>
      <c r="CO14" s="243" t="s">
        <v>373</v>
      </c>
      <c r="CP14" s="243" t="s">
        <v>444</v>
      </c>
      <c r="CQ14" s="244">
        <v>0.997</v>
      </c>
      <c r="CR14" s="244">
        <v>3.6700000000000003E-2</v>
      </c>
      <c r="CS14" s="243">
        <v>27.16</v>
      </c>
      <c r="CT14" s="243" t="s">
        <v>420</v>
      </c>
      <c r="CU14" s="244">
        <v>2E-16</v>
      </c>
      <c r="CV14" s="81" t="s">
        <v>385</v>
      </c>
      <c r="CW14" s="245" t="s">
        <v>460</v>
      </c>
      <c r="CX14" s="250" t="s">
        <v>470</v>
      </c>
      <c r="CY14" s="246" t="s">
        <v>318</v>
      </c>
      <c r="CZ14" s="247">
        <f t="shared" si="12"/>
        <v>0.153</v>
      </c>
      <c r="DA14" s="245" t="s">
        <v>317</v>
      </c>
      <c r="DC14" s="169" t="s">
        <v>460</v>
      </c>
      <c r="DD14" s="261" t="s">
        <v>470</v>
      </c>
      <c r="DE14" s="258" t="s">
        <v>318</v>
      </c>
      <c r="DF14" s="169">
        <f>$O$10*$Z$37*$AP$6</f>
        <v>0.19607449626599729</v>
      </c>
      <c r="DG14" s="169" t="s">
        <v>317</v>
      </c>
    </row>
    <row r="15" spans="2:111" ht="15" customHeight="1" thickTop="1" thickBot="1" x14ac:dyDescent="0.3">
      <c r="B15" s="175"/>
      <c r="C15" s="176"/>
      <c r="D15" s="176"/>
      <c r="E15" s="186"/>
      <c r="F15" s="176"/>
      <c r="G15" s="176"/>
      <c r="H15" s="176"/>
      <c r="I15" s="177"/>
      <c r="K15" t="s">
        <v>66</v>
      </c>
      <c r="L15" s="208">
        <v>0</v>
      </c>
      <c r="M15" s="209">
        <v>1</v>
      </c>
      <c r="N15" s="209" t="s">
        <v>20</v>
      </c>
      <c r="O15" s="212">
        <v>0</v>
      </c>
      <c r="P15" s="211"/>
      <c r="Q15" s="30">
        <f t="shared" si="7"/>
        <v>1.714339326947635</v>
      </c>
      <c r="R15" s="30">
        <f t="shared" si="8"/>
        <v>0</v>
      </c>
      <c r="S15" s="30"/>
      <c r="T15" s="30">
        <f>S15/O25</f>
        <v>0</v>
      </c>
      <c r="U15" s="30">
        <f>VLOOKUP(N15,$X$5:$AG$391,10,0)*O25</f>
        <v>6689232</v>
      </c>
      <c r="V15" s="31"/>
      <c r="W15" s="223"/>
      <c r="X15" s="175"/>
      <c r="Y15" s="176"/>
      <c r="Z15" s="176"/>
      <c r="AA15" s="176"/>
      <c r="AB15" s="176"/>
      <c r="AC15" s="184"/>
      <c r="AD15" s="227"/>
      <c r="AE15" s="177"/>
      <c r="AF15" s="222"/>
      <c r="AG15" s="222"/>
      <c r="AH15" s="222"/>
      <c r="AM15" s="158" t="s">
        <v>314</v>
      </c>
      <c r="AN15" s="81" t="s">
        <v>315</v>
      </c>
      <c r="AO15" s="81" t="s">
        <v>327</v>
      </c>
      <c r="AP15" s="81">
        <f>AP5*0.2</f>
        <v>9.0905721122453209E-2</v>
      </c>
      <c r="AQ15" s="81" t="s">
        <v>317</v>
      </c>
      <c r="AR15" s="166">
        <v>0.1612856</v>
      </c>
      <c r="AV15" s="167" t="s">
        <v>314</v>
      </c>
      <c r="AW15" s="167" t="s">
        <v>315</v>
      </c>
      <c r="AX15" s="167" t="s">
        <v>327</v>
      </c>
      <c r="AY15" s="168" t="s">
        <v>318</v>
      </c>
      <c r="AZ15" s="161">
        <f>AZ5*0.3</f>
        <v>0.13635858168367979</v>
      </c>
      <c r="BA15" s="167" t="s">
        <v>317</v>
      </c>
      <c r="BC15" s="81" t="s">
        <v>373</v>
      </c>
      <c r="BD15" s="81" t="s">
        <v>394</v>
      </c>
      <c r="BE15" s="166">
        <v>2.8899999999999999E-2</v>
      </c>
      <c r="BF15" s="166">
        <v>2.8500000000000001E-3</v>
      </c>
      <c r="BG15" s="81">
        <v>10.15</v>
      </c>
      <c r="BH15" s="81" t="s">
        <v>384</v>
      </c>
      <c r="BI15" s="81" t="s">
        <v>385</v>
      </c>
      <c r="BL15" s="167" t="s">
        <v>314</v>
      </c>
      <c r="BM15" s="167" t="s">
        <v>315</v>
      </c>
      <c r="BN15" s="167" t="s">
        <v>327</v>
      </c>
      <c r="BO15" s="168" t="s">
        <v>318</v>
      </c>
      <c r="BP15" s="161">
        <f t="shared" ref="BP15:BP17" si="15">BE27</f>
        <v>0.23499999999999999</v>
      </c>
      <c r="BQ15" s="167" t="s">
        <v>317</v>
      </c>
      <c r="BS15" s="81" t="s">
        <v>373</v>
      </c>
      <c r="BT15" s="81" t="s">
        <v>394</v>
      </c>
      <c r="BU15" s="166">
        <v>6.9400000000000003E-2</v>
      </c>
      <c r="BV15" s="166">
        <v>4.9799999999999996E-4</v>
      </c>
      <c r="BW15" s="81">
        <v>139.41</v>
      </c>
      <c r="BX15" s="81" t="s">
        <v>420</v>
      </c>
      <c r="BY15" s="166">
        <v>2E-16</v>
      </c>
      <c r="BZ15" s="81" t="s">
        <v>385</v>
      </c>
      <c r="CA15" s="167" t="s">
        <v>314</v>
      </c>
      <c r="CB15" s="167" t="s">
        <v>315</v>
      </c>
      <c r="CC15" s="167" t="s">
        <v>328</v>
      </c>
      <c r="CD15" s="168" t="s">
        <v>318</v>
      </c>
      <c r="CE15" s="161">
        <f>BU28</f>
        <v>0.70499999999999996</v>
      </c>
      <c r="CF15" s="167" t="s">
        <v>317</v>
      </c>
      <c r="CI15" s="81" t="s">
        <v>328</v>
      </c>
      <c r="CJ15" s="239">
        <f t="shared" si="1"/>
        <v>0.70894337238943606</v>
      </c>
      <c r="CK15" s="239">
        <f t="shared" si="2"/>
        <v>0.53700000000000003</v>
      </c>
      <c r="CL15" s="239">
        <f t="shared" si="3"/>
        <v>0.70499999999999996</v>
      </c>
      <c r="CO15" s="243" t="s">
        <v>373</v>
      </c>
      <c r="CP15" s="243" t="s">
        <v>445</v>
      </c>
      <c r="CQ15" s="244">
        <v>2.21</v>
      </c>
      <c r="CR15" s="244">
        <v>0.16600000000000001</v>
      </c>
      <c r="CS15" s="243">
        <v>13.33</v>
      </c>
      <c r="CT15" s="243" t="s">
        <v>420</v>
      </c>
      <c r="CU15" s="244">
        <v>2E-16</v>
      </c>
      <c r="CV15" s="81" t="s">
        <v>385</v>
      </c>
      <c r="CW15" s="245" t="s">
        <v>460</v>
      </c>
      <c r="CX15" s="250" t="s">
        <v>471</v>
      </c>
      <c r="CY15" s="246" t="s">
        <v>318</v>
      </c>
      <c r="CZ15" s="247">
        <f t="shared" si="12"/>
        <v>0.57999999999999996</v>
      </c>
      <c r="DA15" s="245" t="s">
        <v>317</v>
      </c>
      <c r="DC15" s="169" t="s">
        <v>460</v>
      </c>
      <c r="DD15" s="261" t="s">
        <v>471</v>
      </c>
      <c r="DE15" s="258" t="s">
        <v>318</v>
      </c>
      <c r="DF15" s="169">
        <f>$O$12*$Z$37*$AP$6</f>
        <v>0.22149156059677472</v>
      </c>
      <c r="DG15" s="169" t="s">
        <v>317</v>
      </c>
    </row>
    <row r="16" spans="2:111" ht="15" customHeight="1" thickTop="1" thickBot="1" x14ac:dyDescent="0.3">
      <c r="B16" s="187"/>
      <c r="C16" s="174"/>
      <c r="D16" s="174"/>
      <c r="E16" s="178" t="s">
        <v>69</v>
      </c>
      <c r="F16" s="176"/>
      <c r="G16" s="188">
        <f>C4/C26</f>
        <v>1.2783711615487316</v>
      </c>
      <c r="H16" s="184" t="s">
        <v>70</v>
      </c>
      <c r="I16" s="177"/>
      <c r="K16" t="s">
        <v>67</v>
      </c>
      <c r="L16" s="208">
        <v>0</v>
      </c>
      <c r="M16" s="209">
        <v>1</v>
      </c>
      <c r="N16" s="209" t="s">
        <v>68</v>
      </c>
      <c r="O16" s="210">
        <f>'Tabula data'!B15</f>
        <v>9.5</v>
      </c>
      <c r="P16" s="211"/>
      <c r="Q16" s="30">
        <f t="shared" si="7"/>
        <v>4</v>
      </c>
      <c r="R16" s="30">
        <f t="shared" si="8"/>
        <v>38</v>
      </c>
      <c r="S16" s="30">
        <f t="shared" ref="S16:S28" si="16">VLOOKUP(N16,$X$5:$AE$392,8,0)*O16</f>
        <v>346940</v>
      </c>
      <c r="T16" s="30">
        <f t="shared" ref="T16:T28" si="17">S16/O16</f>
        <v>36520</v>
      </c>
      <c r="U16" s="30">
        <f t="shared" ref="U16:U28" si="18">VLOOKUP(N16,$X$5:$AG$391,10,0)*O16</f>
        <v>0</v>
      </c>
      <c r="V16" s="31"/>
      <c r="W16" s="223"/>
      <c r="X16" s="175"/>
      <c r="Y16" s="176"/>
      <c r="Z16" s="176"/>
      <c r="AA16" s="176"/>
      <c r="AB16" s="176"/>
      <c r="AC16" s="176"/>
      <c r="AD16" s="227"/>
      <c r="AE16" s="177"/>
      <c r="AF16" s="222"/>
      <c r="AG16" s="222"/>
      <c r="AH16" s="222"/>
      <c r="AM16" s="158" t="s">
        <v>314</v>
      </c>
      <c r="AN16" s="81" t="s">
        <v>315</v>
      </c>
      <c r="AO16" s="81" t="s">
        <v>328</v>
      </c>
      <c r="AP16" s="81">
        <f>AP6*0.2+0.8</f>
        <v>0.80596224825962415</v>
      </c>
      <c r="AQ16" s="81" t="s">
        <v>317</v>
      </c>
      <c r="AR16" s="166">
        <v>0.64236059999999995</v>
      </c>
      <c r="AV16" s="167" t="s">
        <v>314</v>
      </c>
      <c r="AW16" s="167" t="s">
        <v>315</v>
      </c>
      <c r="AX16" s="167" t="s">
        <v>328</v>
      </c>
      <c r="AY16" s="168" t="s">
        <v>318</v>
      </c>
      <c r="AZ16" s="161">
        <f>AZ6*0.3+0.7</f>
        <v>0.70894337238943606</v>
      </c>
      <c r="BA16" s="167" t="s">
        <v>317</v>
      </c>
      <c r="BC16" s="81" t="s">
        <v>373</v>
      </c>
      <c r="BD16" s="81" t="s">
        <v>303</v>
      </c>
      <c r="BE16" s="166">
        <v>5570000</v>
      </c>
      <c r="BF16" s="166">
        <v>58300</v>
      </c>
      <c r="BG16" s="81">
        <v>95.57</v>
      </c>
      <c r="BH16" s="81" t="s">
        <v>384</v>
      </c>
      <c r="BI16" s="81" t="s">
        <v>385</v>
      </c>
      <c r="BL16" s="167" t="s">
        <v>314</v>
      </c>
      <c r="BM16" s="167" t="s">
        <v>315</v>
      </c>
      <c r="BN16" s="167" t="s">
        <v>328</v>
      </c>
      <c r="BO16" s="168" t="s">
        <v>318</v>
      </c>
      <c r="BP16" s="161">
        <f t="shared" si="15"/>
        <v>0.53700000000000003</v>
      </c>
      <c r="BQ16" s="167" t="s">
        <v>317</v>
      </c>
      <c r="BS16" s="81" t="s">
        <v>373</v>
      </c>
      <c r="BT16" s="81" t="s">
        <v>303</v>
      </c>
      <c r="BU16" s="166">
        <v>999000000</v>
      </c>
      <c r="BV16" s="166">
        <v>226000</v>
      </c>
      <c r="BW16" s="81">
        <v>4415.57</v>
      </c>
      <c r="BX16" s="81" t="s">
        <v>420</v>
      </c>
      <c r="BY16" s="166">
        <v>2E-16</v>
      </c>
      <c r="BZ16" s="81" t="s">
        <v>385</v>
      </c>
      <c r="CA16" s="167" t="s">
        <v>314</v>
      </c>
      <c r="CB16" s="167" t="s">
        <v>315</v>
      </c>
      <c r="CC16" s="167" t="s">
        <v>329</v>
      </c>
      <c r="CD16" s="168" t="s">
        <v>318</v>
      </c>
      <c r="CE16" s="161">
        <f>BU29</f>
        <v>5.57E-2</v>
      </c>
      <c r="CF16" s="167" t="s">
        <v>317</v>
      </c>
      <c r="CI16" s="81" t="s">
        <v>329</v>
      </c>
      <c r="CJ16" s="239">
        <f t="shared" si="1"/>
        <v>4.1646841605453185E-2</v>
      </c>
      <c r="CK16" s="239">
        <f t="shared" si="2"/>
        <v>7.7399999999999997E-2</v>
      </c>
      <c r="CL16" s="239">
        <f t="shared" si="3"/>
        <v>5.57E-2</v>
      </c>
      <c r="CO16" s="243" t="s">
        <v>373</v>
      </c>
      <c r="CP16" s="243" t="s">
        <v>337</v>
      </c>
      <c r="CQ16" s="244">
        <v>3.14</v>
      </c>
      <c r="CR16" s="244">
        <v>0.48099999999999998</v>
      </c>
      <c r="CS16" s="243">
        <v>6.53</v>
      </c>
      <c r="CT16" s="244">
        <v>6.7000000000000001E-11</v>
      </c>
      <c r="CU16" s="243" t="s">
        <v>385</v>
      </c>
      <c r="CV16" s="81"/>
      <c r="CW16" s="245" t="s">
        <v>460</v>
      </c>
      <c r="CX16" s="250" t="s">
        <v>472</v>
      </c>
      <c r="CY16" s="246" t="s">
        <v>318</v>
      </c>
      <c r="CZ16" s="247">
        <f t="shared" si="12"/>
        <v>5.1900000000000002E-8</v>
      </c>
      <c r="DA16" s="245" t="s">
        <v>317</v>
      </c>
      <c r="DC16" s="169" t="s">
        <v>460</v>
      </c>
      <c r="DD16" s="261" t="s">
        <v>472</v>
      </c>
      <c r="DE16" s="258" t="s">
        <v>318</v>
      </c>
      <c r="DF16" s="169">
        <f>$O$13*$Z$37*$AP$6</f>
        <v>0.1615799089599422</v>
      </c>
      <c r="DG16" s="169" t="s">
        <v>317</v>
      </c>
    </row>
    <row r="17" spans="2:115" ht="15" customHeight="1" thickTop="1" thickBot="1" x14ac:dyDescent="0.3">
      <c r="B17" s="193" t="s">
        <v>73</v>
      </c>
      <c r="C17" s="195">
        <v>0</v>
      </c>
      <c r="D17" s="194" t="s">
        <v>9</v>
      </c>
      <c r="E17" s="178" t="s">
        <v>74</v>
      </c>
      <c r="F17" s="176"/>
      <c r="G17" s="188">
        <f>C26/C23</f>
        <v>2.1476702508960575</v>
      </c>
      <c r="H17" s="184"/>
      <c r="I17" s="177"/>
      <c r="K17" t="s">
        <v>71</v>
      </c>
      <c r="L17" s="208">
        <v>0</v>
      </c>
      <c r="M17" s="209">
        <v>2</v>
      </c>
      <c r="N17" s="209" t="s">
        <v>25</v>
      </c>
      <c r="O17" s="210">
        <f>'Tabula data'!B10*'Gebouwgegevens Tabula 2zone'!D42/2*(1-'Gebouwgegevens Tabula 2zone'!D43)</f>
        <v>0.7034500000000008</v>
      </c>
      <c r="P17" s="211" t="s">
        <v>26</v>
      </c>
      <c r="Q17" s="30">
        <f t="shared" si="7"/>
        <v>2.2022341505875525</v>
      </c>
      <c r="R17" s="30">
        <f t="shared" si="8"/>
        <v>1.5491616132308155</v>
      </c>
      <c r="S17" s="30">
        <f t="shared" si="16"/>
        <v>316468.08600000036</v>
      </c>
      <c r="T17" s="30">
        <f t="shared" si="17"/>
        <v>449880</v>
      </c>
      <c r="U17" s="30">
        <f t="shared" si="18"/>
        <v>284812.8360000003</v>
      </c>
      <c r="V17" s="31"/>
      <c r="W17" s="223"/>
      <c r="X17" s="175"/>
      <c r="Y17" s="176" t="s">
        <v>72</v>
      </c>
      <c r="Z17" s="176">
        <v>2.5000000000000001E-2</v>
      </c>
      <c r="AA17" s="176">
        <v>1</v>
      </c>
      <c r="AB17" s="176">
        <v>1800</v>
      </c>
      <c r="AC17" s="176">
        <v>1000</v>
      </c>
      <c r="AD17" s="227">
        <f>Z17/AA17</f>
        <v>2.5000000000000001E-2</v>
      </c>
      <c r="AE17" s="177">
        <f>Z17*AB17*AC17</f>
        <v>45000</v>
      </c>
      <c r="AF17" s="228" t="s">
        <v>271</v>
      </c>
      <c r="AG17" s="222"/>
      <c r="AH17" s="222"/>
      <c r="AM17" s="158" t="s">
        <v>314</v>
      </c>
      <c r="AN17" s="81" t="s">
        <v>315</v>
      </c>
      <c r="AO17" s="81" t="s">
        <v>329</v>
      </c>
      <c r="AP17" s="81">
        <f>AP7*0.2</f>
        <v>2.7764561070302125E-2</v>
      </c>
      <c r="AQ17" s="81" t="s">
        <v>317</v>
      </c>
      <c r="AR17" s="166">
        <v>6.4977720000000003E-2</v>
      </c>
      <c r="AV17" s="167" t="s">
        <v>314</v>
      </c>
      <c r="AW17" s="167" t="s">
        <v>315</v>
      </c>
      <c r="AX17" s="167" t="s">
        <v>329</v>
      </c>
      <c r="AY17" s="168" t="s">
        <v>318</v>
      </c>
      <c r="AZ17" s="161">
        <f>AZ7*0.3</f>
        <v>4.1646841605453185E-2</v>
      </c>
      <c r="BA17" s="167" t="s">
        <v>317</v>
      </c>
      <c r="BC17" s="81" t="s">
        <v>373</v>
      </c>
      <c r="BD17" s="81" t="s">
        <v>299</v>
      </c>
      <c r="BE17" s="166">
        <v>14000000</v>
      </c>
      <c r="BF17" s="166">
        <v>170000</v>
      </c>
      <c r="BG17" s="81">
        <v>82.34</v>
      </c>
      <c r="BH17" s="81" t="s">
        <v>384</v>
      </c>
      <c r="BI17" s="81" t="s">
        <v>385</v>
      </c>
      <c r="BL17" s="167" t="s">
        <v>314</v>
      </c>
      <c r="BM17" s="167" t="s">
        <v>315</v>
      </c>
      <c r="BN17" s="167" t="s">
        <v>329</v>
      </c>
      <c r="BO17" s="168" t="s">
        <v>318</v>
      </c>
      <c r="BP17" s="161">
        <f t="shared" si="15"/>
        <v>7.7399999999999997E-2</v>
      </c>
      <c r="BQ17" s="167" t="s">
        <v>317</v>
      </c>
      <c r="BS17" s="81" t="s">
        <v>373</v>
      </c>
      <c r="BT17" s="81" t="s">
        <v>299</v>
      </c>
      <c r="BU17" s="166">
        <v>3340000000</v>
      </c>
      <c r="BV17" s="166">
        <v>128000000</v>
      </c>
      <c r="BW17" s="81">
        <v>26.13</v>
      </c>
      <c r="BX17" s="81" t="s">
        <v>420</v>
      </c>
      <c r="BY17" s="166">
        <v>2E-16</v>
      </c>
      <c r="BZ17" s="81" t="s">
        <v>385</v>
      </c>
      <c r="CA17" s="167"/>
      <c r="CB17" s="167"/>
      <c r="CC17" s="167"/>
      <c r="CD17" s="168"/>
      <c r="CE17" s="161"/>
      <c r="CF17" s="167"/>
      <c r="CI17" s="81"/>
      <c r="CJ17" s="240"/>
      <c r="CK17" s="240"/>
      <c r="CL17" s="240"/>
      <c r="CO17" s="243" t="s">
        <v>373</v>
      </c>
      <c r="CP17" s="243" t="s">
        <v>446</v>
      </c>
      <c r="CQ17" s="244">
        <v>2.46</v>
      </c>
      <c r="CR17" s="244">
        <v>6.8199999999999997E-2</v>
      </c>
      <c r="CS17" s="243">
        <v>36.04</v>
      </c>
      <c r="CT17" s="243" t="s">
        <v>420</v>
      </c>
      <c r="CU17" s="244">
        <v>2E-16</v>
      </c>
      <c r="CV17" s="81" t="s">
        <v>385</v>
      </c>
      <c r="CW17" s="245" t="s">
        <v>460</v>
      </c>
      <c r="CX17" s="250" t="s">
        <v>473</v>
      </c>
      <c r="CY17" s="246" t="s">
        <v>318</v>
      </c>
      <c r="CZ17" s="247">
        <f t="shared" si="12"/>
        <v>0.81899999999999995</v>
      </c>
      <c r="DA17" s="245" t="s">
        <v>317</v>
      </c>
      <c r="DC17" s="169" t="s">
        <v>460</v>
      </c>
      <c r="DD17" s="261" t="s">
        <v>473</v>
      </c>
      <c r="DE17" s="258" t="s">
        <v>318</v>
      </c>
      <c r="DF17" s="169">
        <f>$O$11*$Z$37*$AP$7</f>
        <v>0.78625072266935059</v>
      </c>
      <c r="DG17" s="169" t="s">
        <v>317</v>
      </c>
    </row>
    <row r="18" spans="2:115" ht="15" customHeight="1" thickTop="1" thickBot="1" x14ac:dyDescent="0.3">
      <c r="B18" s="175" t="s">
        <v>77</v>
      </c>
      <c r="C18" s="176">
        <v>0</v>
      </c>
      <c r="D18" s="176" t="s">
        <v>9</v>
      </c>
      <c r="E18" s="178" t="s">
        <v>78</v>
      </c>
      <c r="F18" s="176"/>
      <c r="G18" s="188">
        <f>C26/C6</f>
        <v>2.1476702508960575</v>
      </c>
      <c r="H18" s="184"/>
      <c r="I18" s="177"/>
      <c r="K18" t="s">
        <v>75</v>
      </c>
      <c r="L18" s="208">
        <v>0</v>
      </c>
      <c r="M18" s="209">
        <v>2</v>
      </c>
      <c r="N18" s="209" t="s">
        <v>25</v>
      </c>
      <c r="O18" s="210">
        <f>'Tabula data'!B10*(1-'Gebouwgegevens Tabula 2zone'!D42)/2*(1-'Gebouwgegevens Tabula 2zone'!D44)</f>
        <v>17.266500000000004</v>
      </c>
      <c r="P18" s="211" t="s">
        <v>39</v>
      </c>
      <c r="Q18" s="30">
        <f t="shared" si="7"/>
        <v>2.2022341505875525</v>
      </c>
      <c r="R18" s="30">
        <f t="shared" si="8"/>
        <v>38.024875961119982</v>
      </c>
      <c r="S18" s="30">
        <f t="shared" si="16"/>
        <v>7767853.0200000014</v>
      </c>
      <c r="T18" s="30">
        <f t="shared" si="17"/>
        <v>449880</v>
      </c>
      <c r="U18" s="30">
        <f t="shared" si="18"/>
        <v>6990860.5200000014</v>
      </c>
      <c r="V18" s="31"/>
      <c r="W18" s="223"/>
      <c r="X18" s="175"/>
      <c r="Y18" s="184" t="s">
        <v>76</v>
      </c>
      <c r="Z18" s="176">
        <v>0.25</v>
      </c>
      <c r="AA18" s="176">
        <v>1.1000000000000001</v>
      </c>
      <c r="AB18" s="176">
        <v>1850</v>
      </c>
      <c r="AC18" s="184">
        <v>840</v>
      </c>
      <c r="AD18" s="227">
        <f>Z18/AA18</f>
        <v>0.22727272727272727</v>
      </c>
      <c r="AE18" s="177">
        <f>Z18*AB18*AC18</f>
        <v>388500</v>
      </c>
      <c r="AF18" s="222" t="s">
        <v>272</v>
      </c>
      <c r="AG18" s="222"/>
      <c r="AH18" s="222"/>
      <c r="AQ18" s="81" t="s">
        <v>317</v>
      </c>
      <c r="AR18" s="166"/>
      <c r="AV18" s="167"/>
      <c r="AW18" s="167"/>
      <c r="AX18" s="167"/>
      <c r="AY18" s="168"/>
      <c r="BA18" s="167"/>
      <c r="BC18" s="81" t="s">
        <v>373</v>
      </c>
      <c r="BD18" s="81" t="s">
        <v>395</v>
      </c>
      <c r="BE18" s="166">
        <v>2900000</v>
      </c>
      <c r="BF18" s="166">
        <v>35800</v>
      </c>
      <c r="BG18" s="81">
        <v>81.02</v>
      </c>
      <c r="BH18" s="81" t="s">
        <v>384</v>
      </c>
      <c r="BI18" s="81" t="s">
        <v>385</v>
      </c>
      <c r="BL18" s="167"/>
      <c r="BM18" s="167"/>
      <c r="BN18" s="167"/>
      <c r="BO18" s="168"/>
      <c r="BP18" s="161"/>
      <c r="BQ18" s="167"/>
      <c r="BS18" s="81" t="s">
        <v>373</v>
      </c>
      <c r="BT18" s="81" t="s">
        <v>395</v>
      </c>
      <c r="BU18" s="166">
        <v>3990000</v>
      </c>
      <c r="BV18" s="166">
        <v>96400</v>
      </c>
      <c r="BW18" s="81">
        <v>41.37</v>
      </c>
      <c r="BX18" s="81" t="s">
        <v>420</v>
      </c>
      <c r="BY18" s="166">
        <v>2E-16</v>
      </c>
      <c r="BZ18" s="81" t="s">
        <v>385</v>
      </c>
      <c r="CA18" s="167" t="s">
        <v>314</v>
      </c>
      <c r="CB18" s="167" t="s">
        <v>315</v>
      </c>
      <c r="CC18" s="167" t="s">
        <v>330</v>
      </c>
      <c r="CD18" s="168" t="s">
        <v>318</v>
      </c>
      <c r="CE18" s="161">
        <f>BU31</f>
        <v>504</v>
      </c>
      <c r="CF18" s="167" t="s">
        <v>317</v>
      </c>
      <c r="CI18" s="81" t="s">
        <v>330</v>
      </c>
      <c r="CJ18" s="242">
        <f t="shared" si="1"/>
        <v>861.17309198813064</v>
      </c>
      <c r="CK18" s="242">
        <f t="shared" si="2"/>
        <v>958</v>
      </c>
      <c r="CL18" s="242">
        <f t="shared" si="3"/>
        <v>504</v>
      </c>
      <c r="CO18" s="243" t="s">
        <v>373</v>
      </c>
      <c r="CP18" s="243" t="s">
        <v>447</v>
      </c>
      <c r="CQ18" s="244">
        <v>2.71</v>
      </c>
      <c r="CR18" s="244">
        <v>5.6300000000000003E-2</v>
      </c>
      <c r="CS18" s="243">
        <v>48.16</v>
      </c>
      <c r="CT18" s="243" t="s">
        <v>420</v>
      </c>
      <c r="CU18" s="244">
        <v>2E-16</v>
      </c>
      <c r="CV18" s="81" t="s">
        <v>385</v>
      </c>
      <c r="CW18" s="245" t="s">
        <v>460</v>
      </c>
      <c r="CX18" s="250" t="s">
        <v>474</v>
      </c>
      <c r="CY18" s="246" t="s">
        <v>318</v>
      </c>
      <c r="CZ18" s="265">
        <f t="shared" si="12"/>
        <v>1.38E-14</v>
      </c>
      <c r="DA18" s="245" t="s">
        <v>317</v>
      </c>
      <c r="DC18" s="169" t="s">
        <v>460</v>
      </c>
      <c r="DD18" s="261" t="s">
        <v>474</v>
      </c>
      <c r="DE18" s="258" t="s">
        <v>318</v>
      </c>
      <c r="DF18" s="169">
        <f>$O$10*$Z$37*$AP$7</f>
        <v>0.91306535535795563</v>
      </c>
      <c r="DG18" s="169" t="s">
        <v>317</v>
      </c>
    </row>
    <row r="19" spans="2:115" ht="15" customHeight="1" thickTop="1" thickBot="1" x14ac:dyDescent="0.3">
      <c r="B19" s="175" t="s">
        <v>81</v>
      </c>
      <c r="C19" s="183">
        <f>C17-C18</f>
        <v>0</v>
      </c>
      <c r="D19" s="176" t="s">
        <v>9</v>
      </c>
      <c r="E19" s="186"/>
      <c r="F19" s="184"/>
      <c r="G19" s="184"/>
      <c r="H19" s="184"/>
      <c r="I19" s="189"/>
      <c r="K19" t="s">
        <v>79</v>
      </c>
      <c r="L19" s="208">
        <v>0</v>
      </c>
      <c r="M19" s="209">
        <v>2</v>
      </c>
      <c r="N19" s="209" t="s">
        <v>25</v>
      </c>
      <c r="O19" s="210">
        <f>'Tabula data'!B10*'Gebouwgegevens Tabula 2zone'!D42/2*(1-'Gebouwgegevens Tabula 2zone'!D43)</f>
        <v>0.7034500000000008</v>
      </c>
      <c r="P19" s="211" t="s">
        <v>45</v>
      </c>
      <c r="Q19" s="30">
        <f t="shared" si="7"/>
        <v>2.2022341505875525</v>
      </c>
      <c r="R19" s="30">
        <f t="shared" si="8"/>
        <v>1.5491616132308155</v>
      </c>
      <c r="S19" s="30">
        <f t="shared" si="16"/>
        <v>316468.08600000036</v>
      </c>
      <c r="T19" s="30">
        <f t="shared" si="17"/>
        <v>449880</v>
      </c>
      <c r="U19" s="30">
        <f t="shared" si="18"/>
        <v>284812.8360000003</v>
      </c>
      <c r="V19" s="31"/>
      <c r="W19" s="223"/>
      <c r="X19" s="187"/>
      <c r="Y19" s="174" t="s">
        <v>273</v>
      </c>
      <c r="Z19" s="174">
        <v>0.02</v>
      </c>
      <c r="AA19" s="174">
        <v>0.6</v>
      </c>
      <c r="AB19" s="174">
        <v>975</v>
      </c>
      <c r="AC19" s="174">
        <v>840</v>
      </c>
      <c r="AD19" s="229">
        <f>Z19/AA19</f>
        <v>3.3333333333333333E-2</v>
      </c>
      <c r="AE19" s="192">
        <f>Z19*AB19*AC19</f>
        <v>16380</v>
      </c>
      <c r="AF19" s="222"/>
      <c r="AG19" s="222"/>
      <c r="AH19" s="222"/>
      <c r="AM19" s="158" t="s">
        <v>314</v>
      </c>
      <c r="AN19" s="81" t="s">
        <v>315</v>
      </c>
      <c r="AO19" s="81" t="s">
        <v>330</v>
      </c>
      <c r="AP19" s="81">
        <f>SUM(O6:O9)*(1/(SUM(AD18:AD19)*0.5+1/8))</f>
        <v>861.17309198813064</v>
      </c>
      <c r="AQ19" s="81" t="s">
        <v>317</v>
      </c>
      <c r="AR19" s="166">
        <v>298.59179999999998</v>
      </c>
      <c r="AV19" s="167" t="s">
        <v>314</v>
      </c>
      <c r="AW19" s="167" t="s">
        <v>315</v>
      </c>
      <c r="AX19" s="167" t="s">
        <v>330</v>
      </c>
      <c r="AY19" s="168" t="s">
        <v>318</v>
      </c>
      <c r="AZ19" s="161">
        <f>AP19</f>
        <v>861.17309198813064</v>
      </c>
      <c r="BA19" s="167" t="s">
        <v>317</v>
      </c>
      <c r="BC19" s="81" t="s">
        <v>373</v>
      </c>
      <c r="BD19" s="81" t="s">
        <v>296</v>
      </c>
      <c r="BE19" s="166">
        <v>50500000</v>
      </c>
      <c r="BF19" s="166">
        <v>737000</v>
      </c>
      <c r="BG19" s="81">
        <v>68.5</v>
      </c>
      <c r="BH19" s="81" t="s">
        <v>384</v>
      </c>
      <c r="BI19" s="81" t="s">
        <v>385</v>
      </c>
      <c r="BL19" s="167" t="s">
        <v>314</v>
      </c>
      <c r="BM19" s="167" t="s">
        <v>315</v>
      </c>
      <c r="BN19" s="167" t="s">
        <v>330</v>
      </c>
      <c r="BO19" s="168" t="s">
        <v>318</v>
      </c>
      <c r="BP19" s="161">
        <f>BE31</f>
        <v>958</v>
      </c>
      <c r="BQ19" s="167" t="s">
        <v>317</v>
      </c>
      <c r="BS19" s="81" t="s">
        <v>373</v>
      </c>
      <c r="BT19" s="81" t="s">
        <v>296</v>
      </c>
      <c r="BU19" s="166">
        <v>92100000</v>
      </c>
      <c r="BV19" s="166">
        <v>2110000</v>
      </c>
      <c r="BW19" s="81">
        <v>43.64</v>
      </c>
      <c r="BX19" s="81" t="s">
        <v>420</v>
      </c>
      <c r="BY19" s="166">
        <v>2E-16</v>
      </c>
      <c r="BZ19" s="81" t="s">
        <v>385</v>
      </c>
      <c r="CA19" s="167" t="s">
        <v>314</v>
      </c>
      <c r="CB19" s="167" t="s">
        <v>315</v>
      </c>
      <c r="CC19" s="167" t="s">
        <v>331</v>
      </c>
      <c r="CD19" s="168" t="s">
        <v>318</v>
      </c>
      <c r="CE19" s="161">
        <f>BU32</f>
        <v>196</v>
      </c>
      <c r="CF19" s="167" t="s">
        <v>317</v>
      </c>
      <c r="CI19" s="81" t="s">
        <v>331</v>
      </c>
      <c r="CJ19" s="242">
        <f t="shared" si="1"/>
        <v>427.31818181818187</v>
      </c>
      <c r="CK19" s="242">
        <f t="shared" si="2"/>
        <v>737</v>
      </c>
      <c r="CL19" s="242">
        <f t="shared" si="3"/>
        <v>196</v>
      </c>
      <c r="CO19" s="243" t="s">
        <v>373</v>
      </c>
      <c r="CP19" s="243" t="s">
        <v>448</v>
      </c>
      <c r="CQ19" s="244">
        <v>1.1599999999999999</v>
      </c>
      <c r="CR19" s="244">
        <v>0.44900000000000001</v>
      </c>
      <c r="CS19" s="243">
        <v>2.58</v>
      </c>
      <c r="CT19" s="244">
        <v>0.01</v>
      </c>
      <c r="CU19" s="243" t="s">
        <v>398</v>
      </c>
      <c r="CV19" s="81"/>
      <c r="CW19" s="245" t="s">
        <v>460</v>
      </c>
      <c r="CX19" s="248" t="s">
        <v>475</v>
      </c>
      <c r="CY19" s="246" t="s">
        <v>318</v>
      </c>
      <c r="CZ19" s="247">
        <f t="shared" si="12"/>
        <v>0.76400000000000001</v>
      </c>
      <c r="DA19" s="245" t="s">
        <v>317</v>
      </c>
      <c r="DC19" s="169" t="s">
        <v>460</v>
      </c>
      <c r="DD19" s="259" t="s">
        <v>475</v>
      </c>
      <c r="DE19" s="258" t="s">
        <v>318</v>
      </c>
      <c r="DF19" s="169">
        <f>$O$12*$Z$37*$AP$7</f>
        <v>1.0314256792006535</v>
      </c>
      <c r="DG19" s="169" t="s">
        <v>317</v>
      </c>
    </row>
    <row r="20" spans="2:115" ht="15" customHeight="1" thickTop="1" thickBot="1" x14ac:dyDescent="0.3">
      <c r="B20" s="175"/>
      <c r="C20" s="176"/>
      <c r="D20" s="176"/>
      <c r="E20" s="178" t="s">
        <v>83</v>
      </c>
      <c r="F20" s="184"/>
      <c r="G20" s="190">
        <f>H4/C23</f>
        <v>0.14767025089605737</v>
      </c>
      <c r="H20" s="184"/>
      <c r="I20" s="177"/>
      <c r="K20" t="s">
        <v>82</v>
      </c>
      <c r="L20" s="208">
        <v>0</v>
      </c>
      <c r="M20" s="209">
        <v>2</v>
      </c>
      <c r="N20" s="209" t="s">
        <v>25</v>
      </c>
      <c r="O20" s="210">
        <f>'Tabula data'!B10*(1-'Gebouwgegevens Tabula 2zone'!D42)/2*(1-'Gebouwgegevens Tabula 2zone'!D44)</f>
        <v>17.266500000000004</v>
      </c>
      <c r="P20" s="211" t="s">
        <v>50</v>
      </c>
      <c r="Q20" s="30">
        <f t="shared" si="7"/>
        <v>2.2022341505875525</v>
      </c>
      <c r="R20" s="30">
        <f t="shared" si="8"/>
        <v>38.024875961119982</v>
      </c>
      <c r="S20" s="30">
        <f t="shared" si="16"/>
        <v>7767853.0200000014</v>
      </c>
      <c r="T20" s="30">
        <f t="shared" si="17"/>
        <v>449880</v>
      </c>
      <c r="U20" s="30">
        <f t="shared" si="18"/>
        <v>6990860.5200000014</v>
      </c>
      <c r="V20" s="31"/>
      <c r="W20" s="223"/>
      <c r="AF20" s="222"/>
      <c r="AG20" s="222"/>
      <c r="AH20" s="222"/>
      <c r="AM20" s="158" t="s">
        <v>314</v>
      </c>
      <c r="AN20" s="81" t="s">
        <v>315</v>
      </c>
      <c r="AO20" s="81" t="s">
        <v>331</v>
      </c>
      <c r="AP20" s="81">
        <f>SUM(O14)*1/(SUM(AD42:AD43)+1/6)</f>
        <v>427.31818181818187</v>
      </c>
      <c r="AQ20" s="81" t="s">
        <v>317</v>
      </c>
      <c r="AR20" s="166">
        <v>278.86439999999999</v>
      </c>
      <c r="AV20" s="167" t="s">
        <v>314</v>
      </c>
      <c r="AW20" s="167" t="s">
        <v>315</v>
      </c>
      <c r="AX20" s="167" t="s">
        <v>331</v>
      </c>
      <c r="AY20" s="168" t="s">
        <v>318</v>
      </c>
      <c r="AZ20" s="161">
        <f t="shared" ref="AZ20:AZ24" si="19">AP20</f>
        <v>427.31818181818187</v>
      </c>
      <c r="BA20" s="167" t="s">
        <v>317</v>
      </c>
      <c r="BC20" s="81" t="s">
        <v>373</v>
      </c>
      <c r="BD20" s="81" t="s">
        <v>298</v>
      </c>
      <c r="BE20" s="166">
        <v>32700000</v>
      </c>
      <c r="BF20" s="166">
        <v>53200</v>
      </c>
      <c r="BG20" s="81">
        <v>614.4</v>
      </c>
      <c r="BH20" s="81" t="s">
        <v>384</v>
      </c>
      <c r="BI20" s="81" t="s">
        <v>385</v>
      </c>
      <c r="BL20" s="167" t="s">
        <v>314</v>
      </c>
      <c r="BM20" s="167" t="s">
        <v>315</v>
      </c>
      <c r="BN20" s="167" t="s">
        <v>331</v>
      </c>
      <c r="BO20" s="168" t="s">
        <v>318</v>
      </c>
      <c r="BP20" s="161">
        <f t="shared" ref="BP20:BP22" si="20">BE32</f>
        <v>737</v>
      </c>
      <c r="BQ20" s="167" t="s">
        <v>317</v>
      </c>
      <c r="BS20" s="81" t="s">
        <v>373</v>
      </c>
      <c r="BT20" s="81" t="s">
        <v>298</v>
      </c>
      <c r="BU20" s="166">
        <v>22500000</v>
      </c>
      <c r="BV20" s="166">
        <v>231000</v>
      </c>
      <c r="BW20" s="81">
        <v>97.67</v>
      </c>
      <c r="BX20" s="81" t="s">
        <v>420</v>
      </c>
      <c r="BY20" s="166">
        <v>2E-16</v>
      </c>
      <c r="BZ20" s="81" t="s">
        <v>385</v>
      </c>
      <c r="CA20" s="167" t="s">
        <v>314</v>
      </c>
      <c r="CB20" s="167" t="s">
        <v>315</v>
      </c>
      <c r="CC20" s="167" t="s">
        <v>332</v>
      </c>
      <c r="CD20" s="168" t="s">
        <v>318</v>
      </c>
      <c r="CE20" s="161">
        <f>BU33</f>
        <v>663</v>
      </c>
      <c r="CF20" s="167" t="s">
        <v>317</v>
      </c>
      <c r="CI20" s="81" t="s">
        <v>332</v>
      </c>
      <c r="CJ20" s="242">
        <f t="shared" si="1"/>
        <v>876.19523247232496</v>
      </c>
      <c r="CK20" s="242">
        <f t="shared" si="2"/>
        <v>2190</v>
      </c>
      <c r="CL20" s="242">
        <f t="shared" si="3"/>
        <v>663</v>
      </c>
      <c r="CO20" s="243" t="s">
        <v>373</v>
      </c>
      <c r="CP20" s="243" t="s">
        <v>338</v>
      </c>
      <c r="CQ20" s="244">
        <v>0.153</v>
      </c>
      <c r="CR20" s="244">
        <v>0.92300000000000004</v>
      </c>
      <c r="CS20" s="243">
        <v>0.17</v>
      </c>
      <c r="CT20" s="243">
        <v>0.86799999999999999</v>
      </c>
      <c r="CV20" s="81"/>
      <c r="CW20" s="245" t="s">
        <v>460</v>
      </c>
      <c r="CX20" s="249" t="s">
        <v>476</v>
      </c>
      <c r="CY20" s="246" t="s">
        <v>318</v>
      </c>
      <c r="CZ20" s="247">
        <f t="shared" si="12"/>
        <v>0.79200000000000004</v>
      </c>
      <c r="DA20" s="245" t="s">
        <v>317</v>
      </c>
      <c r="DC20" s="169" t="s">
        <v>460</v>
      </c>
      <c r="DD20" s="260" t="s">
        <v>476</v>
      </c>
      <c r="DE20" s="258" t="s">
        <v>318</v>
      </c>
      <c r="DF20" s="169">
        <f>$O$13*$Z$37*$AP$7</f>
        <v>0.75243348728572268</v>
      </c>
      <c r="DG20" s="169" t="s">
        <v>317</v>
      </c>
    </row>
    <row r="21" spans="2:115" ht="15" customHeight="1" thickTop="1" thickBot="1" x14ac:dyDescent="0.3">
      <c r="B21" s="175"/>
      <c r="C21" s="176"/>
      <c r="D21" s="176"/>
      <c r="E21" s="178" t="s">
        <v>86</v>
      </c>
      <c r="F21" s="184"/>
      <c r="G21" s="190">
        <f>H4/C6</f>
        <v>0.14767025089605737</v>
      </c>
      <c r="H21" s="184"/>
      <c r="I21" s="177"/>
      <c r="K21" t="s">
        <v>84</v>
      </c>
      <c r="L21" s="208">
        <v>0</v>
      </c>
      <c r="M21" s="209">
        <v>2</v>
      </c>
      <c r="N21" s="209" t="s">
        <v>54</v>
      </c>
      <c r="O21" s="210">
        <f>I10</f>
        <v>3.2400000000000007</v>
      </c>
      <c r="P21" s="211" t="s">
        <v>26</v>
      </c>
      <c r="Q21" s="30">
        <f t="shared" si="7"/>
        <v>5</v>
      </c>
      <c r="R21" s="30">
        <f t="shared" si="8"/>
        <v>16.200000000000003</v>
      </c>
      <c r="S21" s="30">
        <f t="shared" si="16"/>
        <v>0</v>
      </c>
      <c r="T21" s="30">
        <f t="shared" si="17"/>
        <v>0</v>
      </c>
      <c r="U21" s="30">
        <f t="shared" si="18"/>
        <v>0</v>
      </c>
      <c r="V21" s="31"/>
      <c r="W21" s="223"/>
      <c r="X21" s="216" t="s">
        <v>85</v>
      </c>
      <c r="Y21" s="217"/>
      <c r="Z21" s="218" t="s">
        <v>21</v>
      </c>
      <c r="AA21" s="219">
        <f>(1/(1/8+SUM(AD23:AD25)+1/8))</f>
        <v>1.9926199261992623</v>
      </c>
      <c r="AB21" s="217" t="s">
        <v>5</v>
      </c>
      <c r="AC21" s="217"/>
      <c r="AD21" s="217" t="s">
        <v>22</v>
      </c>
      <c r="AE21" s="220">
        <f>SUM(AE23:AE26)</f>
        <v>150360</v>
      </c>
      <c r="AF21" s="222" t="s">
        <v>23</v>
      </c>
      <c r="AG21" s="222">
        <f>SUM(AE23:AE25)</f>
        <v>150360</v>
      </c>
      <c r="AH21" s="222"/>
      <c r="AM21" s="158" t="s">
        <v>314</v>
      </c>
      <c r="AN21" s="81" t="s">
        <v>315</v>
      </c>
      <c r="AO21" s="81" t="s">
        <v>332</v>
      </c>
      <c r="AP21" s="81">
        <f>2*AA21*O27</f>
        <v>876.19523247232496</v>
      </c>
      <c r="AQ21" s="81" t="s">
        <v>317</v>
      </c>
      <c r="AR21" s="166">
        <v>721.00049999999999</v>
      </c>
      <c r="AV21" s="167" t="s">
        <v>314</v>
      </c>
      <c r="AW21" s="167" t="s">
        <v>315</v>
      </c>
      <c r="AX21" s="167" t="s">
        <v>332</v>
      </c>
      <c r="AY21" s="168" t="s">
        <v>318</v>
      </c>
      <c r="AZ21" s="161">
        <f t="shared" si="19"/>
        <v>876.19523247232496</v>
      </c>
      <c r="BA21" s="167" t="s">
        <v>317</v>
      </c>
      <c r="BC21" s="81" t="s">
        <v>373</v>
      </c>
      <c r="BD21" s="81" t="s">
        <v>396</v>
      </c>
      <c r="BE21" s="166">
        <v>-6.77</v>
      </c>
      <c r="BF21" s="166">
        <v>5.1499999999999997E-2</v>
      </c>
      <c r="BG21" s="81">
        <v>-131.33000000000001</v>
      </c>
      <c r="BH21" s="81" t="s">
        <v>384</v>
      </c>
      <c r="BI21" s="81" t="s">
        <v>385</v>
      </c>
      <c r="BL21" s="167" t="s">
        <v>314</v>
      </c>
      <c r="BM21" s="167" t="s">
        <v>315</v>
      </c>
      <c r="BN21" s="167" t="s">
        <v>332</v>
      </c>
      <c r="BO21" s="168" t="s">
        <v>318</v>
      </c>
      <c r="BP21" s="161">
        <f t="shared" si="20"/>
        <v>2190</v>
      </c>
      <c r="BQ21" s="167" t="s">
        <v>317</v>
      </c>
      <c r="BS21" s="81" t="s">
        <v>373</v>
      </c>
      <c r="BT21" s="81" t="s">
        <v>396</v>
      </c>
      <c r="BU21" s="166">
        <v>-7.92</v>
      </c>
      <c r="BV21" s="166">
        <v>0.123</v>
      </c>
      <c r="BW21" s="81">
        <v>-64.5</v>
      </c>
      <c r="BX21" s="81" t="s">
        <v>420</v>
      </c>
      <c r="BY21" s="166">
        <v>2E-16</v>
      </c>
      <c r="BZ21" s="81" t="s">
        <v>385</v>
      </c>
      <c r="CA21" s="167" t="s">
        <v>314</v>
      </c>
      <c r="CB21" s="167" t="s">
        <v>315</v>
      </c>
      <c r="CC21" s="167" t="s">
        <v>333</v>
      </c>
      <c r="CD21" s="168" t="s">
        <v>318</v>
      </c>
      <c r="CE21" s="161">
        <f>BU34</f>
        <v>308</v>
      </c>
      <c r="CF21" s="167" t="s">
        <v>317</v>
      </c>
      <c r="CI21" s="81" t="s">
        <v>333</v>
      </c>
      <c r="CJ21" s="242">
        <f t="shared" si="1"/>
        <v>270.46022709677419</v>
      </c>
      <c r="CK21" s="242">
        <f t="shared" si="2"/>
        <v>251</v>
      </c>
      <c r="CL21" s="242">
        <f t="shared" si="3"/>
        <v>308</v>
      </c>
      <c r="CO21" s="243" t="s">
        <v>373</v>
      </c>
      <c r="CP21" s="243" t="s">
        <v>449</v>
      </c>
      <c r="CQ21" s="244">
        <v>0.57999999999999996</v>
      </c>
      <c r="CR21" s="244">
        <v>0.10199999999999999</v>
      </c>
      <c r="CS21" s="243">
        <v>5.68</v>
      </c>
      <c r="CT21" s="244">
        <v>1.4E-8</v>
      </c>
      <c r="CU21" s="243" t="s">
        <v>385</v>
      </c>
      <c r="CV21" s="81"/>
      <c r="CW21" s="245" t="s">
        <v>460</v>
      </c>
      <c r="CX21" s="249" t="s">
        <v>477</v>
      </c>
      <c r="CY21" s="246" t="s">
        <v>318</v>
      </c>
      <c r="CZ21" s="247">
        <f t="shared" si="12"/>
        <v>8.4000000000000005E-2</v>
      </c>
      <c r="DA21" s="245" t="s">
        <v>317</v>
      </c>
      <c r="DC21" s="169" t="s">
        <v>460</v>
      </c>
      <c r="DD21" s="260" t="s">
        <v>477</v>
      </c>
      <c r="DE21" s="258" t="s">
        <v>318</v>
      </c>
      <c r="DF21" s="169">
        <f>$O$11*$Z$37*$AP$42</f>
        <v>0.84713685458119903</v>
      </c>
      <c r="DG21" s="169" t="s">
        <v>317</v>
      </c>
    </row>
    <row r="22" spans="2:115" ht="15" customHeight="1" thickTop="1" thickBot="1" x14ac:dyDescent="0.3">
      <c r="B22" s="187"/>
      <c r="C22" s="174"/>
      <c r="D22" s="174"/>
      <c r="E22" s="175" t="s">
        <v>88</v>
      </c>
      <c r="F22" s="176"/>
      <c r="G22" s="179">
        <f>H4/C26</f>
        <v>6.8758344459279044E-2</v>
      </c>
      <c r="H22" s="176"/>
      <c r="I22" s="177"/>
      <c r="K22" t="s">
        <v>87</v>
      </c>
      <c r="L22" s="208">
        <v>0</v>
      </c>
      <c r="M22" s="209">
        <v>2</v>
      </c>
      <c r="N22" s="209" t="s">
        <v>54</v>
      </c>
      <c r="O22" s="210">
        <f>I11</f>
        <v>2.7900000000000005</v>
      </c>
      <c r="P22" s="211" t="s">
        <v>39</v>
      </c>
      <c r="Q22" s="30">
        <f t="shared" si="7"/>
        <v>5</v>
      </c>
      <c r="R22" s="30">
        <f t="shared" si="8"/>
        <v>13.950000000000003</v>
      </c>
      <c r="S22" s="30">
        <f t="shared" si="16"/>
        <v>0</v>
      </c>
      <c r="T22" s="30">
        <f t="shared" si="17"/>
        <v>0</v>
      </c>
      <c r="U22" s="30">
        <f t="shared" si="18"/>
        <v>0</v>
      </c>
      <c r="V22" s="31"/>
      <c r="W22" s="223"/>
      <c r="X22" s="224"/>
      <c r="Y22" s="225" t="s">
        <v>27</v>
      </c>
      <c r="Z22" s="225" t="s">
        <v>28</v>
      </c>
      <c r="AA22" s="225" t="s">
        <v>29</v>
      </c>
      <c r="AB22" s="225" t="s">
        <v>30</v>
      </c>
      <c r="AC22" s="225" t="s">
        <v>31</v>
      </c>
      <c r="AD22" s="225" t="s">
        <v>32</v>
      </c>
      <c r="AE22" s="226" t="s">
        <v>33</v>
      </c>
      <c r="AF22" s="222"/>
      <c r="AG22" s="222"/>
      <c r="AH22" s="222"/>
      <c r="AM22" s="158" t="s">
        <v>314</v>
      </c>
      <c r="AN22" s="81" t="s">
        <v>315</v>
      </c>
      <c r="AO22" s="81" t="s">
        <v>333</v>
      </c>
      <c r="AP22" s="152">
        <f>'Verwarming Tabula 2zone'!B60+SUM(R10:R13)+R16</f>
        <v>270.46022709677419</v>
      </c>
      <c r="AQ22" s="81" t="s">
        <v>317</v>
      </c>
      <c r="AR22" s="166">
        <v>110.5333</v>
      </c>
      <c r="AV22" s="167" t="s">
        <v>314</v>
      </c>
      <c r="AW22" s="167" t="s">
        <v>315</v>
      </c>
      <c r="AX22" s="167" t="s">
        <v>333</v>
      </c>
      <c r="AY22" s="168" t="s">
        <v>318</v>
      </c>
      <c r="AZ22" s="161">
        <f t="shared" si="19"/>
        <v>270.46022709677419</v>
      </c>
      <c r="BA22" s="167" t="s">
        <v>317</v>
      </c>
      <c r="BC22" s="81" t="s">
        <v>373</v>
      </c>
      <c r="BD22" s="81" t="s">
        <v>397</v>
      </c>
      <c r="BE22" s="166">
        <v>-15.3</v>
      </c>
      <c r="BF22" s="166">
        <v>295</v>
      </c>
      <c r="BG22" s="81">
        <v>-0.05</v>
      </c>
      <c r="BH22" s="81">
        <v>0.96</v>
      </c>
      <c r="BI22" s="81"/>
      <c r="BL22" s="167" t="s">
        <v>314</v>
      </c>
      <c r="BM22" s="167" t="s">
        <v>315</v>
      </c>
      <c r="BN22" s="167" t="s">
        <v>333</v>
      </c>
      <c r="BO22" s="168" t="s">
        <v>318</v>
      </c>
      <c r="BP22" s="161">
        <f t="shared" si="20"/>
        <v>251</v>
      </c>
      <c r="BQ22" s="167" t="s">
        <v>317</v>
      </c>
      <c r="BS22" s="81" t="s">
        <v>373</v>
      </c>
      <c r="BT22" s="81" t="s">
        <v>397</v>
      </c>
      <c r="BU22" s="166">
        <v>-23.9</v>
      </c>
      <c r="BV22" s="166">
        <v>1.46</v>
      </c>
      <c r="BW22" s="81">
        <v>-16.41</v>
      </c>
      <c r="BX22" s="81" t="s">
        <v>420</v>
      </c>
      <c r="BY22" s="166">
        <v>2E-16</v>
      </c>
      <c r="BZ22" s="81" t="s">
        <v>385</v>
      </c>
      <c r="CA22" s="167" t="s">
        <v>314</v>
      </c>
      <c r="CB22" s="167" t="s">
        <v>315</v>
      </c>
      <c r="CC22" s="167" t="s">
        <v>334</v>
      </c>
      <c r="CD22" s="168" t="s">
        <v>318</v>
      </c>
      <c r="CE22" s="161">
        <f>1/BU40</f>
        <v>1926.7822736030828</v>
      </c>
      <c r="CF22" s="167" t="s">
        <v>317</v>
      </c>
      <c r="CI22" s="81" t="s">
        <v>334</v>
      </c>
      <c r="CJ22" s="242">
        <f t="shared" si="1"/>
        <v>1106.0402048053024</v>
      </c>
      <c r="CK22" s="242">
        <f t="shared" si="2"/>
        <v>884.95575221238948</v>
      </c>
      <c r="CL22" s="242">
        <f t="shared" si="3"/>
        <v>1926.7822736030828</v>
      </c>
      <c r="CO22" s="243" t="s">
        <v>373</v>
      </c>
      <c r="CP22" s="243" t="s">
        <v>450</v>
      </c>
      <c r="CQ22" s="244">
        <v>5.1900000000000002E-8</v>
      </c>
      <c r="CR22" s="244">
        <v>1.17E-7</v>
      </c>
      <c r="CS22" s="243">
        <v>0.44</v>
      </c>
      <c r="CT22" s="243">
        <v>0.65600000000000003</v>
      </c>
      <c r="CV22" s="81"/>
      <c r="CW22" s="245" t="s">
        <v>460</v>
      </c>
      <c r="CX22" s="249" t="s">
        <v>478</v>
      </c>
      <c r="CY22" s="246" t="s">
        <v>318</v>
      </c>
      <c r="CZ22" s="247">
        <f t="shared" si="12"/>
        <v>0.20699999999999999</v>
      </c>
      <c r="DA22" s="245" t="s">
        <v>317</v>
      </c>
      <c r="DC22" s="169" t="s">
        <v>460</v>
      </c>
      <c r="DD22" s="260" t="s">
        <v>478</v>
      </c>
      <c r="DE22" s="258" t="s">
        <v>318</v>
      </c>
      <c r="DF22" s="169">
        <f>$O$10*$Z$37*$AP$42</f>
        <v>0.98377183112655364</v>
      </c>
      <c r="DG22" s="169" t="s">
        <v>317</v>
      </c>
    </row>
    <row r="23" spans="2:115" ht="15" customHeight="1" thickTop="1" thickBot="1" x14ac:dyDescent="0.3">
      <c r="B23" s="193" t="s">
        <v>91</v>
      </c>
      <c r="C23" s="195">
        <f>C17+C6</f>
        <v>279</v>
      </c>
      <c r="D23" s="194" t="s">
        <v>9</v>
      </c>
      <c r="E23" s="175"/>
      <c r="F23" s="176"/>
      <c r="G23" s="176"/>
      <c r="H23" s="176"/>
      <c r="I23" s="177"/>
      <c r="K23" t="s">
        <v>89</v>
      </c>
      <c r="L23" s="208">
        <v>0</v>
      </c>
      <c r="M23" s="209">
        <v>2</v>
      </c>
      <c r="N23" s="209" t="s">
        <v>54</v>
      </c>
      <c r="O23" s="210">
        <f>I12</f>
        <v>3.66</v>
      </c>
      <c r="P23" s="211" t="s">
        <v>45</v>
      </c>
      <c r="Q23" s="30">
        <f t="shared" si="7"/>
        <v>5</v>
      </c>
      <c r="R23" s="30">
        <f t="shared" si="8"/>
        <v>18.3</v>
      </c>
      <c r="S23" s="30">
        <f t="shared" si="16"/>
        <v>0</v>
      </c>
      <c r="T23" s="30">
        <f t="shared" si="17"/>
        <v>0</v>
      </c>
      <c r="U23" s="30">
        <f t="shared" si="18"/>
        <v>0</v>
      </c>
      <c r="V23" s="31"/>
      <c r="W23" s="223"/>
      <c r="X23" s="175"/>
      <c r="Y23" s="176" t="s">
        <v>433</v>
      </c>
      <c r="Z23" s="176">
        <v>0.02</v>
      </c>
      <c r="AA23" s="176">
        <v>0.6</v>
      </c>
      <c r="AB23" s="176">
        <v>975</v>
      </c>
      <c r="AC23" s="176">
        <v>840</v>
      </c>
      <c r="AD23" s="227">
        <f>Z23/AA23</f>
        <v>3.3333333333333333E-2</v>
      </c>
      <c r="AE23" s="177">
        <f>Z23*AB23*AC23</f>
        <v>16380</v>
      </c>
      <c r="AF23" s="222"/>
      <c r="AG23" s="222"/>
      <c r="AH23" s="222"/>
      <c r="AM23" s="158" t="s">
        <v>314</v>
      </c>
      <c r="AN23" s="81" t="s">
        <v>315</v>
      </c>
      <c r="AO23" s="81" t="s">
        <v>334</v>
      </c>
      <c r="AP23" s="81">
        <f>SUM(O6:O9)*1/(SUM(AD15:AD17)+SUM(AD18:AD19)*0.5+1/23)</f>
        <v>1106.0402048053024</v>
      </c>
      <c r="AQ23" s="81" t="s">
        <v>317</v>
      </c>
      <c r="AR23" s="81">
        <f>1/0.01496205</f>
        <v>66.83576114235683</v>
      </c>
      <c r="AV23" s="167" t="s">
        <v>314</v>
      </c>
      <c r="AW23" s="167" t="s">
        <v>315</v>
      </c>
      <c r="AX23" s="167" t="s">
        <v>334</v>
      </c>
      <c r="AY23" s="168" t="s">
        <v>318</v>
      </c>
      <c r="AZ23" s="161">
        <f t="shared" si="19"/>
        <v>1106.0402048053024</v>
      </c>
      <c r="BA23" s="167" t="s">
        <v>317</v>
      </c>
      <c r="BC23" s="81" t="s">
        <v>373</v>
      </c>
      <c r="BD23" s="81" t="s">
        <v>399</v>
      </c>
      <c r="BE23" s="166">
        <v>-14.3</v>
      </c>
      <c r="BF23" s="166">
        <v>275</v>
      </c>
      <c r="BG23" s="81">
        <v>-0.05</v>
      </c>
      <c r="BH23" s="81">
        <v>0.96</v>
      </c>
      <c r="BI23" s="81"/>
      <c r="BL23" s="167" t="s">
        <v>314</v>
      </c>
      <c r="BM23" s="167" t="s">
        <v>315</v>
      </c>
      <c r="BN23" s="167" t="s">
        <v>334</v>
      </c>
      <c r="BO23" s="168" t="s">
        <v>318</v>
      </c>
      <c r="BP23" s="161">
        <f>1/BE40</f>
        <v>884.95575221238948</v>
      </c>
      <c r="BQ23" s="167" t="s">
        <v>317</v>
      </c>
      <c r="BS23" s="81" t="s">
        <v>373</v>
      </c>
      <c r="BT23" s="81" t="s">
        <v>399</v>
      </c>
      <c r="BU23" s="166">
        <v>-17.8</v>
      </c>
      <c r="BV23" s="166">
        <v>1.0999999999999999E-2</v>
      </c>
      <c r="BW23" s="81">
        <v>-1621.03</v>
      </c>
      <c r="BX23" s="81" t="s">
        <v>420</v>
      </c>
      <c r="BY23" s="166">
        <v>2E-16</v>
      </c>
      <c r="BZ23" s="81" t="s">
        <v>385</v>
      </c>
      <c r="CA23" s="167" t="s">
        <v>314</v>
      </c>
      <c r="CB23" s="167" t="s">
        <v>315</v>
      </c>
      <c r="CC23" s="167" t="s">
        <v>335</v>
      </c>
      <c r="CD23" s="168" t="s">
        <v>318</v>
      </c>
      <c r="CE23" s="161">
        <f>BU43</f>
        <v>4.59</v>
      </c>
      <c r="CF23" s="167" t="s">
        <v>317</v>
      </c>
      <c r="CI23" s="81" t="s">
        <v>335</v>
      </c>
      <c r="CJ23" s="242">
        <f t="shared" si="1"/>
        <v>121.30322580645162</v>
      </c>
      <c r="CK23" s="242">
        <f t="shared" si="2"/>
        <v>301</v>
      </c>
      <c r="CL23" s="242">
        <f t="shared" si="3"/>
        <v>4.59</v>
      </c>
      <c r="CO23" s="243" t="s">
        <v>373</v>
      </c>
      <c r="CP23" s="243" t="s">
        <v>451</v>
      </c>
      <c r="CQ23" s="244">
        <v>0.81899999999999995</v>
      </c>
      <c r="CR23" s="244">
        <v>4.24E-2</v>
      </c>
      <c r="CS23" s="243">
        <v>19.350000000000001</v>
      </c>
      <c r="CT23" s="243" t="s">
        <v>420</v>
      </c>
      <c r="CU23" s="244">
        <v>2E-16</v>
      </c>
      <c r="CV23" s="81" t="s">
        <v>385</v>
      </c>
      <c r="CW23" s="245" t="s">
        <v>460</v>
      </c>
      <c r="CX23" s="248" t="s">
        <v>479</v>
      </c>
      <c r="CY23" s="246" t="s">
        <v>318</v>
      </c>
      <c r="CZ23" s="247">
        <f t="shared" si="12"/>
        <v>0.438</v>
      </c>
      <c r="DA23" s="245" t="s">
        <v>317</v>
      </c>
      <c r="DC23" s="169" t="s">
        <v>460</v>
      </c>
      <c r="DD23" s="259" t="s">
        <v>479</v>
      </c>
      <c r="DE23" s="258" t="s">
        <v>318</v>
      </c>
      <c r="DF23" s="169">
        <f>$O$12*$Z$37*$AP$42</f>
        <v>1.1112978092355514</v>
      </c>
      <c r="DG23" s="169" t="s">
        <v>317</v>
      </c>
    </row>
    <row r="24" spans="2:115" ht="15" customHeight="1" thickTop="1" thickBot="1" x14ac:dyDescent="0.3">
      <c r="B24" s="175" t="s">
        <v>94</v>
      </c>
      <c r="C24" s="191">
        <f>C23/C6</f>
        <v>1</v>
      </c>
      <c r="D24" s="176" t="s">
        <v>9</v>
      </c>
      <c r="E24" s="175" t="s">
        <v>95</v>
      </c>
      <c r="F24" s="176"/>
      <c r="G24" s="191">
        <f>C8/C6</f>
        <v>0.51863799283154122</v>
      </c>
      <c r="H24" s="176"/>
      <c r="I24" s="177"/>
      <c r="K24" t="s">
        <v>92</v>
      </c>
      <c r="L24" s="208">
        <v>0</v>
      </c>
      <c r="M24" s="209">
        <v>2</v>
      </c>
      <c r="N24" s="209" t="s">
        <v>54</v>
      </c>
      <c r="O24" s="210">
        <f>I13</f>
        <v>2.6700000000000004</v>
      </c>
      <c r="P24" s="211" t="s">
        <v>50</v>
      </c>
      <c r="Q24" s="30">
        <f t="shared" si="7"/>
        <v>5</v>
      </c>
      <c r="R24" s="30">
        <f t="shared" si="8"/>
        <v>13.350000000000001</v>
      </c>
      <c r="S24" s="30">
        <f t="shared" si="16"/>
        <v>0</v>
      </c>
      <c r="T24" s="30">
        <f t="shared" si="17"/>
        <v>0</v>
      </c>
      <c r="U24" s="30">
        <f t="shared" si="18"/>
        <v>0</v>
      </c>
      <c r="V24" s="31"/>
      <c r="W24" s="223"/>
      <c r="X24" s="175"/>
      <c r="Y24" s="176" t="s">
        <v>434</v>
      </c>
      <c r="Z24" s="176">
        <v>0.1</v>
      </c>
      <c r="AA24" s="176">
        <v>0.54</v>
      </c>
      <c r="AB24" s="176">
        <v>1400</v>
      </c>
      <c r="AC24" s="176">
        <v>840</v>
      </c>
      <c r="AD24" s="227">
        <f>Z24/AA24</f>
        <v>0.18518518518518517</v>
      </c>
      <c r="AE24" s="177">
        <f>Z24*AB24*AC24</f>
        <v>117600</v>
      </c>
      <c r="AF24" s="222"/>
      <c r="AG24" s="222"/>
      <c r="AH24" s="222"/>
      <c r="AM24" s="158" t="s">
        <v>314</v>
      </c>
      <c r="AN24" s="81" t="s">
        <v>315</v>
      </c>
      <c r="AO24" s="81" t="s">
        <v>335</v>
      </c>
      <c r="AP24" s="81">
        <f>SUM(O14)*1/(SUM(AD44:AD46)+2/2)</f>
        <v>121.30322580645162</v>
      </c>
      <c r="AQ24" s="81" t="s">
        <v>317</v>
      </c>
      <c r="AR24" s="166">
        <v>43.800190000000001</v>
      </c>
      <c r="AV24" s="167" t="s">
        <v>314</v>
      </c>
      <c r="AW24" s="167" t="s">
        <v>315</v>
      </c>
      <c r="AX24" s="167" t="s">
        <v>335</v>
      </c>
      <c r="AY24" s="168" t="s">
        <v>318</v>
      </c>
      <c r="AZ24" s="161">
        <f t="shared" si="19"/>
        <v>121.30322580645162</v>
      </c>
      <c r="BA24" s="167" t="s">
        <v>317</v>
      </c>
      <c r="BC24" s="81" t="s">
        <v>373</v>
      </c>
      <c r="BD24" s="81" t="s">
        <v>400</v>
      </c>
      <c r="BE24" s="166">
        <v>-9.5399999999999991</v>
      </c>
      <c r="BF24" s="166">
        <v>148</v>
      </c>
      <c r="BG24" s="81">
        <v>-0.06</v>
      </c>
      <c r="BH24" s="81">
        <v>0.95</v>
      </c>
      <c r="BI24" s="81"/>
      <c r="BL24" s="167" t="s">
        <v>314</v>
      </c>
      <c r="BM24" s="167" t="s">
        <v>315</v>
      </c>
      <c r="BN24" s="167" t="s">
        <v>335</v>
      </c>
      <c r="BO24" s="168" t="s">
        <v>318</v>
      </c>
      <c r="BP24" s="161">
        <f>BE43</f>
        <v>301</v>
      </c>
      <c r="BQ24" s="167" t="s">
        <v>317</v>
      </c>
      <c r="BS24" s="81" t="s">
        <v>373</v>
      </c>
      <c r="BT24" s="81" t="s">
        <v>400</v>
      </c>
      <c r="BU24" s="166">
        <v>-14.2</v>
      </c>
      <c r="BV24" s="166">
        <v>1.03</v>
      </c>
      <c r="BW24" s="81">
        <v>-13.82</v>
      </c>
      <c r="BX24" s="81" t="s">
        <v>420</v>
      </c>
      <c r="BY24" s="166">
        <v>2E-16</v>
      </c>
      <c r="BZ24" s="81" t="s">
        <v>385</v>
      </c>
      <c r="CA24" s="167"/>
      <c r="CB24" s="167"/>
      <c r="CC24" s="167"/>
      <c r="CD24" s="168"/>
      <c r="CE24" s="161"/>
      <c r="CF24" s="167"/>
      <c r="CI24" s="81"/>
      <c r="CJ24" s="240">
        <f t="shared" si="1"/>
        <v>0</v>
      </c>
      <c r="CK24" s="240">
        <f t="shared" si="2"/>
        <v>0</v>
      </c>
      <c r="CL24" s="240">
        <f t="shared" si="3"/>
        <v>0</v>
      </c>
      <c r="CO24" s="243" t="s">
        <v>373</v>
      </c>
      <c r="CP24" s="243" t="s">
        <v>452</v>
      </c>
      <c r="CQ24" s="244">
        <v>1.38E-14</v>
      </c>
      <c r="CR24" s="244">
        <v>3.6600000000000003E-14</v>
      </c>
      <c r="CS24" s="243">
        <v>0.38</v>
      </c>
      <c r="CT24" s="244">
        <v>0.70599999999999996</v>
      </c>
      <c r="CV24" s="81"/>
      <c r="CW24" s="245" t="s">
        <v>460</v>
      </c>
      <c r="CX24" s="246" t="s">
        <v>480</v>
      </c>
      <c r="CY24" s="246" t="s">
        <v>318</v>
      </c>
      <c r="CZ24" s="247">
        <f t="shared" si="12"/>
        <v>0.154</v>
      </c>
      <c r="DA24" s="245" t="s">
        <v>317</v>
      </c>
      <c r="DC24" s="169" t="s">
        <v>460</v>
      </c>
      <c r="DD24" s="258" t="s">
        <v>480</v>
      </c>
      <c r="DE24" s="258" t="s">
        <v>318</v>
      </c>
      <c r="DF24" s="169">
        <f>$O$13*$Z$37*$AP$42</f>
        <v>0.81070086083577109</v>
      </c>
      <c r="DG24" s="169" t="s">
        <v>317</v>
      </c>
    </row>
    <row r="25" spans="2:115" ht="15" customHeight="1" thickTop="1" thickBot="1" x14ac:dyDescent="0.3">
      <c r="B25" s="187"/>
      <c r="C25" s="174"/>
      <c r="D25" s="174"/>
      <c r="E25" s="175"/>
      <c r="F25" s="176"/>
      <c r="G25" s="176"/>
      <c r="H25" s="176"/>
      <c r="I25" s="177"/>
      <c r="K25" t="s">
        <v>96</v>
      </c>
      <c r="L25" s="208">
        <v>0</v>
      </c>
      <c r="M25" s="209">
        <v>2</v>
      </c>
      <c r="N25" s="209" t="s">
        <v>20</v>
      </c>
      <c r="O25" s="210">
        <f>'Tabula data'!B7</f>
        <v>158.4</v>
      </c>
      <c r="P25" s="211" t="s">
        <v>97</v>
      </c>
      <c r="Q25" s="30">
        <f t="shared" si="7"/>
        <v>1.714339326947635</v>
      </c>
      <c r="R25" s="30">
        <f t="shared" si="8"/>
        <v>271.5513493885054</v>
      </c>
      <c r="S25" s="30">
        <f t="shared" si="16"/>
        <v>12344112</v>
      </c>
      <c r="T25" s="30">
        <f t="shared" si="17"/>
        <v>77930</v>
      </c>
      <c r="U25" s="30">
        <f t="shared" si="18"/>
        <v>6689232</v>
      </c>
      <c r="V25" s="31"/>
      <c r="W25" s="223"/>
      <c r="X25" s="187"/>
      <c r="Y25" s="174" t="s">
        <v>433</v>
      </c>
      <c r="Z25" s="174">
        <v>0.02</v>
      </c>
      <c r="AA25" s="174">
        <v>0.6</v>
      </c>
      <c r="AB25" s="174">
        <v>975</v>
      </c>
      <c r="AC25" s="174">
        <v>840</v>
      </c>
      <c r="AD25" s="229">
        <f>Z25/AA25</f>
        <v>3.3333333333333333E-2</v>
      </c>
      <c r="AE25" s="192">
        <f>Z25*AB25*AC25</f>
        <v>16380</v>
      </c>
      <c r="AF25" s="222"/>
      <c r="AG25" s="222"/>
      <c r="AH25" s="222"/>
      <c r="AQ25" s="81" t="s">
        <v>317</v>
      </c>
      <c r="AV25" s="167"/>
      <c r="AW25" s="167"/>
      <c r="AX25" s="167"/>
      <c r="AY25" s="168"/>
      <c r="BA25" s="167"/>
      <c r="BC25" s="81" t="s">
        <v>373</v>
      </c>
      <c r="BD25" s="81" t="s">
        <v>401</v>
      </c>
      <c r="BE25" s="166">
        <v>-13</v>
      </c>
      <c r="BF25" s="166">
        <v>221</v>
      </c>
      <c r="BG25" s="81">
        <v>-0.06</v>
      </c>
      <c r="BH25" s="81">
        <v>0.95</v>
      </c>
      <c r="BI25" s="81"/>
      <c r="BL25" s="167"/>
      <c r="BM25" s="167"/>
      <c r="BN25" s="167"/>
      <c r="BO25" s="168"/>
      <c r="BP25" s="161"/>
      <c r="BQ25" s="167"/>
      <c r="BS25" s="81" t="s">
        <v>373</v>
      </c>
      <c r="BT25" s="81" t="s">
        <v>401</v>
      </c>
      <c r="BU25" s="166">
        <v>-18.2</v>
      </c>
      <c r="BV25" s="166">
        <v>1.2</v>
      </c>
      <c r="BW25" s="81">
        <v>-15.11</v>
      </c>
      <c r="BX25" s="81" t="s">
        <v>420</v>
      </c>
      <c r="BY25" s="166">
        <v>2E-16</v>
      </c>
      <c r="BZ25" s="81" t="s">
        <v>385</v>
      </c>
      <c r="CA25" s="167" t="s">
        <v>314</v>
      </c>
      <c r="CB25" s="167" t="s">
        <v>315</v>
      </c>
      <c r="CC25" s="167" t="s">
        <v>336</v>
      </c>
      <c r="CD25" s="168" t="s">
        <v>318</v>
      </c>
      <c r="CE25" s="161">
        <f>BU52</f>
        <v>0.39200000000000002</v>
      </c>
      <c r="CF25" s="167" t="s">
        <v>317</v>
      </c>
      <c r="CI25" s="81" t="s">
        <v>336</v>
      </c>
      <c r="CJ25" s="239">
        <f t="shared" si="1"/>
        <v>0.45912879828633407</v>
      </c>
      <c r="CK25" s="239">
        <f t="shared" si="2"/>
        <v>0.01</v>
      </c>
      <c r="CL25" s="239">
        <f t="shared" si="3"/>
        <v>0.39200000000000002</v>
      </c>
      <c r="CO25" s="243" t="s">
        <v>373</v>
      </c>
      <c r="CP25" s="243" t="s">
        <v>453</v>
      </c>
      <c r="CQ25" s="244">
        <v>0.76400000000000001</v>
      </c>
      <c r="CR25" s="244">
        <v>2.0400000000000001E-2</v>
      </c>
      <c r="CS25" s="243">
        <v>37.450000000000003</v>
      </c>
      <c r="CT25" s="243" t="s">
        <v>420</v>
      </c>
      <c r="CU25" s="244">
        <v>2E-16</v>
      </c>
      <c r="CV25" s="81" t="s">
        <v>385</v>
      </c>
      <c r="CY25" s="246"/>
      <c r="DC25" s="169"/>
      <c r="DD25" s="169"/>
      <c r="DE25" s="258"/>
      <c r="DF25" s="169"/>
      <c r="DG25" s="169"/>
    </row>
    <row r="26" spans="2:115" ht="15" customHeight="1" thickTop="1" thickBot="1" x14ac:dyDescent="0.3">
      <c r="B26" s="193" t="s">
        <v>100</v>
      </c>
      <c r="C26" s="199">
        <f>'Tabula data'!B6</f>
        <v>599.20000000000005</v>
      </c>
      <c r="D26" s="198" t="s">
        <v>9</v>
      </c>
      <c r="E26" s="175"/>
      <c r="F26" s="176"/>
      <c r="G26" s="176"/>
      <c r="H26" s="176"/>
      <c r="I26" s="177"/>
      <c r="K26" t="s">
        <v>98</v>
      </c>
      <c r="L26" s="208">
        <v>1</v>
      </c>
      <c r="M26" s="209">
        <v>2</v>
      </c>
      <c r="N26" s="209" t="s">
        <v>99</v>
      </c>
      <c r="O26" s="210">
        <f>'Tabula data'!B4-'Tabula data'!B14</f>
        <v>144.69999999999999</v>
      </c>
      <c r="P26" s="211"/>
      <c r="Q26" s="30">
        <f t="shared" si="7"/>
        <v>1.2141280353200883</v>
      </c>
      <c r="R26" s="30">
        <f t="shared" si="8"/>
        <v>175.68432671081675</v>
      </c>
      <c r="S26" s="30">
        <f t="shared" si="16"/>
        <v>8354977.9999999991</v>
      </c>
      <c r="T26" s="30">
        <f t="shared" si="17"/>
        <v>57740</v>
      </c>
      <c r="U26" s="30">
        <f t="shared" si="18"/>
        <v>8354977.9999999991</v>
      </c>
      <c r="V26" s="31"/>
      <c r="W26" s="223"/>
      <c r="AF26" s="222"/>
      <c r="AG26" s="222"/>
      <c r="AH26" s="222"/>
      <c r="AM26" s="158" t="s">
        <v>314</v>
      </c>
      <c r="AN26" s="81" t="s">
        <v>315</v>
      </c>
      <c r="AO26" s="81" t="s">
        <v>336</v>
      </c>
      <c r="AP26" s="81">
        <f>SUM(O17:O20,O25)/SUM(O$17:O$25,2*O$28,O$26)</f>
        <v>0.45912879828633407</v>
      </c>
      <c r="AQ26" s="81" t="s">
        <v>317</v>
      </c>
      <c r="AR26" s="166">
        <v>0.44339849999999997</v>
      </c>
      <c r="AV26" s="167" t="s">
        <v>314</v>
      </c>
      <c r="AW26" s="167" t="s">
        <v>315</v>
      </c>
      <c r="AX26" s="167" t="s">
        <v>336</v>
      </c>
      <c r="AY26" s="168" t="s">
        <v>318</v>
      </c>
      <c r="AZ26" s="161">
        <f>AP26</f>
        <v>0.45912879828633407</v>
      </c>
      <c r="BA26" s="167" t="s">
        <v>317</v>
      </c>
      <c r="BC26" s="81" t="s">
        <v>373</v>
      </c>
      <c r="BD26" s="81" t="s">
        <v>402</v>
      </c>
      <c r="BE26" s="166">
        <v>0.128</v>
      </c>
      <c r="BF26" s="166">
        <v>7.7800000000000005E-4</v>
      </c>
      <c r="BG26" s="81">
        <v>164.49</v>
      </c>
      <c r="BH26" s="81" t="s">
        <v>384</v>
      </c>
      <c r="BI26" s="81" t="s">
        <v>385</v>
      </c>
      <c r="BL26" s="167" t="s">
        <v>314</v>
      </c>
      <c r="BM26" s="167" t="s">
        <v>315</v>
      </c>
      <c r="BN26" s="167" t="s">
        <v>336</v>
      </c>
      <c r="BO26" s="168" t="s">
        <v>318</v>
      </c>
      <c r="BP26" s="161">
        <f>BE52</f>
        <v>0.01</v>
      </c>
      <c r="BQ26" s="167" t="s">
        <v>317</v>
      </c>
      <c r="BS26" s="81" t="s">
        <v>373</v>
      </c>
      <c r="BT26" s="81" t="s">
        <v>402</v>
      </c>
      <c r="BU26" s="166">
        <v>8.43E-2</v>
      </c>
      <c r="BV26" s="166">
        <v>2.7700000000000001E-4</v>
      </c>
      <c r="BW26" s="81">
        <v>304.67</v>
      </c>
      <c r="BX26" s="81" t="s">
        <v>420</v>
      </c>
      <c r="BY26" s="166">
        <v>2E-16</v>
      </c>
      <c r="BZ26" s="81" t="s">
        <v>385</v>
      </c>
      <c r="CA26" s="167" t="s">
        <v>314</v>
      </c>
      <c r="CB26" s="167" t="s">
        <v>315</v>
      </c>
      <c r="CC26" s="167" t="s">
        <v>337</v>
      </c>
      <c r="CD26" s="168" t="s">
        <v>318</v>
      </c>
      <c r="CE26" s="161">
        <f>BU53</f>
        <v>0.155</v>
      </c>
      <c r="CF26" s="167" t="s">
        <v>317</v>
      </c>
      <c r="CI26" s="81" t="s">
        <v>337</v>
      </c>
      <c r="CJ26" s="239">
        <f t="shared" si="1"/>
        <v>0.16981631767363287</v>
      </c>
      <c r="CK26" s="239">
        <f t="shared" si="2"/>
        <v>1.0200000000000001E-2</v>
      </c>
      <c r="CL26" s="239">
        <f t="shared" si="3"/>
        <v>0.155</v>
      </c>
      <c r="CO26" s="243" t="s">
        <v>373</v>
      </c>
      <c r="CP26" s="243" t="s">
        <v>454</v>
      </c>
      <c r="CQ26" s="244">
        <v>0.79200000000000004</v>
      </c>
      <c r="CR26" s="244">
        <v>1.9400000000000001E-2</v>
      </c>
      <c r="CS26" s="243">
        <v>40.85</v>
      </c>
      <c r="CT26" s="243" t="s">
        <v>420</v>
      </c>
      <c r="CU26" s="244">
        <v>2E-16</v>
      </c>
      <c r="CV26" s="81" t="s">
        <v>385</v>
      </c>
      <c r="CX26" s="246"/>
      <c r="CY26" s="246"/>
      <c r="CZ26" s="247"/>
      <c r="DC26" s="169"/>
      <c r="DD26" s="258"/>
      <c r="DE26" s="258"/>
      <c r="DF26" s="169"/>
      <c r="DG26" s="169"/>
    </row>
    <row r="27" spans="2:115" ht="15" customHeight="1" thickTop="1" thickBot="1" x14ac:dyDescent="0.3">
      <c r="B27" s="175"/>
      <c r="C27" s="191">
        <f>SUM(O6:O25)</f>
        <v>599.20000000000005</v>
      </c>
      <c r="D27" s="177" t="s">
        <v>70</v>
      </c>
      <c r="E27" s="175"/>
      <c r="F27" s="176"/>
      <c r="G27" s="176"/>
      <c r="H27" s="176"/>
      <c r="I27" s="177"/>
      <c r="K27" t="s">
        <v>101</v>
      </c>
      <c r="L27" s="208">
        <v>1</v>
      </c>
      <c r="M27" s="209">
        <v>1</v>
      </c>
      <c r="N27" s="209" t="s">
        <v>85</v>
      </c>
      <c r="O27" s="210">
        <f>SUM(O6:O9)</f>
        <v>219.86010000000002</v>
      </c>
      <c r="P27" s="211"/>
      <c r="Q27" s="30">
        <f t="shared" si="7"/>
        <v>1.9926199261992623</v>
      </c>
      <c r="R27" s="30">
        <f t="shared" si="8"/>
        <v>438.09761623616248</v>
      </c>
      <c r="S27" s="30">
        <f t="shared" si="16"/>
        <v>33058164.636000004</v>
      </c>
      <c r="T27" s="30">
        <f t="shared" si="17"/>
        <v>150360</v>
      </c>
      <c r="U27" s="30">
        <f t="shared" si="18"/>
        <v>33058164.636000004</v>
      </c>
      <c r="V27" s="31"/>
      <c r="W27" s="223"/>
      <c r="X27" s="216" t="s">
        <v>99</v>
      </c>
      <c r="Y27" s="217"/>
      <c r="Z27" s="218" t="s">
        <v>21</v>
      </c>
      <c r="AA27" s="219">
        <f>1/(1/10+SUM(AD29:AD32)+1/6)</f>
        <v>1.2141280353200883</v>
      </c>
      <c r="AB27" s="217" t="s">
        <v>5</v>
      </c>
      <c r="AC27" s="217"/>
      <c r="AD27" s="217" t="s">
        <v>22</v>
      </c>
      <c r="AE27" s="220">
        <f>SUM(AE29:AE33)</f>
        <v>57740</v>
      </c>
      <c r="AF27" s="222" t="s">
        <v>23</v>
      </c>
      <c r="AG27" s="222">
        <f>SUM(AE29:AE32)</f>
        <v>57740</v>
      </c>
      <c r="AH27" s="222"/>
      <c r="AM27" s="158" t="s">
        <v>314</v>
      </c>
      <c r="AN27" s="81" t="s">
        <v>315</v>
      </c>
      <c r="AO27" s="81" t="s">
        <v>337</v>
      </c>
      <c r="AP27" s="81">
        <f>SUM(2*O28)/SUM(O$17:O$25,2*O$28,O$26)</f>
        <v>0.16981631767363287</v>
      </c>
      <c r="AQ27" s="81" t="s">
        <v>317</v>
      </c>
      <c r="AR27" s="166">
        <v>0.14522370000000001</v>
      </c>
      <c r="AV27" s="167" t="s">
        <v>314</v>
      </c>
      <c r="AW27" s="167" t="s">
        <v>315</v>
      </c>
      <c r="AX27" s="167" t="s">
        <v>337</v>
      </c>
      <c r="AY27" s="168" t="s">
        <v>318</v>
      </c>
      <c r="AZ27" s="161">
        <f t="shared" ref="AZ27:AZ28" si="21">AP27</f>
        <v>0.16981631767363287</v>
      </c>
      <c r="BA27" s="167" t="s">
        <v>317</v>
      </c>
      <c r="BC27" s="81" t="s">
        <v>373</v>
      </c>
      <c r="BD27" s="81" t="s">
        <v>403</v>
      </c>
      <c r="BE27" s="166">
        <v>0.23499999999999999</v>
      </c>
      <c r="BF27" s="166">
        <v>1.1199999999999999E-3</v>
      </c>
      <c r="BG27" s="81">
        <v>210.07</v>
      </c>
      <c r="BH27" s="81" t="s">
        <v>384</v>
      </c>
      <c r="BI27" s="81" t="s">
        <v>385</v>
      </c>
      <c r="BL27" s="167" t="s">
        <v>314</v>
      </c>
      <c r="BM27" s="167" t="s">
        <v>315</v>
      </c>
      <c r="BN27" s="167" t="s">
        <v>337</v>
      </c>
      <c r="BO27" s="168" t="s">
        <v>318</v>
      </c>
      <c r="BP27" s="161">
        <f t="shared" ref="BP27:BP28" si="22">BE53</f>
        <v>1.0200000000000001E-2</v>
      </c>
      <c r="BQ27" s="167" t="s">
        <v>317</v>
      </c>
      <c r="BS27" s="81" t="s">
        <v>373</v>
      </c>
      <c r="BT27" s="81" t="s">
        <v>403</v>
      </c>
      <c r="BU27" s="166">
        <v>0.16600000000000001</v>
      </c>
      <c r="BV27" s="166">
        <v>4.6099999999999998E-4</v>
      </c>
      <c r="BW27" s="81">
        <v>359.51</v>
      </c>
      <c r="BX27" s="81" t="s">
        <v>420</v>
      </c>
      <c r="BY27" s="166">
        <v>2E-16</v>
      </c>
      <c r="BZ27" s="81" t="s">
        <v>385</v>
      </c>
      <c r="CA27" s="167" t="s">
        <v>314</v>
      </c>
      <c r="CB27" s="167" t="s">
        <v>315</v>
      </c>
      <c r="CC27" s="167" t="s">
        <v>338</v>
      </c>
      <c r="CD27" s="168" t="s">
        <v>318</v>
      </c>
      <c r="CE27" s="161">
        <f>BU54</f>
        <v>1.06E-7</v>
      </c>
      <c r="CF27" s="167" t="s">
        <v>317</v>
      </c>
      <c r="CI27" s="81" t="s">
        <v>338</v>
      </c>
      <c r="CJ27" s="239">
        <f t="shared" si="1"/>
        <v>2.9200549896439641E-2</v>
      </c>
      <c r="CK27" s="239">
        <f t="shared" si="2"/>
        <v>0.69799999999999995</v>
      </c>
      <c r="CL27" s="239">
        <f t="shared" si="3"/>
        <v>1.06E-7</v>
      </c>
      <c r="CO27" s="243" t="s">
        <v>373</v>
      </c>
      <c r="CP27" s="243" t="s">
        <v>455</v>
      </c>
      <c r="CQ27" s="244">
        <v>8.4000000000000005E-2</v>
      </c>
      <c r="CR27" s="244">
        <v>4.3099999999999999E-2</v>
      </c>
      <c r="CS27" s="243">
        <v>1.95</v>
      </c>
      <c r="CT27" s="243">
        <v>5.0999999999999997E-2</v>
      </c>
      <c r="CU27" s="244" t="s">
        <v>428</v>
      </c>
      <c r="CV27" s="81"/>
      <c r="CW27" s="245" t="s">
        <v>460</v>
      </c>
      <c r="CX27" s="246" t="s">
        <v>325</v>
      </c>
      <c r="CY27" s="246" t="s">
        <v>318</v>
      </c>
      <c r="CZ27" s="247">
        <f>CQ32</f>
        <v>235000000</v>
      </c>
      <c r="DA27" s="245" t="s">
        <v>317</v>
      </c>
      <c r="DC27" s="169" t="s">
        <v>460</v>
      </c>
      <c r="DD27" s="258" t="s">
        <v>325</v>
      </c>
      <c r="DE27" s="258" t="s">
        <v>318</v>
      </c>
      <c r="DF27" s="262">
        <f>$AP12</f>
        <v>14901928.000000002</v>
      </c>
      <c r="DG27" s="169" t="s">
        <v>317</v>
      </c>
    </row>
    <row r="28" spans="2:115" ht="15" customHeight="1" thickTop="1" thickBot="1" x14ac:dyDescent="0.3">
      <c r="B28" s="175"/>
      <c r="C28" s="176"/>
      <c r="D28" s="177"/>
      <c r="E28" s="175"/>
      <c r="F28" s="176"/>
      <c r="G28" s="176"/>
      <c r="H28" s="176"/>
      <c r="I28" s="177"/>
      <c r="K28" t="s">
        <v>102</v>
      </c>
      <c r="L28" s="208">
        <v>2</v>
      </c>
      <c r="M28" s="209">
        <v>2</v>
      </c>
      <c r="N28" s="209" t="s">
        <v>85</v>
      </c>
      <c r="O28" s="210">
        <f>SUM(O17:O20)</f>
        <v>35.939900000000009</v>
      </c>
      <c r="P28" s="211"/>
      <c r="Q28" s="30">
        <f t="shared" si="7"/>
        <v>1.9926199261992623</v>
      </c>
      <c r="R28" s="30">
        <f t="shared" si="8"/>
        <v>71.614560885608881</v>
      </c>
      <c r="S28" s="30">
        <f t="shared" si="16"/>
        <v>5403923.364000001</v>
      </c>
      <c r="T28" s="30">
        <f t="shared" si="17"/>
        <v>150360</v>
      </c>
      <c r="U28" s="30">
        <f t="shared" si="18"/>
        <v>5403923.364000001</v>
      </c>
      <c r="V28" s="31"/>
      <c r="X28" s="224"/>
      <c r="Y28" s="225" t="s">
        <v>27</v>
      </c>
      <c r="Z28" s="225" t="s">
        <v>28</v>
      </c>
      <c r="AA28" s="225" t="s">
        <v>29</v>
      </c>
      <c r="AB28" s="225" t="s">
        <v>30</v>
      </c>
      <c r="AC28" s="225" t="s">
        <v>31</v>
      </c>
      <c r="AD28" s="225" t="s">
        <v>32</v>
      </c>
      <c r="AE28" s="226" t="s">
        <v>33</v>
      </c>
      <c r="AF28" s="222"/>
      <c r="AG28" s="222"/>
      <c r="AH28" s="222"/>
      <c r="AM28" s="158" t="s">
        <v>314</v>
      </c>
      <c r="AN28" s="81" t="s">
        <v>315</v>
      </c>
      <c r="AO28" s="81" t="s">
        <v>338</v>
      </c>
      <c r="AP28" s="81">
        <f>SUM(O21:O24)/SUM(O$17:O$25,2*O$28,O$26)</f>
        <v>2.9200549896439641E-2</v>
      </c>
      <c r="AQ28" s="81" t="s">
        <v>317</v>
      </c>
      <c r="AR28" s="166">
        <v>0.13569049999999999</v>
      </c>
      <c r="AV28" s="167" t="s">
        <v>314</v>
      </c>
      <c r="AW28" s="167" t="s">
        <v>315</v>
      </c>
      <c r="AX28" s="167" t="s">
        <v>338</v>
      </c>
      <c r="AY28" s="168" t="s">
        <v>318</v>
      </c>
      <c r="AZ28" s="161">
        <f t="shared" si="21"/>
        <v>2.9200549896439641E-2</v>
      </c>
      <c r="BA28" s="167" t="s">
        <v>317</v>
      </c>
      <c r="BC28" s="81" t="s">
        <v>373</v>
      </c>
      <c r="BD28" s="81" t="s">
        <v>404</v>
      </c>
      <c r="BE28" s="166">
        <v>0.53700000000000003</v>
      </c>
      <c r="BF28" s="166">
        <v>2.6900000000000001E-3</v>
      </c>
      <c r="BG28" s="81">
        <v>199.49</v>
      </c>
      <c r="BH28" s="81" t="s">
        <v>384</v>
      </c>
      <c r="BI28" s="81" t="s">
        <v>385</v>
      </c>
      <c r="BL28" s="167" t="s">
        <v>314</v>
      </c>
      <c r="BM28" s="167" t="s">
        <v>315</v>
      </c>
      <c r="BN28" s="167" t="s">
        <v>338</v>
      </c>
      <c r="BO28" s="168" t="s">
        <v>318</v>
      </c>
      <c r="BP28" s="161">
        <f t="shared" si="22"/>
        <v>0.69799999999999995</v>
      </c>
      <c r="BQ28" s="167" t="s">
        <v>317</v>
      </c>
      <c r="BS28" s="81" t="s">
        <v>373</v>
      </c>
      <c r="BT28" s="81" t="s">
        <v>404</v>
      </c>
      <c r="BU28" s="166">
        <v>0.70499999999999996</v>
      </c>
      <c r="BV28" s="166">
        <v>6.7499999999999999E-3</v>
      </c>
      <c r="BW28" s="81">
        <v>104.45</v>
      </c>
      <c r="BX28" s="81" t="s">
        <v>420</v>
      </c>
      <c r="BY28" s="166">
        <v>2E-16</v>
      </c>
      <c r="BZ28" s="81" t="s">
        <v>385</v>
      </c>
      <c r="CA28" s="167"/>
      <c r="CB28" s="167"/>
      <c r="CC28" s="167"/>
      <c r="CD28" s="168"/>
      <c r="CE28" s="161"/>
      <c r="CF28" s="167"/>
      <c r="CI28" s="81"/>
      <c r="CJ28" s="240"/>
      <c r="CK28" s="240"/>
      <c r="CL28" s="240"/>
      <c r="CO28" s="243" t="s">
        <v>373</v>
      </c>
      <c r="CP28" s="243" t="s">
        <v>355</v>
      </c>
      <c r="CQ28" s="244">
        <v>0.20699999999999999</v>
      </c>
      <c r="CR28" s="244">
        <v>9.9099999999999994E-2</v>
      </c>
      <c r="CS28" s="243">
        <v>2.08</v>
      </c>
      <c r="CT28" s="243">
        <v>3.6999999999999998E-2</v>
      </c>
      <c r="CU28" s="243" t="s">
        <v>418</v>
      </c>
      <c r="CV28" s="81"/>
      <c r="CW28" s="245" t="s">
        <v>460</v>
      </c>
      <c r="CX28" s="249" t="s">
        <v>322</v>
      </c>
      <c r="CY28" s="246" t="s">
        <v>318</v>
      </c>
      <c r="CZ28" s="247">
        <f t="shared" ref="CZ28:CZ30" si="23">CQ33</f>
        <v>2320000</v>
      </c>
      <c r="DA28" s="245" t="s">
        <v>317</v>
      </c>
      <c r="DC28" s="169" t="s">
        <v>460</v>
      </c>
      <c r="DD28" s="260" t="s">
        <v>322</v>
      </c>
      <c r="DE28" s="258" t="s">
        <v>318</v>
      </c>
      <c r="DF28" s="262">
        <f>$AP9</f>
        <v>1940369.480716846</v>
      </c>
      <c r="DG28" s="169" t="s">
        <v>317</v>
      </c>
    </row>
    <row r="29" spans="2:115" ht="15" customHeight="1" thickTop="1" thickBot="1" x14ac:dyDescent="0.3">
      <c r="B29" s="175"/>
      <c r="C29" s="176"/>
      <c r="D29" s="177"/>
      <c r="E29" s="175"/>
      <c r="F29" s="176"/>
      <c r="G29" s="176"/>
      <c r="H29" s="176"/>
      <c r="I29" s="177"/>
      <c r="L29" s="213"/>
      <c r="M29" s="214"/>
      <c r="N29" s="214"/>
      <c r="O29" s="214"/>
      <c r="P29" s="215"/>
      <c r="X29" s="181"/>
      <c r="Y29" s="182" t="s">
        <v>103</v>
      </c>
      <c r="Z29" s="182">
        <v>0.02</v>
      </c>
      <c r="AA29" s="182">
        <v>0.11</v>
      </c>
      <c r="AB29" s="182">
        <v>550</v>
      </c>
      <c r="AC29" s="182">
        <v>1880</v>
      </c>
      <c r="AD29" s="231">
        <f>Z29/AA29</f>
        <v>0.18181818181818182</v>
      </c>
      <c r="AE29" s="232">
        <f>Z29*AB29*AC29</f>
        <v>20680</v>
      </c>
      <c r="AF29" s="222" t="s">
        <v>104</v>
      </c>
      <c r="AG29" s="222"/>
      <c r="AH29" s="222"/>
      <c r="AQ29" s="81" t="s">
        <v>317</v>
      </c>
      <c r="AV29" s="167"/>
      <c r="AW29" s="167"/>
      <c r="AX29" s="167"/>
      <c r="AY29" s="168"/>
      <c r="BA29" s="167"/>
      <c r="BC29" s="81" t="s">
        <v>373</v>
      </c>
      <c r="BD29" s="81" t="s">
        <v>405</v>
      </c>
      <c r="BE29" s="166">
        <v>7.7399999999999997E-2</v>
      </c>
      <c r="BF29" s="166">
        <v>7.9799999999999999E-4</v>
      </c>
      <c r="BG29" s="81">
        <v>97</v>
      </c>
      <c r="BH29" s="81" t="s">
        <v>384</v>
      </c>
      <c r="BI29" s="81" t="s">
        <v>385</v>
      </c>
      <c r="BL29" s="167"/>
      <c r="BM29" s="167"/>
      <c r="BN29" s="167"/>
      <c r="BO29" s="168"/>
      <c r="BP29" s="161"/>
      <c r="BQ29" s="167"/>
      <c r="BS29" s="81" t="s">
        <v>373</v>
      </c>
      <c r="BT29" s="81" t="s">
        <v>405</v>
      </c>
      <c r="BU29" s="166">
        <v>5.57E-2</v>
      </c>
      <c r="BV29" s="166">
        <v>1.2400000000000001E-4</v>
      </c>
      <c r="BW29" s="81">
        <v>449.16</v>
      </c>
      <c r="BX29" s="81" t="s">
        <v>420</v>
      </c>
      <c r="BY29" s="166">
        <v>2E-16</v>
      </c>
      <c r="BZ29" s="81" t="s">
        <v>385</v>
      </c>
      <c r="CA29" s="167" t="s">
        <v>314</v>
      </c>
      <c r="CB29" s="167" t="s">
        <v>315</v>
      </c>
      <c r="CC29" s="167" t="s">
        <v>339</v>
      </c>
      <c r="CD29" s="168" t="s">
        <v>318</v>
      </c>
      <c r="CE29" s="161">
        <f>BU57</f>
        <v>1010000</v>
      </c>
      <c r="CF29" s="167" t="s">
        <v>317</v>
      </c>
      <c r="CI29" s="81" t="s">
        <v>339</v>
      </c>
      <c r="CJ29" s="241">
        <f t="shared" si="1"/>
        <v>2090628.9192831542</v>
      </c>
      <c r="CK29" s="241">
        <f t="shared" si="2"/>
        <v>3800000</v>
      </c>
      <c r="CL29" s="241">
        <f t="shared" si="3"/>
        <v>1010000</v>
      </c>
      <c r="CO29" s="243" t="s">
        <v>373</v>
      </c>
      <c r="CP29" s="243" t="s">
        <v>456</v>
      </c>
      <c r="CQ29" s="244">
        <v>0.438</v>
      </c>
      <c r="CR29" s="244">
        <v>2.2599999999999999E-2</v>
      </c>
      <c r="CS29" s="243">
        <v>19.39</v>
      </c>
      <c r="CT29" s="243" t="s">
        <v>420</v>
      </c>
      <c r="CU29" s="244">
        <v>2E-16</v>
      </c>
      <c r="CV29" s="81" t="s">
        <v>385</v>
      </c>
      <c r="CW29" s="245" t="s">
        <v>460</v>
      </c>
      <c r="CX29" s="249" t="s">
        <v>323</v>
      </c>
      <c r="CY29" s="246" t="s">
        <v>318</v>
      </c>
      <c r="CZ29" s="247">
        <f t="shared" si="23"/>
        <v>75700000</v>
      </c>
      <c r="DA29" s="245" t="s">
        <v>317</v>
      </c>
      <c r="DC29" s="169" t="s">
        <v>460</v>
      </c>
      <c r="DD29" s="260" t="s">
        <v>323</v>
      </c>
      <c r="DE29" s="258" t="s">
        <v>318</v>
      </c>
      <c r="DF29" s="262">
        <f>$AP10</f>
        <v>89016957.288000003</v>
      </c>
      <c r="DG29" s="169" t="s">
        <v>317</v>
      </c>
    </row>
    <row r="30" spans="2:115" ht="15" customHeight="1" thickTop="1" thickBot="1" x14ac:dyDescent="0.3">
      <c r="B30" s="187"/>
      <c r="C30" s="174"/>
      <c r="D30" s="192"/>
      <c r="E30" s="187"/>
      <c r="F30" s="174"/>
      <c r="G30" s="174"/>
      <c r="H30" s="174"/>
      <c r="I30" s="192"/>
      <c r="L30"/>
      <c r="M30"/>
      <c r="N30"/>
      <c r="Q30"/>
      <c r="R30"/>
      <c r="X30" s="175"/>
      <c r="Y30" s="176" t="s">
        <v>105</v>
      </c>
      <c r="Z30" s="176">
        <v>0.1</v>
      </c>
      <c r="AA30" s="176"/>
      <c r="AB30" s="176"/>
      <c r="AC30" s="176"/>
      <c r="AD30" s="227">
        <v>0.16</v>
      </c>
      <c r="AE30" s="177">
        <f>Z30*AB30*AC30</f>
        <v>0</v>
      </c>
      <c r="AF30" s="222"/>
      <c r="AG30" s="222"/>
      <c r="AH30" s="222"/>
      <c r="AM30" s="158" t="s">
        <v>314</v>
      </c>
      <c r="AN30" s="81" t="s">
        <v>315</v>
      </c>
      <c r="AO30" s="81" t="s">
        <v>339</v>
      </c>
      <c r="AP30" s="166">
        <f>C35*1.04*1012*5</f>
        <v>2090628.9192831542</v>
      </c>
      <c r="AQ30" s="81" t="s">
        <v>317</v>
      </c>
      <c r="AR30" s="166">
        <v>1612741</v>
      </c>
      <c r="AV30" s="167" t="s">
        <v>314</v>
      </c>
      <c r="AW30" s="167" t="s">
        <v>315</v>
      </c>
      <c r="AX30" s="167" t="s">
        <v>339</v>
      </c>
      <c r="AY30" s="168" t="s">
        <v>318</v>
      </c>
      <c r="AZ30" s="161">
        <f>AP30</f>
        <v>2090628.9192831542</v>
      </c>
      <c r="BA30" s="167" t="s">
        <v>317</v>
      </c>
      <c r="BC30" s="81" t="s">
        <v>373</v>
      </c>
      <c r="BD30" s="81" t="s">
        <v>406</v>
      </c>
      <c r="BE30" s="166">
        <v>1.9E-2</v>
      </c>
      <c r="BF30" s="166">
        <v>6.78E-4</v>
      </c>
      <c r="BG30" s="81">
        <v>27.98</v>
      </c>
      <c r="BH30" s="81" t="s">
        <v>384</v>
      </c>
      <c r="BI30" s="81" t="s">
        <v>385</v>
      </c>
      <c r="BL30" s="167" t="s">
        <v>314</v>
      </c>
      <c r="BM30" s="167" t="s">
        <v>315</v>
      </c>
      <c r="BN30" s="167" t="s">
        <v>339</v>
      </c>
      <c r="BO30" s="168" t="s">
        <v>318</v>
      </c>
      <c r="BP30" s="161">
        <f>BE57</f>
        <v>3800000</v>
      </c>
      <c r="BQ30" s="167" t="s">
        <v>317</v>
      </c>
      <c r="BS30" s="81" t="s">
        <v>373</v>
      </c>
      <c r="BT30" s="81" t="s">
        <v>406</v>
      </c>
      <c r="BU30" s="166">
        <v>2.69E-2</v>
      </c>
      <c r="BV30" s="166">
        <v>1.16E-4</v>
      </c>
      <c r="BW30" s="81">
        <v>233.23</v>
      </c>
      <c r="BX30" s="81" t="s">
        <v>420</v>
      </c>
      <c r="BY30" s="166">
        <v>2E-16</v>
      </c>
      <c r="BZ30" s="81" t="s">
        <v>385</v>
      </c>
      <c r="CA30" s="167" t="s">
        <v>314</v>
      </c>
      <c r="CB30" s="167" t="s">
        <v>315</v>
      </c>
      <c r="CC30" s="167" t="s">
        <v>340</v>
      </c>
      <c r="CD30" s="168" t="s">
        <v>318</v>
      </c>
      <c r="CE30" s="161">
        <f>BU58</f>
        <v>36900000</v>
      </c>
      <c r="CF30" s="167" t="s">
        <v>317</v>
      </c>
      <c r="CI30" s="81" t="s">
        <v>340</v>
      </c>
      <c r="CJ30" s="241">
        <f t="shared" si="1"/>
        <v>21240578.712000005</v>
      </c>
      <c r="CK30" s="241">
        <f t="shared" si="2"/>
        <v>78400000</v>
      </c>
      <c r="CL30" s="241">
        <f t="shared" si="3"/>
        <v>36900000</v>
      </c>
      <c r="CO30" s="243" t="s">
        <v>373</v>
      </c>
      <c r="CP30" s="243" t="s">
        <v>457</v>
      </c>
      <c r="CQ30" s="244">
        <v>0.154</v>
      </c>
      <c r="CR30" s="244">
        <v>2.4299999999999999E-2</v>
      </c>
      <c r="CS30" s="243">
        <v>6.32</v>
      </c>
      <c r="CT30" s="244">
        <v>2.7E-10</v>
      </c>
      <c r="CU30" s="244" t="s">
        <v>385</v>
      </c>
      <c r="CV30" s="81"/>
      <c r="CW30" s="245" t="s">
        <v>460</v>
      </c>
      <c r="CX30" s="249" t="s">
        <v>324</v>
      </c>
      <c r="CY30" s="246" t="s">
        <v>318</v>
      </c>
      <c r="CZ30" s="247">
        <f t="shared" si="23"/>
        <v>22700000</v>
      </c>
      <c r="DA30" s="245" t="s">
        <v>317</v>
      </c>
      <c r="DC30" s="169" t="s">
        <v>460</v>
      </c>
      <c r="DD30" s="260" t="s">
        <v>324</v>
      </c>
      <c r="DE30" s="258" t="s">
        <v>318</v>
      </c>
      <c r="DF30" s="262">
        <f>$AP11</f>
        <v>33058164.636000004</v>
      </c>
      <c r="DG30" s="169" t="s">
        <v>317</v>
      </c>
    </row>
    <row r="31" spans="2:115" ht="15" customHeight="1" thickTop="1" thickBot="1" x14ac:dyDescent="0.3">
      <c r="L31"/>
      <c r="M31"/>
      <c r="N31"/>
      <c r="Q31" s="69" t="s">
        <v>106</v>
      </c>
      <c r="R31" s="70">
        <f>SUM(R4:R13)+R14*0.5+SUM(R17:R25)+R16</f>
        <v>1268.1647243034322</v>
      </c>
      <c r="S31" s="69" t="s">
        <v>107</v>
      </c>
      <c r="X31" s="175"/>
      <c r="Y31" s="176" t="s">
        <v>108</v>
      </c>
      <c r="Z31" s="176">
        <v>0.02</v>
      </c>
      <c r="AA31" s="176">
        <v>0.11</v>
      </c>
      <c r="AB31" s="176">
        <v>550</v>
      </c>
      <c r="AC31" s="176">
        <v>1880</v>
      </c>
      <c r="AD31" s="227">
        <f>Z31/AA31</f>
        <v>0.18181818181818182</v>
      </c>
      <c r="AE31" s="177">
        <f>Z31*AB31*AC31</f>
        <v>20680</v>
      </c>
      <c r="AF31" s="222"/>
      <c r="AG31" s="222"/>
      <c r="AH31" s="222"/>
      <c r="AM31" s="158" t="s">
        <v>314</v>
      </c>
      <c r="AN31" s="81" t="s">
        <v>315</v>
      </c>
      <c r="AO31" s="81" t="s">
        <v>340</v>
      </c>
      <c r="AP31" s="166">
        <f>U25+SUM(U17:U20)</f>
        <v>21240578.712000005</v>
      </c>
      <c r="AQ31" s="81" t="s">
        <v>317</v>
      </c>
      <c r="AR31" s="166">
        <v>6867267</v>
      </c>
      <c r="AV31" s="167" t="s">
        <v>314</v>
      </c>
      <c r="AW31" s="167" t="s">
        <v>315</v>
      </c>
      <c r="AX31" s="167" t="s">
        <v>340</v>
      </c>
      <c r="AY31" s="168" t="s">
        <v>318</v>
      </c>
      <c r="AZ31" s="161">
        <f t="shared" ref="AZ31:AZ35" si="24">AP31</f>
        <v>21240578.712000005</v>
      </c>
      <c r="BA31" s="167" t="s">
        <v>317</v>
      </c>
      <c r="BC31" s="81" t="s">
        <v>373</v>
      </c>
      <c r="BD31" s="81" t="s">
        <v>407</v>
      </c>
      <c r="BE31" s="166">
        <v>958</v>
      </c>
      <c r="BF31" s="166">
        <v>7.5</v>
      </c>
      <c r="BG31" s="81">
        <v>127.81</v>
      </c>
      <c r="BH31" s="81" t="s">
        <v>384</v>
      </c>
      <c r="BI31" s="81" t="s">
        <v>385</v>
      </c>
      <c r="BL31" s="167" t="s">
        <v>314</v>
      </c>
      <c r="BM31" s="167" t="s">
        <v>315</v>
      </c>
      <c r="BN31" s="167" t="s">
        <v>340</v>
      </c>
      <c r="BO31" s="168" t="s">
        <v>318</v>
      </c>
      <c r="BP31" s="161">
        <f t="shared" ref="BP31:BP32" si="25">BE58</f>
        <v>78400000</v>
      </c>
      <c r="BQ31" s="167" t="s">
        <v>317</v>
      </c>
      <c r="BS31" s="81" t="s">
        <v>373</v>
      </c>
      <c r="BT31" s="81" t="s">
        <v>407</v>
      </c>
      <c r="BU31" s="166">
        <v>504</v>
      </c>
      <c r="BV31" s="166">
        <v>1.76</v>
      </c>
      <c r="BW31" s="81">
        <v>287.24</v>
      </c>
      <c r="BX31" s="81" t="s">
        <v>420</v>
      </c>
      <c r="BY31" s="166">
        <v>2E-16</v>
      </c>
      <c r="BZ31" s="81" t="s">
        <v>385</v>
      </c>
      <c r="CA31" s="167" t="s">
        <v>314</v>
      </c>
      <c r="CB31" s="167" t="s">
        <v>315</v>
      </c>
      <c r="CC31" s="167" t="s">
        <v>341</v>
      </c>
      <c r="CD31" s="168" t="s">
        <v>318</v>
      </c>
      <c r="CE31" s="161">
        <f>BU59</f>
        <v>46000000</v>
      </c>
      <c r="CF31" s="167" t="s">
        <v>317</v>
      </c>
      <c r="CI31" s="81" t="s">
        <v>341</v>
      </c>
      <c r="CJ31" s="241">
        <f t="shared" si="1"/>
        <v>5403923.364000001</v>
      </c>
      <c r="CK31" s="241">
        <f t="shared" si="2"/>
        <v>12500000</v>
      </c>
      <c r="CL31" s="241">
        <f t="shared" si="3"/>
        <v>46000000</v>
      </c>
      <c r="CO31" s="243" t="s">
        <v>373</v>
      </c>
      <c r="CP31" s="243" t="s">
        <v>303</v>
      </c>
      <c r="CQ31" s="244">
        <v>167000000</v>
      </c>
      <c r="CR31" s="244">
        <v>4450000</v>
      </c>
      <c r="CS31" s="243">
        <v>37.61</v>
      </c>
      <c r="CT31" s="244" t="s">
        <v>420</v>
      </c>
      <c r="CU31" s="244">
        <v>2E-16</v>
      </c>
      <c r="CV31" s="81" t="s">
        <v>385</v>
      </c>
      <c r="CY31" s="246"/>
      <c r="DC31" s="169"/>
      <c r="DD31" s="169"/>
      <c r="DE31" s="258"/>
      <c r="DF31" s="169"/>
      <c r="DG31" s="169"/>
    </row>
    <row r="32" spans="2:115" ht="15" customHeight="1" thickTop="1" thickBot="1" x14ac:dyDescent="0.3">
      <c r="L32"/>
      <c r="M32"/>
      <c r="N32"/>
      <c r="Q32"/>
      <c r="R32">
        <f>H4*Z37</f>
        <v>35.844000000000001</v>
      </c>
      <c r="X32" s="187"/>
      <c r="Y32" s="174" t="s">
        <v>80</v>
      </c>
      <c r="Z32" s="174">
        <v>0.02</v>
      </c>
      <c r="AA32" s="174">
        <v>0.6</v>
      </c>
      <c r="AB32" s="174">
        <v>975</v>
      </c>
      <c r="AC32" s="174">
        <v>840</v>
      </c>
      <c r="AD32" s="229">
        <f>Z32/AA32</f>
        <v>3.3333333333333333E-2</v>
      </c>
      <c r="AE32" s="192">
        <f>Z32*AB32*AC32</f>
        <v>16380</v>
      </c>
      <c r="AF32" s="222"/>
      <c r="AG32" s="222"/>
      <c r="AH32" s="222"/>
      <c r="AM32" s="158" t="s">
        <v>314</v>
      </c>
      <c r="AN32" s="81" t="s">
        <v>315</v>
      </c>
      <c r="AO32" s="81" t="s">
        <v>341</v>
      </c>
      <c r="AP32" s="166">
        <f>SUM(U28,U31)</f>
        <v>5403923.364000001</v>
      </c>
      <c r="AQ32" s="81" t="s">
        <v>317</v>
      </c>
      <c r="AR32" s="166">
        <v>4590824</v>
      </c>
      <c r="AV32" s="167" t="s">
        <v>314</v>
      </c>
      <c r="AW32" s="167" t="s">
        <v>315</v>
      </c>
      <c r="AX32" s="167" t="s">
        <v>341</v>
      </c>
      <c r="AY32" s="168" t="s">
        <v>318</v>
      </c>
      <c r="AZ32" s="161">
        <f t="shared" si="24"/>
        <v>5403923.364000001</v>
      </c>
      <c r="BA32" s="167" t="s">
        <v>317</v>
      </c>
      <c r="BC32" s="81" t="s">
        <v>373</v>
      </c>
      <c r="BD32" s="81" t="s">
        <v>408</v>
      </c>
      <c r="BE32" s="166">
        <v>737</v>
      </c>
      <c r="BF32" s="166">
        <v>8.3800000000000008</v>
      </c>
      <c r="BG32" s="81">
        <v>87.98</v>
      </c>
      <c r="BH32" s="81" t="s">
        <v>384</v>
      </c>
      <c r="BI32" s="81" t="s">
        <v>385</v>
      </c>
      <c r="BL32" s="167" t="s">
        <v>314</v>
      </c>
      <c r="BM32" s="167" t="s">
        <v>315</v>
      </c>
      <c r="BN32" s="167" t="s">
        <v>341</v>
      </c>
      <c r="BO32" s="168" t="s">
        <v>318</v>
      </c>
      <c r="BP32" s="161">
        <f t="shared" si="25"/>
        <v>12500000</v>
      </c>
      <c r="BQ32" s="167" t="s">
        <v>317</v>
      </c>
      <c r="BS32" s="81" t="s">
        <v>373</v>
      </c>
      <c r="BT32" s="81" t="s">
        <v>408</v>
      </c>
      <c r="BU32" s="166">
        <v>196</v>
      </c>
      <c r="BV32" s="166">
        <v>0.8</v>
      </c>
      <c r="BW32" s="81">
        <v>245.27</v>
      </c>
      <c r="BX32" s="81" t="s">
        <v>420</v>
      </c>
      <c r="BY32" s="166">
        <v>2E-16</v>
      </c>
      <c r="BZ32" s="81" t="s">
        <v>385</v>
      </c>
      <c r="CA32" s="167" t="s">
        <v>314</v>
      </c>
      <c r="CB32" s="167" t="s">
        <v>315</v>
      </c>
      <c r="CC32" s="167" t="s">
        <v>342</v>
      </c>
      <c r="CD32" s="168" t="s">
        <v>318</v>
      </c>
      <c r="CE32" s="161">
        <f>BU64</f>
        <v>0.16</v>
      </c>
      <c r="CF32" s="167" t="s">
        <v>317</v>
      </c>
      <c r="CI32" s="81" t="s">
        <v>342</v>
      </c>
      <c r="CJ32" s="239">
        <f t="shared" si="1"/>
        <v>9.1825759657266817E-2</v>
      </c>
      <c r="CK32" s="239">
        <f t="shared" si="2"/>
        <v>1.6E-2</v>
      </c>
      <c r="CL32" s="239">
        <f t="shared" si="3"/>
        <v>0.16</v>
      </c>
      <c r="CO32" s="243" t="s">
        <v>373</v>
      </c>
      <c r="CP32" s="243" t="s">
        <v>299</v>
      </c>
      <c r="CQ32" s="244">
        <v>235000000</v>
      </c>
      <c r="CR32" s="244">
        <v>33600000</v>
      </c>
      <c r="CS32" s="243">
        <v>7</v>
      </c>
      <c r="CT32" s="244">
        <v>2.8000000000000002E-12</v>
      </c>
      <c r="CU32" s="243" t="s">
        <v>385</v>
      </c>
      <c r="CV32" s="81"/>
      <c r="CW32" s="245" t="s">
        <v>460</v>
      </c>
      <c r="CX32" s="249" t="s">
        <v>330</v>
      </c>
      <c r="CY32" s="246" t="s">
        <v>318</v>
      </c>
      <c r="CZ32" s="247">
        <f>CQ46</f>
        <v>531</v>
      </c>
      <c r="DA32" s="245" t="s">
        <v>317</v>
      </c>
      <c r="DB32" s="166"/>
      <c r="DC32" s="169" t="s">
        <v>460</v>
      </c>
      <c r="DD32" s="260" t="s">
        <v>330</v>
      </c>
      <c r="DE32" s="258" t="s">
        <v>318</v>
      </c>
      <c r="DF32" s="169">
        <f>$AP19</f>
        <v>861.17309198813064</v>
      </c>
      <c r="DG32" s="169" t="s">
        <v>317</v>
      </c>
      <c r="DI32" t="s">
        <v>512</v>
      </c>
      <c r="DJ32" t="s">
        <v>513</v>
      </c>
      <c r="DK32" t="s">
        <v>514</v>
      </c>
    </row>
    <row r="33" spans="2:115" ht="15" customHeight="1" thickTop="1" thickBot="1" x14ac:dyDescent="0.3">
      <c r="B33" s="72" t="s">
        <v>109</v>
      </c>
      <c r="C33" s="72" t="s">
        <v>110</v>
      </c>
      <c r="D33" s="72"/>
      <c r="E33" s="72" t="s">
        <v>111</v>
      </c>
      <c r="F33" s="274" t="s">
        <v>112</v>
      </c>
      <c r="G33" s="274"/>
      <c r="H33" s="72" t="s">
        <v>113</v>
      </c>
      <c r="L33"/>
      <c r="M33"/>
      <c r="N33"/>
      <c r="Q33"/>
      <c r="R33"/>
      <c r="X33" s="176"/>
      <c r="Y33" s="176"/>
      <c r="Z33" s="176"/>
      <c r="AA33" s="176"/>
      <c r="AB33" s="176"/>
      <c r="AC33" s="176"/>
      <c r="AD33" s="227"/>
      <c r="AE33" s="176"/>
      <c r="AF33" s="222"/>
      <c r="AG33" s="222"/>
      <c r="AH33" s="222"/>
      <c r="AM33" s="158" t="s">
        <v>314</v>
      </c>
      <c r="AN33" s="81" t="s">
        <v>315</v>
      </c>
      <c r="AO33" s="81" t="s">
        <v>342</v>
      </c>
      <c r="AP33" s="81">
        <f>AP26*0.2</f>
        <v>9.1825759657266817E-2</v>
      </c>
      <c r="AQ33" s="81" t="s">
        <v>317</v>
      </c>
      <c r="AR33" s="166">
        <v>0.1616958</v>
      </c>
      <c r="AV33" s="167" t="s">
        <v>314</v>
      </c>
      <c r="AW33" s="167" t="s">
        <v>315</v>
      </c>
      <c r="AX33" s="167" t="s">
        <v>342</v>
      </c>
      <c r="AY33" s="168" t="s">
        <v>318</v>
      </c>
      <c r="AZ33" s="161">
        <f t="shared" si="24"/>
        <v>9.1825759657266817E-2</v>
      </c>
      <c r="BA33" s="167" t="s">
        <v>317</v>
      </c>
      <c r="BC33" s="81" t="s">
        <v>373</v>
      </c>
      <c r="BD33" s="81" t="s">
        <v>290</v>
      </c>
      <c r="BE33" s="166">
        <v>2190</v>
      </c>
      <c r="BF33" s="166">
        <v>10.6</v>
      </c>
      <c r="BG33" s="81">
        <v>207.31</v>
      </c>
      <c r="BH33" s="81" t="s">
        <v>384</v>
      </c>
      <c r="BI33" s="81" t="s">
        <v>385</v>
      </c>
      <c r="BL33" s="167" t="s">
        <v>314</v>
      </c>
      <c r="BM33" s="167" t="s">
        <v>315</v>
      </c>
      <c r="BN33" s="167" t="s">
        <v>342</v>
      </c>
      <c r="BO33" s="168" t="s">
        <v>318</v>
      </c>
      <c r="BP33" s="161">
        <f>BE64</f>
        <v>1.6E-2</v>
      </c>
      <c r="BQ33" s="167" t="s">
        <v>317</v>
      </c>
      <c r="BS33" s="81" t="s">
        <v>373</v>
      </c>
      <c r="BT33" s="81" t="s">
        <v>290</v>
      </c>
      <c r="BU33" s="166">
        <v>663</v>
      </c>
      <c r="BV33" s="166">
        <v>3.82</v>
      </c>
      <c r="BW33" s="81">
        <v>173.62</v>
      </c>
      <c r="BX33" s="81" t="s">
        <v>420</v>
      </c>
      <c r="BY33" s="166">
        <v>2E-16</v>
      </c>
      <c r="BZ33" s="81" t="s">
        <v>385</v>
      </c>
      <c r="CA33" s="167" t="s">
        <v>314</v>
      </c>
      <c r="CB33" s="167" t="s">
        <v>315</v>
      </c>
      <c r="CC33" s="167" t="s">
        <v>343</v>
      </c>
      <c r="CD33" s="168" t="s">
        <v>318</v>
      </c>
      <c r="CE33" s="161">
        <f>BU65</f>
        <v>5.7200000000000001E-2</v>
      </c>
      <c r="CF33" s="167" t="s">
        <v>317</v>
      </c>
      <c r="CI33" s="81" t="s">
        <v>343</v>
      </c>
      <c r="CJ33" s="239">
        <f t="shared" si="1"/>
        <v>3.3963263534726576E-2</v>
      </c>
      <c r="CK33" s="239">
        <f t="shared" si="2"/>
        <v>4.2999999999999997E-2</v>
      </c>
      <c r="CL33" s="239">
        <f t="shared" si="3"/>
        <v>5.7200000000000001E-2</v>
      </c>
      <c r="CO33" s="243" t="s">
        <v>373</v>
      </c>
      <c r="CP33" s="243" t="s">
        <v>395</v>
      </c>
      <c r="CQ33" s="244">
        <v>2320000</v>
      </c>
      <c r="CR33" s="244">
        <v>26100</v>
      </c>
      <c r="CS33" s="243">
        <v>89.02</v>
      </c>
      <c r="CT33" s="243" t="s">
        <v>420</v>
      </c>
      <c r="CU33" s="244">
        <v>2E-16</v>
      </c>
      <c r="CV33" s="81" t="s">
        <v>385</v>
      </c>
      <c r="CW33" s="245" t="s">
        <v>460</v>
      </c>
      <c r="CX33" s="249" t="s">
        <v>331</v>
      </c>
      <c r="CY33" s="246" t="s">
        <v>318</v>
      </c>
      <c r="CZ33" s="247">
        <f t="shared" ref="CZ33:CZ35" si="26">CQ47</f>
        <v>229</v>
      </c>
      <c r="DA33" s="245" t="s">
        <v>317</v>
      </c>
      <c r="DC33" s="169" t="s">
        <v>460</v>
      </c>
      <c r="DD33" s="260" t="s">
        <v>331</v>
      </c>
      <c r="DE33" s="258" t="s">
        <v>318</v>
      </c>
      <c r="DF33" s="169">
        <f>$AP20</f>
        <v>427.31818181818187</v>
      </c>
      <c r="DG33" s="169" t="s">
        <v>317</v>
      </c>
      <c r="DJ33" s="152">
        <f>SUM(R6:R9)</f>
        <v>484.1834205715943</v>
      </c>
      <c r="DK33">
        <f>1/(1/DF32+1/DF37)</f>
        <v>484.18342057159435</v>
      </c>
    </row>
    <row r="34" spans="2:115" ht="15" customHeight="1" thickTop="1" thickBot="1" x14ac:dyDescent="0.3">
      <c r="B34" s="73">
        <v>1</v>
      </c>
      <c r="C34" s="74">
        <f>C7*C39</f>
        <v>368.72329749103943</v>
      </c>
      <c r="D34" s="73"/>
      <c r="E34" s="73" t="s">
        <v>42</v>
      </c>
      <c r="F34" s="275">
        <v>21</v>
      </c>
      <c r="G34" s="275"/>
      <c r="H34" s="76">
        <f>VLOOKUP(E34,B6:C22,2,0)</f>
        <v>134.30000000000001</v>
      </c>
      <c r="L34"/>
      <c r="M34"/>
      <c r="N34"/>
      <c r="Q34"/>
      <c r="R34"/>
      <c r="Z34" s="221" t="s">
        <v>4</v>
      </c>
      <c r="AA34" s="221">
        <v>5</v>
      </c>
      <c r="AB34" s="221" t="s">
        <v>5</v>
      </c>
      <c r="AF34" s="222"/>
      <c r="AG34" s="222"/>
      <c r="AH34" s="222"/>
      <c r="AM34" s="158" t="s">
        <v>314</v>
      </c>
      <c r="AN34" s="81" t="s">
        <v>315</v>
      </c>
      <c r="AO34" s="81" t="s">
        <v>343</v>
      </c>
      <c r="AP34" s="81">
        <f>AP27*0.2</f>
        <v>3.3963263534726576E-2</v>
      </c>
      <c r="AQ34" s="81" t="s">
        <v>317</v>
      </c>
      <c r="AR34" s="81" t="s">
        <v>344</v>
      </c>
      <c r="AV34" s="167" t="s">
        <v>314</v>
      </c>
      <c r="AW34" s="167" t="s">
        <v>315</v>
      </c>
      <c r="AX34" s="167" t="s">
        <v>343</v>
      </c>
      <c r="AY34" s="168" t="s">
        <v>318</v>
      </c>
      <c r="AZ34" s="161">
        <f t="shared" si="24"/>
        <v>3.3963263534726576E-2</v>
      </c>
      <c r="BA34" s="167" t="s">
        <v>317</v>
      </c>
      <c r="BC34" s="81" t="s">
        <v>373</v>
      </c>
      <c r="BD34" s="81" t="s">
        <v>120</v>
      </c>
      <c r="BE34" s="166">
        <v>251</v>
      </c>
      <c r="BF34" s="166">
        <v>1.35</v>
      </c>
      <c r="BG34" s="81">
        <v>186.02</v>
      </c>
      <c r="BH34" s="81" t="s">
        <v>384</v>
      </c>
      <c r="BI34" s="81" t="s">
        <v>385</v>
      </c>
      <c r="BL34" s="167" t="s">
        <v>314</v>
      </c>
      <c r="BM34" s="167" t="s">
        <v>315</v>
      </c>
      <c r="BN34" s="167" t="s">
        <v>343</v>
      </c>
      <c r="BO34" s="168" t="s">
        <v>318</v>
      </c>
      <c r="BP34" s="161">
        <f t="shared" ref="BP34:BP35" si="27">BE65</f>
        <v>4.2999999999999997E-2</v>
      </c>
      <c r="BQ34" s="167" t="s">
        <v>317</v>
      </c>
      <c r="BS34" s="81" t="s">
        <v>373</v>
      </c>
      <c r="BT34" s="81" t="s">
        <v>120</v>
      </c>
      <c r="BU34" s="166">
        <v>308</v>
      </c>
      <c r="BV34" s="166">
        <v>5.59</v>
      </c>
      <c r="BW34" s="81">
        <v>55.08</v>
      </c>
      <c r="BX34" s="81" t="s">
        <v>420</v>
      </c>
      <c r="BY34" s="166">
        <v>2E-16</v>
      </c>
      <c r="BZ34" s="81" t="s">
        <v>385</v>
      </c>
      <c r="CA34" s="167" t="s">
        <v>314</v>
      </c>
      <c r="CB34" s="167" t="s">
        <v>315</v>
      </c>
      <c r="CC34" s="167" t="s">
        <v>345</v>
      </c>
      <c r="CD34" s="168" t="s">
        <v>318</v>
      </c>
      <c r="CE34" s="161">
        <f>BU66</f>
        <v>0.38300000000000001</v>
      </c>
      <c r="CF34" s="167" t="s">
        <v>317</v>
      </c>
      <c r="CI34" s="81" t="s">
        <v>345</v>
      </c>
      <c r="CJ34" s="239">
        <f t="shared" si="1"/>
        <v>0.80584010997928801</v>
      </c>
      <c r="CK34" s="239">
        <f t="shared" si="2"/>
        <v>0.73</v>
      </c>
      <c r="CL34" s="239">
        <f t="shared" si="3"/>
        <v>0.38300000000000001</v>
      </c>
      <c r="CO34" s="243" t="s">
        <v>373</v>
      </c>
      <c r="CP34" s="243" t="s">
        <v>296</v>
      </c>
      <c r="CQ34" s="244">
        <v>75700000</v>
      </c>
      <c r="CR34" s="244">
        <v>1620000</v>
      </c>
      <c r="CS34" s="243">
        <v>46.75</v>
      </c>
      <c r="CT34" s="243" t="s">
        <v>420</v>
      </c>
      <c r="CU34" s="244">
        <v>2E-16</v>
      </c>
      <c r="CV34" s="81" t="s">
        <v>385</v>
      </c>
      <c r="CW34" s="245" t="s">
        <v>460</v>
      </c>
      <c r="CX34" s="250" t="s">
        <v>332</v>
      </c>
      <c r="CY34" s="246" t="s">
        <v>318</v>
      </c>
      <c r="CZ34" s="247">
        <f t="shared" si="26"/>
        <v>863</v>
      </c>
      <c r="DA34" s="245" t="s">
        <v>317</v>
      </c>
      <c r="DC34" s="169" t="s">
        <v>460</v>
      </c>
      <c r="DD34" s="261" t="s">
        <v>332</v>
      </c>
      <c r="DE34" s="258" t="s">
        <v>318</v>
      </c>
      <c r="DF34" s="169">
        <f>$AP21</f>
        <v>876.19523247232496</v>
      </c>
      <c r="DG34" s="169" t="s">
        <v>317</v>
      </c>
    </row>
    <row r="35" spans="2:115" ht="15" customHeight="1" thickTop="1" thickBot="1" x14ac:dyDescent="0.3">
      <c r="B35" s="73">
        <v>2</v>
      </c>
      <c r="C35" s="74">
        <f>C4-C34</f>
        <v>397.27670250896057</v>
      </c>
      <c r="D35" s="73"/>
      <c r="E35" s="73" t="s">
        <v>116</v>
      </c>
      <c r="F35" s="77">
        <v>18</v>
      </c>
      <c r="G35" s="77"/>
      <c r="H35" s="76">
        <f>VLOOKUP(E35,B7:C23,2,0)</f>
        <v>144.69999999999999</v>
      </c>
      <c r="L35"/>
      <c r="M35"/>
      <c r="N35" t="s">
        <v>114</v>
      </c>
      <c r="O35" s="3">
        <f>SUM(R6:R9,R15,R17:R20,R25)</f>
        <v>834.88284510880123</v>
      </c>
      <c r="P35" s="3"/>
      <c r="Q35"/>
      <c r="R35"/>
      <c r="X35" s="216" t="s">
        <v>115</v>
      </c>
      <c r="Y35" s="217"/>
      <c r="Z35" s="218" t="s">
        <v>21</v>
      </c>
      <c r="AA35" s="200">
        <v>5</v>
      </c>
      <c r="AB35" s="217" t="s">
        <v>5</v>
      </c>
      <c r="AC35" s="217"/>
      <c r="AD35" s="217" t="s">
        <v>22</v>
      </c>
      <c r="AE35" s="220">
        <f>SUM(AE36:AE37)</f>
        <v>0</v>
      </c>
      <c r="AF35" s="222" t="s">
        <v>23</v>
      </c>
      <c r="AG35" s="222">
        <f>SUM(AE37:AE38)</f>
        <v>0</v>
      </c>
      <c r="AH35" s="222"/>
      <c r="AM35" s="158" t="s">
        <v>314</v>
      </c>
      <c r="AN35" s="81" t="s">
        <v>315</v>
      </c>
      <c r="AO35" s="81" t="s">
        <v>345</v>
      </c>
      <c r="AP35" s="81">
        <f>AP28*0.2+0.8</f>
        <v>0.80584010997928801</v>
      </c>
      <c r="AQ35" s="81" t="s">
        <v>317</v>
      </c>
      <c r="AR35" s="81" t="s">
        <v>346</v>
      </c>
      <c r="AV35" s="167" t="s">
        <v>314</v>
      </c>
      <c r="AW35" s="167" t="s">
        <v>315</v>
      </c>
      <c r="AX35" s="167" t="s">
        <v>345</v>
      </c>
      <c r="AY35" s="168" t="s">
        <v>318</v>
      </c>
      <c r="AZ35" s="161">
        <f t="shared" si="24"/>
        <v>0.80584010997928801</v>
      </c>
      <c r="BA35" s="167" t="s">
        <v>317</v>
      </c>
      <c r="BC35" s="81" t="s">
        <v>373</v>
      </c>
      <c r="BD35" s="81" t="s">
        <v>409</v>
      </c>
      <c r="BE35" s="166">
        <v>-5.48</v>
      </c>
      <c r="BF35" s="166">
        <v>2.2200000000000001E-2</v>
      </c>
      <c r="BG35" s="81">
        <v>-247.15</v>
      </c>
      <c r="BH35" s="81" t="s">
        <v>384</v>
      </c>
      <c r="BI35" s="81" t="s">
        <v>385</v>
      </c>
      <c r="BL35" s="167" t="s">
        <v>314</v>
      </c>
      <c r="BM35" s="167" t="s">
        <v>315</v>
      </c>
      <c r="BN35" s="167" t="s">
        <v>345</v>
      </c>
      <c r="BO35" s="168" t="s">
        <v>318</v>
      </c>
      <c r="BP35" s="161">
        <f t="shared" si="27"/>
        <v>0.73</v>
      </c>
      <c r="BQ35" s="167" t="s">
        <v>317</v>
      </c>
      <c r="BS35" s="81" t="s">
        <v>373</v>
      </c>
      <c r="BT35" s="81" t="s">
        <v>409</v>
      </c>
      <c r="BU35" s="166">
        <v>-4.75</v>
      </c>
      <c r="BV35" s="166">
        <v>1.5100000000000001E-2</v>
      </c>
      <c r="BW35" s="81">
        <v>-314.60000000000002</v>
      </c>
      <c r="BX35" s="81" t="s">
        <v>420</v>
      </c>
      <c r="BY35" s="166">
        <v>2E-16</v>
      </c>
      <c r="BZ35" s="81" t="s">
        <v>385</v>
      </c>
      <c r="CA35" s="167"/>
      <c r="CB35" s="167"/>
      <c r="CC35" s="167"/>
      <c r="CD35" s="168"/>
      <c r="CE35" s="161"/>
      <c r="CF35" s="167"/>
      <c r="CI35" s="81"/>
      <c r="CJ35" s="240"/>
      <c r="CK35" s="240"/>
      <c r="CL35" s="240"/>
      <c r="CO35" s="243" t="s">
        <v>373</v>
      </c>
      <c r="CP35" s="243" t="s">
        <v>298</v>
      </c>
      <c r="CQ35" s="244">
        <v>22700000</v>
      </c>
      <c r="CR35" s="244">
        <v>219000</v>
      </c>
      <c r="CS35" s="243">
        <v>103.95</v>
      </c>
      <c r="CT35" s="243" t="s">
        <v>420</v>
      </c>
      <c r="CU35" s="244">
        <v>2E-16</v>
      </c>
      <c r="CV35" s="81" t="s">
        <v>385</v>
      </c>
      <c r="CW35" s="245" t="s">
        <v>460</v>
      </c>
      <c r="CX35" s="250" t="s">
        <v>333</v>
      </c>
      <c r="CY35" s="246" t="s">
        <v>318</v>
      </c>
      <c r="CZ35" s="247">
        <f t="shared" si="26"/>
        <v>265</v>
      </c>
      <c r="DA35" s="245" t="s">
        <v>317</v>
      </c>
      <c r="DC35" s="169" t="s">
        <v>460</v>
      </c>
      <c r="DD35" s="261" t="s">
        <v>333</v>
      </c>
      <c r="DE35" s="258" t="s">
        <v>318</v>
      </c>
      <c r="DF35" s="263">
        <f>$AP22</f>
        <v>270.46022709677419</v>
      </c>
      <c r="DG35" s="169" t="s">
        <v>317</v>
      </c>
    </row>
    <row r="36" spans="2:115" ht="15" customHeight="1" thickTop="1" thickBot="1" x14ac:dyDescent="0.3">
      <c r="B36" s="73">
        <v>3</v>
      </c>
      <c r="C36" s="74">
        <f>H36*2</f>
        <v>0</v>
      </c>
      <c r="D36" s="73"/>
      <c r="E36" s="73" t="s">
        <v>118</v>
      </c>
      <c r="F36" s="276" t="s">
        <v>119</v>
      </c>
      <c r="G36" s="276"/>
      <c r="H36" s="76">
        <f>C17</f>
        <v>0</v>
      </c>
      <c r="L36"/>
      <c r="M36"/>
      <c r="N36" t="s">
        <v>117</v>
      </c>
      <c r="O36" s="3">
        <f>SUM(R10:R13,R21:R24)</f>
        <v>205.99999999999997</v>
      </c>
      <c r="Q36"/>
      <c r="R36"/>
      <c r="X36" s="181"/>
      <c r="Y36" s="182" t="s">
        <v>500</v>
      </c>
      <c r="Z36" s="182">
        <v>5.8</v>
      </c>
      <c r="AA36" s="182" t="s">
        <v>5</v>
      </c>
      <c r="AB36" s="182"/>
      <c r="AC36" s="182" t="s">
        <v>501</v>
      </c>
      <c r="AD36" s="253">
        <f>(AA35-(1-AD37)*Z36)/AD37</f>
        <v>2.6000000000000014</v>
      </c>
      <c r="AE36" s="233"/>
      <c r="AF36" s="222"/>
      <c r="AG36" s="222"/>
      <c r="AH36" s="222"/>
      <c r="AQ36" s="81" t="s">
        <v>317</v>
      </c>
      <c r="AV36" s="167"/>
      <c r="AW36" s="167"/>
      <c r="AX36" s="167"/>
      <c r="AY36" s="168"/>
      <c r="BA36" s="167"/>
      <c r="BC36" s="81" t="s">
        <v>373</v>
      </c>
      <c r="BD36" s="81" t="s">
        <v>410</v>
      </c>
      <c r="BE36" s="166">
        <v>-6.58</v>
      </c>
      <c r="BF36" s="166">
        <v>2.1499999999999998E-2</v>
      </c>
      <c r="BG36" s="81">
        <v>-306.32</v>
      </c>
      <c r="BH36" s="81" t="s">
        <v>384</v>
      </c>
      <c r="BI36" s="81" t="s">
        <v>385</v>
      </c>
      <c r="BL36" s="167"/>
      <c r="BM36" s="167"/>
      <c r="BN36" s="167"/>
      <c r="BO36" s="168"/>
      <c r="BP36" s="161"/>
      <c r="BQ36" s="167"/>
      <c r="BS36" s="81" t="s">
        <v>373</v>
      </c>
      <c r="BT36" s="81" t="s">
        <v>410</v>
      </c>
      <c r="BU36" s="166">
        <v>-6.42</v>
      </c>
      <c r="BV36" s="166">
        <v>1.5100000000000001E-2</v>
      </c>
      <c r="BW36" s="81">
        <v>-424.59</v>
      </c>
      <c r="BX36" s="81" t="s">
        <v>420</v>
      </c>
      <c r="BY36" s="166">
        <v>2E-16</v>
      </c>
      <c r="BZ36" s="81" t="s">
        <v>385</v>
      </c>
      <c r="CA36" s="167" t="s">
        <v>314</v>
      </c>
      <c r="CB36" s="167" t="s">
        <v>315</v>
      </c>
      <c r="CC36" s="167" t="s">
        <v>347</v>
      </c>
      <c r="CD36" s="168" t="s">
        <v>318</v>
      </c>
      <c r="CE36" s="161">
        <f>BU68</f>
        <v>332</v>
      </c>
      <c r="CF36" s="167" t="s">
        <v>317</v>
      </c>
      <c r="CI36" s="81" t="s">
        <v>347</v>
      </c>
      <c r="CJ36" s="242">
        <f t="shared" si="1"/>
        <v>551.55542089277287</v>
      </c>
      <c r="CK36" s="242">
        <f t="shared" si="2"/>
        <v>1350</v>
      </c>
      <c r="CL36" s="242">
        <f t="shared" si="3"/>
        <v>332</v>
      </c>
      <c r="CO36" s="243" t="s">
        <v>373</v>
      </c>
      <c r="CP36" s="243" t="s">
        <v>396</v>
      </c>
      <c r="CQ36" s="244">
        <v>-30.2</v>
      </c>
      <c r="CR36" s="244">
        <v>0.98599999999999999</v>
      </c>
      <c r="CS36" s="243">
        <v>-30.63</v>
      </c>
      <c r="CT36" s="243" t="s">
        <v>420</v>
      </c>
      <c r="CU36" s="244">
        <v>2E-16</v>
      </c>
      <c r="CV36" s="81" t="s">
        <v>385</v>
      </c>
      <c r="CW36" s="245" t="s">
        <v>460</v>
      </c>
      <c r="CX36" s="251" t="s">
        <v>335</v>
      </c>
      <c r="CY36" s="246" t="s">
        <v>318</v>
      </c>
      <c r="CZ36" s="247">
        <f>CQ58</f>
        <v>1.09E-2</v>
      </c>
      <c r="DA36" s="245" t="s">
        <v>317</v>
      </c>
      <c r="DC36" s="169" t="s">
        <v>460</v>
      </c>
      <c r="DD36" s="264" t="s">
        <v>335</v>
      </c>
      <c r="DE36" s="258" t="s">
        <v>318</v>
      </c>
      <c r="DF36" s="169">
        <f>$AP24</f>
        <v>121.30322580645162</v>
      </c>
      <c r="DG36" s="169" t="s">
        <v>317</v>
      </c>
    </row>
    <row r="37" spans="2:115" ht="15" customHeight="1" thickTop="1" thickBot="1" x14ac:dyDescent="0.3">
      <c r="L37"/>
      <c r="M37"/>
      <c r="N37" t="s">
        <v>120</v>
      </c>
      <c r="O37" s="3">
        <f>'Verwarming Tabula'!B60</f>
        <v>138.03320000000002</v>
      </c>
      <c r="Q37"/>
      <c r="R37"/>
      <c r="X37" s="187"/>
      <c r="Y37" s="174" t="s">
        <v>436</v>
      </c>
      <c r="Z37" s="174">
        <v>0.87</v>
      </c>
      <c r="AA37" s="174"/>
      <c r="AB37" s="174"/>
      <c r="AC37" s="174" t="s">
        <v>502</v>
      </c>
      <c r="AD37" s="174">
        <v>0.25</v>
      </c>
      <c r="AE37" s="192"/>
      <c r="AF37" s="228" t="s">
        <v>274</v>
      </c>
      <c r="AG37" s="222"/>
      <c r="AH37" s="222"/>
      <c r="AM37" s="158" t="s">
        <v>314</v>
      </c>
      <c r="AN37" s="81" t="s">
        <v>315</v>
      </c>
      <c r="AO37" s="81" t="s">
        <v>347</v>
      </c>
      <c r="AP37" s="81">
        <f>SUM(O17:O20)*(1/(SUM(AD18:AD19)*0.5+1/8))+O25*(1/(SUM(AD9:AD10)+1/8))</f>
        <v>551.55542089277287</v>
      </c>
      <c r="AQ37" s="81" t="s">
        <v>317</v>
      </c>
      <c r="AR37" s="81" t="s">
        <v>348</v>
      </c>
      <c r="AV37" s="167" t="s">
        <v>314</v>
      </c>
      <c r="AW37" s="167" t="s">
        <v>315</v>
      </c>
      <c r="AX37" s="167" t="s">
        <v>347</v>
      </c>
      <c r="AY37" s="168" t="s">
        <v>318</v>
      </c>
      <c r="AZ37" s="161">
        <f>AP37</f>
        <v>551.55542089277287</v>
      </c>
      <c r="BA37" s="167" t="s">
        <v>317</v>
      </c>
      <c r="BC37" s="81" t="s">
        <v>373</v>
      </c>
      <c r="BD37" s="81" t="s">
        <v>411</v>
      </c>
      <c r="BE37" s="166">
        <v>-9.25</v>
      </c>
      <c r="BF37" s="166">
        <v>0.191</v>
      </c>
      <c r="BG37" s="81">
        <v>-48.52</v>
      </c>
      <c r="BH37" s="81" t="s">
        <v>384</v>
      </c>
      <c r="BI37" s="81" t="s">
        <v>385</v>
      </c>
      <c r="BL37" s="167" t="s">
        <v>314</v>
      </c>
      <c r="BM37" s="167" t="s">
        <v>315</v>
      </c>
      <c r="BN37" s="167" t="s">
        <v>347</v>
      </c>
      <c r="BO37" s="168" t="s">
        <v>318</v>
      </c>
      <c r="BP37" s="161">
        <f>BE68</f>
        <v>1350</v>
      </c>
      <c r="BQ37" s="167" t="s">
        <v>317</v>
      </c>
      <c r="BS37" s="81" t="s">
        <v>373</v>
      </c>
      <c r="BT37" s="81" t="s">
        <v>411</v>
      </c>
      <c r="BU37" s="166">
        <v>-6</v>
      </c>
      <c r="BV37" s="166">
        <v>2.0899999999999998E-2</v>
      </c>
      <c r="BW37" s="81">
        <v>-287.83</v>
      </c>
      <c r="BX37" s="81" t="s">
        <v>420</v>
      </c>
      <c r="BY37" s="166">
        <v>2E-16</v>
      </c>
      <c r="BZ37" s="81" t="s">
        <v>385</v>
      </c>
      <c r="CA37" s="167" t="s">
        <v>314</v>
      </c>
      <c r="CB37" s="167" t="s">
        <v>315</v>
      </c>
      <c r="CC37" s="167" t="s">
        <v>349</v>
      </c>
      <c r="CD37" s="168" t="s">
        <v>318</v>
      </c>
      <c r="CE37" s="161">
        <f>BU69</f>
        <v>128</v>
      </c>
      <c r="CF37" s="167" t="s">
        <v>317</v>
      </c>
      <c r="CI37" s="81" t="s">
        <v>349</v>
      </c>
      <c r="CJ37" s="242">
        <f t="shared" si="1"/>
        <v>143.22912177121776</v>
      </c>
      <c r="CK37" s="242">
        <f t="shared" si="2"/>
        <v>372</v>
      </c>
      <c r="CL37" s="242">
        <f t="shared" si="3"/>
        <v>128</v>
      </c>
      <c r="CO37" s="243" t="s">
        <v>373</v>
      </c>
      <c r="CP37" s="243" t="s">
        <v>397</v>
      </c>
      <c r="CQ37" s="244">
        <v>-34.4</v>
      </c>
      <c r="CR37" s="244">
        <v>2.96</v>
      </c>
      <c r="CS37" s="243">
        <v>-11.63</v>
      </c>
      <c r="CT37" s="244" t="s">
        <v>420</v>
      </c>
      <c r="CU37" s="244">
        <v>2E-16</v>
      </c>
      <c r="CV37" s="81" t="s">
        <v>385</v>
      </c>
      <c r="CW37" s="245" t="s">
        <v>460</v>
      </c>
      <c r="CX37" s="251" t="s">
        <v>334</v>
      </c>
      <c r="CY37" s="246" t="s">
        <v>318</v>
      </c>
      <c r="CZ37" s="247">
        <f>1/CQ55</f>
        <v>1298.7012987012988</v>
      </c>
      <c r="DA37" s="245" t="s">
        <v>317</v>
      </c>
      <c r="DC37" s="169" t="s">
        <v>460</v>
      </c>
      <c r="DD37" s="264" t="s">
        <v>334</v>
      </c>
      <c r="DE37" s="258" t="s">
        <v>318</v>
      </c>
      <c r="DF37" s="169">
        <f>$AP23</f>
        <v>1106.0402048053024</v>
      </c>
      <c r="DG37" s="169" t="s">
        <v>317</v>
      </c>
    </row>
    <row r="38" spans="2:115" ht="15" customHeight="1" thickTop="1" thickBot="1" x14ac:dyDescent="0.3">
      <c r="C38" s="3"/>
      <c r="L38"/>
      <c r="M38"/>
      <c r="N38"/>
      <c r="O38" s="3"/>
      <c r="Q38"/>
      <c r="R38"/>
      <c r="AF38" s="222"/>
      <c r="AG38" s="222"/>
      <c r="AH38" s="222"/>
      <c r="AM38" s="158" t="s">
        <v>314</v>
      </c>
      <c r="AN38" s="81" t="s">
        <v>315</v>
      </c>
      <c r="AO38" s="81" t="s">
        <v>349</v>
      </c>
      <c r="AP38" s="81">
        <f>2*AA21*O28</f>
        <v>143.22912177121776</v>
      </c>
      <c r="AQ38" s="81" t="s">
        <v>317</v>
      </c>
      <c r="AR38" s="166">
        <v>85.692350000000005</v>
      </c>
      <c r="AV38" s="167" t="s">
        <v>314</v>
      </c>
      <c r="AW38" s="167" t="s">
        <v>315</v>
      </c>
      <c r="AX38" s="167" t="s">
        <v>349</v>
      </c>
      <c r="AY38" s="168" t="s">
        <v>318</v>
      </c>
      <c r="AZ38" s="161">
        <f t="shared" ref="AZ38:AZ40" si="28">AP38</f>
        <v>143.22912177121776</v>
      </c>
      <c r="BA38" s="167" t="s">
        <v>317</v>
      </c>
      <c r="BC38" s="81" t="s">
        <v>373</v>
      </c>
      <c r="BD38" s="81" t="s">
        <v>412</v>
      </c>
      <c r="BE38" s="166">
        <v>-6.11</v>
      </c>
      <c r="BF38" s="166">
        <v>2.2200000000000001E-2</v>
      </c>
      <c r="BG38" s="81">
        <v>-275.08</v>
      </c>
      <c r="BH38" s="81" t="s">
        <v>384</v>
      </c>
      <c r="BI38" s="81" t="s">
        <v>385</v>
      </c>
      <c r="BL38" s="167" t="s">
        <v>314</v>
      </c>
      <c r="BM38" s="167" t="s">
        <v>315</v>
      </c>
      <c r="BN38" s="167" t="s">
        <v>349</v>
      </c>
      <c r="BO38" s="168" t="s">
        <v>318</v>
      </c>
      <c r="BP38" s="161">
        <f t="shared" ref="BP38:BP39" si="29">BE69</f>
        <v>372</v>
      </c>
      <c r="BQ38" s="167" t="s">
        <v>317</v>
      </c>
      <c r="BS38" s="81" t="s">
        <v>373</v>
      </c>
      <c r="BT38" s="81" t="s">
        <v>412</v>
      </c>
      <c r="BU38" s="166">
        <v>-5.18</v>
      </c>
      <c r="BV38" s="166">
        <v>1.54E-2</v>
      </c>
      <c r="BW38" s="81">
        <v>-337.17</v>
      </c>
      <c r="BX38" s="81" t="s">
        <v>420</v>
      </c>
      <c r="BY38" s="166">
        <v>2E-16</v>
      </c>
      <c r="BZ38" s="81" t="s">
        <v>385</v>
      </c>
      <c r="CA38" s="167" t="s">
        <v>314</v>
      </c>
      <c r="CB38" s="167" t="s">
        <v>315</v>
      </c>
      <c r="CC38" s="167" t="s">
        <v>350</v>
      </c>
      <c r="CD38" s="168" t="s">
        <v>318</v>
      </c>
      <c r="CE38" s="161">
        <f>BU70</f>
        <v>1.3200000000000001E-4</v>
      </c>
      <c r="CF38" s="167" t="s">
        <v>317</v>
      </c>
      <c r="CI38" s="81" t="s">
        <v>350</v>
      </c>
      <c r="CJ38" s="242">
        <f t="shared" si="1"/>
        <v>175.91396748387098</v>
      </c>
      <c r="CK38" s="242">
        <f t="shared" si="2"/>
        <v>31.9</v>
      </c>
      <c r="CL38" s="242">
        <f t="shared" si="3"/>
        <v>1.3200000000000001E-4</v>
      </c>
      <c r="CO38" s="243" t="s">
        <v>373</v>
      </c>
      <c r="CP38" s="243" t="s">
        <v>399</v>
      </c>
      <c r="CQ38" s="244">
        <v>-36.6</v>
      </c>
      <c r="CR38" s="244">
        <v>3.31</v>
      </c>
      <c r="CS38" s="243">
        <v>-11.06</v>
      </c>
      <c r="CT38" s="243" t="s">
        <v>420</v>
      </c>
      <c r="CU38" s="244">
        <v>2E-16</v>
      </c>
      <c r="CV38" s="81" t="s">
        <v>385</v>
      </c>
      <c r="CW38" s="245" t="s">
        <v>460</v>
      </c>
      <c r="CX38" s="248" t="s">
        <v>326</v>
      </c>
      <c r="CY38" s="246" t="s">
        <v>318</v>
      </c>
      <c r="CZ38" s="247">
        <f>CQ41</f>
        <v>7.2099999999999997E-2</v>
      </c>
      <c r="DA38" s="245" t="s">
        <v>317</v>
      </c>
      <c r="DC38" s="169" t="s">
        <v>460</v>
      </c>
      <c r="DD38" s="259" t="s">
        <v>326</v>
      </c>
      <c r="DE38" s="258" t="s">
        <v>318</v>
      </c>
      <c r="DF38" s="169">
        <f>$AP14</f>
        <v>4.5452860561226605E-2</v>
      </c>
      <c r="DG38" s="169" t="s">
        <v>317</v>
      </c>
    </row>
    <row r="39" spans="2:115" ht="15" customHeight="1" thickTop="1" thickBot="1" x14ac:dyDescent="0.3">
      <c r="C39">
        <f>C4/C6</f>
        <v>2.7455197132616487</v>
      </c>
      <c r="L39"/>
      <c r="M39"/>
      <c r="N39" t="s">
        <v>122</v>
      </c>
      <c r="O39" s="3">
        <f>C4*1.204*1012*5/1000000</f>
        <v>4.6666558399999998</v>
      </c>
      <c r="P39" t="s">
        <v>123</v>
      </c>
      <c r="R39"/>
      <c r="Z39" s="221" t="s">
        <v>4</v>
      </c>
      <c r="AA39" s="221">
        <v>0.85</v>
      </c>
      <c r="AB39" s="221" t="s">
        <v>5</v>
      </c>
      <c r="AF39" s="222"/>
      <c r="AG39" s="222"/>
      <c r="AH39" s="222"/>
      <c r="AM39" s="158" t="s">
        <v>314</v>
      </c>
      <c r="AN39" s="81" t="s">
        <v>315</v>
      </c>
      <c r="AO39" s="81" t="s">
        <v>350</v>
      </c>
      <c r="AP39" s="152">
        <f>'Verwarming Tabula 2zone'!B139+SUM(R21:R24)</f>
        <v>175.91396748387098</v>
      </c>
      <c r="AQ39" s="81" t="s">
        <v>317</v>
      </c>
      <c r="AR39" s="81" t="s">
        <v>351</v>
      </c>
      <c r="AV39" s="167" t="s">
        <v>314</v>
      </c>
      <c r="AW39" s="167" t="s">
        <v>315</v>
      </c>
      <c r="AX39" s="167" t="s">
        <v>350</v>
      </c>
      <c r="AY39" s="168" t="s">
        <v>318</v>
      </c>
      <c r="AZ39" s="161">
        <f t="shared" si="28"/>
        <v>175.91396748387098</v>
      </c>
      <c r="BA39" s="167" t="s">
        <v>317</v>
      </c>
      <c r="BC39" s="81" t="s">
        <v>373</v>
      </c>
      <c r="BD39" s="81" t="s">
        <v>413</v>
      </c>
      <c r="BE39" s="166">
        <v>-6.37</v>
      </c>
      <c r="BF39" s="166">
        <v>2.1899999999999999E-2</v>
      </c>
      <c r="BG39" s="81">
        <v>-290.83</v>
      </c>
      <c r="BH39" s="81" t="s">
        <v>384</v>
      </c>
      <c r="BI39" s="81" t="s">
        <v>385</v>
      </c>
      <c r="BL39" s="167" t="s">
        <v>314</v>
      </c>
      <c r="BM39" s="167" t="s">
        <v>315</v>
      </c>
      <c r="BN39" s="167" t="s">
        <v>350</v>
      </c>
      <c r="BO39" s="168" t="s">
        <v>318</v>
      </c>
      <c r="BP39" s="161">
        <f t="shared" si="29"/>
        <v>31.9</v>
      </c>
      <c r="BQ39" s="167" t="s">
        <v>317</v>
      </c>
      <c r="BS39" s="81" t="s">
        <v>373</v>
      </c>
      <c r="BT39" s="81" t="s">
        <v>413</v>
      </c>
      <c r="BU39" s="166">
        <v>-6.14</v>
      </c>
      <c r="BV39" s="166">
        <v>1.61E-2</v>
      </c>
      <c r="BW39" s="81">
        <v>-380.6</v>
      </c>
      <c r="BX39" s="81" t="s">
        <v>420</v>
      </c>
      <c r="BY39" s="166">
        <v>2E-16</v>
      </c>
      <c r="BZ39" s="81" t="s">
        <v>385</v>
      </c>
      <c r="CA39" s="167" t="s">
        <v>314</v>
      </c>
      <c r="CB39" s="167" t="s">
        <v>315</v>
      </c>
      <c r="CC39" s="167" t="s">
        <v>352</v>
      </c>
      <c r="CD39" s="168" t="s">
        <v>318</v>
      </c>
      <c r="CE39" s="161">
        <f>1/BU75</f>
        <v>2061.8556701030925</v>
      </c>
      <c r="CF39" s="167" t="s">
        <v>317</v>
      </c>
      <c r="CI39" s="81" t="s">
        <v>352</v>
      </c>
      <c r="CJ39" s="242">
        <f t="shared" si="1"/>
        <v>892.04314843286022</v>
      </c>
      <c r="CK39" s="242">
        <f t="shared" si="2"/>
        <v>110.74197120708749</v>
      </c>
      <c r="CL39" s="242">
        <f t="shared" si="3"/>
        <v>2061.8556701030925</v>
      </c>
      <c r="CO39" s="243" t="s">
        <v>373</v>
      </c>
      <c r="CP39" s="243" t="s">
        <v>400</v>
      </c>
      <c r="CQ39" s="244">
        <v>-22.6</v>
      </c>
      <c r="CR39" s="244">
        <v>0.68200000000000005</v>
      </c>
      <c r="CS39" s="243">
        <v>-33.17</v>
      </c>
      <c r="CT39" s="243" t="s">
        <v>420</v>
      </c>
      <c r="CU39" s="244">
        <v>2E-16</v>
      </c>
      <c r="CV39" s="81" t="s">
        <v>385</v>
      </c>
      <c r="CW39" s="245" t="s">
        <v>460</v>
      </c>
      <c r="CX39" s="249" t="s">
        <v>327</v>
      </c>
      <c r="CY39" s="246" t="s">
        <v>318</v>
      </c>
      <c r="CZ39" s="247">
        <f t="shared" ref="CZ39:CZ42" si="30">CQ42</f>
        <v>0.14099999999999999</v>
      </c>
      <c r="DA39" s="245" t="s">
        <v>317</v>
      </c>
      <c r="DC39" s="169" t="s">
        <v>460</v>
      </c>
      <c r="DD39" s="260" t="s">
        <v>327</v>
      </c>
      <c r="DE39" s="258" t="s">
        <v>318</v>
      </c>
      <c r="DF39" s="169">
        <f>$AP15</f>
        <v>9.0905721122453209E-2</v>
      </c>
      <c r="DG39" s="169" t="s">
        <v>317</v>
      </c>
    </row>
    <row r="40" spans="2:115" ht="15" customHeight="1" thickTop="1" thickBot="1" x14ac:dyDescent="0.3">
      <c r="B40" t="s">
        <v>275</v>
      </c>
      <c r="L40"/>
      <c r="M40"/>
      <c r="N40" t="s">
        <v>124</v>
      </c>
      <c r="O40" s="3">
        <f>SUM(S6:S9,S15)/1000000</f>
        <v>98.910661788000013</v>
      </c>
      <c r="P40" t="s">
        <v>125</v>
      </c>
      <c r="Q40" s="3">
        <f>SUM(U6:U9,U15)/1000000</f>
        <v>95.706189288000004</v>
      </c>
      <c r="R40"/>
      <c r="X40" s="216" t="s">
        <v>63</v>
      </c>
      <c r="Y40" s="217"/>
      <c r="Z40" s="218" t="s">
        <v>21</v>
      </c>
      <c r="AA40" s="219">
        <f>1/(1/10+SUM(AD42:AD46))</f>
        <v>2.8187919463087252</v>
      </c>
      <c r="AB40" s="217" t="s">
        <v>5</v>
      </c>
      <c r="AC40" s="217"/>
      <c r="AD40" s="217" t="s">
        <v>22</v>
      </c>
      <c r="AE40" s="220">
        <f>SUM(AE42:AE46)</f>
        <v>375560</v>
      </c>
      <c r="AF40" s="222" t="s">
        <v>23</v>
      </c>
      <c r="AG40" s="222">
        <f>SUM(AE42:AE43)</f>
        <v>110960</v>
      </c>
      <c r="AH40" s="222"/>
      <c r="AM40" s="158" t="s">
        <v>314</v>
      </c>
      <c r="AN40" s="81" t="s">
        <v>315</v>
      </c>
      <c r="AO40" s="81" t="s">
        <v>352</v>
      </c>
      <c r="AP40" s="81">
        <f>SUM(O17:O20)*1/(SUM(AD15:AD17)+0.5*SUM(AD18:AD19)+1/23)+O25*1/(SUM(AD7:AD8)+1/23)</f>
        <v>892.04314843286022</v>
      </c>
      <c r="AQ40" s="81" t="s">
        <v>317</v>
      </c>
      <c r="AR40" s="81">
        <f>1/0.01634389</f>
        <v>61.184944343115376</v>
      </c>
      <c r="AV40" s="167" t="s">
        <v>314</v>
      </c>
      <c r="AW40" s="167" t="s">
        <v>315</v>
      </c>
      <c r="AX40" s="167" t="s">
        <v>352</v>
      </c>
      <c r="AY40" s="168" t="s">
        <v>318</v>
      </c>
      <c r="AZ40" s="161">
        <f t="shared" si="28"/>
        <v>892.04314843286022</v>
      </c>
      <c r="BA40" s="167" t="s">
        <v>317</v>
      </c>
      <c r="BC40" s="81" t="s">
        <v>373</v>
      </c>
      <c r="BD40" s="81" t="s">
        <v>414</v>
      </c>
      <c r="BE40" s="166">
        <v>1.1299999999999999E-3</v>
      </c>
      <c r="BF40" s="166">
        <v>9.9899999999999992E-6</v>
      </c>
      <c r="BG40" s="81">
        <v>113.15</v>
      </c>
      <c r="BH40" s="81" t="s">
        <v>384</v>
      </c>
      <c r="BI40" s="81" t="s">
        <v>385</v>
      </c>
      <c r="BL40" s="167" t="s">
        <v>314</v>
      </c>
      <c r="BM40" s="167" t="s">
        <v>315</v>
      </c>
      <c r="BN40" s="167" t="s">
        <v>352</v>
      </c>
      <c r="BO40" s="168" t="s">
        <v>318</v>
      </c>
      <c r="BP40" s="161">
        <f>1/BE75</f>
        <v>110.74197120708749</v>
      </c>
      <c r="BQ40" s="167" t="s">
        <v>317</v>
      </c>
      <c r="BS40" s="81" t="s">
        <v>373</v>
      </c>
      <c r="BT40" s="81" t="s">
        <v>414</v>
      </c>
      <c r="BU40" s="166">
        <v>5.1900000000000004E-4</v>
      </c>
      <c r="BV40" s="166">
        <v>9.5999999999999996E-6</v>
      </c>
      <c r="BW40" s="81">
        <v>54.12</v>
      </c>
      <c r="BX40" s="81" t="s">
        <v>420</v>
      </c>
      <c r="BY40" s="166">
        <v>2E-16</v>
      </c>
      <c r="BZ40" s="81" t="s">
        <v>385</v>
      </c>
      <c r="CA40" s="167"/>
      <c r="CB40" s="167"/>
      <c r="CC40" s="167"/>
      <c r="CD40" s="168"/>
      <c r="CE40" s="161"/>
      <c r="CF40" s="167"/>
      <c r="CI40" s="81"/>
      <c r="CJ40" s="240"/>
      <c r="CK40" s="240"/>
      <c r="CL40" s="240"/>
      <c r="CO40" s="243" t="s">
        <v>373</v>
      </c>
      <c r="CP40" s="243" t="s">
        <v>401</v>
      </c>
      <c r="CQ40" s="244">
        <v>-28.4</v>
      </c>
      <c r="CR40" s="244">
        <v>2.6</v>
      </c>
      <c r="CS40" s="243">
        <v>-10.9</v>
      </c>
      <c r="CT40" s="243" t="s">
        <v>420</v>
      </c>
      <c r="CU40" s="244">
        <v>2E-16</v>
      </c>
      <c r="CV40" s="81" t="s">
        <v>385</v>
      </c>
      <c r="CW40" s="245" t="s">
        <v>460</v>
      </c>
      <c r="CX40" s="249" t="s">
        <v>328</v>
      </c>
      <c r="CY40" s="246" t="s">
        <v>318</v>
      </c>
      <c r="CZ40" s="247">
        <f t="shared" si="30"/>
        <v>0.72</v>
      </c>
      <c r="DA40" s="245" t="s">
        <v>317</v>
      </c>
      <c r="DC40" s="169" t="s">
        <v>460</v>
      </c>
      <c r="DD40" s="260" t="s">
        <v>328</v>
      </c>
      <c r="DE40" s="258" t="s">
        <v>318</v>
      </c>
      <c r="DF40" s="169">
        <f>$AP16</f>
        <v>0.80596224825962415</v>
      </c>
      <c r="DG40" s="169" t="s">
        <v>317</v>
      </c>
    </row>
    <row r="41" spans="2:115" ht="15" customHeight="1" thickTop="1" thickBot="1" x14ac:dyDescent="0.3">
      <c r="B41" s="149" t="s">
        <v>276</v>
      </c>
      <c r="L41"/>
      <c r="M41"/>
      <c r="N41" t="s">
        <v>126</v>
      </c>
      <c r="O41" s="3">
        <f>SUM(S26:S27)/1000000</f>
        <v>41.413142636000003</v>
      </c>
      <c r="P41" t="s">
        <v>125</v>
      </c>
      <c r="Q41" s="3">
        <f>SUM(U26:U27)/1000000</f>
        <v>41.413142636000003</v>
      </c>
      <c r="R41"/>
      <c r="X41" s="224"/>
      <c r="Y41" s="225" t="s">
        <v>27</v>
      </c>
      <c r="Z41" s="225" t="s">
        <v>28</v>
      </c>
      <c r="AA41" s="225" t="s">
        <v>29</v>
      </c>
      <c r="AB41" s="225" t="s">
        <v>30</v>
      </c>
      <c r="AC41" s="225" t="s">
        <v>31</v>
      </c>
      <c r="AD41" s="225" t="s">
        <v>32</v>
      </c>
      <c r="AE41" s="226" t="s">
        <v>33</v>
      </c>
      <c r="AF41" s="222"/>
      <c r="AG41" s="222"/>
      <c r="AH41" s="222"/>
      <c r="AQ41" s="81" t="s">
        <v>317</v>
      </c>
      <c r="AV41" s="167"/>
      <c r="AW41" s="167"/>
      <c r="AX41" s="167"/>
      <c r="AY41" s="168"/>
      <c r="BA41" s="167"/>
      <c r="BC41" s="81" t="s">
        <v>373</v>
      </c>
      <c r="BD41" s="81" t="s">
        <v>415</v>
      </c>
      <c r="BE41" s="166">
        <v>762</v>
      </c>
      <c r="BF41" s="166">
        <v>7.54</v>
      </c>
      <c r="BG41" s="81">
        <v>101.02</v>
      </c>
      <c r="BH41" s="81" t="s">
        <v>384</v>
      </c>
      <c r="BI41" s="81" t="s">
        <v>385</v>
      </c>
      <c r="BL41" s="167"/>
      <c r="BM41" s="167"/>
      <c r="BN41" s="167"/>
      <c r="BO41" s="168"/>
      <c r="BP41" s="161"/>
      <c r="BQ41" s="167"/>
      <c r="BS41" s="81" t="s">
        <v>373</v>
      </c>
      <c r="BT41" s="81" t="s">
        <v>415</v>
      </c>
      <c r="BU41" s="166">
        <v>79.3</v>
      </c>
      <c r="BV41" s="166">
        <v>0.76900000000000002</v>
      </c>
      <c r="BW41" s="81">
        <v>103.12</v>
      </c>
      <c r="BX41" s="81" t="s">
        <v>420</v>
      </c>
      <c r="BY41" s="166">
        <v>2E-16</v>
      </c>
      <c r="BZ41" s="81" t="s">
        <v>385</v>
      </c>
      <c r="CA41" s="167" t="s">
        <v>314</v>
      </c>
      <c r="CB41" s="167" t="s">
        <v>315</v>
      </c>
      <c r="CC41" s="167" t="s">
        <v>353</v>
      </c>
      <c r="CD41" s="168" t="s">
        <v>318</v>
      </c>
      <c r="CE41" s="161">
        <f>BU85</f>
        <v>6.9400000000000003E-2</v>
      </c>
      <c r="CF41" s="167" t="s">
        <v>317</v>
      </c>
      <c r="CI41" s="81" t="s">
        <v>353</v>
      </c>
      <c r="CJ41" s="239">
        <f t="shared" si="1"/>
        <v>0.1495730449319701</v>
      </c>
      <c r="CK41" s="239">
        <f t="shared" si="2"/>
        <v>2.8899999999999999E-2</v>
      </c>
      <c r="CL41" s="239">
        <f t="shared" si="3"/>
        <v>6.9400000000000003E-2</v>
      </c>
      <c r="CO41" s="243" t="s">
        <v>373</v>
      </c>
      <c r="CP41" s="243" t="s">
        <v>402</v>
      </c>
      <c r="CQ41" s="244">
        <v>7.2099999999999997E-2</v>
      </c>
      <c r="CR41" s="244">
        <v>5.4900000000000001E-4</v>
      </c>
      <c r="CS41" s="243">
        <v>131.22</v>
      </c>
      <c r="CT41" s="243" t="s">
        <v>420</v>
      </c>
      <c r="CU41" s="244">
        <v>2E-16</v>
      </c>
      <c r="CV41" s="81" t="s">
        <v>385</v>
      </c>
      <c r="CW41" s="245" t="s">
        <v>460</v>
      </c>
      <c r="CX41" s="246" t="s">
        <v>329</v>
      </c>
      <c r="CY41" s="246" t="s">
        <v>318</v>
      </c>
      <c r="CZ41" s="247">
        <f t="shared" si="30"/>
        <v>4.6199999999999998E-2</v>
      </c>
      <c r="DA41" s="245" t="s">
        <v>317</v>
      </c>
      <c r="DC41" s="169" t="s">
        <v>460</v>
      </c>
      <c r="DD41" s="258" t="s">
        <v>329</v>
      </c>
      <c r="DE41" s="258" t="s">
        <v>318</v>
      </c>
      <c r="DF41" s="169">
        <f>$AP17</f>
        <v>2.7764561070302125E-2</v>
      </c>
      <c r="DG41" s="169" t="s">
        <v>317</v>
      </c>
    </row>
    <row r="42" spans="2:115" ht="15" customHeight="1" thickTop="1" thickBot="1" x14ac:dyDescent="0.3">
      <c r="B42" t="s">
        <v>277</v>
      </c>
      <c r="D42">
        <f>0.55</f>
        <v>0.55000000000000004</v>
      </c>
      <c r="L42"/>
      <c r="M42"/>
      <c r="N42" t="s">
        <v>127</v>
      </c>
      <c r="O42" s="3">
        <f>S14/1000000</f>
        <v>50.437708000000008</v>
      </c>
      <c r="Q42" s="3">
        <f>U14/1000000</f>
        <v>14.901928000000002</v>
      </c>
      <c r="R42"/>
      <c r="X42" s="181"/>
      <c r="Y42" s="182" t="s">
        <v>128</v>
      </c>
      <c r="Z42" s="182">
        <v>0.02</v>
      </c>
      <c r="AA42" s="182">
        <v>1.4</v>
      </c>
      <c r="AB42" s="182">
        <v>2100</v>
      </c>
      <c r="AC42" s="182">
        <v>840</v>
      </c>
      <c r="AD42" s="231">
        <f>Z42/AA42</f>
        <v>1.4285714285714287E-2</v>
      </c>
      <c r="AE42" s="232">
        <f>Z42*AB42*AC42</f>
        <v>35280</v>
      </c>
      <c r="AF42" s="222" t="s">
        <v>104</v>
      </c>
      <c r="AG42" s="222"/>
      <c r="AH42" s="222"/>
      <c r="AM42" s="158" t="s">
        <v>314</v>
      </c>
      <c r="AN42" s="81" t="s">
        <v>315</v>
      </c>
      <c r="AO42" s="81" t="s">
        <v>353</v>
      </c>
      <c r="AP42" s="81">
        <f>SUM(O26)/SUM($O$6:$O$14,$O$26,2*$O$27)</f>
        <v>0.1495730449319701</v>
      </c>
      <c r="AQ42" s="81" t="s">
        <v>317</v>
      </c>
      <c r="AR42" s="81" t="s">
        <v>354</v>
      </c>
      <c r="AV42" s="167" t="s">
        <v>314</v>
      </c>
      <c r="AW42" s="167" t="s">
        <v>315</v>
      </c>
      <c r="AX42" s="167" t="s">
        <v>353</v>
      </c>
      <c r="AY42" s="168" t="s">
        <v>318</v>
      </c>
      <c r="AZ42" s="161">
        <f>AP42</f>
        <v>0.1495730449319701</v>
      </c>
      <c r="BA42" s="167" t="s">
        <v>317</v>
      </c>
      <c r="BC42" s="81" t="s">
        <v>373</v>
      </c>
      <c r="BD42" s="81" t="s">
        <v>416</v>
      </c>
      <c r="BE42" s="166">
        <v>660</v>
      </c>
      <c r="BF42" s="166">
        <v>5.62</v>
      </c>
      <c r="BG42" s="81">
        <v>117.56</v>
      </c>
      <c r="BH42" s="81" t="s">
        <v>384</v>
      </c>
      <c r="BI42" s="81" t="s">
        <v>385</v>
      </c>
      <c r="BL42" s="167" t="s">
        <v>314</v>
      </c>
      <c r="BM42" s="167" t="s">
        <v>315</v>
      </c>
      <c r="BN42" s="167" t="s">
        <v>353</v>
      </c>
      <c r="BO42" s="168" t="s">
        <v>318</v>
      </c>
      <c r="BP42" s="161">
        <f>BE15</f>
        <v>2.8899999999999999E-2</v>
      </c>
      <c r="BQ42" s="167" t="s">
        <v>317</v>
      </c>
      <c r="BS42" s="81" t="s">
        <v>373</v>
      </c>
      <c r="BT42" s="81" t="s">
        <v>416</v>
      </c>
      <c r="BU42" s="166">
        <v>50</v>
      </c>
      <c r="BV42" s="166">
        <v>5.01</v>
      </c>
      <c r="BW42" s="81">
        <v>9.9700000000000006</v>
      </c>
      <c r="BX42" s="81" t="s">
        <v>420</v>
      </c>
      <c r="BY42" s="166">
        <v>2E-16</v>
      </c>
      <c r="BZ42" s="81" t="s">
        <v>385</v>
      </c>
      <c r="CA42" s="167" t="s">
        <v>314</v>
      </c>
      <c r="CB42" s="167" t="s">
        <v>315</v>
      </c>
      <c r="CC42" s="167" t="s">
        <v>355</v>
      </c>
      <c r="CD42" s="168" t="s">
        <v>318</v>
      </c>
      <c r="CE42" s="161">
        <f>BU86</f>
        <v>0.32</v>
      </c>
      <c r="CF42" s="167" t="s">
        <v>317</v>
      </c>
      <c r="CI42" s="81" t="s">
        <v>355</v>
      </c>
      <c r="CJ42" s="239">
        <f t="shared" si="1"/>
        <v>0.34185433414359345</v>
      </c>
      <c r="CK42" s="239">
        <f t="shared" si="2"/>
        <v>9.7500000000000003E-2</v>
      </c>
      <c r="CL42" s="239">
        <f t="shared" si="3"/>
        <v>0.32</v>
      </c>
      <c r="CO42" s="243" t="s">
        <v>373</v>
      </c>
      <c r="CP42" s="243" t="s">
        <v>403</v>
      </c>
      <c r="CQ42" s="244">
        <v>0.14099999999999999</v>
      </c>
      <c r="CR42" s="244">
        <v>8.25E-4</v>
      </c>
      <c r="CS42" s="243">
        <v>171.21</v>
      </c>
      <c r="CT42" s="243" t="s">
        <v>420</v>
      </c>
      <c r="CU42" s="244">
        <v>2E-16</v>
      </c>
      <c r="CV42" s="81" t="s">
        <v>385</v>
      </c>
      <c r="CW42" s="245" t="s">
        <v>460</v>
      </c>
      <c r="CX42" s="246" t="s">
        <v>430</v>
      </c>
      <c r="CY42" s="246" t="s">
        <v>318</v>
      </c>
      <c r="CZ42" s="247">
        <f t="shared" si="30"/>
        <v>2.3199999999999998E-2</v>
      </c>
      <c r="DA42" s="245" t="s">
        <v>317</v>
      </c>
      <c r="DC42" s="169" t="s">
        <v>460</v>
      </c>
      <c r="DD42" s="258" t="s">
        <v>430</v>
      </c>
      <c r="DE42" s="258" t="s">
        <v>318</v>
      </c>
      <c r="DF42" s="169">
        <f>$AP46</f>
        <v>2.9914608986394021E-2</v>
      </c>
      <c r="DG42" s="169" t="s">
        <v>317</v>
      </c>
    </row>
    <row r="43" spans="2:115" ht="15" customHeight="1" thickTop="1" thickBot="1" x14ac:dyDescent="0.3">
      <c r="B43" t="s">
        <v>278</v>
      </c>
      <c r="D43">
        <v>0.99</v>
      </c>
      <c r="E43" t="s">
        <v>279</v>
      </c>
      <c r="L43"/>
      <c r="M43"/>
      <c r="N43"/>
      <c r="Q43"/>
      <c r="R43"/>
      <c r="X43" s="175"/>
      <c r="Y43" s="176" t="s">
        <v>129</v>
      </c>
      <c r="Z43" s="176">
        <v>0.08</v>
      </c>
      <c r="AA43" s="176">
        <v>0.6</v>
      </c>
      <c r="AB43" s="176">
        <v>1100</v>
      </c>
      <c r="AC43" s="176">
        <v>860</v>
      </c>
      <c r="AD43" s="227">
        <f>Z43/AA43</f>
        <v>0.13333333333333333</v>
      </c>
      <c r="AE43" s="177">
        <f>Z43*AB43*AC43</f>
        <v>75680</v>
      </c>
      <c r="AF43" s="222"/>
      <c r="AG43" s="222"/>
      <c r="AH43" s="222"/>
      <c r="AM43" s="158" t="s">
        <v>314</v>
      </c>
      <c r="AN43" s="81" t="s">
        <v>315</v>
      </c>
      <c r="AO43" s="81" t="s">
        <v>355</v>
      </c>
      <c r="AP43" s="81">
        <f>SUM(O26)/SUM(O$17:O$25,2*O$28,O$26)</f>
        <v>0.34185433414359345</v>
      </c>
      <c r="AQ43" s="81" t="s">
        <v>317</v>
      </c>
      <c r="AR43" s="81" t="s">
        <v>356</v>
      </c>
      <c r="AV43" s="167" t="s">
        <v>314</v>
      </c>
      <c r="AW43" s="167" t="s">
        <v>315</v>
      </c>
      <c r="AX43" s="167" t="s">
        <v>355</v>
      </c>
      <c r="AY43" s="168" t="s">
        <v>318</v>
      </c>
      <c r="AZ43" s="161">
        <f t="shared" ref="AZ43:AZ50" si="31">AP43</f>
        <v>0.34185433414359345</v>
      </c>
      <c r="BA43" s="167" t="s">
        <v>317</v>
      </c>
      <c r="BC43" s="81" t="s">
        <v>373</v>
      </c>
      <c r="BD43" s="81" t="s">
        <v>417</v>
      </c>
      <c r="BE43" s="166">
        <v>301</v>
      </c>
      <c r="BF43" s="166">
        <v>3.03</v>
      </c>
      <c r="BG43" s="81">
        <v>99.4</v>
      </c>
      <c r="BH43" s="81" t="s">
        <v>384</v>
      </c>
      <c r="BI43" s="81" t="s">
        <v>385</v>
      </c>
      <c r="BL43" s="167" t="s">
        <v>314</v>
      </c>
      <c r="BM43" s="167" t="s">
        <v>315</v>
      </c>
      <c r="BN43" s="167" t="s">
        <v>355</v>
      </c>
      <c r="BO43" s="168" t="s">
        <v>318</v>
      </c>
      <c r="BP43" s="161">
        <f>BE55</f>
        <v>9.7500000000000003E-2</v>
      </c>
      <c r="BQ43" s="167" t="s">
        <v>317</v>
      </c>
      <c r="BS43" s="81" t="s">
        <v>373</v>
      </c>
      <c r="BT43" s="81" t="s">
        <v>417</v>
      </c>
      <c r="BU43" s="166">
        <v>4.59</v>
      </c>
      <c r="BV43" s="166">
        <v>0.312</v>
      </c>
      <c r="BW43" s="81">
        <v>14.68</v>
      </c>
      <c r="BX43" s="81" t="s">
        <v>420</v>
      </c>
      <c r="BY43" s="166">
        <v>2E-16</v>
      </c>
      <c r="BZ43" s="81" t="s">
        <v>385</v>
      </c>
      <c r="CA43" s="167" t="s">
        <v>314</v>
      </c>
      <c r="CB43" s="167" t="s">
        <v>315</v>
      </c>
      <c r="CC43" s="167" t="s">
        <v>357</v>
      </c>
      <c r="CD43" s="168" t="s">
        <v>318</v>
      </c>
      <c r="CE43" s="161">
        <f>BU87</f>
        <v>990000000</v>
      </c>
      <c r="CF43" s="167" t="s">
        <v>317</v>
      </c>
      <c r="CI43" s="81" t="s">
        <v>357</v>
      </c>
      <c r="CJ43" s="241">
        <f t="shared" si="1"/>
        <v>4177488.9999999995</v>
      </c>
      <c r="CK43" s="241">
        <f t="shared" si="2"/>
        <v>248000</v>
      </c>
      <c r="CL43" s="241">
        <f t="shared" si="3"/>
        <v>990000000</v>
      </c>
      <c r="CO43" s="243" t="s">
        <v>373</v>
      </c>
      <c r="CP43" s="243" t="s">
        <v>404</v>
      </c>
      <c r="CQ43" s="244">
        <v>0.72</v>
      </c>
      <c r="CR43" s="244">
        <v>1.6199999999999999E-3</v>
      </c>
      <c r="CS43" s="243">
        <v>443.87</v>
      </c>
      <c r="CT43" s="243" t="s">
        <v>420</v>
      </c>
      <c r="CU43" s="244">
        <v>2E-16</v>
      </c>
      <c r="CV43" s="81" t="s">
        <v>385</v>
      </c>
      <c r="CY43" s="246"/>
      <c r="DC43" s="169"/>
      <c r="DD43" s="169"/>
      <c r="DE43" s="258"/>
      <c r="DF43" s="169"/>
      <c r="DG43" s="169"/>
    </row>
    <row r="44" spans="2:115" ht="15" customHeight="1" thickTop="1" thickBot="1" x14ac:dyDescent="0.3">
      <c r="B44" t="s">
        <v>282</v>
      </c>
      <c r="D44">
        <v>0.7</v>
      </c>
      <c r="F44" s="79"/>
      <c r="L44"/>
      <c r="M44"/>
      <c r="N44"/>
      <c r="Q44"/>
      <c r="R44"/>
      <c r="X44" s="175"/>
      <c r="Y44" s="176" t="s">
        <v>280</v>
      </c>
      <c r="Z44" s="176">
        <v>0</v>
      </c>
      <c r="AA44" s="176">
        <v>3.5999999999999997E-2</v>
      </c>
      <c r="AB44" s="176">
        <v>30</v>
      </c>
      <c r="AC44" s="176">
        <v>1470</v>
      </c>
      <c r="AD44" s="227">
        <f>Z44/AA44</f>
        <v>0</v>
      </c>
      <c r="AE44" s="177">
        <f>Z44*AB44*AC44</f>
        <v>0</v>
      </c>
      <c r="AF44" s="228" t="s">
        <v>281</v>
      </c>
      <c r="AG44" s="222"/>
      <c r="AH44" s="222"/>
      <c r="AM44" s="158" t="s">
        <v>314</v>
      </c>
      <c r="AN44" s="81" t="s">
        <v>315</v>
      </c>
      <c r="AO44" s="81" t="s">
        <v>357</v>
      </c>
      <c r="AP44" s="81">
        <f>U26/2</f>
        <v>4177488.9999999995</v>
      </c>
      <c r="AQ44" s="81" t="s">
        <v>317</v>
      </c>
      <c r="AR44" s="81" t="s">
        <v>358</v>
      </c>
      <c r="AV44" s="167" t="s">
        <v>314</v>
      </c>
      <c r="AW44" s="167" t="s">
        <v>315</v>
      </c>
      <c r="AX44" s="167" t="s">
        <v>357</v>
      </c>
      <c r="AY44" s="168" t="s">
        <v>318</v>
      </c>
      <c r="AZ44" s="161">
        <f t="shared" si="31"/>
        <v>4177488.9999999995</v>
      </c>
      <c r="BA44" s="167" t="s">
        <v>317</v>
      </c>
      <c r="BL44" s="167" t="s">
        <v>314</v>
      </c>
      <c r="BM44" s="167" t="s">
        <v>315</v>
      </c>
      <c r="BN44" s="167" t="s">
        <v>357</v>
      </c>
      <c r="BO44" s="168" t="s">
        <v>318</v>
      </c>
      <c r="BP44" s="161">
        <f>BE86</f>
        <v>248000</v>
      </c>
      <c r="BQ44" s="167" t="s">
        <v>317</v>
      </c>
      <c r="CA44" s="167" t="s">
        <v>314</v>
      </c>
      <c r="CB44" s="167" t="s">
        <v>315</v>
      </c>
      <c r="CC44" s="167" t="s">
        <v>359</v>
      </c>
      <c r="CD44" s="168" t="s">
        <v>318</v>
      </c>
      <c r="CE44" s="161">
        <f>BU88</f>
        <v>113000000</v>
      </c>
      <c r="CF44" s="167" t="s">
        <v>317</v>
      </c>
      <c r="CI44" s="81" t="s">
        <v>359</v>
      </c>
      <c r="CJ44" s="241">
        <f t="shared" si="1"/>
        <v>4177488.9999999995</v>
      </c>
      <c r="CK44" s="241">
        <f t="shared" si="2"/>
        <v>6990000</v>
      </c>
      <c r="CL44" s="241">
        <f t="shared" si="3"/>
        <v>113000000</v>
      </c>
      <c r="CO44" s="243" t="s">
        <v>373</v>
      </c>
      <c r="CP44" s="243" t="s">
        <v>405</v>
      </c>
      <c r="CQ44" s="244">
        <v>4.6199999999999998E-2</v>
      </c>
      <c r="CR44" s="244">
        <v>2.3599999999999999E-4</v>
      </c>
      <c r="CS44" s="243">
        <v>195.96</v>
      </c>
      <c r="CT44" s="243" t="s">
        <v>420</v>
      </c>
      <c r="CU44" s="244">
        <v>2E-16</v>
      </c>
      <c r="CV44" s="81" t="s">
        <v>385</v>
      </c>
      <c r="CW44" s="245" t="s">
        <v>460</v>
      </c>
      <c r="CX44" s="251" t="s">
        <v>482</v>
      </c>
      <c r="CY44" s="246" t="s">
        <v>318</v>
      </c>
      <c r="CZ44" s="247">
        <f>CQ68</f>
        <v>3.5999999999999999E-7</v>
      </c>
      <c r="DA44" s="245" t="s">
        <v>317</v>
      </c>
      <c r="DC44" s="169" t="s">
        <v>460</v>
      </c>
      <c r="DD44" s="264" t="s">
        <v>482</v>
      </c>
      <c r="DE44" s="258" t="s">
        <v>318</v>
      </c>
      <c r="DF44" s="169">
        <f>$O$22*$Z$37*$AP$26</f>
        <v>1.1144433320804188</v>
      </c>
      <c r="DG44" s="169" t="s">
        <v>317</v>
      </c>
    </row>
    <row r="45" spans="2:115" ht="15" customHeight="1" thickTop="1" thickBot="1" x14ac:dyDescent="0.3">
      <c r="B45" t="s">
        <v>283</v>
      </c>
      <c r="D45">
        <v>0.7</v>
      </c>
      <c r="F45" s="79"/>
      <c r="L45"/>
      <c r="M45"/>
      <c r="N45"/>
      <c r="Q45"/>
      <c r="R45"/>
      <c r="X45" s="175"/>
      <c r="Y45" s="176" t="s">
        <v>131</v>
      </c>
      <c r="Z45" s="176">
        <v>0.15</v>
      </c>
      <c r="AA45" s="176">
        <v>1.4</v>
      </c>
      <c r="AB45" s="176">
        <v>2100</v>
      </c>
      <c r="AC45" s="176">
        <v>840</v>
      </c>
      <c r="AD45" s="227">
        <f>Z45/AA45</f>
        <v>0.10714285714285715</v>
      </c>
      <c r="AE45" s="177">
        <f>Z45*AB45*AC45</f>
        <v>264600</v>
      </c>
      <c r="AF45" s="222"/>
      <c r="AG45" s="222"/>
      <c r="AH45" s="222"/>
      <c r="AM45" s="158" t="s">
        <v>314</v>
      </c>
      <c r="AN45" s="81" t="s">
        <v>315</v>
      </c>
      <c r="AO45" s="81" t="s">
        <v>359</v>
      </c>
      <c r="AP45" s="81">
        <f>U26/2</f>
        <v>4177488.9999999995</v>
      </c>
      <c r="AQ45" s="81" t="s">
        <v>317</v>
      </c>
      <c r="AR45" s="81" t="s">
        <v>360</v>
      </c>
      <c r="AV45" s="167" t="s">
        <v>314</v>
      </c>
      <c r="AW45" s="167" t="s">
        <v>315</v>
      </c>
      <c r="AX45" s="167" t="s">
        <v>359</v>
      </c>
      <c r="AY45" s="168" t="s">
        <v>318</v>
      </c>
      <c r="AZ45" s="161">
        <f t="shared" si="31"/>
        <v>4177488.9999999995</v>
      </c>
      <c r="BA45" s="167" t="s">
        <v>317</v>
      </c>
      <c r="BC45" s="81" t="s">
        <v>373</v>
      </c>
      <c r="BD45" s="81" t="s">
        <v>374</v>
      </c>
      <c r="BE45" s="81" t="s">
        <v>419</v>
      </c>
      <c r="BF45" s="81"/>
      <c r="BG45" s="81"/>
      <c r="BH45" s="81"/>
      <c r="BI45" s="81"/>
      <c r="BJ45" s="81"/>
      <c r="BL45" s="167" t="s">
        <v>314</v>
      </c>
      <c r="BM45" s="167" t="s">
        <v>315</v>
      </c>
      <c r="BN45" s="167" t="s">
        <v>359</v>
      </c>
      <c r="BO45" s="168" t="s">
        <v>318</v>
      </c>
      <c r="BP45" s="161">
        <f>BE87</f>
        <v>6990000</v>
      </c>
      <c r="BQ45" s="167" t="s">
        <v>317</v>
      </c>
      <c r="BS45" s="81" t="s">
        <v>373</v>
      </c>
      <c r="BT45" s="81" t="s">
        <v>374</v>
      </c>
      <c r="BU45" s="81" t="s">
        <v>419</v>
      </c>
      <c r="BV45" s="81"/>
      <c r="BW45" s="81"/>
      <c r="BX45" s="81"/>
      <c r="BY45" s="81"/>
      <c r="BZ45" s="81"/>
      <c r="CA45" s="167" t="s">
        <v>314</v>
      </c>
      <c r="CB45" s="167" t="s">
        <v>315</v>
      </c>
      <c r="CC45" s="167" t="s">
        <v>361</v>
      </c>
      <c r="CD45" s="168" t="s">
        <v>318</v>
      </c>
      <c r="CE45" s="161">
        <f>BU30</f>
        <v>2.69E-2</v>
      </c>
      <c r="CF45" s="167" t="s">
        <v>317</v>
      </c>
      <c r="CI45" s="81" t="s">
        <v>361</v>
      </c>
      <c r="CJ45" s="239">
        <f t="shared" si="1"/>
        <v>2.9914608986394021E-2</v>
      </c>
      <c r="CK45" s="239">
        <f t="shared" si="2"/>
        <v>1.9E-2</v>
      </c>
      <c r="CL45" s="239">
        <f t="shared" si="3"/>
        <v>2.69E-2</v>
      </c>
      <c r="CO45" s="243" t="s">
        <v>373</v>
      </c>
      <c r="CP45" s="243" t="s">
        <v>406</v>
      </c>
      <c r="CQ45" s="244">
        <v>2.3199999999999998E-2</v>
      </c>
      <c r="CR45" s="244">
        <v>2.1900000000000001E-4</v>
      </c>
      <c r="CS45" s="243">
        <v>105.87</v>
      </c>
      <c r="CT45" s="243" t="s">
        <v>420</v>
      </c>
      <c r="CU45" s="244">
        <v>2E-16</v>
      </c>
      <c r="CV45" s="81" t="s">
        <v>385</v>
      </c>
      <c r="CW45" s="245" t="s">
        <v>460</v>
      </c>
      <c r="CX45" s="251" t="s">
        <v>483</v>
      </c>
      <c r="CY45" s="246" t="s">
        <v>318</v>
      </c>
      <c r="CZ45" s="247">
        <f t="shared" ref="CZ45:CZ59" si="32">CQ69</f>
        <v>0.90100000000000002</v>
      </c>
      <c r="DA45" s="245" t="s">
        <v>317</v>
      </c>
      <c r="DC45" s="169" t="s">
        <v>460</v>
      </c>
      <c r="DD45" s="264" t="s">
        <v>483</v>
      </c>
      <c r="DE45" s="258" t="s">
        <v>318</v>
      </c>
      <c r="DF45" s="169">
        <f>$O$21*$Z$37*$AP$26</f>
        <v>1.2941922566095188</v>
      </c>
      <c r="DG45" s="169" t="s">
        <v>317</v>
      </c>
    </row>
    <row r="46" spans="2:115" ht="15" customHeight="1" thickTop="1" thickBot="1" x14ac:dyDescent="0.3">
      <c r="L46"/>
      <c r="M46"/>
      <c r="N46"/>
      <c r="Q46"/>
      <c r="R46"/>
      <c r="X46" s="187"/>
      <c r="Y46" s="174" t="s">
        <v>132</v>
      </c>
      <c r="Z46" s="174">
        <v>0</v>
      </c>
      <c r="AA46" s="174">
        <v>0.02</v>
      </c>
      <c r="AB46" s="174">
        <v>30</v>
      </c>
      <c r="AC46" s="174">
        <v>1470</v>
      </c>
      <c r="AD46" s="229">
        <f>Z46/AA46</f>
        <v>0</v>
      </c>
      <c r="AE46" s="192">
        <f>Z46*AB46*AC46</f>
        <v>0</v>
      </c>
      <c r="AF46" s="222"/>
      <c r="AG46" s="222"/>
      <c r="AH46" s="222"/>
      <c r="AM46" s="158" t="s">
        <v>314</v>
      </c>
      <c r="AN46" s="81" t="s">
        <v>315</v>
      </c>
      <c r="AO46" s="81" t="s">
        <v>361</v>
      </c>
      <c r="AP46" s="81">
        <f>AP42*0.2</f>
        <v>2.9914608986394021E-2</v>
      </c>
      <c r="AQ46" s="81" t="s">
        <v>317</v>
      </c>
      <c r="AR46" s="81" t="s">
        <v>362</v>
      </c>
      <c r="AV46" s="167" t="s">
        <v>314</v>
      </c>
      <c r="AW46" s="167" t="s">
        <v>315</v>
      </c>
      <c r="AX46" s="167" t="s">
        <v>361</v>
      </c>
      <c r="AY46" s="168" t="s">
        <v>318</v>
      </c>
      <c r="AZ46" s="161">
        <f t="shared" si="31"/>
        <v>2.9914608986394021E-2</v>
      </c>
      <c r="BA46" s="167" t="s">
        <v>317</v>
      </c>
      <c r="BC46" s="81" t="s">
        <v>373</v>
      </c>
      <c r="BD46" s="81" t="s">
        <v>376</v>
      </c>
      <c r="BE46" s="81"/>
      <c r="BF46" s="81"/>
      <c r="BG46" s="81"/>
      <c r="BH46" s="81"/>
      <c r="BI46" s="81"/>
      <c r="BJ46" s="81"/>
      <c r="BL46" s="167" t="s">
        <v>314</v>
      </c>
      <c r="BM46" s="167" t="s">
        <v>315</v>
      </c>
      <c r="BN46" s="167" t="s">
        <v>361</v>
      </c>
      <c r="BO46" s="168" t="s">
        <v>318</v>
      </c>
      <c r="BP46" s="161">
        <f>BE30</f>
        <v>1.9E-2</v>
      </c>
      <c r="BQ46" s="167" t="s">
        <v>317</v>
      </c>
      <c r="BS46" s="81" t="s">
        <v>373</v>
      </c>
      <c r="BT46" s="81" t="s">
        <v>376</v>
      </c>
      <c r="BU46" s="81"/>
      <c r="BV46" s="81"/>
      <c r="BW46" s="81"/>
      <c r="BX46" s="81"/>
      <c r="BY46" s="81"/>
      <c r="BZ46" s="81"/>
      <c r="CA46" s="167" t="s">
        <v>314</v>
      </c>
      <c r="CB46" s="167" t="s">
        <v>315</v>
      </c>
      <c r="CC46" s="167" t="s">
        <v>363</v>
      </c>
      <c r="CD46" s="168" t="s">
        <v>318</v>
      </c>
      <c r="CE46" s="161">
        <f>BU67</f>
        <v>0.121</v>
      </c>
      <c r="CF46" s="167" t="s">
        <v>317</v>
      </c>
      <c r="CI46" s="81" t="s">
        <v>363</v>
      </c>
      <c r="CJ46" s="239">
        <f t="shared" si="1"/>
        <v>6.8370866828718693E-2</v>
      </c>
      <c r="CK46" s="239">
        <f t="shared" si="2"/>
        <v>0.184</v>
      </c>
      <c r="CL46" s="239">
        <f t="shared" si="3"/>
        <v>0.121</v>
      </c>
      <c r="CO46" s="243" t="s">
        <v>373</v>
      </c>
      <c r="CP46" s="243" t="s">
        <v>516</v>
      </c>
      <c r="CQ46" s="244">
        <v>531</v>
      </c>
      <c r="CR46" s="244">
        <v>1.95</v>
      </c>
      <c r="CS46" s="243">
        <v>272.02</v>
      </c>
      <c r="CT46" s="243" t="s">
        <v>420</v>
      </c>
      <c r="CU46" s="244">
        <v>2E-16</v>
      </c>
      <c r="CV46" s="81" t="s">
        <v>385</v>
      </c>
      <c r="CW46" s="245" t="s">
        <v>460</v>
      </c>
      <c r="CX46" s="251" t="s">
        <v>484</v>
      </c>
      <c r="CY46" s="246" t="s">
        <v>318</v>
      </c>
      <c r="CZ46" s="247">
        <f t="shared" si="32"/>
        <v>0.89900000000000002</v>
      </c>
      <c r="DA46" s="245" t="s">
        <v>317</v>
      </c>
      <c r="DC46" s="169" t="s">
        <v>460</v>
      </c>
      <c r="DD46" s="264" t="s">
        <v>484</v>
      </c>
      <c r="DE46" s="258" t="s">
        <v>318</v>
      </c>
      <c r="DF46" s="169">
        <f>$O$23*$Z$37*$AP$26</f>
        <v>1.461957919503345</v>
      </c>
      <c r="DG46" s="169" t="s">
        <v>317</v>
      </c>
    </row>
    <row r="47" spans="2:115" ht="15" customHeight="1" thickTop="1" thickBot="1" x14ac:dyDescent="0.3">
      <c r="C47" s="3"/>
      <c r="L47"/>
      <c r="M47"/>
      <c r="N47"/>
      <c r="Q47"/>
      <c r="R47"/>
      <c r="X47" s="176"/>
      <c r="Y47" s="176"/>
      <c r="Z47" s="176"/>
      <c r="AA47" s="176"/>
      <c r="AB47" s="176"/>
      <c r="AC47" s="176"/>
      <c r="AD47" s="227"/>
      <c r="AE47" s="176"/>
      <c r="AF47" s="222"/>
      <c r="AG47" s="222"/>
      <c r="AH47" s="222"/>
      <c r="AM47" s="158" t="s">
        <v>314</v>
      </c>
      <c r="AN47" s="81" t="s">
        <v>315</v>
      </c>
      <c r="AO47" s="81" t="s">
        <v>363</v>
      </c>
      <c r="AP47" s="81">
        <f>AP43*0.2</f>
        <v>6.8370866828718693E-2</v>
      </c>
      <c r="AQ47" s="81" t="s">
        <v>317</v>
      </c>
      <c r="AR47" s="81" t="s">
        <v>364</v>
      </c>
      <c r="AV47" s="167" t="s">
        <v>314</v>
      </c>
      <c r="AW47" s="167" t="s">
        <v>315</v>
      </c>
      <c r="AX47" s="167" t="s">
        <v>363</v>
      </c>
      <c r="AY47" s="168" t="s">
        <v>318</v>
      </c>
      <c r="AZ47" s="161">
        <f t="shared" si="31"/>
        <v>6.8370866828718693E-2</v>
      </c>
      <c r="BA47" s="167" t="s">
        <v>317</v>
      </c>
      <c r="BC47" s="81" t="s">
        <v>373</v>
      </c>
      <c r="BD47" s="81" t="s">
        <v>377</v>
      </c>
      <c r="BE47" s="81" t="s">
        <v>378</v>
      </c>
      <c r="BF47" s="81" t="s">
        <v>379</v>
      </c>
      <c r="BG47" s="81" t="s">
        <v>380</v>
      </c>
      <c r="BH47" s="81" t="s">
        <v>381</v>
      </c>
      <c r="BI47" s="81" t="s">
        <v>382</v>
      </c>
      <c r="BJ47" s="81"/>
      <c r="BL47" s="167" t="s">
        <v>314</v>
      </c>
      <c r="BM47" s="167" t="s">
        <v>315</v>
      </c>
      <c r="BN47" s="167" t="s">
        <v>363</v>
      </c>
      <c r="BO47" s="168" t="s">
        <v>318</v>
      </c>
      <c r="BP47" s="161">
        <f>BE67</f>
        <v>0.184</v>
      </c>
      <c r="BQ47" s="167" t="s">
        <v>317</v>
      </c>
      <c r="BS47" s="81" t="s">
        <v>373</v>
      </c>
      <c r="BT47" s="81" t="s">
        <v>377</v>
      </c>
      <c r="BU47" s="81" t="s">
        <v>378</v>
      </c>
      <c r="BV47" s="81" t="s">
        <v>379</v>
      </c>
      <c r="BW47" s="81" t="s">
        <v>380</v>
      </c>
      <c r="BX47" s="81" t="s">
        <v>381</v>
      </c>
      <c r="BY47" s="81" t="s">
        <v>382</v>
      </c>
      <c r="BZ47" s="81"/>
      <c r="CA47" s="167" t="s">
        <v>314</v>
      </c>
      <c r="CB47" s="167" t="s">
        <v>315</v>
      </c>
      <c r="CC47" s="167" t="s">
        <v>365</v>
      </c>
      <c r="CD47" s="168" t="s">
        <v>318</v>
      </c>
      <c r="CE47" s="161">
        <f>BU95</f>
        <v>78.400000000000006</v>
      </c>
      <c r="CF47" s="167" t="s">
        <v>317</v>
      </c>
      <c r="CI47" s="81" t="s">
        <v>365</v>
      </c>
      <c r="CJ47" s="242">
        <f t="shared" si="1"/>
        <v>702.73730684326699</v>
      </c>
      <c r="CK47" s="242">
        <f t="shared" si="2"/>
        <v>476</v>
      </c>
      <c r="CL47" s="242">
        <f t="shared" si="3"/>
        <v>78.400000000000006</v>
      </c>
      <c r="CO47" s="243" t="s">
        <v>373</v>
      </c>
      <c r="CP47" s="243" t="s">
        <v>408</v>
      </c>
      <c r="CQ47" s="244">
        <v>229</v>
      </c>
      <c r="CR47" s="244">
        <v>1.55</v>
      </c>
      <c r="CS47" s="243">
        <v>147.46</v>
      </c>
      <c r="CT47" s="243" t="s">
        <v>420</v>
      </c>
      <c r="CU47" s="244">
        <v>2E-16</v>
      </c>
      <c r="CV47" s="81" t="s">
        <v>385</v>
      </c>
      <c r="CW47" s="245" t="s">
        <v>460</v>
      </c>
      <c r="CX47" s="251" t="s">
        <v>485</v>
      </c>
      <c r="CY47" s="246" t="s">
        <v>318</v>
      </c>
      <c r="CZ47" s="247">
        <f t="shared" si="32"/>
        <v>1.28</v>
      </c>
      <c r="DA47" s="245" t="s">
        <v>317</v>
      </c>
      <c r="DC47" s="169" t="s">
        <v>460</v>
      </c>
      <c r="DD47" s="264" t="s">
        <v>485</v>
      </c>
      <c r="DE47" s="258" t="s">
        <v>318</v>
      </c>
      <c r="DF47" s="169">
        <f>$O$24*$Z$37*$AP$26</f>
        <v>1.0665102855393256</v>
      </c>
      <c r="DG47" s="169" t="s">
        <v>317</v>
      </c>
    </row>
    <row r="48" spans="2:115" ht="15" customHeight="1" thickTop="1" thickBot="1" x14ac:dyDescent="0.3">
      <c r="C48" s="3"/>
      <c r="L48"/>
      <c r="M48"/>
      <c r="N48"/>
      <c r="Q48"/>
      <c r="R48"/>
      <c r="Z48" s="221" t="s">
        <v>4</v>
      </c>
      <c r="AA48" s="221">
        <v>4</v>
      </c>
      <c r="AB48" s="221" t="s">
        <v>5</v>
      </c>
      <c r="AF48" s="222"/>
      <c r="AG48" s="222"/>
      <c r="AH48" s="222"/>
      <c r="AM48" s="158" t="s">
        <v>314</v>
      </c>
      <c r="AN48" s="81" t="s">
        <v>315</v>
      </c>
      <c r="AO48" s="81" t="s">
        <v>365</v>
      </c>
      <c r="AP48" s="81">
        <f>AA27*4*O26</f>
        <v>702.73730684326699</v>
      </c>
      <c r="AQ48" s="81" t="s">
        <v>317</v>
      </c>
      <c r="AR48" s="81" t="s">
        <v>366</v>
      </c>
      <c r="AV48" s="167" t="s">
        <v>314</v>
      </c>
      <c r="AW48" s="167" t="s">
        <v>315</v>
      </c>
      <c r="AX48" s="167" t="s">
        <v>365</v>
      </c>
      <c r="AY48" s="168" t="s">
        <v>318</v>
      </c>
      <c r="AZ48" s="161">
        <f t="shared" si="31"/>
        <v>702.73730684326699</v>
      </c>
      <c r="BA48" s="167" t="s">
        <v>317</v>
      </c>
      <c r="BC48" s="81" t="s">
        <v>373</v>
      </c>
      <c r="BD48" s="81" t="s">
        <v>383</v>
      </c>
      <c r="BE48" s="166">
        <v>288</v>
      </c>
      <c r="BF48" s="166">
        <v>2.2799999999999998</v>
      </c>
      <c r="BG48" s="81">
        <v>126.5</v>
      </c>
      <c r="BH48" s="81" t="s">
        <v>420</v>
      </c>
      <c r="BI48" s="166">
        <v>2E-16</v>
      </c>
      <c r="BJ48" s="81" t="s">
        <v>385</v>
      </c>
      <c r="BL48" s="167" t="s">
        <v>314</v>
      </c>
      <c r="BM48" s="167" t="s">
        <v>315</v>
      </c>
      <c r="BN48" s="167" t="s">
        <v>365</v>
      </c>
      <c r="BO48" s="168" t="s">
        <v>318</v>
      </c>
      <c r="BP48" s="161">
        <f>BE94</f>
        <v>476</v>
      </c>
      <c r="BQ48" s="167" t="s">
        <v>317</v>
      </c>
      <c r="BS48" s="81" t="s">
        <v>373</v>
      </c>
      <c r="BT48" s="81" t="s">
        <v>383</v>
      </c>
      <c r="BU48" s="166">
        <v>291</v>
      </c>
      <c r="BV48" s="166">
        <v>0.16200000000000001</v>
      </c>
      <c r="BW48" s="81">
        <v>1794.55</v>
      </c>
      <c r="BX48" s="81" t="s">
        <v>420</v>
      </c>
      <c r="BY48" s="166">
        <v>2E-16</v>
      </c>
      <c r="BZ48" s="81" t="s">
        <v>385</v>
      </c>
      <c r="CA48" s="167" t="s">
        <v>314</v>
      </c>
      <c r="CB48" s="167" t="s">
        <v>315</v>
      </c>
      <c r="CC48" s="167" t="s">
        <v>367</v>
      </c>
      <c r="CD48" s="168" t="s">
        <v>318</v>
      </c>
      <c r="CE48" s="161">
        <f>BU96</f>
        <v>5.5999999999999995E-4</v>
      </c>
      <c r="CF48" s="167" t="s">
        <v>317</v>
      </c>
      <c r="CI48" s="81" t="s">
        <v>367</v>
      </c>
      <c r="CJ48" s="242">
        <f t="shared" si="1"/>
        <v>351.3686534216335</v>
      </c>
      <c r="CK48" s="242">
        <f t="shared" si="2"/>
        <v>3410</v>
      </c>
      <c r="CL48" s="242">
        <f t="shared" si="3"/>
        <v>5.5999999999999995E-4</v>
      </c>
      <c r="CO48" s="243" t="s">
        <v>373</v>
      </c>
      <c r="CP48" s="243" t="s">
        <v>290</v>
      </c>
      <c r="CQ48" s="244">
        <v>863</v>
      </c>
      <c r="CR48" s="244">
        <v>2.7</v>
      </c>
      <c r="CS48" s="243">
        <v>319.37</v>
      </c>
      <c r="CT48" s="243" t="s">
        <v>420</v>
      </c>
      <c r="CU48" s="244">
        <v>2E-16</v>
      </c>
      <c r="CV48" s="81" t="s">
        <v>385</v>
      </c>
      <c r="CW48" s="245" t="s">
        <v>460</v>
      </c>
      <c r="CX48" s="251" t="s">
        <v>486</v>
      </c>
      <c r="CY48" s="246" t="s">
        <v>318</v>
      </c>
      <c r="CZ48" s="247">
        <f t="shared" si="32"/>
        <v>0.73899999999999999</v>
      </c>
      <c r="DA48" s="245" t="s">
        <v>317</v>
      </c>
      <c r="DC48" s="169" t="s">
        <v>460</v>
      </c>
      <c r="DD48" s="264" t="s">
        <v>486</v>
      </c>
      <c r="DE48" s="258" t="s">
        <v>318</v>
      </c>
      <c r="DF48" s="169">
        <f>$O$22*$Z$37*$AP$27</f>
        <v>0.41219514788920908</v>
      </c>
      <c r="DG48" s="169" t="s">
        <v>317</v>
      </c>
    </row>
    <row r="49" spans="1:111" ht="15" customHeight="1" thickTop="1" thickBot="1" x14ac:dyDescent="0.3">
      <c r="C49" s="3"/>
      <c r="L49"/>
      <c r="M49"/>
      <c r="N49"/>
      <c r="Q49"/>
      <c r="R49"/>
      <c r="X49" s="216" t="s">
        <v>68</v>
      </c>
      <c r="Y49" s="217"/>
      <c r="Z49" s="218" t="s">
        <v>21</v>
      </c>
      <c r="AA49" s="200">
        <v>4</v>
      </c>
      <c r="AB49" s="217" t="s">
        <v>5</v>
      </c>
      <c r="AC49" s="217"/>
      <c r="AD49" s="217" t="s">
        <v>22</v>
      </c>
      <c r="AE49" s="220">
        <f>0.04*550*1660</f>
        <v>36520</v>
      </c>
      <c r="AF49" s="222" t="s">
        <v>23</v>
      </c>
      <c r="AG49" s="222">
        <f>SUM(AE52:AE53)</f>
        <v>0</v>
      </c>
      <c r="AH49" s="222"/>
      <c r="AM49" s="158" t="s">
        <v>314</v>
      </c>
      <c r="AN49" s="81" t="s">
        <v>315</v>
      </c>
      <c r="AO49" s="81" t="s">
        <v>367</v>
      </c>
      <c r="AP49" s="81">
        <f>AP50/2</f>
        <v>351.3686534216335</v>
      </c>
      <c r="AQ49" s="81" t="s">
        <v>317</v>
      </c>
      <c r="AR49" s="81" t="s">
        <v>368</v>
      </c>
      <c r="AV49" s="167" t="s">
        <v>314</v>
      </c>
      <c r="AW49" s="167" t="s">
        <v>315</v>
      </c>
      <c r="AX49" s="167" t="s">
        <v>367</v>
      </c>
      <c r="AY49" s="168" t="s">
        <v>318</v>
      </c>
      <c r="AZ49" s="161">
        <f t="shared" si="31"/>
        <v>351.3686534216335</v>
      </c>
      <c r="BA49" s="167" t="s">
        <v>317</v>
      </c>
      <c r="BC49" s="81" t="s">
        <v>373</v>
      </c>
      <c r="BD49" s="81" t="s">
        <v>386</v>
      </c>
      <c r="BE49" s="166">
        <v>287</v>
      </c>
      <c r="BF49" s="166">
        <v>1.8</v>
      </c>
      <c r="BG49" s="81">
        <v>159.38999999999999</v>
      </c>
      <c r="BH49" s="81" t="s">
        <v>420</v>
      </c>
      <c r="BI49" s="166">
        <v>2E-16</v>
      </c>
      <c r="BJ49" s="81" t="s">
        <v>385</v>
      </c>
      <c r="BL49" s="167" t="s">
        <v>314</v>
      </c>
      <c r="BM49" s="167" t="s">
        <v>315</v>
      </c>
      <c r="BN49" s="167" t="s">
        <v>367</v>
      </c>
      <c r="BO49" s="168" t="s">
        <v>318</v>
      </c>
      <c r="BP49" s="161">
        <f t="shared" ref="BP49:BP50" si="33">BE95</f>
        <v>3410</v>
      </c>
      <c r="BQ49" s="167" t="s">
        <v>317</v>
      </c>
      <c r="BS49" s="81" t="s">
        <v>373</v>
      </c>
      <c r="BT49" s="81" t="s">
        <v>386</v>
      </c>
      <c r="BU49" s="166">
        <v>284</v>
      </c>
      <c r="BV49" s="166">
        <v>0.14199999999999999</v>
      </c>
      <c r="BW49" s="81">
        <v>1993.85</v>
      </c>
      <c r="BX49" s="81" t="s">
        <v>420</v>
      </c>
      <c r="BY49" s="166">
        <v>2E-16</v>
      </c>
      <c r="BZ49" s="81" t="s">
        <v>385</v>
      </c>
      <c r="CA49" s="167" t="s">
        <v>314</v>
      </c>
      <c r="CB49" s="167" t="s">
        <v>315</v>
      </c>
      <c r="CC49" s="167" t="s">
        <v>369</v>
      </c>
      <c r="CD49" s="168" t="s">
        <v>318</v>
      </c>
      <c r="CE49" s="161">
        <f>BU97</f>
        <v>236</v>
      </c>
      <c r="CF49" s="167" t="s">
        <v>317</v>
      </c>
      <c r="CI49" s="81" t="s">
        <v>369</v>
      </c>
      <c r="CJ49" s="242">
        <f t="shared" si="1"/>
        <v>702.73730684326699</v>
      </c>
      <c r="CK49" s="242">
        <f t="shared" si="2"/>
        <v>989</v>
      </c>
      <c r="CL49" s="242">
        <f t="shared" si="3"/>
        <v>236</v>
      </c>
      <c r="CO49" s="243" t="s">
        <v>373</v>
      </c>
      <c r="CP49" s="243" t="s">
        <v>120</v>
      </c>
      <c r="CQ49" s="244">
        <v>265</v>
      </c>
      <c r="CR49" s="244">
        <v>1.2</v>
      </c>
      <c r="CS49" s="243">
        <v>220.7</v>
      </c>
      <c r="CT49" s="243" t="s">
        <v>420</v>
      </c>
      <c r="CU49" s="244">
        <v>2E-16</v>
      </c>
      <c r="CV49" s="81" t="s">
        <v>385</v>
      </c>
      <c r="CW49" s="245" t="s">
        <v>460</v>
      </c>
      <c r="CX49" s="251" t="s">
        <v>487</v>
      </c>
      <c r="CY49" s="246" t="s">
        <v>318</v>
      </c>
      <c r="CZ49" s="247">
        <f t="shared" si="32"/>
        <v>0.51800000000000002</v>
      </c>
      <c r="DA49" s="245" t="s">
        <v>317</v>
      </c>
      <c r="DC49" s="169" t="s">
        <v>460</v>
      </c>
      <c r="DD49" s="264" t="s">
        <v>487</v>
      </c>
      <c r="DE49" s="258" t="s">
        <v>318</v>
      </c>
      <c r="DF49" s="169">
        <f>$O$21*$Z$37*$AP$27</f>
        <v>0.47867823625843642</v>
      </c>
      <c r="DG49" s="169" t="s">
        <v>317</v>
      </c>
    </row>
    <row r="50" spans="1:111" ht="15" customHeight="1" thickTop="1" thickBot="1" x14ac:dyDescent="0.3">
      <c r="L50"/>
      <c r="M50"/>
      <c r="N50"/>
      <c r="Q50"/>
      <c r="R50"/>
      <c r="X50" s="224"/>
      <c r="Y50" s="225" t="s">
        <v>27</v>
      </c>
      <c r="Z50" s="225" t="s">
        <v>28</v>
      </c>
      <c r="AA50" s="225" t="s">
        <v>29</v>
      </c>
      <c r="AB50" s="225" t="s">
        <v>30</v>
      </c>
      <c r="AC50" s="225" t="s">
        <v>31</v>
      </c>
      <c r="AD50" s="225" t="s">
        <v>32</v>
      </c>
      <c r="AE50" s="226" t="s">
        <v>33</v>
      </c>
      <c r="AF50" s="222"/>
      <c r="AG50" s="222"/>
      <c r="AH50" s="222"/>
      <c r="AM50" s="158" t="s">
        <v>314</v>
      </c>
      <c r="AN50" s="81" t="s">
        <v>315</v>
      </c>
      <c r="AO50" s="81" t="s">
        <v>369</v>
      </c>
      <c r="AP50" s="81">
        <f>AP48</f>
        <v>702.73730684326699</v>
      </c>
      <c r="AQ50" s="81" t="s">
        <v>317</v>
      </c>
      <c r="AR50" s="81" t="s">
        <v>370</v>
      </c>
      <c r="AV50" s="167" t="s">
        <v>314</v>
      </c>
      <c r="AW50" s="167" t="s">
        <v>315</v>
      </c>
      <c r="AX50" s="167" t="s">
        <v>369</v>
      </c>
      <c r="AY50" s="168" t="s">
        <v>318</v>
      </c>
      <c r="AZ50" s="161">
        <f t="shared" si="31"/>
        <v>702.73730684326699</v>
      </c>
      <c r="BA50" s="167" t="s">
        <v>317</v>
      </c>
      <c r="BC50" s="81" t="s">
        <v>373</v>
      </c>
      <c r="BD50" s="81" t="s">
        <v>387</v>
      </c>
      <c r="BE50" s="166">
        <v>288</v>
      </c>
      <c r="BF50" s="166">
        <v>6.47</v>
      </c>
      <c r="BG50" s="81">
        <v>44.51</v>
      </c>
      <c r="BH50" s="81" t="s">
        <v>420</v>
      </c>
      <c r="BI50" s="166">
        <v>2E-16</v>
      </c>
      <c r="BJ50" s="81" t="s">
        <v>385</v>
      </c>
      <c r="BL50" s="167" t="s">
        <v>314</v>
      </c>
      <c r="BM50" s="167" t="s">
        <v>315</v>
      </c>
      <c r="BN50" s="167" t="s">
        <v>369</v>
      </c>
      <c r="BO50" s="168" t="s">
        <v>318</v>
      </c>
      <c r="BP50" s="161">
        <f t="shared" si="33"/>
        <v>989</v>
      </c>
      <c r="BQ50" s="167" t="s">
        <v>317</v>
      </c>
      <c r="BS50" s="81" t="s">
        <v>373</v>
      </c>
      <c r="BT50" s="81" t="s">
        <v>387</v>
      </c>
      <c r="BU50" s="166">
        <v>293</v>
      </c>
      <c r="BV50" s="166">
        <v>9.8400000000000001E-2</v>
      </c>
      <c r="BW50" s="81">
        <v>2974.56</v>
      </c>
      <c r="BX50" s="81" t="s">
        <v>420</v>
      </c>
      <c r="BY50" s="166">
        <v>2E-16</v>
      </c>
      <c r="BZ50" s="81" t="s">
        <v>385</v>
      </c>
      <c r="CA50" s="160"/>
      <c r="CB50" s="160"/>
      <c r="CC50" s="160"/>
      <c r="CD50" s="160"/>
      <c r="CE50" s="161"/>
      <c r="CF50" s="160"/>
      <c r="CO50" s="243" t="s">
        <v>373</v>
      </c>
      <c r="CP50" s="243" t="s">
        <v>409</v>
      </c>
      <c r="CQ50" s="244">
        <v>-5.57</v>
      </c>
      <c r="CR50" s="244">
        <v>1.66E-2</v>
      </c>
      <c r="CS50" s="243">
        <v>-334.94</v>
      </c>
      <c r="CT50" s="243" t="s">
        <v>420</v>
      </c>
      <c r="CU50" s="244">
        <v>2E-16</v>
      </c>
      <c r="CV50" s="81" t="s">
        <v>385</v>
      </c>
      <c r="CW50" s="245" t="s">
        <v>460</v>
      </c>
      <c r="CX50" s="251" t="s">
        <v>488</v>
      </c>
      <c r="CY50" s="246" t="s">
        <v>318</v>
      </c>
      <c r="CZ50" s="247">
        <f t="shared" si="32"/>
        <v>0.56999999999999995</v>
      </c>
      <c r="DA50" s="245" t="s">
        <v>317</v>
      </c>
      <c r="DC50" s="169" t="s">
        <v>460</v>
      </c>
      <c r="DD50" s="264" t="s">
        <v>488</v>
      </c>
      <c r="DE50" s="258" t="s">
        <v>318</v>
      </c>
      <c r="DF50" s="169">
        <f>$O$23*$Z$37*$AP$27</f>
        <v>0.54072911873638174</v>
      </c>
      <c r="DG50" s="169" t="s">
        <v>317</v>
      </c>
    </row>
    <row r="51" spans="1:111" ht="15" customHeight="1" thickTop="1" thickBot="1" x14ac:dyDescent="0.3">
      <c r="B51" s="268" t="s">
        <v>517</v>
      </c>
      <c r="C51" s="268">
        <f>(0.2+0.5*EXP(-C4/500))*1.5*C34</f>
        <v>170.37865527009777</v>
      </c>
      <c r="D51" s="268">
        <f>C51/C34</f>
        <v>0.46207727157310485</v>
      </c>
      <c r="L51"/>
      <c r="M51"/>
      <c r="N51"/>
      <c r="Q51"/>
      <c r="R51"/>
      <c r="X51" s="181"/>
      <c r="Y51" s="182" t="s">
        <v>16</v>
      </c>
      <c r="Z51" s="182">
        <v>4</v>
      </c>
      <c r="AA51" s="182" t="s">
        <v>5</v>
      </c>
      <c r="AB51" s="182"/>
      <c r="AC51" s="182" t="s">
        <v>308</v>
      </c>
      <c r="AD51" s="182">
        <f>0.11*(1/AA49-1/23-1/8)</f>
        <v>8.9673913043478264E-3</v>
      </c>
      <c r="AE51" s="233"/>
      <c r="AF51" s="222"/>
      <c r="AG51" s="222"/>
      <c r="AH51" s="222"/>
      <c r="BC51" s="81" t="s">
        <v>373</v>
      </c>
      <c r="BD51" s="81" t="s">
        <v>388</v>
      </c>
      <c r="BE51" s="166">
        <v>292</v>
      </c>
      <c r="BF51" s="166">
        <v>2.2999999999999998</v>
      </c>
      <c r="BG51" s="81">
        <v>126.59</v>
      </c>
      <c r="BH51" s="81" t="s">
        <v>420</v>
      </c>
      <c r="BI51" s="166">
        <v>2E-16</v>
      </c>
      <c r="BJ51" s="81" t="s">
        <v>385</v>
      </c>
      <c r="BS51" s="81" t="s">
        <v>373</v>
      </c>
      <c r="BT51" s="81" t="s">
        <v>388</v>
      </c>
      <c r="BU51" s="166">
        <v>296</v>
      </c>
      <c r="BV51" s="166">
        <v>0.11899999999999999</v>
      </c>
      <c r="BW51" s="81">
        <v>2478.6</v>
      </c>
      <c r="BX51" s="81" t="s">
        <v>420</v>
      </c>
      <c r="BY51" s="166">
        <v>2E-16</v>
      </c>
      <c r="BZ51" s="81" t="s">
        <v>385</v>
      </c>
      <c r="CO51" s="243" t="s">
        <v>373</v>
      </c>
      <c r="CP51" s="243" t="s">
        <v>410</v>
      </c>
      <c r="CQ51" s="244">
        <v>-6.44</v>
      </c>
      <c r="CR51" s="244">
        <v>2.41E-2</v>
      </c>
      <c r="CS51" s="243">
        <v>-267.62</v>
      </c>
      <c r="CT51" s="243" t="s">
        <v>420</v>
      </c>
      <c r="CU51" s="244">
        <v>2E-16</v>
      </c>
      <c r="CV51" s="81" t="s">
        <v>385</v>
      </c>
      <c r="CW51" s="245" t="s">
        <v>460</v>
      </c>
      <c r="CX51" s="251" t="s">
        <v>489</v>
      </c>
      <c r="CY51" s="246" t="s">
        <v>318</v>
      </c>
      <c r="CZ51" s="247">
        <f t="shared" si="32"/>
        <v>0.124</v>
      </c>
      <c r="DA51" s="245" t="s">
        <v>317</v>
      </c>
      <c r="DC51" s="169" t="s">
        <v>460</v>
      </c>
      <c r="DD51" s="264" t="s">
        <v>489</v>
      </c>
      <c r="DE51" s="258" t="s">
        <v>318</v>
      </c>
      <c r="DF51" s="169">
        <f>$O$24*$Z$37*$AP$27</f>
        <v>0.3944663243240818</v>
      </c>
      <c r="DG51" s="169" t="s">
        <v>317</v>
      </c>
    </row>
    <row r="52" spans="1:111" thickTop="1" thickBot="1" x14ac:dyDescent="0.3">
      <c r="B52" s="268"/>
      <c r="C52" s="268">
        <f>(0.2+0.5*EXP(-C4/500))*1.5*C35</f>
        <v>183.57253475490054</v>
      </c>
      <c r="D52" s="268">
        <f>C52/C35</f>
        <v>0.4620772715731048</v>
      </c>
      <c r="X52" s="187"/>
      <c r="Y52" s="174" t="s">
        <v>121</v>
      </c>
      <c r="Z52" s="174">
        <v>0</v>
      </c>
      <c r="AA52" s="174"/>
      <c r="AB52" s="174"/>
      <c r="AC52" s="174"/>
      <c r="AD52" s="174"/>
      <c r="AE52" s="192"/>
      <c r="BC52" s="81" t="s">
        <v>373</v>
      </c>
      <c r="BD52" s="81" t="s">
        <v>390</v>
      </c>
      <c r="BE52" s="166">
        <v>0.01</v>
      </c>
      <c r="BF52" s="166">
        <v>1.0200000000000001E-3</v>
      </c>
      <c r="BG52" s="81">
        <v>9.8000000000000007</v>
      </c>
      <c r="BH52" s="81" t="s">
        <v>420</v>
      </c>
      <c r="BI52" s="166">
        <v>2E-16</v>
      </c>
      <c r="BJ52" s="81" t="s">
        <v>385</v>
      </c>
      <c r="BS52" s="81" t="s">
        <v>373</v>
      </c>
      <c r="BT52" s="81" t="s">
        <v>390</v>
      </c>
      <c r="BU52" s="166">
        <v>0.39200000000000002</v>
      </c>
      <c r="BV52" s="166">
        <v>3.8899999999999998E-3</v>
      </c>
      <c r="BW52" s="81">
        <v>100.85</v>
      </c>
      <c r="BX52" s="81" t="s">
        <v>420</v>
      </c>
      <c r="BY52" s="166">
        <v>2E-16</v>
      </c>
      <c r="BZ52" s="81" t="s">
        <v>385</v>
      </c>
      <c r="CO52" s="243" t="s">
        <v>373</v>
      </c>
      <c r="CP52" s="243" t="s">
        <v>411</v>
      </c>
      <c r="CQ52" s="244">
        <v>-6.32</v>
      </c>
      <c r="CR52" s="244">
        <v>1.7299999999999999E-2</v>
      </c>
      <c r="CS52" s="243">
        <v>-365.74</v>
      </c>
      <c r="CT52" s="243" t="s">
        <v>420</v>
      </c>
      <c r="CU52" s="244">
        <v>2E-16</v>
      </c>
      <c r="CV52" s="81" t="s">
        <v>385</v>
      </c>
      <c r="CW52" s="245" t="s">
        <v>460</v>
      </c>
      <c r="CX52" s="251" t="s">
        <v>490</v>
      </c>
      <c r="CY52" s="246" t="s">
        <v>318</v>
      </c>
      <c r="CZ52" s="247">
        <f t="shared" si="32"/>
        <v>1.1799999999999999E-6</v>
      </c>
      <c r="DA52" s="245" t="s">
        <v>317</v>
      </c>
      <c r="DC52" s="169" t="s">
        <v>460</v>
      </c>
      <c r="DD52" s="264" t="s">
        <v>490</v>
      </c>
      <c r="DE52" s="258" t="s">
        <v>318</v>
      </c>
      <c r="DF52" s="169">
        <f>$O$22*$Z$37*$AP$28</f>
        <v>7.0878494763627953E-2</v>
      </c>
      <c r="DG52" s="169" t="s">
        <v>317</v>
      </c>
    </row>
    <row r="53" spans="1:111" thickTop="1" thickBot="1" x14ac:dyDescent="0.3">
      <c r="BC53" s="81" t="s">
        <v>373</v>
      </c>
      <c r="BD53" s="81" t="s">
        <v>391</v>
      </c>
      <c r="BE53" s="166">
        <v>1.0200000000000001E-2</v>
      </c>
      <c r="BF53" s="166">
        <v>1.07E-3</v>
      </c>
      <c r="BG53" s="81">
        <v>9.57</v>
      </c>
      <c r="BH53" s="81" t="s">
        <v>420</v>
      </c>
      <c r="BI53" s="166">
        <v>2E-16</v>
      </c>
      <c r="BJ53" s="81" t="s">
        <v>385</v>
      </c>
      <c r="BS53" s="81" t="s">
        <v>373</v>
      </c>
      <c r="BT53" s="81" t="s">
        <v>391</v>
      </c>
      <c r="BU53" s="166">
        <v>0.155</v>
      </c>
      <c r="BV53" s="166">
        <v>1.1800000000000001E-3</v>
      </c>
      <c r="BW53" s="81">
        <v>131.32</v>
      </c>
      <c r="BX53" s="81" t="s">
        <v>420</v>
      </c>
      <c r="BY53" s="166">
        <v>2E-16</v>
      </c>
      <c r="BZ53" s="81" t="s">
        <v>385</v>
      </c>
      <c r="CO53" s="243" t="s">
        <v>373</v>
      </c>
      <c r="CP53" s="243" t="s">
        <v>412</v>
      </c>
      <c r="CQ53" s="244">
        <v>-5.35</v>
      </c>
      <c r="CR53" s="244">
        <v>3.04E-2</v>
      </c>
      <c r="CS53" s="243">
        <v>-175.91</v>
      </c>
      <c r="CT53" s="243" t="s">
        <v>420</v>
      </c>
      <c r="CU53" s="244">
        <v>2E-16</v>
      </c>
      <c r="CV53" s="81" t="s">
        <v>385</v>
      </c>
      <c r="CW53" s="245" t="s">
        <v>460</v>
      </c>
      <c r="CX53" s="251" t="s">
        <v>491</v>
      </c>
      <c r="CY53" s="246" t="s">
        <v>318</v>
      </c>
      <c r="CZ53" s="247">
        <f t="shared" si="32"/>
        <v>2.1999999999999998E-8</v>
      </c>
      <c r="DA53" s="245" t="s">
        <v>317</v>
      </c>
      <c r="DC53" s="169" t="s">
        <v>460</v>
      </c>
      <c r="DD53" s="264" t="s">
        <v>491</v>
      </c>
      <c r="DE53" s="258" t="s">
        <v>318</v>
      </c>
      <c r="DF53" s="169">
        <f>$O$21*$Z$37*$AP$28</f>
        <v>8.2310510048084068E-2</v>
      </c>
      <c r="DG53" s="169" t="s">
        <v>317</v>
      </c>
    </row>
    <row r="54" spans="1:111" thickTop="1" thickBot="1" x14ac:dyDescent="0.3">
      <c r="AO54" s="169" t="s">
        <v>371</v>
      </c>
      <c r="AP54" s="169">
        <f>SUM(AP42,AP4:AP7)</f>
        <v>1</v>
      </c>
      <c r="AQ54" s="169"/>
      <c r="BC54" s="81" t="s">
        <v>373</v>
      </c>
      <c r="BD54" s="81" t="s">
        <v>392</v>
      </c>
      <c r="BE54" s="166">
        <v>0.69799999999999995</v>
      </c>
      <c r="BF54" s="166">
        <v>0.156</v>
      </c>
      <c r="BG54" s="81">
        <v>4.47</v>
      </c>
      <c r="BH54" s="166">
        <v>8.1000000000000004E-6</v>
      </c>
      <c r="BI54" s="81" t="s">
        <v>385</v>
      </c>
      <c r="BJ54" s="81"/>
      <c r="BS54" s="81" t="s">
        <v>373</v>
      </c>
      <c r="BT54" s="81" t="s">
        <v>392</v>
      </c>
      <c r="BU54" s="166">
        <v>1.06E-7</v>
      </c>
      <c r="BV54" s="166">
        <v>9.1300000000000004E-8</v>
      </c>
      <c r="BW54" s="81">
        <v>1.1599999999999999</v>
      </c>
      <c r="BX54" s="166">
        <v>0.25</v>
      </c>
      <c r="BY54" s="81"/>
      <c r="BZ54" s="81"/>
      <c r="CO54" s="243" t="s">
        <v>373</v>
      </c>
      <c r="CP54" s="243" t="s">
        <v>413</v>
      </c>
      <c r="CQ54" s="244">
        <v>-6.21</v>
      </c>
      <c r="CR54" s="244">
        <v>1.78E-2</v>
      </c>
      <c r="CS54" s="243">
        <v>-348.6</v>
      </c>
      <c r="CT54" s="243" t="s">
        <v>420</v>
      </c>
      <c r="CU54" s="244">
        <v>2E-16</v>
      </c>
      <c r="CV54" s="81" t="s">
        <v>385</v>
      </c>
      <c r="CW54" s="245" t="s">
        <v>460</v>
      </c>
      <c r="CX54" s="251" t="s">
        <v>492</v>
      </c>
      <c r="CY54" s="246" t="s">
        <v>318</v>
      </c>
      <c r="CZ54" s="247">
        <f t="shared" si="32"/>
        <v>6.5100000000000005E-2</v>
      </c>
      <c r="DA54" s="245" t="s">
        <v>317</v>
      </c>
      <c r="DC54" s="169" t="s">
        <v>460</v>
      </c>
      <c r="DD54" s="264" t="s">
        <v>492</v>
      </c>
      <c r="DE54" s="258" t="s">
        <v>318</v>
      </c>
      <c r="DF54" s="169">
        <f>$O$23*$Z$37*$AP$28</f>
        <v>9.2980390980243105E-2</v>
      </c>
      <c r="DG54" s="169" t="s">
        <v>317</v>
      </c>
    </row>
    <row r="55" spans="1:111" thickTop="1" thickBot="1" x14ac:dyDescent="0.3">
      <c r="AO55" s="169" t="s">
        <v>371</v>
      </c>
      <c r="AP55" s="169">
        <f>SUM(AP43,AP26:AP28)</f>
        <v>1</v>
      </c>
      <c r="AQ55" s="169"/>
      <c r="BC55" s="81" t="s">
        <v>373</v>
      </c>
      <c r="BD55" s="81" t="s">
        <v>393</v>
      </c>
      <c r="BE55" s="166">
        <v>9.7500000000000003E-2</v>
      </c>
      <c r="BF55" s="166">
        <v>9.8200000000000006E-3</v>
      </c>
      <c r="BG55" s="81">
        <v>9.93</v>
      </c>
      <c r="BH55" s="81" t="s">
        <v>420</v>
      </c>
      <c r="BI55" s="166">
        <v>2E-16</v>
      </c>
      <c r="BJ55" s="81" t="s">
        <v>385</v>
      </c>
      <c r="BS55" s="81" t="s">
        <v>373</v>
      </c>
      <c r="BT55" s="81" t="s">
        <v>393</v>
      </c>
      <c r="BU55" s="166">
        <v>0.309</v>
      </c>
      <c r="BV55" s="166">
        <v>2.5600000000000002E-3</v>
      </c>
      <c r="BW55" s="81">
        <v>120.59</v>
      </c>
      <c r="BX55" s="81" t="s">
        <v>420</v>
      </c>
      <c r="BY55" s="166">
        <v>2E-16</v>
      </c>
      <c r="BZ55" s="81" t="s">
        <v>385</v>
      </c>
      <c r="CO55" s="243" t="s">
        <v>373</v>
      </c>
      <c r="CP55" s="243" t="s">
        <v>414</v>
      </c>
      <c r="CQ55" s="244">
        <v>7.6999999999999996E-4</v>
      </c>
      <c r="CR55" s="244">
        <v>1.0699999999999999E-5</v>
      </c>
      <c r="CS55" s="243">
        <v>72.040000000000006</v>
      </c>
      <c r="CT55" s="243" t="s">
        <v>420</v>
      </c>
      <c r="CU55" s="244">
        <v>2E-16</v>
      </c>
      <c r="CV55" s="81" t="s">
        <v>385</v>
      </c>
      <c r="CW55" s="245" t="s">
        <v>460</v>
      </c>
      <c r="CX55" s="251" t="s">
        <v>493</v>
      </c>
      <c r="CY55" s="246" t="s">
        <v>318</v>
      </c>
      <c r="CZ55" s="247">
        <f t="shared" si="32"/>
        <v>0.29899999999999999</v>
      </c>
      <c r="DA55" s="245" t="s">
        <v>317</v>
      </c>
      <c r="DC55" s="169" t="s">
        <v>460</v>
      </c>
      <c r="DD55" s="264" t="s">
        <v>493</v>
      </c>
      <c r="DE55" s="258" t="s">
        <v>318</v>
      </c>
      <c r="DF55" s="169">
        <f>$O$24*$Z$37*$AP$28</f>
        <v>6.7829957354439641E-2</v>
      </c>
      <c r="DG55" s="169" t="s">
        <v>317</v>
      </c>
    </row>
    <row r="56" spans="1:111" thickTop="1" thickBot="1" x14ac:dyDescent="0.3">
      <c r="AO56" s="169" t="s">
        <v>372</v>
      </c>
      <c r="AP56" s="169">
        <f>SUM(AP46,AP14:AP17)</f>
        <v>1.0000000000000002</v>
      </c>
      <c r="AQ56" s="169"/>
      <c r="BC56" s="81" t="s">
        <v>373</v>
      </c>
      <c r="BD56" s="81" t="s">
        <v>303</v>
      </c>
      <c r="BE56" s="166">
        <v>69800</v>
      </c>
      <c r="BF56" s="166">
        <v>108000</v>
      </c>
      <c r="BG56" s="81">
        <v>0.65</v>
      </c>
      <c r="BH56" s="81">
        <v>0.51685000000000003</v>
      </c>
      <c r="BI56" s="81"/>
      <c r="BJ56" s="81"/>
      <c r="BS56" s="81" t="s">
        <v>373</v>
      </c>
      <c r="BT56" s="81" t="s">
        <v>303</v>
      </c>
      <c r="BU56" s="166">
        <v>986000000</v>
      </c>
      <c r="BV56" s="166">
        <v>3920000</v>
      </c>
      <c r="BW56" s="81">
        <v>251.81</v>
      </c>
      <c r="BX56" s="81" t="s">
        <v>420</v>
      </c>
      <c r="BY56" s="166">
        <v>2E-16</v>
      </c>
      <c r="BZ56" s="81" t="s">
        <v>385</v>
      </c>
      <c r="CO56" s="243" t="s">
        <v>373</v>
      </c>
      <c r="CP56" s="243" t="s">
        <v>415</v>
      </c>
      <c r="CQ56" s="244">
        <v>102</v>
      </c>
      <c r="CR56" s="244">
        <v>1.1200000000000001</v>
      </c>
      <c r="CS56" s="243">
        <v>91.01</v>
      </c>
      <c r="CT56" s="243" t="s">
        <v>420</v>
      </c>
      <c r="CU56" s="244">
        <v>2E-16</v>
      </c>
      <c r="CV56" s="81" t="s">
        <v>385</v>
      </c>
      <c r="CW56" s="245" t="s">
        <v>460</v>
      </c>
      <c r="CX56" s="251" t="s">
        <v>494</v>
      </c>
      <c r="CY56" s="246" t="s">
        <v>318</v>
      </c>
      <c r="CZ56" s="247">
        <f t="shared" si="32"/>
        <v>0.97099999999999997</v>
      </c>
      <c r="DA56" s="245" t="s">
        <v>317</v>
      </c>
      <c r="DC56" s="169" t="s">
        <v>460</v>
      </c>
      <c r="DD56" s="264" t="s">
        <v>494</v>
      </c>
      <c r="DE56" s="258" t="s">
        <v>318</v>
      </c>
      <c r="DF56" s="169">
        <f>$O$22*$Z$37*$AP$43</f>
        <v>0.82978302526674452</v>
      </c>
      <c r="DG56" s="169" t="s">
        <v>317</v>
      </c>
    </row>
    <row r="57" spans="1:111" thickTop="1" thickBot="1" x14ac:dyDescent="0.3">
      <c r="A57" s="271" t="s">
        <v>518</v>
      </c>
      <c r="B57" s="271"/>
      <c r="C57" s="269"/>
      <c r="D57" s="269"/>
      <c r="E57" s="269"/>
      <c r="AD57" s="172">
        <f>1/(0.04/0.18)</f>
        <v>4.5</v>
      </c>
      <c r="AO57" s="169" t="s">
        <v>372</v>
      </c>
      <c r="AP57" s="169">
        <f>SUM(AP47,AP33:AP35)</f>
        <v>1</v>
      </c>
      <c r="AQ57" s="169"/>
      <c r="BC57" s="81" t="s">
        <v>373</v>
      </c>
      <c r="BD57" s="81" t="s">
        <v>395</v>
      </c>
      <c r="BE57" s="166">
        <v>3800000</v>
      </c>
      <c r="BF57" s="166">
        <v>1390000</v>
      </c>
      <c r="BG57" s="81">
        <v>2.72</v>
      </c>
      <c r="BH57" s="81">
        <v>6.4799999999999996E-3</v>
      </c>
      <c r="BI57" s="81" t="s">
        <v>398</v>
      </c>
      <c r="BJ57" s="81"/>
      <c r="BS57" s="81" t="s">
        <v>373</v>
      </c>
      <c r="BT57" s="81" t="s">
        <v>395</v>
      </c>
      <c r="BU57" s="166">
        <v>1010000</v>
      </c>
      <c r="BV57" s="166">
        <v>13600</v>
      </c>
      <c r="BW57" s="81">
        <v>73.87</v>
      </c>
      <c r="BX57" s="81" t="s">
        <v>420</v>
      </c>
      <c r="BY57" s="166">
        <v>2E-16</v>
      </c>
      <c r="BZ57" s="81" t="s">
        <v>385</v>
      </c>
      <c r="CK57" s="81">
        <f>0.75*0.87*28.8</f>
        <v>18.791999999999998</v>
      </c>
      <c r="CO57" s="243" t="s">
        <v>373</v>
      </c>
      <c r="CP57" s="243" t="s">
        <v>416</v>
      </c>
      <c r="CQ57" s="244">
        <v>9980</v>
      </c>
      <c r="CR57" s="244">
        <v>87.5</v>
      </c>
      <c r="CS57" s="243">
        <v>114.02</v>
      </c>
      <c r="CT57" s="243" t="s">
        <v>420</v>
      </c>
      <c r="CU57" s="244">
        <v>2E-16</v>
      </c>
      <c r="CV57" s="81" t="s">
        <v>385</v>
      </c>
      <c r="CW57" s="245" t="s">
        <v>460</v>
      </c>
      <c r="CX57" s="251" t="s">
        <v>495</v>
      </c>
      <c r="CY57" s="246" t="s">
        <v>318</v>
      </c>
      <c r="CZ57" s="247">
        <f t="shared" si="32"/>
        <v>1.1000000000000001E-6</v>
      </c>
      <c r="DA57" s="245" t="s">
        <v>317</v>
      </c>
      <c r="DC57" s="169" t="s">
        <v>460</v>
      </c>
      <c r="DD57" s="264" t="s">
        <v>495</v>
      </c>
      <c r="DE57" s="258" t="s">
        <v>318</v>
      </c>
      <c r="DF57" s="169">
        <f>$O$21*$Z$37*$AP$43</f>
        <v>0.96361899708396137</v>
      </c>
      <c r="DG57" s="169" t="s">
        <v>317</v>
      </c>
    </row>
    <row r="58" spans="1:111" thickTop="1" thickBot="1" x14ac:dyDescent="0.3">
      <c r="A58" s="270" t="s">
        <v>122</v>
      </c>
      <c r="B58" s="273">
        <f>C4*1008*1.204*5</f>
        <v>4648210.5599999996</v>
      </c>
      <c r="C58" s="273">
        <f>C34*1008*1.204*5</f>
        <v>2237471.9649032257</v>
      </c>
      <c r="D58" s="273">
        <f>B58-C58</f>
        <v>2410738.5950967739</v>
      </c>
      <c r="E58" s="269"/>
      <c r="BC58" s="81" t="s">
        <v>373</v>
      </c>
      <c r="BD58" s="81" t="s">
        <v>296</v>
      </c>
      <c r="BE58" s="166">
        <v>78400000</v>
      </c>
      <c r="BF58" s="166">
        <v>49600000</v>
      </c>
      <c r="BG58" s="81">
        <v>1.58</v>
      </c>
      <c r="BH58" s="81">
        <v>0.11389000000000001</v>
      </c>
      <c r="BI58" s="81"/>
      <c r="BJ58" s="81"/>
      <c r="BS58" s="81" t="s">
        <v>373</v>
      </c>
      <c r="BT58" s="81" t="s">
        <v>296</v>
      </c>
      <c r="BU58" s="166">
        <v>36900000</v>
      </c>
      <c r="BV58" s="166">
        <v>2550000</v>
      </c>
      <c r="BW58" s="81">
        <v>14.46</v>
      </c>
      <c r="BX58" s="81" t="s">
        <v>420</v>
      </c>
      <c r="BY58" s="166">
        <v>2E-16</v>
      </c>
      <c r="BZ58" s="81" t="s">
        <v>385</v>
      </c>
      <c r="CO58" s="243" t="s">
        <v>373</v>
      </c>
      <c r="CP58" s="243" t="s">
        <v>417</v>
      </c>
      <c r="CQ58" s="244">
        <v>1.09E-2</v>
      </c>
      <c r="CR58" s="244">
        <v>4.7099999999999998E-3</v>
      </c>
      <c r="CS58" s="243">
        <v>2.31</v>
      </c>
      <c r="CT58" s="243">
        <v>2.1000000000000001E-2</v>
      </c>
      <c r="CU58" s="244" t="s">
        <v>418</v>
      </c>
      <c r="CV58" s="81"/>
      <c r="CW58" s="245" t="s">
        <v>460</v>
      </c>
      <c r="CX58" s="251" t="s">
        <v>496</v>
      </c>
      <c r="CY58" s="246" t="s">
        <v>318</v>
      </c>
      <c r="CZ58" s="247">
        <f t="shared" si="32"/>
        <v>0.98699999999999999</v>
      </c>
      <c r="DA58" s="245" t="s">
        <v>317</v>
      </c>
      <c r="DC58" s="169" t="s">
        <v>460</v>
      </c>
      <c r="DD58" s="264" t="s">
        <v>496</v>
      </c>
      <c r="DE58" s="258" t="s">
        <v>318</v>
      </c>
      <c r="DF58" s="169">
        <f>$O$23*$Z$37*$AP$43</f>
        <v>1.0885325707800304</v>
      </c>
      <c r="DG58" s="169" t="s">
        <v>317</v>
      </c>
    </row>
    <row r="59" spans="1:111" thickTop="1" thickBot="1" x14ac:dyDescent="0.3">
      <c r="A59" s="270" t="s">
        <v>152</v>
      </c>
      <c r="B59" s="272">
        <f>'Tabula data'!B21</f>
        <v>1.2783711615487316</v>
      </c>
      <c r="C59" s="272">
        <f>B59</f>
        <v>1.2783711615487316</v>
      </c>
      <c r="D59" s="272">
        <f>B59</f>
        <v>1.2783711615487316</v>
      </c>
      <c r="E59" s="269"/>
      <c r="BC59" s="81" t="s">
        <v>373</v>
      </c>
      <c r="BD59" s="81" t="s">
        <v>298</v>
      </c>
      <c r="BE59" s="166">
        <v>12500000</v>
      </c>
      <c r="BF59" s="166">
        <v>17900000</v>
      </c>
      <c r="BG59" s="81">
        <v>0.7</v>
      </c>
      <c r="BH59" s="81">
        <v>0.48460999999999999</v>
      </c>
      <c r="BI59" s="81"/>
      <c r="BJ59" s="81"/>
      <c r="BS59" s="81" t="s">
        <v>373</v>
      </c>
      <c r="BT59" s="81" t="s">
        <v>298</v>
      </c>
      <c r="BU59" s="166">
        <v>46000000</v>
      </c>
      <c r="BV59" s="166">
        <v>7560000</v>
      </c>
      <c r="BW59" s="81">
        <v>6.09</v>
      </c>
      <c r="BX59" s="166">
        <v>1.2E-9</v>
      </c>
      <c r="BY59" s="81" t="s">
        <v>385</v>
      </c>
      <c r="BZ59" s="81"/>
      <c r="CW59" s="245" t="s">
        <v>460</v>
      </c>
      <c r="CX59" s="251" t="s">
        <v>497</v>
      </c>
      <c r="CY59" s="246" t="s">
        <v>318</v>
      </c>
      <c r="CZ59" s="247">
        <f t="shared" si="32"/>
        <v>1.37E-2</v>
      </c>
      <c r="DA59" s="245" t="s">
        <v>317</v>
      </c>
      <c r="DC59" s="169" t="s">
        <v>460</v>
      </c>
      <c r="DD59" s="264" t="s">
        <v>497</v>
      </c>
      <c r="DE59" s="258" t="s">
        <v>318</v>
      </c>
      <c r="DF59" s="169">
        <f>$O$24*$Z$37*$AP$43</f>
        <v>0.79409343278215327</v>
      </c>
      <c r="DG59" s="169" t="s">
        <v>317</v>
      </c>
    </row>
    <row r="60" spans="1:111" thickTop="1" thickBot="1" x14ac:dyDescent="0.3">
      <c r="A60" s="270" t="s">
        <v>519</v>
      </c>
      <c r="B60" s="273">
        <f>SUM(S6:S28)</f>
        <v>225025130.00000003</v>
      </c>
      <c r="C60" s="273">
        <f>SUM(S6:S14,S16,S26/2,S27)</f>
        <v>186930963.42400002</v>
      </c>
      <c r="D60" s="273">
        <f>SUM(S17:S25,S26/2,S28)</f>
        <v>38094166.576000005</v>
      </c>
      <c r="E60" s="269"/>
      <c r="BC60" s="81" t="s">
        <v>373</v>
      </c>
      <c r="BD60" s="81" t="s">
        <v>396</v>
      </c>
      <c r="BE60" s="166">
        <v>-13.2</v>
      </c>
      <c r="BF60" s="166">
        <v>3.9</v>
      </c>
      <c r="BG60" s="81">
        <v>-3.38</v>
      </c>
      <c r="BH60" s="81">
        <v>7.3999999999999999E-4</v>
      </c>
      <c r="BI60" s="81" t="s">
        <v>385</v>
      </c>
      <c r="BJ60" s="81"/>
      <c r="BS60" s="81" t="s">
        <v>373</v>
      </c>
      <c r="BT60" s="81" t="s">
        <v>396</v>
      </c>
      <c r="BU60" s="166">
        <v>-32.4</v>
      </c>
      <c r="BV60" s="166">
        <v>1.84</v>
      </c>
      <c r="BW60" s="81">
        <v>-17.57</v>
      </c>
      <c r="BX60" s="81" t="s">
        <v>420</v>
      </c>
      <c r="BY60" s="166">
        <v>2E-16</v>
      </c>
      <c r="BZ60" s="81" t="s">
        <v>385</v>
      </c>
      <c r="CX60" s="251"/>
      <c r="CY60" s="246"/>
      <c r="CZ60" s="247"/>
      <c r="DC60" s="169"/>
      <c r="DD60" s="264"/>
      <c r="DE60" s="258"/>
      <c r="DF60" s="169"/>
      <c r="DG60" s="169"/>
    </row>
    <row r="61" spans="1:111" thickTop="1" thickBot="1" x14ac:dyDescent="0.3">
      <c r="A61" s="270" t="s">
        <v>520</v>
      </c>
      <c r="B61" s="270">
        <f>Z18</f>
        <v>0.25</v>
      </c>
      <c r="C61" s="270">
        <f>B61</f>
        <v>0.25</v>
      </c>
      <c r="D61" s="270">
        <f>C61</f>
        <v>0.25</v>
      </c>
      <c r="E61" s="269"/>
      <c r="BC61" s="81" t="s">
        <v>373</v>
      </c>
      <c r="BD61" s="81" t="s">
        <v>397</v>
      </c>
      <c r="BE61" s="166">
        <v>-1</v>
      </c>
      <c r="BF61" s="166">
        <v>0.91300000000000003</v>
      </c>
      <c r="BG61" s="81">
        <v>-1.1000000000000001</v>
      </c>
      <c r="BH61" s="81">
        <v>0.27290999999999999</v>
      </c>
      <c r="BI61" s="81"/>
      <c r="BJ61" s="81"/>
      <c r="BS61" s="81" t="s">
        <v>373</v>
      </c>
      <c r="BT61" s="81" t="s">
        <v>397</v>
      </c>
      <c r="BU61" s="166">
        <v>-31.2</v>
      </c>
      <c r="BV61" s="166">
        <v>2.09</v>
      </c>
      <c r="BW61" s="81">
        <v>-14.94</v>
      </c>
      <c r="BX61" s="81" t="s">
        <v>420</v>
      </c>
      <c r="BY61" s="166">
        <v>2E-16</v>
      </c>
      <c r="BZ61" s="81" t="s">
        <v>385</v>
      </c>
      <c r="CO61" s="243" t="s">
        <v>373</v>
      </c>
      <c r="CP61" s="243" t="s">
        <v>374</v>
      </c>
      <c r="CQ61" s="243" t="s">
        <v>458</v>
      </c>
      <c r="CV61" s="81"/>
      <c r="CW61" s="245" t="s">
        <v>460</v>
      </c>
      <c r="CX61" s="251" t="s">
        <v>339</v>
      </c>
      <c r="CY61" s="246" t="s">
        <v>318</v>
      </c>
      <c r="CZ61" s="247">
        <f>CQ85</f>
        <v>2530000</v>
      </c>
      <c r="DA61" s="245" t="s">
        <v>317</v>
      </c>
      <c r="DC61" s="169" t="s">
        <v>460</v>
      </c>
      <c r="DD61" s="264" t="s">
        <v>339</v>
      </c>
      <c r="DE61" s="258" t="s">
        <v>318</v>
      </c>
      <c r="DF61" s="262">
        <f>AP30</f>
        <v>2090628.9192831542</v>
      </c>
      <c r="DG61" s="169" t="s">
        <v>317</v>
      </c>
    </row>
    <row r="62" spans="1:111" thickTop="1" thickBot="1" x14ac:dyDescent="0.3">
      <c r="A62" s="270" t="s">
        <v>521</v>
      </c>
      <c r="B62" s="270">
        <f>0.15</f>
        <v>0.15</v>
      </c>
      <c r="C62" s="270">
        <f>B62</f>
        <v>0.15</v>
      </c>
      <c r="D62" s="270">
        <f>C62</f>
        <v>0.15</v>
      </c>
      <c r="E62" s="269"/>
      <c r="BC62" s="81" t="s">
        <v>373</v>
      </c>
      <c r="BD62" s="81" t="s">
        <v>399</v>
      </c>
      <c r="BE62" s="166">
        <v>-1.02</v>
      </c>
      <c r="BF62" s="166">
        <v>0.91400000000000003</v>
      </c>
      <c r="BG62" s="81">
        <v>-1.1100000000000001</v>
      </c>
      <c r="BH62" s="81">
        <v>0.26651000000000002</v>
      </c>
      <c r="BI62" s="81"/>
      <c r="BJ62" s="81"/>
      <c r="BS62" s="81" t="s">
        <v>373</v>
      </c>
      <c r="BT62" s="81" t="s">
        <v>399</v>
      </c>
      <c r="BU62" s="166">
        <v>-12.9</v>
      </c>
      <c r="BV62" s="166">
        <v>0.74399999999999999</v>
      </c>
      <c r="BW62" s="81">
        <v>-17.36</v>
      </c>
      <c r="BX62" s="81" t="s">
        <v>420</v>
      </c>
      <c r="BY62" s="166">
        <v>2E-16</v>
      </c>
      <c r="BZ62" s="81" t="s">
        <v>385</v>
      </c>
      <c r="CO62" s="243" t="s">
        <v>373</v>
      </c>
      <c r="CP62" s="243" t="s">
        <v>376</v>
      </c>
      <c r="CV62" s="81"/>
      <c r="CW62" s="245" t="s">
        <v>460</v>
      </c>
      <c r="CX62" s="251" t="s">
        <v>340</v>
      </c>
      <c r="CY62" s="246" t="s">
        <v>318</v>
      </c>
      <c r="CZ62" s="247">
        <f t="shared" ref="CZ62:CZ63" si="34">CQ86</f>
        <v>18500000</v>
      </c>
      <c r="DA62" s="245" t="s">
        <v>317</v>
      </c>
      <c r="DC62" s="169" t="s">
        <v>460</v>
      </c>
      <c r="DD62" s="264" t="s">
        <v>340</v>
      </c>
      <c r="DE62" s="258" t="s">
        <v>318</v>
      </c>
      <c r="DF62" s="262">
        <f>AP31</f>
        <v>21240578.712000005</v>
      </c>
      <c r="DG62" s="169" t="s">
        <v>317</v>
      </c>
    </row>
    <row r="63" spans="1:111" thickTop="1" thickBot="1" x14ac:dyDescent="0.3">
      <c r="A63" s="270" t="s">
        <v>522</v>
      </c>
      <c r="B63" s="270">
        <v>1</v>
      </c>
      <c r="C63" s="270">
        <v>1</v>
      </c>
      <c r="D63" s="270">
        <v>1</v>
      </c>
      <c r="E63" s="269"/>
      <c r="BC63" s="81" t="s">
        <v>373</v>
      </c>
      <c r="BD63" s="81" t="s">
        <v>400</v>
      </c>
      <c r="BE63" s="166">
        <v>-1</v>
      </c>
      <c r="BF63" s="166">
        <v>0.91300000000000003</v>
      </c>
      <c r="BG63" s="81">
        <v>-1.0900000000000001</v>
      </c>
      <c r="BH63" s="81">
        <v>0.27359</v>
      </c>
      <c r="BI63" s="81"/>
      <c r="BJ63" s="81"/>
      <c r="BS63" s="81" t="s">
        <v>373</v>
      </c>
      <c r="BT63" s="81" t="s">
        <v>400</v>
      </c>
      <c r="BU63" s="166">
        <v>-13.6</v>
      </c>
      <c r="BV63" s="166">
        <v>1.23</v>
      </c>
      <c r="BW63" s="81">
        <v>-11.03</v>
      </c>
      <c r="BX63" s="81" t="s">
        <v>420</v>
      </c>
      <c r="BY63" s="166">
        <v>2E-16</v>
      </c>
      <c r="BZ63" s="81" t="s">
        <v>385</v>
      </c>
      <c r="CO63" s="243" t="s">
        <v>373</v>
      </c>
      <c r="CP63" s="243" t="s">
        <v>377</v>
      </c>
      <c r="CQ63" s="243" t="s">
        <v>378</v>
      </c>
      <c r="CR63" s="243" t="s">
        <v>379</v>
      </c>
      <c r="CS63" s="243" t="s">
        <v>380</v>
      </c>
      <c r="CT63" s="243" t="s">
        <v>381</v>
      </c>
      <c r="CU63" s="243" t="s">
        <v>382</v>
      </c>
      <c r="CV63" s="81"/>
      <c r="CW63" s="245" t="s">
        <v>460</v>
      </c>
      <c r="CX63" s="251" t="s">
        <v>341</v>
      </c>
      <c r="CY63" s="246" t="s">
        <v>318</v>
      </c>
      <c r="CZ63" s="247">
        <f t="shared" si="34"/>
        <v>3010000</v>
      </c>
      <c r="DA63" s="245" t="s">
        <v>317</v>
      </c>
      <c r="DC63" s="169" t="s">
        <v>460</v>
      </c>
      <c r="DD63" s="264" t="s">
        <v>341</v>
      </c>
      <c r="DE63" s="258" t="s">
        <v>318</v>
      </c>
      <c r="DF63" s="262">
        <f>AP32</f>
        <v>5403923.364000001</v>
      </c>
      <c r="DG63" s="169" t="s">
        <v>317</v>
      </c>
    </row>
    <row r="64" spans="1:111" thickTop="1" thickBot="1" x14ac:dyDescent="0.3">
      <c r="A64" s="270" t="s">
        <v>523</v>
      </c>
      <c r="B64" s="272">
        <f>C64+D64</f>
        <v>1316.2969308405704</v>
      </c>
      <c r="C64" s="272">
        <f>'Verwarming Tabula 2zone'!B42+'Verwarming Tabula 2zone'!B60</f>
        <v>809.95480728612506</v>
      </c>
      <c r="D64" s="272">
        <f>'Verwarming Tabula 2zone'!B121+'Verwarming Tabula 2zone'!B139</f>
        <v>506.34212355444527</v>
      </c>
      <c r="E64" s="269"/>
      <c r="BC64" s="81" t="s">
        <v>373</v>
      </c>
      <c r="BD64" s="81" t="s">
        <v>402</v>
      </c>
      <c r="BE64" s="166">
        <v>1.6E-2</v>
      </c>
      <c r="BF64" s="166">
        <v>6.1700000000000001E-3</v>
      </c>
      <c r="BG64" s="81">
        <v>2.6</v>
      </c>
      <c r="BH64" s="81">
        <v>9.41E-3</v>
      </c>
      <c r="BI64" s="81" t="s">
        <v>398</v>
      </c>
      <c r="BJ64" s="81"/>
      <c r="BS64" s="81" t="s">
        <v>373</v>
      </c>
      <c r="BT64" s="81" t="s">
        <v>402</v>
      </c>
      <c r="BU64" s="166">
        <v>0.16</v>
      </c>
      <c r="BV64" s="166">
        <v>4.84E-4</v>
      </c>
      <c r="BW64" s="81">
        <v>330.38</v>
      </c>
      <c r="BX64" s="81" t="s">
        <v>420</v>
      </c>
      <c r="BY64" s="166">
        <v>2E-16</v>
      </c>
      <c r="BZ64" s="81" t="s">
        <v>385</v>
      </c>
      <c r="CO64" s="243" t="s">
        <v>373</v>
      </c>
      <c r="CP64" s="243" t="s">
        <v>383</v>
      </c>
      <c r="CQ64" s="244">
        <v>293</v>
      </c>
      <c r="CR64" s="244">
        <v>6.6600000000000006E-2</v>
      </c>
      <c r="CS64" s="243">
        <v>4395.75</v>
      </c>
      <c r="CT64" s="243" t="s">
        <v>420</v>
      </c>
      <c r="CU64" s="244">
        <v>2E-16</v>
      </c>
      <c r="CV64" s="81" t="s">
        <v>385</v>
      </c>
      <c r="CY64" s="246"/>
      <c r="DC64" s="169"/>
      <c r="DD64" s="169"/>
      <c r="DE64" s="258"/>
      <c r="DF64" s="169"/>
      <c r="DG64" s="169"/>
    </row>
    <row r="65" spans="1:115" thickTop="1" thickBot="1" x14ac:dyDescent="0.3">
      <c r="A65" s="270" t="s">
        <v>524</v>
      </c>
      <c r="B65" s="273">
        <f>B64/B60</f>
        <v>5.8495552511871463E-6</v>
      </c>
      <c r="C65" s="273">
        <f t="shared" ref="C65:D65" si="35">C64/C60</f>
        <v>4.3329087511787525E-6</v>
      </c>
      <c r="D65" s="273">
        <f t="shared" si="35"/>
        <v>1.3291854608349661E-5</v>
      </c>
      <c r="E65" s="269"/>
      <c r="BC65" s="81" t="s">
        <v>373</v>
      </c>
      <c r="BD65" s="81" t="s">
        <v>403</v>
      </c>
      <c r="BE65" s="166">
        <v>4.2999999999999997E-2</v>
      </c>
      <c r="BF65" s="166">
        <v>6.2700000000000006E-2</v>
      </c>
      <c r="BG65" s="81">
        <v>0.69</v>
      </c>
      <c r="BH65" s="81">
        <v>0.49241000000000001</v>
      </c>
      <c r="BI65" s="81"/>
      <c r="BJ65" s="81"/>
      <c r="BS65" s="81" t="s">
        <v>373</v>
      </c>
      <c r="BT65" s="81" t="s">
        <v>403</v>
      </c>
      <c r="BU65" s="166">
        <v>5.7200000000000001E-2</v>
      </c>
      <c r="BV65" s="166">
        <v>1.3899999999999999E-4</v>
      </c>
      <c r="BW65" s="81">
        <v>412.4</v>
      </c>
      <c r="BX65" s="81" t="s">
        <v>420</v>
      </c>
      <c r="BY65" s="166">
        <v>2E-16</v>
      </c>
      <c r="BZ65" s="81" t="s">
        <v>385</v>
      </c>
      <c r="CO65" s="243" t="s">
        <v>373</v>
      </c>
      <c r="CP65" s="243" t="s">
        <v>386</v>
      </c>
      <c r="CQ65" s="244">
        <v>285</v>
      </c>
      <c r="CR65" s="244">
        <v>0.11899999999999999</v>
      </c>
      <c r="CS65" s="243">
        <v>2391.5</v>
      </c>
      <c r="CT65" s="243" t="s">
        <v>420</v>
      </c>
      <c r="CU65" s="244">
        <v>2E-16</v>
      </c>
      <c r="CV65" s="81" t="s">
        <v>385</v>
      </c>
      <c r="CW65" s="245" t="s">
        <v>460</v>
      </c>
      <c r="CX65" s="251" t="s">
        <v>342</v>
      </c>
      <c r="CY65" s="246" t="s">
        <v>318</v>
      </c>
      <c r="CZ65" s="247">
        <f>CQ92</f>
        <v>0.14099999999999999</v>
      </c>
      <c r="DA65" s="245" t="s">
        <v>317</v>
      </c>
      <c r="DC65" s="169" t="s">
        <v>460</v>
      </c>
      <c r="DD65" s="264" t="s">
        <v>342</v>
      </c>
      <c r="DE65" s="258" t="s">
        <v>318</v>
      </c>
      <c r="DF65" s="169">
        <f>AP33</f>
        <v>9.1825759657266817E-2</v>
      </c>
      <c r="DG65" s="169" t="s">
        <v>317</v>
      </c>
    </row>
    <row r="66" spans="1:115" thickTop="1" thickBot="1" x14ac:dyDescent="0.3">
      <c r="A66" s="270" t="s">
        <v>525</v>
      </c>
      <c r="B66" s="270">
        <f>1</f>
        <v>1</v>
      </c>
      <c r="C66" s="270">
        <v>1</v>
      </c>
      <c r="D66" s="270">
        <v>1</v>
      </c>
      <c r="E66" s="269"/>
      <c r="BC66" s="81" t="s">
        <v>373</v>
      </c>
      <c r="BD66" s="81" t="s">
        <v>404</v>
      </c>
      <c r="BE66" s="166">
        <v>0.73</v>
      </c>
      <c r="BF66" s="166">
        <v>3.09E-2</v>
      </c>
      <c r="BG66" s="81">
        <v>23.6</v>
      </c>
      <c r="BH66" s="81" t="s">
        <v>420</v>
      </c>
      <c r="BI66" s="166">
        <v>2E-16</v>
      </c>
      <c r="BJ66" s="81" t="s">
        <v>385</v>
      </c>
      <c r="BS66" s="81" t="s">
        <v>373</v>
      </c>
      <c r="BT66" s="81" t="s">
        <v>404</v>
      </c>
      <c r="BU66" s="166">
        <v>0.38300000000000001</v>
      </c>
      <c r="BV66" s="166">
        <v>1.07E-3</v>
      </c>
      <c r="BW66" s="81">
        <v>359.26</v>
      </c>
      <c r="BX66" s="81" t="s">
        <v>420</v>
      </c>
      <c r="BY66" s="166">
        <v>2E-16</v>
      </c>
      <c r="BZ66" s="81" t="s">
        <v>385</v>
      </c>
      <c r="CO66" s="243" t="s">
        <v>373</v>
      </c>
      <c r="CP66" s="243" t="s">
        <v>387</v>
      </c>
      <c r="CQ66" s="244">
        <v>293</v>
      </c>
      <c r="CR66" s="244">
        <v>0.10100000000000001</v>
      </c>
      <c r="CS66" s="243">
        <v>2915.11</v>
      </c>
      <c r="CT66" s="243" t="s">
        <v>420</v>
      </c>
      <c r="CU66" s="244">
        <v>2E-16</v>
      </c>
      <c r="CV66" s="81" t="s">
        <v>385</v>
      </c>
      <c r="CW66" s="245" t="s">
        <v>460</v>
      </c>
      <c r="CX66" s="251" t="s">
        <v>343</v>
      </c>
      <c r="CY66" s="246" t="s">
        <v>318</v>
      </c>
      <c r="CZ66" s="247">
        <f t="shared" ref="CZ66:CZ68" si="36">CQ93</f>
        <v>4.7899999999999998E-2</v>
      </c>
      <c r="DA66" s="245" t="s">
        <v>317</v>
      </c>
      <c r="DC66" s="169" t="s">
        <v>460</v>
      </c>
      <c r="DD66" s="264" t="s">
        <v>343</v>
      </c>
      <c r="DE66" s="258" t="s">
        <v>318</v>
      </c>
      <c r="DF66" s="169">
        <f>AP34</f>
        <v>3.3963263534726576E-2</v>
      </c>
      <c r="DG66" s="169" t="s">
        <v>317</v>
      </c>
    </row>
    <row r="67" spans="1:115" thickTop="1" thickBot="1" x14ac:dyDescent="0.3">
      <c r="A67" s="270"/>
      <c r="B67" s="270"/>
      <c r="C67" s="270"/>
      <c r="D67" s="270"/>
      <c r="E67" s="269"/>
      <c r="BC67" s="81" t="s">
        <v>373</v>
      </c>
      <c r="BD67" s="81" t="s">
        <v>405</v>
      </c>
      <c r="BE67" s="166">
        <v>0.184</v>
      </c>
      <c r="BF67" s="166">
        <v>5.0500000000000003E-2</v>
      </c>
      <c r="BG67" s="81">
        <v>3.64</v>
      </c>
      <c r="BH67" s="81">
        <v>2.7E-4</v>
      </c>
      <c r="BI67" s="81" t="s">
        <v>385</v>
      </c>
      <c r="BJ67" s="81"/>
      <c r="BS67" s="81" t="s">
        <v>373</v>
      </c>
      <c r="BT67" s="81" t="s">
        <v>405</v>
      </c>
      <c r="BU67" s="166">
        <v>0.121</v>
      </c>
      <c r="BV67" s="166">
        <v>2.8499999999999999E-4</v>
      </c>
      <c r="BW67" s="81">
        <v>425.28</v>
      </c>
      <c r="BX67" s="81" t="s">
        <v>420</v>
      </c>
      <c r="BY67" s="166">
        <v>2E-16</v>
      </c>
      <c r="BZ67" s="81" t="s">
        <v>385</v>
      </c>
      <c r="CO67" s="243" t="s">
        <v>373</v>
      </c>
      <c r="CP67" s="243" t="s">
        <v>388</v>
      </c>
      <c r="CQ67" s="244">
        <v>297</v>
      </c>
      <c r="CR67" s="244">
        <v>0.158</v>
      </c>
      <c r="CS67" s="243">
        <v>1873.79</v>
      </c>
      <c r="CT67" s="243" t="s">
        <v>420</v>
      </c>
      <c r="CU67" s="244">
        <v>2E-16</v>
      </c>
      <c r="CV67" s="81" t="s">
        <v>385</v>
      </c>
      <c r="CW67" s="245" t="s">
        <v>460</v>
      </c>
      <c r="CX67" s="251" t="s">
        <v>345</v>
      </c>
      <c r="CY67" s="246" t="s">
        <v>318</v>
      </c>
      <c r="CZ67" s="247">
        <f t="shared" si="36"/>
        <v>0.66400000000000003</v>
      </c>
      <c r="DA67" s="245" t="s">
        <v>317</v>
      </c>
      <c r="DC67" s="169" t="s">
        <v>460</v>
      </c>
      <c r="DD67" s="264" t="s">
        <v>345</v>
      </c>
      <c r="DE67" s="258" t="s">
        <v>318</v>
      </c>
      <c r="DF67" s="169">
        <f>AP35</f>
        <v>0.80584010997928801</v>
      </c>
      <c r="DG67" s="169" t="s">
        <v>317</v>
      </c>
    </row>
    <row r="68" spans="1:115" thickTop="1" thickBot="1" x14ac:dyDescent="0.3">
      <c r="A68" s="269"/>
      <c r="B68" s="269"/>
      <c r="C68" s="269"/>
      <c r="D68" s="269"/>
      <c r="E68" s="269"/>
      <c r="BC68" s="81" t="s">
        <v>373</v>
      </c>
      <c r="BD68" s="81" t="s">
        <v>407</v>
      </c>
      <c r="BE68" s="166">
        <v>1350</v>
      </c>
      <c r="BF68" s="166">
        <v>248</v>
      </c>
      <c r="BG68" s="81">
        <v>5.42</v>
      </c>
      <c r="BH68" s="166">
        <v>6.1000000000000004E-8</v>
      </c>
      <c r="BI68" s="81" t="s">
        <v>385</v>
      </c>
      <c r="BJ68" s="81"/>
      <c r="BS68" s="81" t="s">
        <v>373</v>
      </c>
      <c r="BT68" s="81" t="s">
        <v>407</v>
      </c>
      <c r="BU68" s="166">
        <v>332</v>
      </c>
      <c r="BV68" s="166">
        <v>2.44</v>
      </c>
      <c r="BW68" s="81">
        <v>136.41</v>
      </c>
      <c r="BX68" s="81" t="s">
        <v>420</v>
      </c>
      <c r="BY68" s="166">
        <v>2E-16</v>
      </c>
      <c r="BZ68" s="81" t="s">
        <v>385</v>
      </c>
      <c r="CO68" s="243" t="s">
        <v>373</v>
      </c>
      <c r="CP68" s="243" t="s">
        <v>442</v>
      </c>
      <c r="CQ68" s="244">
        <v>3.5999999999999999E-7</v>
      </c>
      <c r="CR68" s="244">
        <v>9.1099999999999992E-6</v>
      </c>
      <c r="CS68" s="243">
        <v>0.04</v>
      </c>
      <c r="CT68" s="244">
        <v>0.96799999999999997</v>
      </c>
      <c r="CV68" s="81"/>
      <c r="CW68" s="245" t="s">
        <v>460</v>
      </c>
      <c r="CX68" s="251" t="s">
        <v>431</v>
      </c>
      <c r="CY68" s="246" t="s">
        <v>318</v>
      </c>
      <c r="CZ68" s="247">
        <f t="shared" si="36"/>
        <v>0.106</v>
      </c>
      <c r="DA68" s="245" t="s">
        <v>317</v>
      </c>
      <c r="DC68" s="169" t="s">
        <v>460</v>
      </c>
      <c r="DD68" s="264" t="s">
        <v>431</v>
      </c>
      <c r="DE68" s="258" t="s">
        <v>318</v>
      </c>
      <c r="DF68" s="169">
        <f>AP47</f>
        <v>6.8370866828718693E-2</v>
      </c>
      <c r="DG68" s="169" t="s">
        <v>317</v>
      </c>
    </row>
    <row r="69" spans="1:115" thickTop="1" thickBot="1" x14ac:dyDescent="0.3">
      <c r="A69" s="269"/>
      <c r="B69" s="269"/>
      <c r="C69" s="269"/>
      <c r="D69" s="269"/>
      <c r="E69" s="269"/>
      <c r="BC69" s="81" t="s">
        <v>373</v>
      </c>
      <c r="BD69" s="81" t="s">
        <v>290</v>
      </c>
      <c r="BE69" s="166">
        <v>372</v>
      </c>
      <c r="BF69" s="166">
        <v>148</v>
      </c>
      <c r="BG69" s="81">
        <v>2.5099999999999998</v>
      </c>
      <c r="BH69" s="81">
        <v>1.21E-2</v>
      </c>
      <c r="BI69" s="81" t="s">
        <v>418</v>
      </c>
      <c r="BJ69" s="81"/>
      <c r="BS69" s="81" t="s">
        <v>373</v>
      </c>
      <c r="BT69" s="81" t="s">
        <v>290</v>
      </c>
      <c r="BU69" s="166">
        <v>128</v>
      </c>
      <c r="BV69" s="166">
        <v>0.69899999999999995</v>
      </c>
      <c r="BW69" s="81">
        <v>182.74</v>
      </c>
      <c r="BX69" s="81" t="s">
        <v>420</v>
      </c>
      <c r="BY69" s="166">
        <v>2E-16</v>
      </c>
      <c r="BZ69" s="81" t="s">
        <v>385</v>
      </c>
      <c r="CO69" s="243" t="s">
        <v>373</v>
      </c>
      <c r="CP69" s="243" t="s">
        <v>336</v>
      </c>
      <c r="CQ69" s="244">
        <v>0.90100000000000002</v>
      </c>
      <c r="CR69" s="244">
        <v>0.187</v>
      </c>
      <c r="CS69" s="243">
        <v>4.8099999999999996</v>
      </c>
      <c r="CT69" s="244">
        <v>1.5E-6</v>
      </c>
      <c r="CU69" s="243" t="s">
        <v>385</v>
      </c>
      <c r="CV69" s="81"/>
      <c r="CY69" s="246"/>
      <c r="DC69" s="169"/>
      <c r="DD69" s="169"/>
      <c r="DE69" s="258"/>
      <c r="DF69" s="169"/>
      <c r="DG69" s="169"/>
      <c r="DJ69" t="s">
        <v>511</v>
      </c>
      <c r="DK69" t="s">
        <v>510</v>
      </c>
    </row>
    <row r="70" spans="1:115" thickTop="1" thickBot="1" x14ac:dyDescent="0.3">
      <c r="BC70" s="81" t="s">
        <v>373</v>
      </c>
      <c r="BD70" s="81" t="s">
        <v>120</v>
      </c>
      <c r="BE70" s="166">
        <v>31.9</v>
      </c>
      <c r="BF70" s="166">
        <v>23.8</v>
      </c>
      <c r="BG70" s="81">
        <v>1.34</v>
      </c>
      <c r="BH70" s="81">
        <v>0.18071999999999999</v>
      </c>
      <c r="BI70" s="81"/>
      <c r="BJ70" s="81"/>
      <c r="BS70" s="81" t="s">
        <v>373</v>
      </c>
      <c r="BT70" s="81" t="s">
        <v>120</v>
      </c>
      <c r="BU70" s="166">
        <v>1.3200000000000001E-4</v>
      </c>
      <c r="BV70" s="166">
        <v>1.4800000000000001E-5</v>
      </c>
      <c r="BW70" s="81">
        <v>8.91</v>
      </c>
      <c r="BX70" s="81" t="s">
        <v>420</v>
      </c>
      <c r="BY70" s="166">
        <v>2E-16</v>
      </c>
      <c r="BZ70" s="81" t="s">
        <v>385</v>
      </c>
      <c r="CO70" s="243" t="s">
        <v>373</v>
      </c>
      <c r="CP70" s="243" t="s">
        <v>443</v>
      </c>
      <c r="CQ70" s="244">
        <v>0.89900000000000002</v>
      </c>
      <c r="CR70" s="244">
        <v>5.4100000000000002E-2</v>
      </c>
      <c r="CS70" s="243">
        <v>16.61</v>
      </c>
      <c r="CT70" s="243" t="s">
        <v>420</v>
      </c>
      <c r="CU70" s="244">
        <v>2E-16</v>
      </c>
      <c r="CV70" s="81" t="s">
        <v>385</v>
      </c>
      <c r="CW70" s="245" t="s">
        <v>460</v>
      </c>
      <c r="CX70" s="251" t="s">
        <v>347</v>
      </c>
      <c r="CY70" s="246" t="s">
        <v>318</v>
      </c>
      <c r="CZ70" s="247">
        <f>CQ96</f>
        <v>354</v>
      </c>
      <c r="DA70" s="245" t="s">
        <v>317</v>
      </c>
      <c r="DC70" s="169" t="s">
        <v>460</v>
      </c>
      <c r="DD70" s="264" t="s">
        <v>347</v>
      </c>
      <c r="DE70" s="258" t="s">
        <v>318</v>
      </c>
      <c r="DF70" s="169">
        <f>AP37</f>
        <v>551.55542089277287</v>
      </c>
      <c r="DG70" s="169" t="s">
        <v>317</v>
      </c>
      <c r="DI70" t="s">
        <v>509</v>
      </c>
      <c r="DJ70" s="152">
        <f>SUM(R17:R20,R25)</f>
        <v>350.69942453720699</v>
      </c>
      <c r="DK70">
        <f>1/(1/DF70+1/DF73)</f>
        <v>340.82274992710757</v>
      </c>
    </row>
    <row r="71" spans="1:115" thickTop="1" thickBot="1" x14ac:dyDescent="0.3">
      <c r="BC71" s="81" t="s">
        <v>373</v>
      </c>
      <c r="BD71" s="81" t="s">
        <v>409</v>
      </c>
      <c r="BE71" s="166">
        <v>-6.79</v>
      </c>
      <c r="BF71" s="166">
        <v>0.47699999999999998</v>
      </c>
      <c r="BG71" s="81">
        <v>-14.23</v>
      </c>
      <c r="BH71" s="81" t="s">
        <v>420</v>
      </c>
      <c r="BI71" s="166">
        <v>2E-16</v>
      </c>
      <c r="BJ71" s="81" t="s">
        <v>385</v>
      </c>
      <c r="BS71" s="81" t="s">
        <v>373</v>
      </c>
      <c r="BT71" s="81" t="s">
        <v>409</v>
      </c>
      <c r="BU71" s="166">
        <v>-4.92</v>
      </c>
      <c r="BV71" s="166">
        <v>1.5299999999999999E-2</v>
      </c>
      <c r="BW71" s="81">
        <v>-322.11</v>
      </c>
      <c r="BX71" s="81" t="s">
        <v>420</v>
      </c>
      <c r="BY71" s="166">
        <v>2E-16</v>
      </c>
      <c r="BZ71" s="81" t="s">
        <v>385</v>
      </c>
      <c r="CO71" s="243" t="s">
        <v>373</v>
      </c>
      <c r="CP71" s="243" t="s">
        <v>444</v>
      </c>
      <c r="CQ71" s="244">
        <v>1.28</v>
      </c>
      <c r="CR71" s="244">
        <v>4.8300000000000003E-2</v>
      </c>
      <c r="CS71" s="243">
        <v>26.46</v>
      </c>
      <c r="CT71" s="243" t="s">
        <v>420</v>
      </c>
      <c r="CU71" s="244">
        <v>2E-16</v>
      </c>
      <c r="CV71" s="81" t="s">
        <v>385</v>
      </c>
      <c r="CW71" s="245" t="s">
        <v>460</v>
      </c>
      <c r="CX71" s="251" t="s">
        <v>349</v>
      </c>
      <c r="CY71" s="246" t="s">
        <v>318</v>
      </c>
      <c r="CZ71" s="247">
        <f t="shared" ref="CZ71:CZ72" si="37">CQ97</f>
        <v>134</v>
      </c>
      <c r="DA71" s="245" t="s">
        <v>317</v>
      </c>
      <c r="DC71" s="169" t="s">
        <v>460</v>
      </c>
      <c r="DD71" s="264" t="s">
        <v>349</v>
      </c>
      <c r="DE71" s="258" t="s">
        <v>318</v>
      </c>
      <c r="DF71" s="169">
        <f>AP38</f>
        <v>143.22912177121776</v>
      </c>
      <c r="DG71" s="169" t="s">
        <v>317</v>
      </c>
    </row>
    <row r="72" spans="1:115" thickTop="1" thickBot="1" x14ac:dyDescent="0.3">
      <c r="BC72" s="81" t="s">
        <v>373</v>
      </c>
      <c r="BD72" s="81" t="s">
        <v>410</v>
      </c>
      <c r="BE72" s="166">
        <v>-4.62</v>
      </c>
      <c r="BF72" s="166">
        <v>0.26700000000000002</v>
      </c>
      <c r="BG72" s="81">
        <v>-17.32</v>
      </c>
      <c r="BH72" s="81" t="s">
        <v>420</v>
      </c>
      <c r="BI72" s="166">
        <v>2E-16</v>
      </c>
      <c r="BJ72" s="81" t="s">
        <v>385</v>
      </c>
      <c r="BS72" s="81" t="s">
        <v>373</v>
      </c>
      <c r="BT72" s="81" t="s">
        <v>410</v>
      </c>
      <c r="BU72" s="166">
        <v>-5.39</v>
      </c>
      <c r="BV72" s="166">
        <v>1.66E-2</v>
      </c>
      <c r="BW72" s="81">
        <v>-324.86</v>
      </c>
      <c r="BX72" s="81" t="s">
        <v>420</v>
      </c>
      <c r="BY72" s="166">
        <v>2E-16</v>
      </c>
      <c r="BZ72" s="81" t="s">
        <v>385</v>
      </c>
      <c r="CO72" s="243" t="s">
        <v>373</v>
      </c>
      <c r="CP72" s="243" t="s">
        <v>445</v>
      </c>
      <c r="CQ72" s="244">
        <v>0.73899999999999999</v>
      </c>
      <c r="CR72" s="244">
        <v>4.3400000000000001E-2</v>
      </c>
      <c r="CS72" s="243">
        <v>17.02</v>
      </c>
      <c r="CT72" s="243" t="s">
        <v>420</v>
      </c>
      <c r="CU72" s="244">
        <v>2E-16</v>
      </c>
      <c r="CV72" s="81" t="s">
        <v>385</v>
      </c>
      <c r="CW72" s="245" t="s">
        <v>460</v>
      </c>
      <c r="CX72" s="251" t="s">
        <v>350</v>
      </c>
      <c r="CY72" s="246" t="s">
        <v>318</v>
      </c>
      <c r="CZ72" s="247">
        <f t="shared" si="37"/>
        <v>129</v>
      </c>
      <c r="DA72" s="245" t="s">
        <v>317</v>
      </c>
      <c r="DC72" s="169" t="s">
        <v>460</v>
      </c>
      <c r="DD72" s="264" t="s">
        <v>350</v>
      </c>
      <c r="DE72" s="258" t="s">
        <v>318</v>
      </c>
      <c r="DF72" s="263">
        <f>AP39</f>
        <v>175.91396748387098</v>
      </c>
      <c r="DG72" s="169" t="s">
        <v>317</v>
      </c>
    </row>
    <row r="73" spans="1:115" thickTop="1" thickBot="1" x14ac:dyDescent="0.3">
      <c r="BC73" s="81" t="s">
        <v>373</v>
      </c>
      <c r="BD73" s="81" t="s">
        <v>411</v>
      </c>
      <c r="BE73" s="166">
        <v>-4.95</v>
      </c>
      <c r="BF73" s="166">
        <v>0.26600000000000001</v>
      </c>
      <c r="BG73" s="81">
        <v>-18.59</v>
      </c>
      <c r="BH73" s="81" t="s">
        <v>420</v>
      </c>
      <c r="BI73" s="166">
        <v>2E-16</v>
      </c>
      <c r="BJ73" s="81" t="s">
        <v>385</v>
      </c>
      <c r="BS73" s="81" t="s">
        <v>373</v>
      </c>
      <c r="BT73" s="81" t="s">
        <v>411</v>
      </c>
      <c r="BU73" s="166">
        <v>-5.67</v>
      </c>
      <c r="BV73" s="166">
        <v>1.5900000000000001E-2</v>
      </c>
      <c r="BW73" s="81">
        <v>-356.16</v>
      </c>
      <c r="BX73" s="81" t="s">
        <v>420</v>
      </c>
      <c r="BY73" s="166">
        <v>2E-16</v>
      </c>
      <c r="BZ73" s="81" t="s">
        <v>385</v>
      </c>
      <c r="CO73" s="243" t="s">
        <v>373</v>
      </c>
      <c r="CP73" s="243" t="s">
        <v>337</v>
      </c>
      <c r="CQ73" s="244">
        <v>0.51800000000000002</v>
      </c>
      <c r="CR73" s="244">
        <v>0.11</v>
      </c>
      <c r="CS73" s="243">
        <v>4.71</v>
      </c>
      <c r="CT73" s="244">
        <v>2.5000000000000002E-6</v>
      </c>
      <c r="CU73" s="243" t="s">
        <v>385</v>
      </c>
      <c r="CV73" s="81"/>
      <c r="CW73" s="245" t="s">
        <v>460</v>
      </c>
      <c r="CX73" s="251" t="s">
        <v>352</v>
      </c>
      <c r="CY73" s="246" t="s">
        <v>318</v>
      </c>
      <c r="CZ73" s="247">
        <f>1/CQ103</f>
        <v>980.39215686274508</v>
      </c>
      <c r="DA73" s="245" t="s">
        <v>317</v>
      </c>
      <c r="DC73" s="169" t="s">
        <v>460</v>
      </c>
      <c r="DD73" s="264" t="s">
        <v>352</v>
      </c>
      <c r="DE73" s="258" t="s">
        <v>318</v>
      </c>
      <c r="DF73" s="169">
        <f>AP40</f>
        <v>892.04314843286022</v>
      </c>
      <c r="DG73" s="169" t="s">
        <v>317</v>
      </c>
    </row>
    <row r="74" spans="1:115" thickTop="1" thickBot="1" x14ac:dyDescent="0.3">
      <c r="BC74" s="81" t="s">
        <v>373</v>
      </c>
      <c r="BD74" s="81" t="s">
        <v>412</v>
      </c>
      <c r="BE74" s="166">
        <v>-1.07</v>
      </c>
      <c r="BF74" s="166">
        <v>0.64</v>
      </c>
      <c r="BG74" s="81">
        <v>-1.68</v>
      </c>
      <c r="BH74" s="81">
        <v>9.3189999999999995E-2</v>
      </c>
      <c r="BI74" s="81" t="s">
        <v>428</v>
      </c>
      <c r="BJ74" s="81"/>
      <c r="BS74" s="81" t="s">
        <v>373</v>
      </c>
      <c r="BT74" s="81" t="s">
        <v>412</v>
      </c>
      <c r="BU74" s="166">
        <v>-5.55</v>
      </c>
      <c r="BV74" s="166">
        <v>1.6E-2</v>
      </c>
      <c r="BW74" s="81">
        <v>-347.31</v>
      </c>
      <c r="BX74" s="81" t="s">
        <v>420</v>
      </c>
      <c r="BY74" s="166">
        <v>2E-16</v>
      </c>
      <c r="BZ74" s="81" t="s">
        <v>385</v>
      </c>
      <c r="CO74" s="243" t="s">
        <v>373</v>
      </c>
      <c r="CP74" s="243" t="s">
        <v>446</v>
      </c>
      <c r="CQ74" s="244">
        <v>0.56999999999999995</v>
      </c>
      <c r="CR74" s="244">
        <v>3.2300000000000002E-2</v>
      </c>
      <c r="CS74" s="243">
        <v>17.68</v>
      </c>
      <c r="CT74" s="243" t="s">
        <v>420</v>
      </c>
      <c r="CU74" s="244">
        <v>2E-16</v>
      </c>
      <c r="CV74" s="81" t="s">
        <v>385</v>
      </c>
      <c r="CY74" s="246"/>
      <c r="DC74" s="169"/>
      <c r="DD74" s="169"/>
      <c r="DE74" s="258"/>
      <c r="DF74" s="169"/>
      <c r="DG74" s="169"/>
    </row>
    <row r="75" spans="1:115" thickTop="1" thickBot="1" x14ac:dyDescent="0.3">
      <c r="BC75" s="81" t="s">
        <v>373</v>
      </c>
      <c r="BD75" s="81" t="s">
        <v>414</v>
      </c>
      <c r="BE75" s="166">
        <v>9.0299999999999998E-3</v>
      </c>
      <c r="BF75" s="166">
        <v>1.08E-3</v>
      </c>
      <c r="BG75" s="81">
        <v>8.4</v>
      </c>
      <c r="BH75" s="81" t="s">
        <v>420</v>
      </c>
      <c r="BI75" s="166">
        <v>2E-16</v>
      </c>
      <c r="BJ75" s="81" t="s">
        <v>385</v>
      </c>
      <c r="BS75" s="81" t="s">
        <v>373</v>
      </c>
      <c r="BT75" s="81" t="s">
        <v>414</v>
      </c>
      <c r="BU75" s="166">
        <v>4.8500000000000003E-4</v>
      </c>
      <c r="BV75" s="166">
        <v>2.1100000000000001E-5</v>
      </c>
      <c r="BW75" s="81">
        <v>22.96</v>
      </c>
      <c r="BX75" s="81" t="s">
        <v>420</v>
      </c>
      <c r="BY75" s="166">
        <v>2E-16</v>
      </c>
      <c r="BZ75" s="81" t="s">
        <v>385</v>
      </c>
      <c r="CO75" s="243" t="s">
        <v>373</v>
      </c>
      <c r="CP75" s="243" t="s">
        <v>447</v>
      </c>
      <c r="CQ75" s="244">
        <v>0.124</v>
      </c>
      <c r="CR75" s="244">
        <v>1.8800000000000001E-2</v>
      </c>
      <c r="CS75" s="243">
        <v>6.58</v>
      </c>
      <c r="CT75" s="244">
        <v>5.0999999999999998E-11</v>
      </c>
      <c r="CU75" s="244" t="s">
        <v>385</v>
      </c>
      <c r="CV75" s="81"/>
      <c r="CW75" s="245" t="s">
        <v>460</v>
      </c>
      <c r="CX75" s="251" t="s">
        <v>424</v>
      </c>
      <c r="CY75" s="246" t="s">
        <v>318</v>
      </c>
      <c r="CZ75" s="247">
        <f>CQ112</f>
        <v>994000000</v>
      </c>
      <c r="DA75" s="245" t="s">
        <v>317</v>
      </c>
      <c r="DC75" s="169" t="s">
        <v>460</v>
      </c>
      <c r="DD75" s="264" t="s">
        <v>424</v>
      </c>
      <c r="DE75" s="258" t="s">
        <v>318</v>
      </c>
      <c r="DF75" s="169">
        <f>AP44</f>
        <v>4177488.9999999995</v>
      </c>
      <c r="DG75" s="169" t="s">
        <v>317</v>
      </c>
    </row>
    <row r="76" spans="1:115" thickTop="1" thickBot="1" x14ac:dyDescent="0.3">
      <c r="BC76" s="81" t="s">
        <v>373</v>
      </c>
      <c r="BD76" s="81" t="s">
        <v>415</v>
      </c>
      <c r="BE76" s="166">
        <v>531</v>
      </c>
      <c r="BF76" s="166">
        <v>102</v>
      </c>
      <c r="BG76" s="81">
        <v>5.22</v>
      </c>
      <c r="BH76" s="166">
        <v>1.9000000000000001E-7</v>
      </c>
      <c r="BI76" s="81" t="s">
        <v>385</v>
      </c>
      <c r="BJ76" s="81"/>
      <c r="BS76" s="81" t="s">
        <v>373</v>
      </c>
      <c r="BT76" s="81" t="s">
        <v>415</v>
      </c>
      <c r="BU76" s="166">
        <v>241</v>
      </c>
      <c r="BV76" s="166">
        <v>1.51</v>
      </c>
      <c r="BW76" s="81">
        <v>159.18</v>
      </c>
      <c r="BX76" s="81" t="s">
        <v>420</v>
      </c>
      <c r="BY76" s="166">
        <v>2E-16</v>
      </c>
      <c r="BZ76" s="81" t="s">
        <v>385</v>
      </c>
      <c r="CO76" s="243" t="s">
        <v>373</v>
      </c>
      <c r="CP76" s="243" t="s">
        <v>448</v>
      </c>
      <c r="CQ76" s="244">
        <v>1.1799999999999999E-6</v>
      </c>
      <c r="CR76" s="244">
        <v>3.7499999999999997E-5</v>
      </c>
      <c r="CS76" s="243">
        <v>0.03</v>
      </c>
      <c r="CT76" s="244">
        <v>0.97499999999999998</v>
      </c>
      <c r="CV76" s="81"/>
      <c r="CW76" s="245" t="s">
        <v>460</v>
      </c>
      <c r="CX76" s="251" t="s">
        <v>359</v>
      </c>
      <c r="CY76" s="246" t="s">
        <v>318</v>
      </c>
      <c r="CZ76" s="247">
        <f>CQ113</f>
        <v>139000000</v>
      </c>
      <c r="DA76" s="245" t="s">
        <v>317</v>
      </c>
      <c r="DC76" s="169" t="s">
        <v>460</v>
      </c>
      <c r="DD76" s="264" t="s">
        <v>359</v>
      </c>
      <c r="DE76" s="258" t="s">
        <v>318</v>
      </c>
      <c r="DF76" s="169">
        <f>AP45</f>
        <v>4177488.9999999995</v>
      </c>
      <c r="DG76" s="169" t="s">
        <v>317</v>
      </c>
    </row>
    <row r="77" spans="1:115" thickTop="1" thickBot="1" x14ac:dyDescent="0.3">
      <c r="BC77" s="81" t="s">
        <v>373</v>
      </c>
      <c r="BD77" s="81" t="s">
        <v>416</v>
      </c>
      <c r="BE77" s="166">
        <v>697</v>
      </c>
      <c r="BF77" s="166">
        <v>233</v>
      </c>
      <c r="BG77" s="81">
        <v>2.99</v>
      </c>
      <c r="BH77" s="81">
        <v>2.7799999999999999E-3</v>
      </c>
      <c r="BI77" s="81" t="s">
        <v>398</v>
      </c>
      <c r="BJ77" s="81"/>
      <c r="BS77" s="81" t="s">
        <v>373</v>
      </c>
      <c r="BT77" s="81" t="s">
        <v>416</v>
      </c>
      <c r="BU77" s="166">
        <v>3490</v>
      </c>
      <c r="BV77" s="166">
        <v>74.8</v>
      </c>
      <c r="BW77" s="81">
        <v>46.64</v>
      </c>
      <c r="BX77" s="81" t="s">
        <v>420</v>
      </c>
      <c r="BY77" s="166">
        <v>2E-16</v>
      </c>
      <c r="BZ77" s="81" t="s">
        <v>385</v>
      </c>
      <c r="CO77" s="243" t="s">
        <v>373</v>
      </c>
      <c r="CP77" s="243" t="s">
        <v>338</v>
      </c>
      <c r="CQ77" s="244">
        <v>2.1999999999999998E-8</v>
      </c>
      <c r="CR77" s="244">
        <v>5.1500000000000005E-7</v>
      </c>
      <c r="CS77" s="243">
        <v>0.04</v>
      </c>
      <c r="CT77" s="243">
        <v>0.96599999999999997</v>
      </c>
      <c r="CV77" s="81"/>
      <c r="CW77" s="245" t="s">
        <v>460</v>
      </c>
      <c r="CX77" s="251" t="s">
        <v>365</v>
      </c>
      <c r="CY77" s="246" t="s">
        <v>318</v>
      </c>
      <c r="CZ77" s="247">
        <f>CQ120</f>
        <v>95.1</v>
      </c>
      <c r="DA77" s="245" t="s">
        <v>317</v>
      </c>
      <c r="DC77" s="169" t="s">
        <v>460</v>
      </c>
      <c r="DD77" s="264" t="s">
        <v>365</v>
      </c>
      <c r="DE77" s="258" t="s">
        <v>318</v>
      </c>
      <c r="DF77" s="169">
        <f>AP48</f>
        <v>702.73730684326699</v>
      </c>
      <c r="DG77" s="169" t="s">
        <v>317</v>
      </c>
    </row>
    <row r="78" spans="1:115" thickTop="1" thickBot="1" x14ac:dyDescent="0.3">
      <c r="CO78" s="243" t="s">
        <v>373</v>
      </c>
      <c r="CP78" s="243" t="s">
        <v>449</v>
      </c>
      <c r="CQ78" s="244">
        <v>6.5100000000000005E-2</v>
      </c>
      <c r="CR78" s="244">
        <v>8.5800000000000001E-2</v>
      </c>
      <c r="CS78" s="243">
        <v>0.76</v>
      </c>
      <c r="CT78" s="243">
        <v>0.44900000000000001</v>
      </c>
      <c r="CV78" s="81"/>
      <c r="CW78" s="245" t="s">
        <v>460</v>
      </c>
      <c r="CX78" s="251" t="s">
        <v>367</v>
      </c>
      <c r="CY78" s="246" t="s">
        <v>318</v>
      </c>
      <c r="CZ78" s="247">
        <f t="shared" ref="CZ78:CZ79" si="38">CQ121</f>
        <v>1.1100000000000001E-3</v>
      </c>
      <c r="DA78" s="245" t="s">
        <v>317</v>
      </c>
      <c r="DC78" s="169" t="s">
        <v>460</v>
      </c>
      <c r="DD78" s="264" t="s">
        <v>367</v>
      </c>
      <c r="DE78" s="258" t="s">
        <v>318</v>
      </c>
      <c r="DF78" s="169">
        <f>AP49</f>
        <v>351.3686534216335</v>
      </c>
      <c r="DG78" s="169" t="s">
        <v>317</v>
      </c>
    </row>
    <row r="79" spans="1:115" thickTop="1" thickBot="1" x14ac:dyDescent="0.3">
      <c r="BC79" s="81" t="s">
        <v>373</v>
      </c>
      <c r="BD79" s="81" t="s">
        <v>374</v>
      </c>
      <c r="BE79" s="81" t="s">
        <v>429</v>
      </c>
      <c r="BF79" s="81"/>
      <c r="BG79" s="81"/>
      <c r="BH79" s="81"/>
      <c r="BI79" s="81"/>
      <c r="BJ79" s="81"/>
      <c r="CO79" s="243" t="s">
        <v>373</v>
      </c>
      <c r="CP79" s="243" t="s">
        <v>450</v>
      </c>
      <c r="CQ79" s="244">
        <v>0.29899999999999999</v>
      </c>
      <c r="CR79" s="244">
        <v>0.125</v>
      </c>
      <c r="CS79" s="243">
        <v>2.4</v>
      </c>
      <c r="CT79" s="243">
        <v>1.7000000000000001E-2</v>
      </c>
      <c r="CU79" s="243" t="s">
        <v>418</v>
      </c>
      <c r="CV79" s="81"/>
      <c r="CW79" s="245" t="s">
        <v>460</v>
      </c>
      <c r="CX79" s="251" t="s">
        <v>369</v>
      </c>
      <c r="CY79" s="246" t="s">
        <v>318</v>
      </c>
      <c r="CZ79" s="247">
        <f t="shared" si="38"/>
        <v>233</v>
      </c>
      <c r="DA79" s="245" t="s">
        <v>317</v>
      </c>
      <c r="DC79" s="169" t="s">
        <v>460</v>
      </c>
      <c r="DD79" s="264" t="s">
        <v>369</v>
      </c>
      <c r="DE79" s="258" t="s">
        <v>318</v>
      </c>
      <c r="DF79" s="169">
        <f>AP50</f>
        <v>702.73730684326699</v>
      </c>
      <c r="DG79" s="169" t="s">
        <v>317</v>
      </c>
    </row>
    <row r="80" spans="1:115" thickTop="1" thickBot="1" x14ac:dyDescent="0.3">
      <c r="BC80" s="81" t="s">
        <v>373</v>
      </c>
      <c r="BD80" s="81" t="s">
        <v>376</v>
      </c>
      <c r="BE80" s="81"/>
      <c r="BF80" s="81"/>
      <c r="BG80" s="81"/>
      <c r="BH80" s="81"/>
      <c r="BI80" s="81"/>
      <c r="BJ80" s="81"/>
      <c r="BS80" s="81" t="s">
        <v>373</v>
      </c>
      <c r="BT80" s="81" t="s">
        <v>374</v>
      </c>
      <c r="BU80" s="81" t="s">
        <v>429</v>
      </c>
      <c r="BV80" s="81"/>
      <c r="BW80" s="81"/>
      <c r="BX80" s="81"/>
      <c r="BY80" s="81"/>
      <c r="BZ80" s="81"/>
      <c r="CO80" s="243" t="s">
        <v>373</v>
      </c>
      <c r="CP80" s="243" t="s">
        <v>451</v>
      </c>
      <c r="CQ80" s="244">
        <v>0.97099999999999997</v>
      </c>
      <c r="CR80" s="244">
        <v>8.4900000000000003E-2</v>
      </c>
      <c r="CS80" s="243">
        <v>11.44</v>
      </c>
      <c r="CT80" s="243" t="s">
        <v>420</v>
      </c>
      <c r="CU80" s="244">
        <v>2E-16</v>
      </c>
      <c r="CV80" s="81" t="s">
        <v>385</v>
      </c>
    </row>
    <row r="81" spans="55:100" thickTop="1" thickBot="1" x14ac:dyDescent="0.3">
      <c r="BC81" s="81" t="s">
        <v>373</v>
      </c>
      <c r="BD81" s="81" t="s">
        <v>377</v>
      </c>
      <c r="BE81" s="81" t="s">
        <v>378</v>
      </c>
      <c r="BF81" s="81" t="s">
        <v>379</v>
      </c>
      <c r="BG81" s="81" t="s">
        <v>380</v>
      </c>
      <c r="BH81" s="81" t="s">
        <v>381</v>
      </c>
      <c r="BI81" s="81" t="s">
        <v>382</v>
      </c>
      <c r="BJ81" s="81"/>
      <c r="BS81" s="81" t="s">
        <v>373</v>
      </c>
      <c r="BT81" s="81" t="s">
        <v>376</v>
      </c>
      <c r="BU81" s="81"/>
      <c r="BV81" s="81"/>
      <c r="BW81" s="81"/>
      <c r="BX81" s="81"/>
      <c r="BY81" s="81"/>
      <c r="BZ81" s="81"/>
      <c r="CO81" s="243" t="s">
        <v>373</v>
      </c>
      <c r="CP81" s="243" t="s">
        <v>452</v>
      </c>
      <c r="CQ81" s="244">
        <v>1.1000000000000001E-6</v>
      </c>
      <c r="CR81" s="244">
        <v>2.5999999999999998E-5</v>
      </c>
      <c r="CS81" s="243">
        <v>0.04</v>
      </c>
      <c r="CT81" s="243">
        <v>0.96599999999999997</v>
      </c>
      <c r="CV81" s="81"/>
    </row>
    <row r="82" spans="55:100" thickTop="1" thickBot="1" x14ac:dyDescent="0.3">
      <c r="BC82" s="81" t="s">
        <v>373</v>
      </c>
      <c r="BD82" s="81" t="s">
        <v>422</v>
      </c>
      <c r="BE82" s="166">
        <v>291</v>
      </c>
      <c r="BF82" s="166">
        <v>0.112</v>
      </c>
      <c r="BG82" s="81">
        <v>2609.3000000000002</v>
      </c>
      <c r="BH82" s="81" t="s">
        <v>420</v>
      </c>
      <c r="BI82" s="166">
        <v>2E-16</v>
      </c>
      <c r="BJ82" s="81" t="s">
        <v>385</v>
      </c>
      <c r="BS82" s="81" t="s">
        <v>373</v>
      </c>
      <c r="BT82" s="81" t="s">
        <v>377</v>
      </c>
      <c r="BU82" s="81" t="s">
        <v>378</v>
      </c>
      <c r="BV82" s="81" t="s">
        <v>379</v>
      </c>
      <c r="BW82" s="81" t="s">
        <v>380</v>
      </c>
      <c r="BX82" s="81" t="s">
        <v>381</v>
      </c>
      <c r="BY82" s="81" t="s">
        <v>382</v>
      </c>
      <c r="BZ82" s="81"/>
      <c r="CO82" s="243" t="s">
        <v>373</v>
      </c>
      <c r="CP82" s="243" t="s">
        <v>453</v>
      </c>
      <c r="CQ82" s="244">
        <v>0.98699999999999999</v>
      </c>
      <c r="CR82" s="244">
        <v>6.1199999999999997E-2</v>
      </c>
      <c r="CS82" s="243">
        <v>16.12</v>
      </c>
      <c r="CT82" s="243" t="s">
        <v>420</v>
      </c>
      <c r="CU82" s="244">
        <v>2E-16</v>
      </c>
      <c r="CV82" s="81" t="s">
        <v>385</v>
      </c>
    </row>
    <row r="83" spans="55:100" thickTop="1" thickBot="1" x14ac:dyDescent="0.3">
      <c r="BC83" s="81" t="s">
        <v>373</v>
      </c>
      <c r="BD83" s="81" t="s">
        <v>423</v>
      </c>
      <c r="BE83" s="166">
        <v>291</v>
      </c>
      <c r="BF83" s="166">
        <v>3.9800000000000002E-2</v>
      </c>
      <c r="BG83" s="81">
        <v>7295.15</v>
      </c>
      <c r="BH83" s="81" t="s">
        <v>420</v>
      </c>
      <c r="BI83" s="166">
        <v>2E-16</v>
      </c>
      <c r="BJ83" s="81" t="s">
        <v>385</v>
      </c>
      <c r="BS83" s="81" t="s">
        <v>373</v>
      </c>
      <c r="BT83" s="81" t="s">
        <v>422</v>
      </c>
      <c r="BU83" s="166">
        <v>289</v>
      </c>
      <c r="BV83" s="166">
        <v>0.183</v>
      </c>
      <c r="BW83" s="81">
        <v>1576.41</v>
      </c>
      <c r="BX83" s="81" t="s">
        <v>384</v>
      </c>
      <c r="BY83" s="166" t="s">
        <v>385</v>
      </c>
      <c r="BZ83" s="81" t="s">
        <v>385</v>
      </c>
      <c r="CO83" s="243" t="s">
        <v>373</v>
      </c>
      <c r="CP83" s="243" t="s">
        <v>454</v>
      </c>
      <c r="CQ83" s="244">
        <v>1.37E-2</v>
      </c>
      <c r="CR83" s="244">
        <v>6.9900000000000004E-2</v>
      </c>
      <c r="CS83" s="243">
        <v>0.2</v>
      </c>
      <c r="CT83" s="243">
        <v>0.84499999999999997</v>
      </c>
      <c r="CU83" s="244"/>
      <c r="CV83" s="81"/>
    </row>
    <row r="84" spans="55:100" thickTop="1" thickBot="1" x14ac:dyDescent="0.3">
      <c r="BC84" s="81" t="s">
        <v>373</v>
      </c>
      <c r="BD84" s="81" t="s">
        <v>353</v>
      </c>
      <c r="BE84" s="166">
        <v>6.6500000000000004E-2</v>
      </c>
      <c r="BF84" s="166">
        <v>1.2700000000000001E-3</v>
      </c>
      <c r="BG84" s="81">
        <v>52.59</v>
      </c>
      <c r="BH84" s="81" t="s">
        <v>420</v>
      </c>
      <c r="BI84" s="166">
        <v>2E-16</v>
      </c>
      <c r="BJ84" s="81" t="s">
        <v>385</v>
      </c>
      <c r="BS84" s="81" t="s">
        <v>373</v>
      </c>
      <c r="BT84" s="81" t="s">
        <v>423</v>
      </c>
      <c r="BU84" s="166">
        <v>296</v>
      </c>
      <c r="BV84" s="166">
        <v>0.124</v>
      </c>
      <c r="BW84" s="81">
        <v>2387.71</v>
      </c>
      <c r="BX84" s="81" t="s">
        <v>384</v>
      </c>
      <c r="BY84" s="166" t="s">
        <v>385</v>
      </c>
      <c r="BZ84" s="81" t="s">
        <v>385</v>
      </c>
      <c r="CO84" s="243" t="s">
        <v>373</v>
      </c>
      <c r="CP84" s="243" t="s">
        <v>303</v>
      </c>
      <c r="CQ84" s="244">
        <v>979000000</v>
      </c>
      <c r="CR84" s="244">
        <v>181000000</v>
      </c>
      <c r="CS84" s="243">
        <v>5.4</v>
      </c>
      <c r="CT84" s="244">
        <v>6.7000000000000004E-8</v>
      </c>
      <c r="CU84" s="243" t="s">
        <v>385</v>
      </c>
      <c r="CV84" s="81"/>
    </row>
    <row r="85" spans="55:100" thickTop="1" thickBot="1" x14ac:dyDescent="0.3">
      <c r="BC85" s="81" t="s">
        <v>373</v>
      </c>
      <c r="BD85" s="81" t="s">
        <v>355</v>
      </c>
      <c r="BE85" s="166">
        <v>0.246</v>
      </c>
      <c r="BF85" s="166">
        <v>7.6600000000000001E-3</v>
      </c>
      <c r="BG85" s="81">
        <v>32.04</v>
      </c>
      <c r="BH85" s="81" t="s">
        <v>420</v>
      </c>
      <c r="BI85" s="166">
        <v>2E-16</v>
      </c>
      <c r="BJ85" s="81" t="s">
        <v>385</v>
      </c>
      <c r="BS85" s="81" t="s">
        <v>373</v>
      </c>
      <c r="BT85" s="81" t="s">
        <v>353</v>
      </c>
      <c r="BU85" s="166">
        <v>6.9400000000000003E-2</v>
      </c>
      <c r="BV85" s="166">
        <v>4.7399999999999997E-4</v>
      </c>
      <c r="BW85" s="81">
        <v>146.54</v>
      </c>
      <c r="BX85" s="166" t="s">
        <v>384</v>
      </c>
      <c r="BY85" s="81" t="s">
        <v>385</v>
      </c>
      <c r="BZ85" s="81"/>
      <c r="CO85" s="243" t="s">
        <v>373</v>
      </c>
      <c r="CP85" s="243" t="s">
        <v>395</v>
      </c>
      <c r="CQ85" s="244">
        <v>2530000</v>
      </c>
      <c r="CR85" s="244">
        <v>22500</v>
      </c>
      <c r="CS85" s="243">
        <v>112.71</v>
      </c>
      <c r="CT85" s="243" t="s">
        <v>420</v>
      </c>
      <c r="CU85" s="244">
        <v>2E-16</v>
      </c>
      <c r="CV85" s="81" t="s">
        <v>385</v>
      </c>
    </row>
    <row r="86" spans="55:100" thickTop="1" thickBot="1" x14ac:dyDescent="0.3">
      <c r="BC86" s="81" t="s">
        <v>373</v>
      </c>
      <c r="BD86" s="81" t="s">
        <v>424</v>
      </c>
      <c r="BE86" s="166">
        <v>248000</v>
      </c>
      <c r="BF86" s="166">
        <v>22200</v>
      </c>
      <c r="BG86" s="81">
        <v>11.17</v>
      </c>
      <c r="BH86" s="81" t="s">
        <v>420</v>
      </c>
      <c r="BI86" s="166">
        <v>2E-16</v>
      </c>
      <c r="BJ86" s="81" t="s">
        <v>385</v>
      </c>
      <c r="BS86" s="81" t="s">
        <v>373</v>
      </c>
      <c r="BT86" s="81" t="s">
        <v>355</v>
      </c>
      <c r="BU86" s="166">
        <v>0.32</v>
      </c>
      <c r="BV86" s="166">
        <v>2.48E-3</v>
      </c>
      <c r="BW86" s="81">
        <v>128.66</v>
      </c>
      <c r="BX86" s="166" t="s">
        <v>384</v>
      </c>
      <c r="BY86" s="81" t="s">
        <v>385</v>
      </c>
      <c r="BZ86" s="81"/>
      <c r="CO86" s="243" t="s">
        <v>373</v>
      </c>
      <c r="CP86" s="243" t="s">
        <v>296</v>
      </c>
      <c r="CQ86" s="244">
        <v>18500000</v>
      </c>
      <c r="CR86" s="244">
        <v>837000</v>
      </c>
      <c r="CS86" s="243">
        <v>22.06</v>
      </c>
      <c r="CT86" s="243" t="s">
        <v>420</v>
      </c>
      <c r="CU86" s="244">
        <v>2E-16</v>
      </c>
      <c r="CV86" s="81" t="s">
        <v>385</v>
      </c>
    </row>
    <row r="87" spans="55:100" thickTop="1" thickBot="1" x14ac:dyDescent="0.3">
      <c r="BC87" s="81" t="s">
        <v>373</v>
      </c>
      <c r="BD87" s="81" t="s">
        <v>359</v>
      </c>
      <c r="BE87" s="166">
        <v>6990000</v>
      </c>
      <c r="BF87" s="166">
        <v>43300</v>
      </c>
      <c r="BG87" s="81">
        <v>161.22</v>
      </c>
      <c r="BH87" s="81" t="s">
        <v>420</v>
      </c>
      <c r="BI87" s="166">
        <v>2E-16</v>
      </c>
      <c r="BJ87" s="81" t="s">
        <v>385</v>
      </c>
      <c r="BS87" s="81" t="s">
        <v>373</v>
      </c>
      <c r="BT87" s="81" t="s">
        <v>424</v>
      </c>
      <c r="BU87" s="166">
        <v>990000000</v>
      </c>
      <c r="BV87" s="166">
        <v>91900000</v>
      </c>
      <c r="BW87" s="81">
        <v>10.78</v>
      </c>
      <c r="BX87" s="166" t="s">
        <v>384</v>
      </c>
      <c r="BY87" s="81" t="s">
        <v>385</v>
      </c>
      <c r="BZ87" s="81"/>
      <c r="CO87" s="243" t="s">
        <v>373</v>
      </c>
      <c r="CP87" s="243" t="s">
        <v>298</v>
      </c>
      <c r="CQ87" s="244">
        <v>3010000</v>
      </c>
      <c r="CR87" s="244">
        <v>95600</v>
      </c>
      <c r="CS87" s="243">
        <v>31.45</v>
      </c>
      <c r="CT87" s="243" t="s">
        <v>420</v>
      </c>
      <c r="CU87" s="244">
        <v>2E-16</v>
      </c>
      <c r="CV87" s="81" t="s">
        <v>385</v>
      </c>
    </row>
    <row r="88" spans="55:100" thickTop="1" thickBot="1" x14ac:dyDescent="0.3">
      <c r="BC88" s="81" t="s">
        <v>373</v>
      </c>
      <c r="BD88" s="81" t="s">
        <v>401</v>
      </c>
      <c r="BE88" s="166">
        <v>3.27</v>
      </c>
      <c r="BF88" s="166">
        <v>0.71599999999999997</v>
      </c>
      <c r="BG88" s="81">
        <v>4.57</v>
      </c>
      <c r="BH88" s="166">
        <v>5.2000000000000002E-6</v>
      </c>
      <c r="BI88" s="81" t="s">
        <v>385</v>
      </c>
      <c r="BJ88" s="81"/>
      <c r="BS88" s="81" t="s">
        <v>373</v>
      </c>
      <c r="BT88" s="81" t="s">
        <v>359</v>
      </c>
      <c r="BU88" s="166">
        <v>113000000</v>
      </c>
      <c r="BV88" s="166">
        <v>48700000</v>
      </c>
      <c r="BW88" s="81">
        <v>2.3199999999999998</v>
      </c>
      <c r="BX88" s="166">
        <v>0.02</v>
      </c>
      <c r="BY88" s="81" t="s">
        <v>418</v>
      </c>
      <c r="BZ88" s="81"/>
      <c r="CO88" s="243" t="s">
        <v>373</v>
      </c>
      <c r="CP88" s="243" t="s">
        <v>396</v>
      </c>
      <c r="CQ88" s="244">
        <v>-27.1</v>
      </c>
      <c r="CR88" s="244">
        <v>35.4</v>
      </c>
      <c r="CS88" s="243">
        <v>-0.77</v>
      </c>
      <c r="CT88" s="243">
        <v>0.44400000000000001</v>
      </c>
      <c r="CV88" s="81"/>
    </row>
    <row r="89" spans="55:100" thickTop="1" thickBot="1" x14ac:dyDescent="0.3">
      <c r="BC89" s="81" t="s">
        <v>373</v>
      </c>
      <c r="BD89" s="81" t="s">
        <v>425</v>
      </c>
      <c r="BE89" s="166">
        <v>-1.33</v>
      </c>
      <c r="BF89" s="166">
        <v>0.96699999999999997</v>
      </c>
      <c r="BG89" s="81">
        <v>-1.38</v>
      </c>
      <c r="BH89" s="81">
        <v>0.17</v>
      </c>
      <c r="BI89" s="81"/>
      <c r="BJ89" s="81"/>
      <c r="BS89" s="81" t="s">
        <v>373</v>
      </c>
      <c r="BT89" s="81" t="s">
        <v>401</v>
      </c>
      <c r="BU89" s="166">
        <v>-16.5</v>
      </c>
      <c r="BV89" s="166">
        <v>67</v>
      </c>
      <c r="BW89" s="81">
        <v>-0.25</v>
      </c>
      <c r="BX89" s="81">
        <v>0.81</v>
      </c>
      <c r="BY89" s="166"/>
      <c r="BZ89" s="81" t="s">
        <v>385</v>
      </c>
      <c r="CO89" s="243" t="s">
        <v>373</v>
      </c>
      <c r="CP89" s="243" t="s">
        <v>397</v>
      </c>
      <c r="CQ89" s="244">
        <v>-13.5</v>
      </c>
      <c r="CR89" s="244">
        <v>52.2</v>
      </c>
      <c r="CS89" s="243">
        <v>-0.26</v>
      </c>
      <c r="CT89" s="243">
        <v>0.79600000000000004</v>
      </c>
      <c r="CV89" s="81"/>
    </row>
    <row r="90" spans="55:100" thickTop="1" thickBot="1" x14ac:dyDescent="0.3">
      <c r="BC90" s="81" t="s">
        <v>373</v>
      </c>
      <c r="BD90" s="81" t="s">
        <v>430</v>
      </c>
      <c r="BE90" s="166">
        <v>5.4399999999999997E-2</v>
      </c>
      <c r="BF90" s="166">
        <v>1.76E-4</v>
      </c>
      <c r="BG90" s="81">
        <v>309.37</v>
      </c>
      <c r="BH90" s="81" t="s">
        <v>420</v>
      </c>
      <c r="BI90" s="166">
        <v>2E-16</v>
      </c>
      <c r="BJ90" s="81" t="s">
        <v>385</v>
      </c>
      <c r="BS90" s="81" t="s">
        <v>373</v>
      </c>
      <c r="BT90" s="81" t="s">
        <v>425</v>
      </c>
      <c r="BU90" s="166">
        <v>-13.4</v>
      </c>
      <c r="BV90" s="166">
        <v>132</v>
      </c>
      <c r="BW90" s="81">
        <v>-0.1</v>
      </c>
      <c r="BX90" s="81">
        <v>0.92</v>
      </c>
      <c r="BY90" s="166"/>
      <c r="BZ90" s="81" t="s">
        <v>385</v>
      </c>
      <c r="CO90" s="243" t="s">
        <v>373</v>
      </c>
      <c r="CP90" s="243" t="s">
        <v>399</v>
      </c>
      <c r="CQ90" s="244">
        <v>-14.6</v>
      </c>
      <c r="CR90" s="244">
        <v>65.2</v>
      </c>
      <c r="CS90" s="243">
        <v>-0.22</v>
      </c>
      <c r="CT90" s="243">
        <v>0.82299999999999995</v>
      </c>
      <c r="CV90" s="81"/>
    </row>
    <row r="91" spans="55:100" thickTop="1" thickBot="1" x14ac:dyDescent="0.3">
      <c r="BC91" s="81" t="s">
        <v>373</v>
      </c>
      <c r="BD91" s="81" t="s">
        <v>431</v>
      </c>
      <c r="BE91" s="166">
        <v>0.16</v>
      </c>
      <c r="BF91" s="166">
        <v>5.0500000000000002E-4</v>
      </c>
      <c r="BG91" s="81">
        <v>315.95999999999998</v>
      </c>
      <c r="BH91" s="81" t="s">
        <v>420</v>
      </c>
      <c r="BI91" s="166">
        <v>2E-16</v>
      </c>
      <c r="BJ91" s="81" t="s">
        <v>385</v>
      </c>
      <c r="BS91" s="81" t="s">
        <v>373</v>
      </c>
      <c r="BT91" s="81" t="s">
        <v>430</v>
      </c>
      <c r="BU91" s="166">
        <v>2.6700000000000002E-2</v>
      </c>
      <c r="BV91" s="166">
        <v>1.1E-4</v>
      </c>
      <c r="BW91" s="81">
        <v>243.55</v>
      </c>
      <c r="BX91" s="81" t="s">
        <v>384</v>
      </c>
      <c r="BY91" s="166" t="s">
        <v>385</v>
      </c>
      <c r="BZ91" s="81" t="s">
        <v>385</v>
      </c>
      <c r="CO91" s="243" t="s">
        <v>373</v>
      </c>
      <c r="CP91" s="243" t="s">
        <v>400</v>
      </c>
      <c r="CQ91" s="244">
        <v>-13.6</v>
      </c>
      <c r="CR91" s="244">
        <v>52.9</v>
      </c>
      <c r="CS91" s="243">
        <v>-0.26</v>
      </c>
      <c r="CT91" s="243">
        <v>0.79700000000000004</v>
      </c>
      <c r="CV91" s="81"/>
    </row>
    <row r="92" spans="55:100" thickTop="1" thickBot="1" x14ac:dyDescent="0.3">
      <c r="BC92" s="81" t="s">
        <v>373</v>
      </c>
      <c r="BD92" s="81" t="s">
        <v>413</v>
      </c>
      <c r="BE92" s="166">
        <v>-6.96</v>
      </c>
      <c r="BF92" s="166">
        <v>3.44E-2</v>
      </c>
      <c r="BG92" s="81">
        <v>-202.39</v>
      </c>
      <c r="BH92" s="81" t="s">
        <v>420</v>
      </c>
      <c r="BI92" s="166">
        <v>2E-16</v>
      </c>
      <c r="BJ92" s="81" t="s">
        <v>385</v>
      </c>
      <c r="BS92" s="81" t="s">
        <v>373</v>
      </c>
      <c r="BT92" s="81" t="s">
        <v>431</v>
      </c>
      <c r="BU92" s="166">
        <v>0.121</v>
      </c>
      <c r="BV92" s="166">
        <v>2.8400000000000002E-4</v>
      </c>
      <c r="BW92" s="81">
        <v>427.31</v>
      </c>
      <c r="BX92" s="81" t="s">
        <v>384</v>
      </c>
      <c r="BY92" s="166" t="s">
        <v>385</v>
      </c>
      <c r="BZ92" s="81" t="s">
        <v>385</v>
      </c>
      <c r="CO92" s="243" t="s">
        <v>373</v>
      </c>
      <c r="CP92" s="243" t="s">
        <v>402</v>
      </c>
      <c r="CQ92" s="244">
        <v>0.14099999999999999</v>
      </c>
      <c r="CR92" s="244">
        <v>6.7900000000000002E-4</v>
      </c>
      <c r="CS92" s="243">
        <v>207.77</v>
      </c>
      <c r="CT92" s="243" t="s">
        <v>420</v>
      </c>
      <c r="CU92" s="244">
        <v>2E-16</v>
      </c>
      <c r="CV92" s="81" t="s">
        <v>385</v>
      </c>
    </row>
    <row r="93" spans="55:100" thickTop="1" thickBot="1" x14ac:dyDescent="0.3">
      <c r="BC93" s="81" t="s">
        <v>373</v>
      </c>
      <c r="BD93" s="81" t="s">
        <v>426</v>
      </c>
      <c r="BE93" s="166">
        <v>-3.98</v>
      </c>
      <c r="BF93" s="166">
        <v>4.7100000000000003E-2</v>
      </c>
      <c r="BG93" s="81">
        <v>-84.36</v>
      </c>
      <c r="BH93" s="81" t="s">
        <v>420</v>
      </c>
      <c r="BI93" s="166">
        <v>2E-16</v>
      </c>
      <c r="BJ93" s="81" t="s">
        <v>385</v>
      </c>
      <c r="BS93" s="81" t="s">
        <v>373</v>
      </c>
      <c r="BT93" s="81" t="s">
        <v>413</v>
      </c>
      <c r="BU93" s="166">
        <v>-5.48</v>
      </c>
      <c r="BV93" s="166">
        <v>1.5299999999999999E-2</v>
      </c>
      <c r="BW93" s="81">
        <v>-358.38</v>
      </c>
      <c r="BX93" s="81" t="s">
        <v>384</v>
      </c>
      <c r="BY93" s="166" t="s">
        <v>385</v>
      </c>
      <c r="BZ93" s="81" t="s">
        <v>385</v>
      </c>
      <c r="CO93" s="243" t="s">
        <v>373</v>
      </c>
      <c r="CP93" s="243" t="s">
        <v>403</v>
      </c>
      <c r="CQ93" s="244">
        <v>4.7899999999999998E-2</v>
      </c>
      <c r="CR93" s="244">
        <v>2.33E-4</v>
      </c>
      <c r="CS93" s="243">
        <v>205.94</v>
      </c>
      <c r="CT93" s="243" t="s">
        <v>420</v>
      </c>
      <c r="CU93" s="244">
        <v>2E-16</v>
      </c>
      <c r="CV93" s="81" t="s">
        <v>385</v>
      </c>
    </row>
    <row r="94" spans="55:100" thickTop="1" thickBot="1" x14ac:dyDescent="0.3">
      <c r="BC94" s="81" t="s">
        <v>373</v>
      </c>
      <c r="BD94" s="81" t="s">
        <v>365</v>
      </c>
      <c r="BE94" s="166">
        <v>476</v>
      </c>
      <c r="BF94" s="166">
        <v>0.70699999999999996</v>
      </c>
      <c r="BG94" s="81">
        <v>673.36</v>
      </c>
      <c r="BH94" s="81" t="s">
        <v>420</v>
      </c>
      <c r="BI94" s="166">
        <v>2E-16</v>
      </c>
      <c r="BJ94" s="81" t="s">
        <v>385</v>
      </c>
      <c r="BS94" s="81" t="s">
        <v>373</v>
      </c>
      <c r="BT94" s="81" t="s">
        <v>426</v>
      </c>
      <c r="BU94" s="166">
        <v>-5.1100000000000003</v>
      </c>
      <c r="BV94" s="166">
        <v>1.72E-2</v>
      </c>
      <c r="BW94" s="81">
        <v>-296.77</v>
      </c>
      <c r="BX94" s="81" t="s">
        <v>384</v>
      </c>
      <c r="BY94" s="81" t="s">
        <v>385</v>
      </c>
      <c r="BZ94" s="81"/>
      <c r="CO94" s="243" t="s">
        <v>373</v>
      </c>
      <c r="CP94" s="243" t="s">
        <v>404</v>
      </c>
      <c r="CQ94" s="244">
        <v>0.66400000000000003</v>
      </c>
      <c r="CR94" s="244">
        <v>4.28E-3</v>
      </c>
      <c r="CS94" s="243">
        <v>155.08000000000001</v>
      </c>
      <c r="CT94" s="243" t="s">
        <v>420</v>
      </c>
      <c r="CU94" s="244">
        <v>2E-16</v>
      </c>
      <c r="CV94" s="81" t="s">
        <v>385</v>
      </c>
    </row>
    <row r="95" spans="55:100" thickTop="1" thickBot="1" x14ac:dyDescent="0.3">
      <c r="BC95" s="81" t="s">
        <v>373</v>
      </c>
      <c r="BD95" s="81" t="s">
        <v>367</v>
      </c>
      <c r="BE95" s="166">
        <v>3410</v>
      </c>
      <c r="BF95" s="166">
        <v>3.6</v>
      </c>
      <c r="BG95" s="81">
        <v>945.88</v>
      </c>
      <c r="BH95" s="81" t="s">
        <v>420</v>
      </c>
      <c r="BI95" s="166">
        <v>2E-16</v>
      </c>
      <c r="BJ95" s="81" t="s">
        <v>385</v>
      </c>
      <c r="BS95" s="81" t="s">
        <v>373</v>
      </c>
      <c r="BT95" s="81" t="s">
        <v>365</v>
      </c>
      <c r="BU95" s="166">
        <v>78.400000000000006</v>
      </c>
      <c r="BV95" s="166">
        <v>0.80500000000000005</v>
      </c>
      <c r="BW95" s="81">
        <v>97.36</v>
      </c>
      <c r="BX95" s="81" t="s">
        <v>384</v>
      </c>
      <c r="BY95" s="166" t="s">
        <v>385</v>
      </c>
      <c r="BZ95" s="81" t="s">
        <v>385</v>
      </c>
      <c r="CO95" s="243" t="s">
        <v>373</v>
      </c>
      <c r="CP95" s="243" t="s">
        <v>405</v>
      </c>
      <c r="CQ95" s="244">
        <v>0.106</v>
      </c>
      <c r="CR95" s="244">
        <v>9.5299999999999996E-4</v>
      </c>
      <c r="CS95" s="243">
        <v>111.51</v>
      </c>
      <c r="CT95" s="243" t="s">
        <v>420</v>
      </c>
      <c r="CU95" s="244">
        <v>2E-16</v>
      </c>
      <c r="CV95" s="81" t="s">
        <v>385</v>
      </c>
    </row>
    <row r="96" spans="55:100" thickTop="1" thickBot="1" x14ac:dyDescent="0.3">
      <c r="BC96" s="81" t="s">
        <v>373</v>
      </c>
      <c r="BD96" s="81" t="s">
        <v>369</v>
      </c>
      <c r="BE96" s="166">
        <v>989</v>
      </c>
      <c r="BF96" s="166">
        <v>2.68</v>
      </c>
      <c r="BG96" s="81">
        <v>369.05</v>
      </c>
      <c r="BH96" s="81" t="s">
        <v>420</v>
      </c>
      <c r="BI96" s="166">
        <v>2E-16</v>
      </c>
      <c r="BJ96" s="81" t="s">
        <v>385</v>
      </c>
      <c r="BS96" s="81" t="s">
        <v>373</v>
      </c>
      <c r="BT96" s="81" t="s">
        <v>367</v>
      </c>
      <c r="BU96" s="166">
        <v>5.5999999999999995E-4</v>
      </c>
      <c r="BV96" s="166">
        <v>6.08E-2</v>
      </c>
      <c r="BW96" s="81">
        <v>0.01</v>
      </c>
      <c r="BX96" s="81">
        <v>0.99</v>
      </c>
      <c r="BY96" s="81"/>
      <c r="CO96" s="243" t="s">
        <v>373</v>
      </c>
      <c r="CP96" s="243" t="s">
        <v>407</v>
      </c>
      <c r="CQ96" s="244">
        <v>354</v>
      </c>
      <c r="CR96" s="244">
        <v>2.85</v>
      </c>
      <c r="CS96" s="243">
        <v>124.2</v>
      </c>
      <c r="CT96" s="243" t="s">
        <v>420</v>
      </c>
      <c r="CU96" s="244">
        <v>2E-16</v>
      </c>
      <c r="CV96" s="81" t="s">
        <v>385</v>
      </c>
    </row>
    <row r="97" spans="71:100" thickTop="1" thickBot="1" x14ac:dyDescent="0.3">
      <c r="BS97" s="81" t="s">
        <v>373</v>
      </c>
      <c r="BT97" s="81" t="s">
        <v>369</v>
      </c>
      <c r="BU97" s="166">
        <v>236</v>
      </c>
      <c r="BV97" s="166">
        <v>1.49</v>
      </c>
      <c r="BW97" s="81">
        <v>158.13999999999999</v>
      </c>
      <c r="BX97" s="81" t="s">
        <v>384</v>
      </c>
      <c r="BY97" s="81" t="s">
        <v>385</v>
      </c>
      <c r="CO97" s="243" t="s">
        <v>373</v>
      </c>
      <c r="CP97" s="243" t="s">
        <v>290</v>
      </c>
      <c r="CQ97" s="244">
        <v>134</v>
      </c>
      <c r="CR97" s="244">
        <v>1.47</v>
      </c>
      <c r="CS97" s="243">
        <v>91.18</v>
      </c>
      <c r="CT97" s="243" t="s">
        <v>420</v>
      </c>
      <c r="CU97" s="244">
        <v>2E-16</v>
      </c>
      <c r="CV97" s="81" t="s">
        <v>385</v>
      </c>
    </row>
    <row r="98" spans="71:100" thickTop="1" thickBot="1" x14ac:dyDescent="0.3">
      <c r="CO98" s="243" t="s">
        <v>373</v>
      </c>
      <c r="CP98" s="243" t="s">
        <v>120</v>
      </c>
      <c r="CQ98" s="244">
        <v>129</v>
      </c>
      <c r="CR98" s="244">
        <v>1.77</v>
      </c>
      <c r="CS98" s="243">
        <v>72.790000000000006</v>
      </c>
      <c r="CT98" s="243" t="s">
        <v>420</v>
      </c>
      <c r="CU98" s="244">
        <v>2E-16</v>
      </c>
      <c r="CV98" s="81" t="s">
        <v>385</v>
      </c>
    </row>
    <row r="99" spans="71:100" thickTop="1" thickBot="1" x14ac:dyDescent="0.3">
      <c r="CO99" s="243" t="s">
        <v>373</v>
      </c>
      <c r="CP99" s="243" t="s">
        <v>409</v>
      </c>
      <c r="CQ99" s="244">
        <v>-6.03</v>
      </c>
      <c r="CR99" s="244">
        <v>1.7500000000000002E-2</v>
      </c>
      <c r="CS99" s="243">
        <v>-343.91</v>
      </c>
      <c r="CT99" s="243" t="s">
        <v>420</v>
      </c>
      <c r="CU99" s="244">
        <v>2E-16</v>
      </c>
      <c r="CV99" s="81" t="s">
        <v>385</v>
      </c>
    </row>
    <row r="100" spans="71:100" thickTop="1" thickBot="1" x14ac:dyDescent="0.3">
      <c r="CO100" s="243" t="s">
        <v>373</v>
      </c>
      <c r="CP100" s="243" t="s">
        <v>410</v>
      </c>
      <c r="CQ100" s="244">
        <v>-5.74</v>
      </c>
      <c r="CR100" s="244">
        <v>1.6299999999999999E-2</v>
      </c>
      <c r="CS100" s="243">
        <v>-352.19</v>
      </c>
      <c r="CT100" s="243" t="s">
        <v>420</v>
      </c>
      <c r="CU100" s="244">
        <v>2E-16</v>
      </c>
      <c r="CV100" s="81" t="s">
        <v>385</v>
      </c>
    </row>
    <row r="101" spans="71:100" thickTop="1" thickBot="1" x14ac:dyDescent="0.3">
      <c r="CO101" s="243" t="s">
        <v>373</v>
      </c>
      <c r="CP101" s="243" t="s">
        <v>411</v>
      </c>
      <c r="CQ101" s="244">
        <v>-5.74</v>
      </c>
      <c r="CR101" s="244">
        <v>2.3E-2</v>
      </c>
      <c r="CS101" s="243">
        <v>-249.52</v>
      </c>
      <c r="CT101" s="243" t="s">
        <v>420</v>
      </c>
      <c r="CU101" s="244">
        <v>2E-16</v>
      </c>
      <c r="CV101" s="81" t="s">
        <v>385</v>
      </c>
    </row>
    <row r="102" spans="71:100" thickTop="1" thickBot="1" x14ac:dyDescent="0.3">
      <c r="CO102" s="243" t="s">
        <v>373</v>
      </c>
      <c r="CP102" s="243" t="s">
        <v>412</v>
      </c>
      <c r="CQ102" s="244">
        <v>-5.4</v>
      </c>
      <c r="CR102" s="244">
        <v>1.7100000000000001E-2</v>
      </c>
      <c r="CS102" s="243">
        <v>-316.68</v>
      </c>
      <c r="CT102" s="243" t="s">
        <v>420</v>
      </c>
      <c r="CU102" s="244">
        <v>2E-16</v>
      </c>
      <c r="CV102" s="81" t="s">
        <v>385</v>
      </c>
    </row>
    <row r="103" spans="71:100" thickTop="1" thickBot="1" x14ac:dyDescent="0.3">
      <c r="CO103" s="243" t="s">
        <v>373</v>
      </c>
      <c r="CP103" s="243" t="s">
        <v>414</v>
      </c>
      <c r="CQ103" s="244">
        <v>1.0200000000000001E-3</v>
      </c>
      <c r="CR103" s="244">
        <v>2.12E-5</v>
      </c>
      <c r="CS103" s="243">
        <v>48.2</v>
      </c>
      <c r="CT103" s="243" t="s">
        <v>420</v>
      </c>
      <c r="CU103" s="244">
        <v>2E-16</v>
      </c>
      <c r="CV103" s="81" t="s">
        <v>385</v>
      </c>
    </row>
    <row r="104" spans="71:100" thickTop="1" thickBot="1" x14ac:dyDescent="0.3">
      <c r="CO104" s="243" t="s">
        <v>373</v>
      </c>
      <c r="CP104" s="243" t="s">
        <v>415</v>
      </c>
      <c r="CQ104" s="244">
        <v>239</v>
      </c>
      <c r="CR104" s="244">
        <v>2.78</v>
      </c>
      <c r="CS104" s="243">
        <v>86.2</v>
      </c>
      <c r="CT104" s="243" t="s">
        <v>420</v>
      </c>
      <c r="CU104" s="244">
        <v>2E-16</v>
      </c>
      <c r="CV104" s="81" t="s">
        <v>385</v>
      </c>
    </row>
    <row r="105" spans="71:100" thickTop="1" thickBot="1" x14ac:dyDescent="0.3">
      <c r="CO105" s="243" t="s">
        <v>373</v>
      </c>
      <c r="CP105" s="243" t="s">
        <v>416</v>
      </c>
      <c r="CQ105" s="244">
        <v>8040</v>
      </c>
      <c r="CR105" s="244">
        <v>1410</v>
      </c>
      <c r="CS105" s="243">
        <v>5.71</v>
      </c>
      <c r="CT105" s="244">
        <v>1.2E-8</v>
      </c>
      <c r="CU105" s="243" t="s">
        <v>385</v>
      </c>
      <c r="CV105" s="81"/>
    </row>
    <row r="107" spans="71:100" thickTop="1" thickBot="1" x14ac:dyDescent="0.3">
      <c r="CO107" s="243" t="s">
        <v>507</v>
      </c>
    </row>
    <row r="108" spans="71:100" thickTop="1" thickBot="1" x14ac:dyDescent="0.3">
      <c r="CO108" s="243" t="s">
        <v>373</v>
      </c>
      <c r="CP108" s="243" t="s">
        <v>422</v>
      </c>
      <c r="CQ108" s="244">
        <v>289</v>
      </c>
      <c r="CR108" s="244">
        <v>0.19800000000000001</v>
      </c>
      <c r="CS108" s="243">
        <v>1461.44</v>
      </c>
      <c r="CT108" s="243" t="s">
        <v>384</v>
      </c>
      <c r="CU108" s="244" t="s">
        <v>385</v>
      </c>
      <c r="CV108" s="243" t="s">
        <v>385</v>
      </c>
    </row>
    <row r="109" spans="71:100" thickTop="1" thickBot="1" x14ac:dyDescent="0.3">
      <c r="CO109" s="243" t="s">
        <v>373</v>
      </c>
      <c r="CP109" s="243" t="s">
        <v>423</v>
      </c>
      <c r="CQ109" s="244">
        <v>297</v>
      </c>
      <c r="CR109" s="244">
        <v>0.158</v>
      </c>
      <c r="CS109" s="243">
        <v>1880.59</v>
      </c>
      <c r="CT109" s="243" t="s">
        <v>384</v>
      </c>
      <c r="CU109" s="244" t="s">
        <v>385</v>
      </c>
      <c r="CV109" s="81" t="s">
        <v>385</v>
      </c>
    </row>
    <row r="110" spans="71:100" thickTop="1" thickBot="1" x14ac:dyDescent="0.3">
      <c r="CO110" s="243" t="s">
        <v>373</v>
      </c>
      <c r="CP110" s="243" t="s">
        <v>353</v>
      </c>
      <c r="CQ110" s="244">
        <v>4.9399999999999999E-2</v>
      </c>
      <c r="CR110" s="244">
        <v>1.83E-3</v>
      </c>
      <c r="CS110" s="243">
        <v>26.99</v>
      </c>
      <c r="CT110" s="244" t="s">
        <v>384</v>
      </c>
      <c r="CU110" s="243" t="s">
        <v>385</v>
      </c>
      <c r="CV110" s="81"/>
    </row>
    <row r="111" spans="71:100" thickTop="1" thickBot="1" x14ac:dyDescent="0.3">
      <c r="CO111" s="243" t="s">
        <v>373</v>
      </c>
      <c r="CP111" s="243" t="s">
        <v>355</v>
      </c>
      <c r="CQ111" s="244">
        <v>0.23899999999999999</v>
      </c>
      <c r="CR111" s="244">
        <v>9.4999999999999998E-3</v>
      </c>
      <c r="CS111" s="243">
        <v>25.17</v>
      </c>
      <c r="CT111" s="244" t="s">
        <v>384</v>
      </c>
      <c r="CU111" s="243" t="s">
        <v>385</v>
      </c>
      <c r="CV111" s="81"/>
    </row>
    <row r="112" spans="71:100" thickTop="1" thickBot="1" x14ac:dyDescent="0.3">
      <c r="CO112" s="243" t="s">
        <v>373</v>
      </c>
      <c r="CP112" s="243" t="s">
        <v>424</v>
      </c>
      <c r="CQ112" s="244">
        <v>994000000</v>
      </c>
      <c r="CR112" s="244">
        <v>28700000</v>
      </c>
      <c r="CS112" s="243">
        <v>34.630000000000003</v>
      </c>
      <c r="CT112" s="244" t="s">
        <v>384</v>
      </c>
      <c r="CU112" s="243" t="s">
        <v>385</v>
      </c>
      <c r="CV112" s="81"/>
    </row>
    <row r="113" spans="93:100" thickTop="1" thickBot="1" x14ac:dyDescent="0.3">
      <c r="CO113" s="243" t="s">
        <v>373</v>
      </c>
      <c r="CP113" s="243" t="s">
        <v>359</v>
      </c>
      <c r="CQ113" s="244">
        <v>139000000</v>
      </c>
      <c r="CR113" s="244">
        <v>71300000</v>
      </c>
      <c r="CS113" s="243">
        <v>1.95</v>
      </c>
      <c r="CT113" s="244">
        <v>5.0999999999999997E-2</v>
      </c>
      <c r="CU113" s="243" t="s">
        <v>428</v>
      </c>
      <c r="CV113" s="81"/>
    </row>
    <row r="114" spans="93:100" thickTop="1" thickBot="1" x14ac:dyDescent="0.3">
      <c r="CO114" s="243" t="s">
        <v>373</v>
      </c>
      <c r="CP114" s="243" t="s">
        <v>401</v>
      </c>
      <c r="CQ114" s="244">
        <v>-17.899999999999999</v>
      </c>
      <c r="CR114" s="244">
        <v>368</v>
      </c>
      <c r="CS114" s="243">
        <v>-0.05</v>
      </c>
      <c r="CT114" s="243">
        <v>0.96099999999999997</v>
      </c>
      <c r="CU114" s="244"/>
      <c r="CV114" s="81" t="s">
        <v>385</v>
      </c>
    </row>
    <row r="115" spans="93:100" thickTop="1" thickBot="1" x14ac:dyDescent="0.3">
      <c r="CO115" s="243" t="s">
        <v>373</v>
      </c>
      <c r="CP115" s="243" t="s">
        <v>425</v>
      </c>
      <c r="CQ115" s="244">
        <v>-12.9</v>
      </c>
      <c r="CR115" s="244">
        <v>75.900000000000006</v>
      </c>
      <c r="CS115" s="243">
        <v>-0.17</v>
      </c>
      <c r="CT115" s="243">
        <v>0.86499999999999999</v>
      </c>
      <c r="CU115" s="244"/>
      <c r="CV115" s="81" t="s">
        <v>385</v>
      </c>
    </row>
    <row r="116" spans="93:100" thickTop="1" thickBot="1" x14ac:dyDescent="0.3">
      <c r="CO116" s="243" t="s">
        <v>373</v>
      </c>
      <c r="CP116" s="243" t="s">
        <v>430</v>
      </c>
      <c r="CQ116" s="244">
        <v>2.2700000000000001E-2</v>
      </c>
      <c r="CR116" s="244">
        <v>1.5799999999999999E-4</v>
      </c>
      <c r="CS116" s="243">
        <v>143.63</v>
      </c>
      <c r="CT116" s="243" t="s">
        <v>384</v>
      </c>
      <c r="CU116" s="244" t="s">
        <v>385</v>
      </c>
      <c r="CV116" s="81" t="s">
        <v>385</v>
      </c>
    </row>
    <row r="117" spans="93:100" thickTop="1" thickBot="1" x14ac:dyDescent="0.3">
      <c r="CO117" s="243" t="s">
        <v>373</v>
      </c>
      <c r="CP117" s="243" t="s">
        <v>431</v>
      </c>
      <c r="CQ117" s="244">
        <v>0.104</v>
      </c>
      <c r="CR117" s="244">
        <v>4.5199999999999998E-4</v>
      </c>
      <c r="CS117" s="243">
        <v>229.59</v>
      </c>
      <c r="CT117" s="243" t="s">
        <v>384</v>
      </c>
      <c r="CU117" s="244" t="s">
        <v>385</v>
      </c>
      <c r="CV117" s="81" t="s">
        <v>385</v>
      </c>
    </row>
    <row r="118" spans="93:100" thickTop="1" thickBot="1" x14ac:dyDescent="0.3">
      <c r="CO118" s="243" t="s">
        <v>373</v>
      </c>
      <c r="CP118" s="243" t="s">
        <v>413</v>
      </c>
      <c r="CQ118" s="244">
        <v>-5.27</v>
      </c>
      <c r="CR118" s="244">
        <v>1.7299999999999999E-2</v>
      </c>
      <c r="CS118" s="243">
        <v>-304.66000000000003</v>
      </c>
      <c r="CT118" s="243" t="s">
        <v>384</v>
      </c>
      <c r="CU118" s="244" t="s">
        <v>385</v>
      </c>
      <c r="CV118" s="81" t="s">
        <v>385</v>
      </c>
    </row>
    <row r="119" spans="93:100" thickTop="1" thickBot="1" x14ac:dyDescent="0.3">
      <c r="CO119" s="243" t="s">
        <v>373</v>
      </c>
      <c r="CP119" s="243" t="s">
        <v>426</v>
      </c>
      <c r="CQ119" s="244">
        <v>-5.03</v>
      </c>
      <c r="CR119" s="244">
        <v>1.6199999999999999E-2</v>
      </c>
      <c r="CS119" s="243">
        <v>-310.04000000000002</v>
      </c>
      <c r="CT119" s="243" t="s">
        <v>384</v>
      </c>
      <c r="CU119" s="243" t="s">
        <v>385</v>
      </c>
      <c r="CV119" s="81"/>
    </row>
    <row r="120" spans="93:100" thickTop="1" thickBot="1" x14ac:dyDescent="0.3">
      <c r="CO120" s="243" t="s">
        <v>373</v>
      </c>
      <c r="CP120" s="243" t="s">
        <v>365</v>
      </c>
      <c r="CQ120" s="244">
        <v>95.1</v>
      </c>
      <c r="CR120" s="244">
        <v>0.752</v>
      </c>
      <c r="CS120" s="243">
        <v>126.42</v>
      </c>
      <c r="CT120" s="243" t="s">
        <v>384</v>
      </c>
      <c r="CU120" s="244" t="s">
        <v>385</v>
      </c>
      <c r="CV120" s="81" t="s">
        <v>385</v>
      </c>
    </row>
    <row r="121" spans="93:100" thickTop="1" thickBot="1" x14ac:dyDescent="0.3">
      <c r="CO121" s="243" t="s">
        <v>373</v>
      </c>
      <c r="CP121" s="243" t="s">
        <v>367</v>
      </c>
      <c r="CQ121" s="244">
        <v>1.1100000000000001E-3</v>
      </c>
      <c r="CR121" s="244">
        <v>0.11</v>
      </c>
      <c r="CS121" s="243">
        <v>0.01</v>
      </c>
      <c r="CT121" s="243">
        <v>0.99199999999999999</v>
      </c>
    </row>
    <row r="122" spans="93:100" thickTop="1" thickBot="1" x14ac:dyDescent="0.3">
      <c r="CO122" s="243" t="s">
        <v>373</v>
      </c>
      <c r="CP122" s="243" t="s">
        <v>369</v>
      </c>
      <c r="CQ122" s="244">
        <v>233</v>
      </c>
      <c r="CR122" s="244">
        <v>2.23</v>
      </c>
      <c r="CS122" s="243">
        <v>104.69</v>
      </c>
      <c r="CT122" s="243" t="s">
        <v>384</v>
      </c>
      <c r="CU122" s="243" t="s">
        <v>385</v>
      </c>
    </row>
  </sheetData>
  <mergeCells count="8">
    <mergeCell ref="W3:AH3"/>
    <mergeCell ref="F33:G33"/>
    <mergeCell ref="F34:G34"/>
    <mergeCell ref="F36:G36"/>
    <mergeCell ref="B1:H1"/>
    <mergeCell ref="B3:I3"/>
    <mergeCell ref="K3:U3"/>
    <mergeCell ref="L4:P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122"/>
  <sheetViews>
    <sheetView zoomScale="70" zoomScaleNormal="70" workbookViewId="0">
      <selection activeCell="A57" sqref="A57:E69"/>
    </sheetView>
  </sheetViews>
  <sheetFormatPr defaultColWidth="9.140625" defaultRowHeight="16.5" thickTop="1" thickBottom="1" x14ac:dyDescent="0.3"/>
  <cols>
    <col min="1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2"/>
    <col min="19" max="19" width="13.28515625" style="81" bestFit="1" customWidth="1"/>
    <col min="20" max="21" width="9.140625" style="81"/>
    <col min="22" max="22" width="9.140625" style="1"/>
    <col min="23" max="34" width="9.140625" style="172"/>
    <col min="35" max="35" width="9.140625" style="81"/>
    <col min="36" max="37" width="9.140625" style="157"/>
    <col min="38" max="38" width="9.140625" style="158"/>
    <col min="39" max="39" width="10.28515625" style="158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0"/>
    <col min="52" max="52" width="14.7109375" style="161" bestFit="1" customWidth="1"/>
    <col min="53" max="53" width="9.140625" style="160"/>
    <col min="54" max="54" width="9.140625" style="170"/>
    <col min="55" max="67" width="9.140625" style="81"/>
    <col min="68" max="68" width="15.42578125" style="81" customWidth="1"/>
    <col min="69" max="69" width="9.140625" style="81"/>
    <col min="70" max="70" width="9.140625" style="170"/>
    <col min="71" max="82" width="9.140625" style="81"/>
    <col min="83" max="83" width="15" style="81" bestFit="1" customWidth="1"/>
    <col min="84" max="85" width="9.140625" style="81"/>
    <col min="86" max="86" width="9.140625" style="238"/>
    <col min="87" max="92" width="9.140625" style="81"/>
    <col min="93" max="99" width="9.140625" style="243"/>
    <col min="100" max="100" width="9.140625" style="81"/>
    <col min="101" max="101" width="15.5703125" style="245" bestFit="1" customWidth="1"/>
    <col min="102" max="103" width="9.140625" style="245"/>
    <col min="104" max="104" width="10.28515625" style="245" customWidth="1"/>
    <col min="105" max="105" width="9.140625" style="245"/>
    <col min="106" max="16384" width="9.140625" style="81"/>
  </cols>
  <sheetData>
    <row r="1" spans="2:105" ht="20.25" customHeight="1" thickTop="1" thickBot="1" x14ac:dyDescent="0.35">
      <c r="B1" s="277" t="s">
        <v>307</v>
      </c>
      <c r="C1" s="277"/>
      <c r="D1" s="277"/>
      <c r="E1" s="277"/>
      <c r="F1" s="277"/>
      <c r="G1" s="277"/>
      <c r="H1" s="277"/>
      <c r="AO1" s="159" t="s">
        <v>309</v>
      </c>
      <c r="BS1" s="81" t="s">
        <v>427</v>
      </c>
    </row>
    <row r="2" spans="2:105" thickTop="1" thickBot="1" x14ac:dyDescent="0.3">
      <c r="AO2" s="81" t="s">
        <v>310</v>
      </c>
      <c r="CA2" s="165" t="s">
        <v>313</v>
      </c>
      <c r="CB2" s="160"/>
      <c r="CC2" s="160"/>
      <c r="CD2" s="160"/>
      <c r="CE2" s="161"/>
      <c r="CF2" s="160"/>
      <c r="CI2" s="81" t="s">
        <v>311</v>
      </c>
      <c r="CJ2" s="79" t="s">
        <v>437</v>
      </c>
      <c r="CK2" s="79" t="s">
        <v>438</v>
      </c>
      <c r="CL2" s="79" t="s">
        <v>439</v>
      </c>
      <c r="CO2" s="243" t="s">
        <v>440</v>
      </c>
    </row>
    <row r="3" spans="2:105" thickTop="1" thickBot="1" x14ac:dyDescent="0.3">
      <c r="B3" s="281" t="s">
        <v>1</v>
      </c>
      <c r="C3" s="282"/>
      <c r="D3" s="282"/>
      <c r="E3" s="282"/>
      <c r="F3" s="282"/>
      <c r="G3" s="282"/>
      <c r="H3" s="282"/>
      <c r="I3" s="283"/>
      <c r="K3" s="274" t="s">
        <v>2</v>
      </c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4"/>
      <c r="W3" s="280" t="s">
        <v>3</v>
      </c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O3" s="162" t="s">
        <v>311</v>
      </c>
      <c r="AP3" s="163" t="s">
        <v>312</v>
      </c>
      <c r="AQ3" s="163"/>
      <c r="AR3" s="164"/>
      <c r="AS3" s="164"/>
      <c r="AT3" s="164"/>
      <c r="AV3" s="165" t="s">
        <v>313</v>
      </c>
      <c r="BC3" s="81" t="s">
        <v>373</v>
      </c>
      <c r="BD3" s="81" t="s">
        <v>374</v>
      </c>
      <c r="BE3" s="81" t="s">
        <v>375</v>
      </c>
      <c r="BL3" s="165" t="s">
        <v>313</v>
      </c>
      <c r="BM3" s="160"/>
      <c r="BN3" s="160"/>
      <c r="BO3" s="160"/>
      <c r="BP3" s="161"/>
      <c r="BQ3" s="160"/>
      <c r="BS3" s="81" t="s">
        <v>373</v>
      </c>
      <c r="BT3" s="81" t="s">
        <v>374</v>
      </c>
      <c r="BU3" s="81" t="s">
        <v>375</v>
      </c>
      <c r="CA3" s="167" t="s">
        <v>314</v>
      </c>
      <c r="CB3" s="167" t="s">
        <v>315</v>
      </c>
      <c r="CC3" s="167" t="s">
        <v>316</v>
      </c>
      <c r="CD3" s="171" t="s">
        <v>318</v>
      </c>
      <c r="CE3" s="161">
        <f>BU11</f>
        <v>0.22</v>
      </c>
      <c r="CF3" s="167" t="s">
        <v>317</v>
      </c>
      <c r="CI3" s="81" t="s">
        <v>316</v>
      </c>
      <c r="CJ3" s="239">
        <f>AZ4</f>
        <v>0.2941035384173743</v>
      </c>
      <c r="CK3" s="239">
        <f>BP4</f>
        <v>0.18</v>
      </c>
      <c r="CL3" s="239">
        <f>CE3</f>
        <v>0.22</v>
      </c>
      <c r="CO3" s="243" t="s">
        <v>373</v>
      </c>
      <c r="CP3" s="243" t="s">
        <v>374</v>
      </c>
      <c r="CQ3" s="243" t="s">
        <v>441</v>
      </c>
      <c r="CW3" s="245" t="s">
        <v>459</v>
      </c>
    </row>
    <row r="4" spans="2:105" ht="15.75" customHeight="1" thickTop="1" thickBot="1" x14ac:dyDescent="0.3">
      <c r="B4" s="234" t="s">
        <v>6</v>
      </c>
      <c r="C4" s="235">
        <f>'Tabula data'!B5</f>
        <v>766</v>
      </c>
      <c r="D4" s="235" t="s">
        <v>7</v>
      </c>
      <c r="E4" s="234" t="s">
        <v>8</v>
      </c>
      <c r="F4" s="235"/>
      <c r="G4" s="235"/>
      <c r="H4" s="236">
        <f>SUM(I6:I13)</f>
        <v>41.2</v>
      </c>
      <c r="I4" s="237" t="s">
        <v>9</v>
      </c>
      <c r="L4" s="284" t="s">
        <v>432</v>
      </c>
      <c r="M4" s="285"/>
      <c r="N4" s="285"/>
      <c r="O4" s="285"/>
      <c r="P4" s="286"/>
      <c r="Z4" s="221" t="s">
        <v>4</v>
      </c>
      <c r="AA4" s="221">
        <v>1.7</v>
      </c>
      <c r="AB4" s="221" t="s">
        <v>5</v>
      </c>
      <c r="AM4" s="158" t="s">
        <v>314</v>
      </c>
      <c r="AN4" s="81" t="s">
        <v>315</v>
      </c>
      <c r="AO4" s="81" t="s">
        <v>316</v>
      </c>
      <c r="AP4" s="81">
        <f>SUM(O6:O9)/SUM($O$6:$O$14,$O$26:$O$27)</f>
        <v>0.2941035384173743</v>
      </c>
      <c r="AQ4" s="81" t="s">
        <v>317</v>
      </c>
      <c r="AR4" s="166">
        <v>0.1641929</v>
      </c>
      <c r="AV4" s="167" t="s">
        <v>314</v>
      </c>
      <c r="AW4" s="167" t="s">
        <v>315</v>
      </c>
      <c r="AX4" s="167" t="s">
        <v>316</v>
      </c>
      <c r="AY4" s="168" t="s">
        <v>318</v>
      </c>
      <c r="AZ4" s="161">
        <f>AP4</f>
        <v>0.2941035384173743</v>
      </c>
      <c r="BA4" s="167" t="s">
        <v>317</v>
      </c>
      <c r="BC4" s="81" t="s">
        <v>373</v>
      </c>
      <c r="BD4" s="81" t="s">
        <v>376</v>
      </c>
      <c r="BL4" s="167" t="s">
        <v>314</v>
      </c>
      <c r="BM4" s="167" t="s">
        <v>315</v>
      </c>
      <c r="BN4" s="167" t="s">
        <v>316</v>
      </c>
      <c r="BO4" s="168" t="s">
        <v>318</v>
      </c>
      <c r="BP4" s="161">
        <f>BE11</f>
        <v>0.18</v>
      </c>
      <c r="BQ4" s="167" t="s">
        <v>317</v>
      </c>
      <c r="BS4" s="81" t="s">
        <v>373</v>
      </c>
      <c r="BT4" s="81" t="s">
        <v>376</v>
      </c>
      <c r="CA4" s="167" t="s">
        <v>314</v>
      </c>
      <c r="CB4" s="167" t="s">
        <v>315</v>
      </c>
      <c r="CC4" s="167" t="s">
        <v>319</v>
      </c>
      <c r="CD4" s="171" t="s">
        <v>318</v>
      </c>
      <c r="CE4" s="161">
        <f t="shared" ref="CE4:CE6" si="0">BU12</f>
        <v>0.45400000000000001</v>
      </c>
      <c r="CF4" s="167" t="s">
        <v>317</v>
      </c>
      <c r="CI4" s="81" t="s">
        <v>319</v>
      </c>
      <c r="CJ4" s="239">
        <f t="shared" ref="CJ4:CJ49" si="1">AZ5</f>
        <v>0.2941035384173743</v>
      </c>
      <c r="CK4" s="239">
        <f t="shared" ref="CK4:CK49" si="2">BP5</f>
        <v>0.33600000000000002</v>
      </c>
      <c r="CL4" s="239">
        <f t="shared" ref="CL4:CL49" si="3">CE4</f>
        <v>0.45400000000000001</v>
      </c>
      <c r="CO4" s="243" t="s">
        <v>373</v>
      </c>
      <c r="CP4" s="243" t="s">
        <v>376</v>
      </c>
    </row>
    <row r="5" spans="2:105" ht="15" customHeight="1" thickTop="1" thickBot="1" x14ac:dyDescent="0.3">
      <c r="B5" s="173"/>
      <c r="C5" s="174"/>
      <c r="D5" s="174"/>
      <c r="E5" s="175"/>
      <c r="F5" s="176"/>
      <c r="G5" s="176"/>
      <c r="H5" s="176"/>
      <c r="I5" s="177"/>
      <c r="K5" s="81" t="s">
        <v>10</v>
      </c>
      <c r="L5" s="201" t="s">
        <v>11</v>
      </c>
      <c r="M5" s="202" t="s">
        <v>12</v>
      </c>
      <c r="N5" s="202" t="s">
        <v>13</v>
      </c>
      <c r="O5" s="202" t="s">
        <v>14</v>
      </c>
      <c r="P5" s="20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16" t="s">
        <v>20</v>
      </c>
      <c r="Y5" s="217"/>
      <c r="Z5" s="218" t="s">
        <v>21</v>
      </c>
      <c r="AA5" s="219">
        <f>1/(1/10+SUM(AD7:AD11)+1/23)</f>
        <v>0.27481053799679722</v>
      </c>
      <c r="AB5" s="217" t="s">
        <v>5</v>
      </c>
      <c r="AC5" s="217"/>
      <c r="AD5" s="217" t="s">
        <v>22</v>
      </c>
      <c r="AE5" s="220">
        <f>SUM(AE7:AE11)</f>
        <v>85322</v>
      </c>
      <c r="AF5" s="222" t="s">
        <v>23</v>
      </c>
      <c r="AG5" s="222">
        <f>SUM(AE10:AE11)</f>
        <v>42230</v>
      </c>
      <c r="AH5" s="222"/>
      <c r="AM5" s="158" t="s">
        <v>314</v>
      </c>
      <c r="AN5" s="81" t="s">
        <v>315</v>
      </c>
      <c r="AO5" s="81" t="s">
        <v>319</v>
      </c>
      <c r="AP5" s="81">
        <f>SUM(O27)/SUM($O$6:$O$14,$O$26:$O$27)</f>
        <v>0.2941035384173743</v>
      </c>
      <c r="AQ5" s="81" t="s">
        <v>317</v>
      </c>
      <c r="AR5" s="166">
        <v>0.42146270000000002</v>
      </c>
      <c r="AV5" s="167" t="s">
        <v>314</v>
      </c>
      <c r="AW5" s="167" t="s">
        <v>315</v>
      </c>
      <c r="AX5" s="167" t="s">
        <v>319</v>
      </c>
      <c r="AY5" s="168" t="s">
        <v>318</v>
      </c>
      <c r="AZ5" s="161">
        <f t="shared" ref="AZ5:AZ7" si="4">AP5</f>
        <v>0.2941035384173743</v>
      </c>
      <c r="BA5" s="167" t="s">
        <v>317</v>
      </c>
      <c r="BC5" s="81" t="s">
        <v>373</v>
      </c>
      <c r="BD5" s="81" t="s">
        <v>377</v>
      </c>
      <c r="BE5" s="81" t="s">
        <v>378</v>
      </c>
      <c r="BF5" s="81" t="s">
        <v>379</v>
      </c>
      <c r="BG5" s="81" t="s">
        <v>380</v>
      </c>
      <c r="BH5" s="81" t="s">
        <v>381</v>
      </c>
      <c r="BI5" s="81" t="s">
        <v>382</v>
      </c>
      <c r="BL5" s="167" t="s">
        <v>314</v>
      </c>
      <c r="BM5" s="167" t="s">
        <v>315</v>
      </c>
      <c r="BN5" s="167" t="s">
        <v>319</v>
      </c>
      <c r="BO5" s="168" t="s">
        <v>318</v>
      </c>
      <c r="BP5" s="161">
        <f t="shared" ref="BP5:BP7" si="5">BE12</f>
        <v>0.33600000000000002</v>
      </c>
      <c r="BQ5" s="167" t="s">
        <v>317</v>
      </c>
      <c r="BS5" s="81" t="s">
        <v>373</v>
      </c>
      <c r="BT5" s="81" t="s">
        <v>377</v>
      </c>
      <c r="BU5" s="81" t="s">
        <v>378</v>
      </c>
      <c r="BV5" s="81" t="s">
        <v>379</v>
      </c>
      <c r="BW5" s="81" t="s">
        <v>380</v>
      </c>
      <c r="BX5" s="81" t="s">
        <v>381</v>
      </c>
      <c r="BY5" s="81" t="s">
        <v>382</v>
      </c>
      <c r="CA5" s="167" t="s">
        <v>314</v>
      </c>
      <c r="CB5" s="167" t="s">
        <v>315</v>
      </c>
      <c r="CC5" s="167" t="s">
        <v>320</v>
      </c>
      <c r="CD5" s="168" t="s">
        <v>318</v>
      </c>
      <c r="CE5" s="161">
        <f t="shared" si="0"/>
        <v>5.8500000000000003E-2</v>
      </c>
      <c r="CF5" s="167" t="s">
        <v>317</v>
      </c>
      <c r="CI5" s="81" t="s">
        <v>320</v>
      </c>
      <c r="CJ5" s="239">
        <f t="shared" si="1"/>
        <v>3.8578832848511733E-2</v>
      </c>
      <c r="CK5" s="239">
        <f t="shared" si="2"/>
        <v>0.33700000000000002</v>
      </c>
      <c r="CL5" s="239">
        <f t="shared" si="3"/>
        <v>5.8500000000000003E-2</v>
      </c>
      <c r="CO5" s="243" t="s">
        <v>373</v>
      </c>
      <c r="CP5" s="243" t="s">
        <v>377</v>
      </c>
      <c r="CQ5" s="243" t="s">
        <v>378</v>
      </c>
      <c r="CR5" s="243" t="s">
        <v>379</v>
      </c>
      <c r="CS5" s="243" t="s">
        <v>380</v>
      </c>
      <c r="CT5" s="243" t="s">
        <v>381</v>
      </c>
      <c r="CU5" s="243" t="s">
        <v>382</v>
      </c>
      <c r="CW5" s="245" t="s">
        <v>460</v>
      </c>
      <c r="CX5" s="246" t="s">
        <v>461</v>
      </c>
      <c r="CY5" s="246" t="s">
        <v>318</v>
      </c>
      <c r="CZ5" s="247">
        <f>CQ11</f>
        <v>1.33</v>
      </c>
      <c r="DA5" s="245" t="s">
        <v>317</v>
      </c>
    </row>
    <row r="6" spans="2:105" ht="15" customHeight="1" thickTop="1" thickBot="1" x14ac:dyDescent="0.3">
      <c r="B6" s="193" t="s">
        <v>34</v>
      </c>
      <c r="C6" s="195">
        <f>'Tabula data'!B4</f>
        <v>279</v>
      </c>
      <c r="D6" s="196" t="s">
        <v>9</v>
      </c>
      <c r="E6" s="178" t="s">
        <v>35</v>
      </c>
      <c r="F6" s="176" t="s">
        <v>36</v>
      </c>
      <c r="G6" s="179">
        <f t="shared" ref="G6:G13" si="6">I6/$H$4</f>
        <v>0.18349514563106795</v>
      </c>
      <c r="H6" s="176"/>
      <c r="I6" s="180">
        <f>'Tabula data'!B16*'Tabula 2zone Ref 1'!D45</f>
        <v>7.56</v>
      </c>
      <c r="K6" s="81" t="s">
        <v>24</v>
      </c>
      <c r="L6" s="204">
        <v>0</v>
      </c>
      <c r="M6" s="205">
        <v>1</v>
      </c>
      <c r="N6" s="205" t="s">
        <v>25</v>
      </c>
      <c r="O6" s="206">
        <f>'Tabula data'!B10*D42/2*D43</f>
        <v>69.641550000000009</v>
      </c>
      <c r="P6" s="207" t="s">
        <v>26</v>
      </c>
      <c r="Q6" s="30">
        <f t="shared" ref="Q6:Q28" si="7">VLOOKUP(N6,$X$5:$AA$393,4,0)</f>
        <v>0.29666979362101314</v>
      </c>
      <c r="R6" s="30">
        <f t="shared" ref="R6:R28" si="8">Q6*O6</f>
        <v>20.660544265947472</v>
      </c>
      <c r="S6" s="30">
        <f t="shared" ref="S6:S14" si="9">VLOOKUP(N6,$X$5:$AE$393,8,0)*O6</f>
        <v>31516659.516870007</v>
      </c>
      <c r="T6" s="30">
        <f t="shared" ref="T6:T14" si="10">S6/O6</f>
        <v>452555.4</v>
      </c>
      <c r="U6" s="30">
        <f t="shared" ref="U6:U14" si="11">VLOOKUP(N6,$X$5:$AG$392,10,0)*O6</f>
        <v>28196470.764000002</v>
      </c>
      <c r="V6" s="31"/>
      <c r="W6" s="223"/>
      <c r="X6" s="224"/>
      <c r="Y6" s="225" t="s">
        <v>27</v>
      </c>
      <c r="Z6" s="225" t="s">
        <v>28</v>
      </c>
      <c r="AA6" s="225" t="s">
        <v>29</v>
      </c>
      <c r="AB6" s="225" t="s">
        <v>30</v>
      </c>
      <c r="AC6" s="225" t="s">
        <v>31</v>
      </c>
      <c r="AD6" s="225" t="s">
        <v>32</v>
      </c>
      <c r="AE6" s="226" t="s">
        <v>33</v>
      </c>
      <c r="AF6" s="222"/>
      <c r="AG6" s="222"/>
      <c r="AH6" s="222"/>
      <c r="AM6" s="158" t="s">
        <v>314</v>
      </c>
      <c r="AN6" s="81" t="s">
        <v>315</v>
      </c>
      <c r="AO6" s="81" t="s">
        <v>320</v>
      </c>
      <c r="AP6" s="81">
        <f>SUM(O10:O13)/SUM($O$6:$O$14,$O$26:$O$27)</f>
        <v>3.8578832848511733E-2</v>
      </c>
      <c r="AQ6" s="81" t="s">
        <v>317</v>
      </c>
      <c r="AR6" s="166">
        <v>0.13510150000000001</v>
      </c>
      <c r="AV6" s="167" t="s">
        <v>314</v>
      </c>
      <c r="AW6" s="167" t="s">
        <v>315</v>
      </c>
      <c r="AX6" s="167" t="s">
        <v>320</v>
      </c>
      <c r="AY6" s="168" t="s">
        <v>318</v>
      </c>
      <c r="AZ6" s="161">
        <f t="shared" si="4"/>
        <v>3.8578832848511733E-2</v>
      </c>
      <c r="BA6" s="167" t="s">
        <v>317</v>
      </c>
      <c r="BC6" s="81" t="s">
        <v>373</v>
      </c>
      <c r="BD6" s="81" t="s">
        <v>383</v>
      </c>
      <c r="BE6" s="166">
        <v>294</v>
      </c>
      <c r="BF6" s="166">
        <v>7.8200000000000006E-2</v>
      </c>
      <c r="BG6" s="81">
        <v>3752.8</v>
      </c>
      <c r="BH6" s="81" t="s">
        <v>384</v>
      </c>
      <c r="BI6" s="81" t="s">
        <v>385</v>
      </c>
      <c r="BL6" s="167" t="s">
        <v>314</v>
      </c>
      <c r="BM6" s="167" t="s">
        <v>315</v>
      </c>
      <c r="BN6" s="167" t="s">
        <v>320</v>
      </c>
      <c r="BO6" s="168" t="s">
        <v>318</v>
      </c>
      <c r="BP6" s="161">
        <f t="shared" si="5"/>
        <v>0.33700000000000002</v>
      </c>
      <c r="BQ6" s="167" t="s">
        <v>317</v>
      </c>
      <c r="BS6" s="81" t="s">
        <v>373</v>
      </c>
      <c r="BT6" s="81" t="s">
        <v>383</v>
      </c>
      <c r="BU6" s="166">
        <v>290</v>
      </c>
      <c r="BV6" s="166">
        <v>0.105</v>
      </c>
      <c r="BW6" s="81">
        <v>2755.29</v>
      </c>
      <c r="BX6" s="81" t="s">
        <v>384</v>
      </c>
      <c r="BY6" s="81" t="s">
        <v>385</v>
      </c>
      <c r="CA6" s="167" t="s">
        <v>314</v>
      </c>
      <c r="CB6" s="167" t="s">
        <v>315</v>
      </c>
      <c r="CC6" s="167" t="s">
        <v>321</v>
      </c>
      <c r="CD6" s="168" t="s">
        <v>318</v>
      </c>
      <c r="CE6" s="161">
        <f t="shared" si="0"/>
        <v>0.152</v>
      </c>
      <c r="CF6" s="167" t="s">
        <v>317</v>
      </c>
      <c r="CI6" s="81" t="s">
        <v>321</v>
      </c>
      <c r="CJ6" s="239">
        <f t="shared" si="1"/>
        <v>0.17965108361841634</v>
      </c>
      <c r="CK6" s="239">
        <f t="shared" si="2"/>
        <v>0.10299999999999999</v>
      </c>
      <c r="CL6" s="239">
        <f t="shared" si="3"/>
        <v>0.152</v>
      </c>
      <c r="CO6" s="243" t="s">
        <v>373</v>
      </c>
      <c r="CP6" s="243" t="s">
        <v>383</v>
      </c>
      <c r="CQ6" s="244">
        <v>293</v>
      </c>
      <c r="CR6" s="244">
        <v>2.87E-2</v>
      </c>
      <c r="CS6" s="243">
        <v>10214.75</v>
      </c>
      <c r="CT6" s="243" t="s">
        <v>420</v>
      </c>
      <c r="CU6" s="244">
        <v>2E-16</v>
      </c>
      <c r="CV6" s="81" t="s">
        <v>385</v>
      </c>
      <c r="CW6" s="245" t="s">
        <v>460</v>
      </c>
      <c r="CX6" s="246" t="s">
        <v>462</v>
      </c>
      <c r="CY6" s="246" t="s">
        <v>318</v>
      </c>
      <c r="CZ6" s="247">
        <f t="shared" ref="CZ6:CZ24" si="12">CQ12</f>
        <v>2.2400000000000002</v>
      </c>
      <c r="DA6" s="245" t="s">
        <v>317</v>
      </c>
    </row>
    <row r="7" spans="2:105" ht="15" customHeight="1" thickTop="1" thickBot="1" x14ac:dyDescent="0.3">
      <c r="B7" s="178" t="s">
        <v>42</v>
      </c>
      <c r="C7" s="183">
        <f>'Tabula data'!B14</f>
        <v>134.30000000000001</v>
      </c>
      <c r="D7" s="189" t="s">
        <v>9</v>
      </c>
      <c r="E7" s="178" t="s">
        <v>43</v>
      </c>
      <c r="F7" s="176" t="s">
        <v>36</v>
      </c>
      <c r="G7" s="179">
        <f t="shared" si="6"/>
        <v>0.15800970873786407</v>
      </c>
      <c r="H7" s="176"/>
      <c r="I7" s="180">
        <f>'Tabula data'!B17*'Tabula 2zone Ref 1'!D45</f>
        <v>6.51</v>
      </c>
      <c r="K7" s="81" t="s">
        <v>38</v>
      </c>
      <c r="L7" s="208">
        <v>0</v>
      </c>
      <c r="M7" s="209">
        <v>1</v>
      </c>
      <c r="N7" s="209" t="s">
        <v>25</v>
      </c>
      <c r="O7" s="210">
        <f>'Tabula data'!B10*(1-D42)/2*D44</f>
        <v>40.288499999999999</v>
      </c>
      <c r="P7" s="211" t="s">
        <v>39</v>
      </c>
      <c r="Q7" s="30">
        <f t="shared" si="7"/>
        <v>0.29666979362101314</v>
      </c>
      <c r="R7" s="30">
        <f t="shared" si="8"/>
        <v>11.952380980300187</v>
      </c>
      <c r="S7" s="30">
        <f t="shared" si="9"/>
        <v>18232778.232900001</v>
      </c>
      <c r="T7" s="30">
        <f t="shared" si="10"/>
        <v>452555.4</v>
      </c>
      <c r="U7" s="30">
        <f t="shared" si="11"/>
        <v>16312007.879999999</v>
      </c>
      <c r="V7" s="31"/>
      <c r="W7" s="223"/>
      <c r="X7" s="175"/>
      <c r="Y7" s="176" t="s">
        <v>40</v>
      </c>
      <c r="Z7" s="176">
        <v>2.5000000000000001E-2</v>
      </c>
      <c r="AA7" s="176">
        <v>1.3</v>
      </c>
      <c r="AB7" s="176">
        <v>1700</v>
      </c>
      <c r="AC7" s="176">
        <v>840</v>
      </c>
      <c r="AD7" s="227">
        <f>Z7/AA7</f>
        <v>1.9230769230769232E-2</v>
      </c>
      <c r="AE7" s="177">
        <f>Z7*AB7*AC7</f>
        <v>35700</v>
      </c>
      <c r="AF7" s="222" t="s">
        <v>41</v>
      </c>
      <c r="AG7" s="222"/>
      <c r="AH7" s="222"/>
      <c r="AM7" s="158" t="s">
        <v>314</v>
      </c>
      <c r="AN7" s="81" t="s">
        <v>315</v>
      </c>
      <c r="AO7" s="81" t="s">
        <v>321</v>
      </c>
      <c r="AP7" s="81">
        <f>SUM(O14)/SUM(O6:O14,O27,O26)</f>
        <v>0.17965108361841634</v>
      </c>
      <c r="AQ7" s="81" t="s">
        <v>317</v>
      </c>
      <c r="AR7" s="166">
        <v>0.161666</v>
      </c>
      <c r="AV7" s="167" t="s">
        <v>314</v>
      </c>
      <c r="AW7" s="167" t="s">
        <v>315</v>
      </c>
      <c r="AX7" s="167" t="s">
        <v>321</v>
      </c>
      <c r="AY7" s="168" t="s">
        <v>318</v>
      </c>
      <c r="AZ7" s="161">
        <f t="shared" si="4"/>
        <v>0.17965108361841634</v>
      </c>
      <c r="BA7" s="167" t="s">
        <v>317</v>
      </c>
      <c r="BC7" s="81" t="s">
        <v>373</v>
      </c>
      <c r="BD7" s="81" t="s">
        <v>386</v>
      </c>
      <c r="BE7" s="166">
        <v>289</v>
      </c>
      <c r="BF7" s="166">
        <v>6.1899999999999997E-2</v>
      </c>
      <c r="BG7" s="81">
        <v>4670.42</v>
      </c>
      <c r="BH7" s="81" t="s">
        <v>384</v>
      </c>
      <c r="BI7" s="81" t="s">
        <v>385</v>
      </c>
      <c r="BL7" s="167" t="s">
        <v>314</v>
      </c>
      <c r="BM7" s="167" t="s">
        <v>315</v>
      </c>
      <c r="BN7" s="167" t="s">
        <v>321</v>
      </c>
      <c r="BO7" s="168" t="s">
        <v>318</v>
      </c>
      <c r="BP7" s="161">
        <f t="shared" si="5"/>
        <v>0.10299999999999999</v>
      </c>
      <c r="BQ7" s="167" t="s">
        <v>317</v>
      </c>
      <c r="BS7" s="81" t="s">
        <v>373</v>
      </c>
      <c r="BT7" s="81" t="s">
        <v>386</v>
      </c>
      <c r="BU7" s="166">
        <v>286</v>
      </c>
      <c r="BV7" s="166">
        <v>5.2200000000000003E-2</v>
      </c>
      <c r="BW7" s="81">
        <v>5486.87</v>
      </c>
      <c r="BX7" s="81" t="s">
        <v>384</v>
      </c>
      <c r="BY7" s="81" t="s">
        <v>385</v>
      </c>
      <c r="CA7" s="167"/>
      <c r="CB7" s="167"/>
      <c r="CC7" s="167"/>
      <c r="CD7" s="168"/>
      <c r="CE7" s="161"/>
      <c r="CF7" s="167"/>
      <c r="CJ7" s="240"/>
      <c r="CK7" s="240"/>
      <c r="CL7" s="240"/>
      <c r="CO7" s="243" t="s">
        <v>373</v>
      </c>
      <c r="CP7" s="243" t="s">
        <v>386</v>
      </c>
      <c r="CQ7" s="244">
        <v>292</v>
      </c>
      <c r="CR7" s="244">
        <v>2.24E-2</v>
      </c>
      <c r="CS7" s="243">
        <v>13014.41</v>
      </c>
      <c r="CT7" s="243" t="s">
        <v>420</v>
      </c>
      <c r="CU7" s="244">
        <v>2E-16</v>
      </c>
      <c r="CV7" s="81" t="s">
        <v>385</v>
      </c>
      <c r="CW7" s="245" t="s">
        <v>460</v>
      </c>
      <c r="CX7" s="248" t="s">
        <v>463</v>
      </c>
      <c r="CY7" s="246" t="s">
        <v>318</v>
      </c>
      <c r="CZ7" s="247">
        <f t="shared" si="12"/>
        <v>1.57</v>
      </c>
      <c r="DA7" s="245" t="s">
        <v>317</v>
      </c>
    </row>
    <row r="8" spans="2:105" ht="15" customHeight="1" thickTop="1" thickBot="1" x14ac:dyDescent="0.3">
      <c r="B8" s="178" t="s">
        <v>47</v>
      </c>
      <c r="C8" s="183">
        <f>C6-C7</f>
        <v>144.69999999999999</v>
      </c>
      <c r="D8" s="176" t="s">
        <v>9</v>
      </c>
      <c r="E8" s="178" t="s">
        <v>48</v>
      </c>
      <c r="F8" s="176" t="s">
        <v>36</v>
      </c>
      <c r="G8" s="179">
        <f t="shared" si="6"/>
        <v>0.2072815533980582</v>
      </c>
      <c r="H8" s="176"/>
      <c r="I8" s="180">
        <f>'Tabula data'!B18*D45</f>
        <v>8.5399999999999991</v>
      </c>
      <c r="K8" s="81" t="s">
        <v>44</v>
      </c>
      <c r="L8" s="208">
        <v>0</v>
      </c>
      <c r="M8" s="209">
        <v>1</v>
      </c>
      <c r="N8" s="209" t="s">
        <v>25</v>
      </c>
      <c r="O8" s="210">
        <f>O6</f>
        <v>69.641550000000009</v>
      </c>
      <c r="P8" s="211" t="s">
        <v>45</v>
      </c>
      <c r="Q8" s="30">
        <f t="shared" si="7"/>
        <v>0.29666979362101314</v>
      </c>
      <c r="R8" s="30">
        <f t="shared" si="8"/>
        <v>20.660544265947472</v>
      </c>
      <c r="S8" s="30">
        <f t="shared" si="9"/>
        <v>31516659.516870007</v>
      </c>
      <c r="T8" s="30">
        <f t="shared" si="10"/>
        <v>452555.4</v>
      </c>
      <c r="U8" s="30">
        <f t="shared" si="11"/>
        <v>28196470.764000002</v>
      </c>
      <c r="V8" s="31"/>
      <c r="W8" s="223"/>
      <c r="X8" s="175"/>
      <c r="Y8" s="176" t="s">
        <v>46</v>
      </c>
      <c r="Z8" s="176">
        <v>0.03</v>
      </c>
      <c r="AA8" s="176">
        <f>0.18/Z8</f>
        <v>6</v>
      </c>
      <c r="AB8" s="176">
        <v>0</v>
      </c>
      <c r="AC8" s="176">
        <v>0</v>
      </c>
      <c r="AD8" s="227">
        <v>0.16</v>
      </c>
      <c r="AE8" s="177">
        <f>Z8*AB8*AC8</f>
        <v>0</v>
      </c>
      <c r="AF8" s="222"/>
      <c r="AG8" s="222"/>
      <c r="AH8" s="222"/>
      <c r="AQ8" s="81" t="s">
        <v>317</v>
      </c>
      <c r="AR8" s="166"/>
      <c r="AV8" s="167"/>
      <c r="AW8" s="167"/>
      <c r="AX8" s="167"/>
      <c r="AY8" s="168"/>
      <c r="BA8" s="167"/>
      <c r="BC8" s="81" t="s">
        <v>373</v>
      </c>
      <c r="BD8" s="81" t="s">
        <v>387</v>
      </c>
      <c r="BE8" s="166">
        <v>294</v>
      </c>
      <c r="BF8" s="166">
        <v>1.9099999999999999E-2</v>
      </c>
      <c r="BG8" s="81">
        <v>15359.29</v>
      </c>
      <c r="BH8" s="81" t="s">
        <v>384</v>
      </c>
      <c r="BI8" s="81" t="s">
        <v>385</v>
      </c>
      <c r="BL8" s="167"/>
      <c r="BM8" s="167"/>
      <c r="BN8" s="167"/>
      <c r="BO8" s="168"/>
      <c r="BP8" s="161"/>
      <c r="BQ8" s="167"/>
      <c r="BS8" s="81" t="s">
        <v>373</v>
      </c>
      <c r="BT8" s="81" t="s">
        <v>387</v>
      </c>
      <c r="BU8" s="166">
        <v>295</v>
      </c>
      <c r="BV8" s="166">
        <v>8.5800000000000001E-2</v>
      </c>
      <c r="BW8" s="81">
        <v>3431.93</v>
      </c>
      <c r="BX8" s="81" t="s">
        <v>384</v>
      </c>
      <c r="BY8" s="81" t="s">
        <v>385</v>
      </c>
      <c r="CA8" s="167" t="s">
        <v>314</v>
      </c>
      <c r="CB8" s="167" t="s">
        <v>315</v>
      </c>
      <c r="CC8" s="167" t="s">
        <v>322</v>
      </c>
      <c r="CD8" s="168" t="s">
        <v>318</v>
      </c>
      <c r="CE8" s="161">
        <f>BU19</f>
        <v>2910000</v>
      </c>
      <c r="CF8" s="167" t="s">
        <v>317</v>
      </c>
      <c r="CI8" s="81" t="s">
        <v>322</v>
      </c>
      <c r="CJ8" s="241">
        <f t="shared" si="1"/>
        <v>1940369.480716846</v>
      </c>
      <c r="CK8" s="241">
        <f t="shared" si="2"/>
        <v>2900000</v>
      </c>
      <c r="CL8" s="241">
        <f t="shared" si="3"/>
        <v>2910000</v>
      </c>
      <c r="CO8" s="243" t="s">
        <v>373</v>
      </c>
      <c r="CP8" s="243" t="s">
        <v>387</v>
      </c>
      <c r="CQ8" s="244">
        <v>295</v>
      </c>
      <c r="CR8" s="244">
        <v>2.3099999999999999E-2</v>
      </c>
      <c r="CS8" s="243">
        <v>12783.71</v>
      </c>
      <c r="CT8" s="243" t="s">
        <v>420</v>
      </c>
      <c r="CU8" s="244">
        <v>2E-16</v>
      </c>
      <c r="CV8" s="81" t="s">
        <v>385</v>
      </c>
      <c r="CW8" s="245" t="s">
        <v>460</v>
      </c>
      <c r="CX8" s="249" t="s">
        <v>464</v>
      </c>
      <c r="CY8" s="246" t="s">
        <v>318</v>
      </c>
      <c r="CZ8" s="247">
        <f t="shared" si="12"/>
        <v>0.92200000000000004</v>
      </c>
      <c r="DA8" s="245" t="s">
        <v>317</v>
      </c>
    </row>
    <row r="9" spans="2:105" ht="15" customHeight="1" thickTop="1" thickBot="1" x14ac:dyDescent="0.3">
      <c r="B9" s="175"/>
      <c r="C9" s="176"/>
      <c r="D9" s="176"/>
      <c r="E9" s="178" t="s">
        <v>52</v>
      </c>
      <c r="F9" s="184" t="s">
        <v>36</v>
      </c>
      <c r="G9" s="179">
        <f t="shared" si="6"/>
        <v>0.15121359223300967</v>
      </c>
      <c r="H9" s="176"/>
      <c r="I9" s="180">
        <f>'Tabula data'!B19*'Tabula 2zone Ref 1'!D45</f>
        <v>6.2299999999999995</v>
      </c>
      <c r="K9" s="81" t="s">
        <v>49</v>
      </c>
      <c r="L9" s="208">
        <v>0</v>
      </c>
      <c r="M9" s="209">
        <v>1</v>
      </c>
      <c r="N9" s="209" t="s">
        <v>25</v>
      </c>
      <c r="O9" s="210">
        <f>'Tabula data'!B10*(1-D42)/2*D44</f>
        <v>40.288499999999999</v>
      </c>
      <c r="P9" s="211" t="s">
        <v>50</v>
      </c>
      <c r="Q9" s="30">
        <f t="shared" si="7"/>
        <v>0.29666979362101314</v>
      </c>
      <c r="R9" s="30">
        <f t="shared" si="8"/>
        <v>11.952380980300187</v>
      </c>
      <c r="S9" s="30">
        <f t="shared" si="9"/>
        <v>18232778.232900001</v>
      </c>
      <c r="T9" s="30">
        <f t="shared" si="10"/>
        <v>452555.4</v>
      </c>
      <c r="U9" s="30">
        <f t="shared" si="11"/>
        <v>16312007.879999999</v>
      </c>
      <c r="V9" s="31"/>
      <c r="W9" s="223"/>
      <c r="X9" s="175"/>
      <c r="Y9" s="176" t="s">
        <v>499</v>
      </c>
      <c r="Z9" s="255">
        <v>0.11</v>
      </c>
      <c r="AA9" s="176">
        <v>3.5999999999999997E-2</v>
      </c>
      <c r="AB9" s="176">
        <v>80</v>
      </c>
      <c r="AC9" s="176">
        <v>840</v>
      </c>
      <c r="AD9" s="227">
        <f>Z9/AA9</f>
        <v>3.0555555555555558</v>
      </c>
      <c r="AE9" s="177">
        <f>Z9*AB9*AC9</f>
        <v>7392.0000000000009</v>
      </c>
      <c r="AF9" s="222"/>
      <c r="AG9" s="222"/>
      <c r="AH9" s="222"/>
      <c r="AM9" s="158" t="s">
        <v>314</v>
      </c>
      <c r="AN9" s="81" t="s">
        <v>315</v>
      </c>
      <c r="AO9" s="81" t="s">
        <v>322</v>
      </c>
      <c r="AP9" s="166">
        <f>C34*1.04*1012*5</f>
        <v>1940369.480716846</v>
      </c>
      <c r="AQ9" s="81" t="s">
        <v>317</v>
      </c>
      <c r="AR9" s="166">
        <v>2745646</v>
      </c>
      <c r="AV9" s="167" t="s">
        <v>314</v>
      </c>
      <c r="AW9" s="167" t="s">
        <v>315</v>
      </c>
      <c r="AX9" s="167" t="s">
        <v>322</v>
      </c>
      <c r="AY9" s="168" t="s">
        <v>318</v>
      </c>
      <c r="AZ9" s="161">
        <f>AP9</f>
        <v>1940369.480716846</v>
      </c>
      <c r="BA9" s="167" t="s">
        <v>317</v>
      </c>
      <c r="BC9" s="81" t="s">
        <v>373</v>
      </c>
      <c r="BD9" s="81" t="s">
        <v>388</v>
      </c>
      <c r="BE9" s="166">
        <v>291</v>
      </c>
      <c r="BF9" s="166">
        <v>8.3099999999999993E-2</v>
      </c>
      <c r="BG9" s="81">
        <v>3501.39</v>
      </c>
      <c r="BH9" s="81" t="s">
        <v>384</v>
      </c>
      <c r="BI9" s="81" t="s">
        <v>385</v>
      </c>
      <c r="BL9" s="167" t="s">
        <v>314</v>
      </c>
      <c r="BM9" s="167" t="s">
        <v>315</v>
      </c>
      <c r="BN9" s="167" t="s">
        <v>322</v>
      </c>
      <c r="BO9" s="168" t="s">
        <v>318</v>
      </c>
      <c r="BP9" s="161">
        <f>BE18</f>
        <v>2900000</v>
      </c>
      <c r="BQ9" s="167" t="s">
        <v>317</v>
      </c>
      <c r="BS9" s="81" t="s">
        <v>373</v>
      </c>
      <c r="BT9" s="81" t="s">
        <v>388</v>
      </c>
      <c r="BU9" s="166">
        <v>288</v>
      </c>
      <c r="BV9" s="166">
        <v>0.16300000000000001</v>
      </c>
      <c r="BW9" s="81">
        <v>1771.76</v>
      </c>
      <c r="BX9" s="81" t="s">
        <v>384</v>
      </c>
      <c r="BY9" s="81" t="s">
        <v>385</v>
      </c>
      <c r="CA9" s="167" t="s">
        <v>314</v>
      </c>
      <c r="CB9" s="167" t="s">
        <v>315</v>
      </c>
      <c r="CC9" s="167" t="s">
        <v>323</v>
      </c>
      <c r="CD9" s="168" t="s">
        <v>318</v>
      </c>
      <c r="CE9" s="161">
        <f t="shared" ref="CE9:CE10" si="13">BU20</f>
        <v>95200000</v>
      </c>
      <c r="CF9" s="167" t="s">
        <v>317</v>
      </c>
      <c r="CI9" s="81" t="s">
        <v>323</v>
      </c>
      <c r="CJ9" s="241">
        <f t="shared" si="1"/>
        <v>89016957.288000003</v>
      </c>
      <c r="CK9" s="241">
        <f t="shared" si="2"/>
        <v>50500000</v>
      </c>
      <c r="CL9" s="241">
        <f t="shared" si="3"/>
        <v>95200000</v>
      </c>
      <c r="CO9" s="243" t="s">
        <v>373</v>
      </c>
      <c r="CP9" s="243" t="s">
        <v>388</v>
      </c>
      <c r="CQ9" s="244">
        <v>290</v>
      </c>
      <c r="CR9" s="244">
        <v>7.9000000000000001E-2</v>
      </c>
      <c r="CS9" s="243">
        <v>3667.95</v>
      </c>
      <c r="CT9" s="243" t="s">
        <v>420</v>
      </c>
      <c r="CU9" s="244">
        <v>2E-16</v>
      </c>
      <c r="CV9" s="81" t="s">
        <v>385</v>
      </c>
      <c r="CW9" s="245" t="s">
        <v>460</v>
      </c>
      <c r="CX9" s="249" t="s">
        <v>465</v>
      </c>
      <c r="CY9" s="246" t="s">
        <v>318</v>
      </c>
      <c r="CZ9" s="247">
        <f t="shared" si="12"/>
        <v>2.68</v>
      </c>
      <c r="DA9" s="245" t="s">
        <v>317</v>
      </c>
    </row>
    <row r="10" spans="2:105" ht="15" customHeight="1" thickTop="1" thickBot="1" x14ac:dyDescent="0.3">
      <c r="B10" s="175"/>
      <c r="C10" s="176"/>
      <c r="D10" s="176"/>
      <c r="E10" s="178" t="s">
        <v>35</v>
      </c>
      <c r="F10" s="184" t="s">
        <v>56</v>
      </c>
      <c r="G10" s="179">
        <f t="shared" si="6"/>
        <v>7.8640776699029136E-2</v>
      </c>
      <c r="H10" s="176"/>
      <c r="I10" s="185">
        <f>'Tabula data'!B16*(1-D45)</f>
        <v>3.2400000000000007</v>
      </c>
      <c r="K10" s="81" t="s">
        <v>53</v>
      </c>
      <c r="L10" s="208">
        <v>0</v>
      </c>
      <c r="M10" s="209">
        <v>1</v>
      </c>
      <c r="N10" s="209" t="s">
        <v>54</v>
      </c>
      <c r="O10" s="210">
        <f>I6</f>
        <v>7.56</v>
      </c>
      <c r="P10" s="211" t="s">
        <v>26</v>
      </c>
      <c r="Q10" s="30">
        <f t="shared" si="7"/>
        <v>2</v>
      </c>
      <c r="R10" s="30">
        <f t="shared" si="8"/>
        <v>15.12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223"/>
      <c r="X10" s="175"/>
      <c r="Y10" s="184" t="s">
        <v>55</v>
      </c>
      <c r="Z10" s="176">
        <v>2.5000000000000001E-2</v>
      </c>
      <c r="AA10" s="176">
        <v>0.11</v>
      </c>
      <c r="AB10" s="176">
        <v>550</v>
      </c>
      <c r="AC10" s="176">
        <v>1880</v>
      </c>
      <c r="AD10" s="227">
        <f>Z10/AA10</f>
        <v>0.22727272727272729</v>
      </c>
      <c r="AE10" s="177">
        <f>Z10*AB10*AC10</f>
        <v>25850</v>
      </c>
      <c r="AF10" s="228" t="s">
        <v>270</v>
      </c>
      <c r="AG10" s="222"/>
      <c r="AH10" s="222"/>
      <c r="AM10" s="158" t="s">
        <v>314</v>
      </c>
      <c r="AN10" s="81" t="s">
        <v>315</v>
      </c>
      <c r="AO10" s="81" t="s">
        <v>323</v>
      </c>
      <c r="AP10" s="166">
        <f>SUM(U6:U9)</f>
        <v>89016957.288000003</v>
      </c>
      <c r="AQ10" s="81" t="s">
        <v>317</v>
      </c>
      <c r="AR10" s="166">
        <v>14395560</v>
      </c>
      <c r="AV10" s="167" t="s">
        <v>314</v>
      </c>
      <c r="AW10" s="167" t="s">
        <v>315</v>
      </c>
      <c r="AX10" s="167" t="s">
        <v>323</v>
      </c>
      <c r="AY10" s="168" t="s">
        <v>318</v>
      </c>
      <c r="AZ10" s="161">
        <f t="shared" ref="AZ10:AZ12" si="14">AP10</f>
        <v>89016957.288000003</v>
      </c>
      <c r="BA10" s="167" t="s">
        <v>317</v>
      </c>
      <c r="BC10" s="81" t="s">
        <v>373</v>
      </c>
      <c r="BD10" s="81" t="s">
        <v>389</v>
      </c>
      <c r="BE10" s="166">
        <v>291</v>
      </c>
      <c r="BF10" s="166">
        <v>7.2099999999999997E-2</v>
      </c>
      <c r="BG10" s="81">
        <v>4032.89</v>
      </c>
      <c r="BH10" s="81" t="s">
        <v>384</v>
      </c>
      <c r="BI10" s="81" t="s">
        <v>385</v>
      </c>
      <c r="BL10" s="167" t="s">
        <v>314</v>
      </c>
      <c r="BM10" s="167" t="s">
        <v>315</v>
      </c>
      <c r="BN10" s="167" t="s">
        <v>323</v>
      </c>
      <c r="BO10" s="168" t="s">
        <v>318</v>
      </c>
      <c r="BP10" s="161">
        <f t="shared" ref="BP10:BP11" si="15">BE19</f>
        <v>50500000</v>
      </c>
      <c r="BQ10" s="167" t="s">
        <v>317</v>
      </c>
      <c r="BS10" s="81" t="s">
        <v>373</v>
      </c>
      <c r="BT10" s="81" t="s">
        <v>389</v>
      </c>
      <c r="BU10" s="166">
        <v>288</v>
      </c>
      <c r="BV10" s="166">
        <v>6.7900000000000002E-2</v>
      </c>
      <c r="BW10" s="81">
        <v>4246.6099999999997</v>
      </c>
      <c r="BX10" s="81" t="s">
        <v>384</v>
      </c>
      <c r="BY10" s="81" t="s">
        <v>385</v>
      </c>
      <c r="CA10" s="167" t="s">
        <v>314</v>
      </c>
      <c r="CB10" s="167" t="s">
        <v>315</v>
      </c>
      <c r="CC10" s="167" t="s">
        <v>324</v>
      </c>
      <c r="CD10" s="168" t="s">
        <v>318</v>
      </c>
      <c r="CE10" s="161">
        <f t="shared" si="13"/>
        <v>22100000</v>
      </c>
      <c r="CF10" s="167" t="s">
        <v>317</v>
      </c>
      <c r="CI10" s="81" t="s">
        <v>324</v>
      </c>
      <c r="CJ10" s="241">
        <f t="shared" si="1"/>
        <v>33058164.636000004</v>
      </c>
      <c r="CK10" s="241">
        <f t="shared" si="2"/>
        <v>32700000</v>
      </c>
      <c r="CL10" s="241">
        <f t="shared" si="3"/>
        <v>22100000</v>
      </c>
      <c r="CO10" s="243" t="s">
        <v>373</v>
      </c>
      <c r="CP10" s="243" t="s">
        <v>389</v>
      </c>
      <c r="CQ10" s="244">
        <v>294</v>
      </c>
      <c r="CR10" s="244">
        <v>2.1600000000000001E-2</v>
      </c>
      <c r="CS10" s="243">
        <v>13569.58</v>
      </c>
      <c r="CT10" s="243" t="s">
        <v>420</v>
      </c>
      <c r="CU10" s="244">
        <v>2E-16</v>
      </c>
      <c r="CV10" s="81" t="s">
        <v>385</v>
      </c>
      <c r="CW10" s="245" t="s">
        <v>460</v>
      </c>
      <c r="CX10" s="249" t="s">
        <v>466</v>
      </c>
      <c r="CY10" s="246" t="s">
        <v>318</v>
      </c>
      <c r="CZ10" s="247">
        <f t="shared" si="12"/>
        <v>4.87</v>
      </c>
      <c r="DA10" s="245" t="s">
        <v>317</v>
      </c>
    </row>
    <row r="11" spans="2:105" ht="15" customHeight="1" thickTop="1" thickBot="1" x14ac:dyDescent="0.3">
      <c r="B11" s="175"/>
      <c r="C11" s="176"/>
      <c r="D11" s="176"/>
      <c r="E11" s="178" t="s">
        <v>43</v>
      </c>
      <c r="F11" s="184" t="s">
        <v>56</v>
      </c>
      <c r="G11" s="179">
        <f t="shared" si="6"/>
        <v>6.7718446601941748E-2</v>
      </c>
      <c r="H11" s="176"/>
      <c r="I11" s="185">
        <f>'Tabula data'!B17*(1-'Tabula 2zone Ref 1'!D45)</f>
        <v>2.7900000000000005</v>
      </c>
      <c r="K11" s="81" t="s">
        <v>57</v>
      </c>
      <c r="L11" s="208">
        <v>0</v>
      </c>
      <c r="M11" s="209">
        <v>1</v>
      </c>
      <c r="N11" s="209" t="s">
        <v>54</v>
      </c>
      <c r="O11" s="210">
        <f>I7</f>
        <v>6.51</v>
      </c>
      <c r="P11" s="211" t="s">
        <v>39</v>
      </c>
      <c r="Q11" s="30">
        <f t="shared" si="7"/>
        <v>2</v>
      </c>
      <c r="R11" s="30">
        <f t="shared" si="8"/>
        <v>13.02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223"/>
      <c r="X11" s="187"/>
      <c r="Y11" s="174" t="s">
        <v>433</v>
      </c>
      <c r="Z11" s="174">
        <v>0.02</v>
      </c>
      <c r="AA11" s="174">
        <v>0.6</v>
      </c>
      <c r="AB11" s="174">
        <v>975</v>
      </c>
      <c r="AC11" s="174">
        <v>840</v>
      </c>
      <c r="AD11" s="229">
        <f>Z11/AA11</f>
        <v>3.3333333333333333E-2</v>
      </c>
      <c r="AE11" s="192">
        <f>Z11*AB11*AC11</f>
        <v>16380</v>
      </c>
      <c r="AF11" s="222"/>
      <c r="AG11" s="222"/>
      <c r="AH11" s="222"/>
      <c r="AM11" s="158" t="s">
        <v>314</v>
      </c>
      <c r="AN11" s="81" t="s">
        <v>315</v>
      </c>
      <c r="AO11" s="81" t="s">
        <v>324</v>
      </c>
      <c r="AP11" s="166">
        <f>SUM(U27)</f>
        <v>33058164.636000004</v>
      </c>
      <c r="AQ11" s="81" t="s">
        <v>317</v>
      </c>
      <c r="AR11" s="166">
        <v>26154150</v>
      </c>
      <c r="AV11" s="167" t="s">
        <v>314</v>
      </c>
      <c r="AW11" s="167" t="s">
        <v>315</v>
      </c>
      <c r="AX11" s="167" t="s">
        <v>324</v>
      </c>
      <c r="AY11" s="168" t="s">
        <v>318</v>
      </c>
      <c r="AZ11" s="161">
        <f t="shared" si="14"/>
        <v>33058164.636000004</v>
      </c>
      <c r="BA11" s="167" t="s">
        <v>317</v>
      </c>
      <c r="BC11" s="81" t="s">
        <v>373</v>
      </c>
      <c r="BD11" s="81" t="s">
        <v>390</v>
      </c>
      <c r="BE11" s="166">
        <v>0.18</v>
      </c>
      <c r="BF11" s="166">
        <v>2.64E-3</v>
      </c>
      <c r="BG11" s="81">
        <v>67.989999999999995</v>
      </c>
      <c r="BH11" s="81" t="s">
        <v>384</v>
      </c>
      <c r="BI11" s="81" t="s">
        <v>385</v>
      </c>
      <c r="BL11" s="167" t="s">
        <v>314</v>
      </c>
      <c r="BM11" s="167" t="s">
        <v>315</v>
      </c>
      <c r="BN11" s="167" t="s">
        <v>324</v>
      </c>
      <c r="BO11" s="168" t="s">
        <v>318</v>
      </c>
      <c r="BP11" s="161">
        <f t="shared" si="15"/>
        <v>32700000</v>
      </c>
      <c r="BQ11" s="167" t="s">
        <v>317</v>
      </c>
      <c r="BS11" s="81" t="s">
        <v>373</v>
      </c>
      <c r="BT11" s="81" t="s">
        <v>390</v>
      </c>
      <c r="BU11" s="166">
        <v>0.22</v>
      </c>
      <c r="BV11" s="166">
        <v>7.8100000000000001E-4</v>
      </c>
      <c r="BW11" s="81">
        <v>281.52</v>
      </c>
      <c r="BX11" s="81" t="s">
        <v>384</v>
      </c>
      <c r="BY11" s="81" t="s">
        <v>385</v>
      </c>
      <c r="CA11" s="167" t="s">
        <v>314</v>
      </c>
      <c r="CB11" s="167" t="s">
        <v>315</v>
      </c>
      <c r="CC11" s="167" t="s">
        <v>325</v>
      </c>
      <c r="CD11" s="168" t="s">
        <v>318</v>
      </c>
      <c r="CE11" s="161">
        <f>BU17</f>
        <v>995000000</v>
      </c>
      <c r="CF11" s="167" t="s">
        <v>317</v>
      </c>
      <c r="CI11" s="81" t="s">
        <v>325</v>
      </c>
      <c r="CJ11" s="241">
        <f t="shared" si="1"/>
        <v>14901928.000000002</v>
      </c>
      <c r="CK11" s="241">
        <f t="shared" si="2"/>
        <v>14000000</v>
      </c>
      <c r="CL11" s="241">
        <f t="shared" si="3"/>
        <v>995000000</v>
      </c>
      <c r="CO11" s="243" t="s">
        <v>373</v>
      </c>
      <c r="CP11" s="243" t="s">
        <v>442</v>
      </c>
      <c r="CQ11" s="244">
        <v>1.33</v>
      </c>
      <c r="CR11" s="244">
        <v>4.6699999999999998E-2</v>
      </c>
      <c r="CS11" s="243">
        <v>28.4</v>
      </c>
      <c r="CT11" s="243" t="s">
        <v>420</v>
      </c>
      <c r="CU11" s="244">
        <v>2E-16</v>
      </c>
      <c r="CV11" s="81" t="s">
        <v>385</v>
      </c>
      <c r="CW11" s="245" t="s">
        <v>460</v>
      </c>
      <c r="CX11" s="249" t="s">
        <v>467</v>
      </c>
      <c r="CY11" s="246" t="s">
        <v>318</v>
      </c>
      <c r="CZ11" s="247">
        <f t="shared" si="12"/>
        <v>3.03</v>
      </c>
      <c r="DA11" s="245" t="s">
        <v>317</v>
      </c>
    </row>
    <row r="12" spans="2:105" ht="15" customHeight="1" thickTop="1" thickBot="1" x14ac:dyDescent="0.3">
      <c r="B12" s="175"/>
      <c r="C12" s="176"/>
      <c r="D12" s="176"/>
      <c r="E12" s="178" t="s">
        <v>48</v>
      </c>
      <c r="F12" s="184" t="s">
        <v>56</v>
      </c>
      <c r="G12" s="179">
        <f t="shared" si="6"/>
        <v>8.8834951456310679E-2</v>
      </c>
      <c r="H12" s="176"/>
      <c r="I12" s="185">
        <f>'Tabula data'!B18*(1-'Tabula 2zone Ref 1'!D45)</f>
        <v>3.66</v>
      </c>
      <c r="K12" s="81" t="s">
        <v>59</v>
      </c>
      <c r="L12" s="208">
        <v>0</v>
      </c>
      <c r="M12" s="209">
        <v>1</v>
      </c>
      <c r="N12" s="209" t="s">
        <v>54</v>
      </c>
      <c r="O12" s="210">
        <f>I8</f>
        <v>8.5399999999999991</v>
      </c>
      <c r="P12" s="211" t="s">
        <v>45</v>
      </c>
      <c r="Q12" s="30">
        <f t="shared" si="7"/>
        <v>2</v>
      </c>
      <c r="R12" s="30">
        <f t="shared" si="8"/>
        <v>17.079999999999998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223"/>
      <c r="X12" s="176"/>
      <c r="Y12" s="176"/>
      <c r="Z12" s="230"/>
      <c r="AA12" s="230"/>
      <c r="AB12" s="230"/>
      <c r="AC12" s="176"/>
      <c r="AD12" s="227"/>
      <c r="AE12" s="176"/>
      <c r="AF12" s="222"/>
      <c r="AG12" s="222"/>
      <c r="AH12" s="222"/>
      <c r="AM12" s="158" t="s">
        <v>314</v>
      </c>
      <c r="AN12" s="81" t="s">
        <v>315</v>
      </c>
      <c r="AO12" s="81" t="s">
        <v>325</v>
      </c>
      <c r="AP12" s="166">
        <f>SUM(U14)</f>
        <v>14901928.000000002</v>
      </c>
      <c r="AQ12" s="81" t="s">
        <v>317</v>
      </c>
      <c r="AR12" s="166">
        <v>12228720</v>
      </c>
      <c r="AV12" s="167" t="s">
        <v>314</v>
      </c>
      <c r="AW12" s="167" t="s">
        <v>315</v>
      </c>
      <c r="AX12" s="167" t="s">
        <v>325</v>
      </c>
      <c r="AY12" s="168" t="s">
        <v>318</v>
      </c>
      <c r="AZ12" s="161">
        <f t="shared" si="14"/>
        <v>14901928.000000002</v>
      </c>
      <c r="BA12" s="167" t="s">
        <v>317</v>
      </c>
      <c r="BC12" s="81" t="s">
        <v>373</v>
      </c>
      <c r="BD12" s="81" t="s">
        <v>391</v>
      </c>
      <c r="BE12" s="166">
        <v>0.33600000000000002</v>
      </c>
      <c r="BF12" s="166">
        <v>2.32E-3</v>
      </c>
      <c r="BG12" s="81">
        <v>144.99</v>
      </c>
      <c r="BH12" s="81" t="s">
        <v>384</v>
      </c>
      <c r="BI12" s="81" t="s">
        <v>385</v>
      </c>
      <c r="BL12" s="167" t="s">
        <v>314</v>
      </c>
      <c r="BM12" s="167" t="s">
        <v>315</v>
      </c>
      <c r="BN12" s="167" t="s">
        <v>325</v>
      </c>
      <c r="BO12" s="168" t="s">
        <v>318</v>
      </c>
      <c r="BP12" s="161">
        <f>BE17</f>
        <v>14000000</v>
      </c>
      <c r="BQ12" s="167" t="s">
        <v>317</v>
      </c>
      <c r="BS12" s="81" t="s">
        <v>373</v>
      </c>
      <c r="BT12" s="81" t="s">
        <v>391</v>
      </c>
      <c r="BU12" s="166">
        <v>0.45400000000000001</v>
      </c>
      <c r="BV12" s="166">
        <v>1.67E-3</v>
      </c>
      <c r="BW12" s="81">
        <v>272.11</v>
      </c>
      <c r="BX12" s="81" t="s">
        <v>384</v>
      </c>
      <c r="BY12" s="81" t="s">
        <v>385</v>
      </c>
      <c r="CA12" s="167"/>
      <c r="CB12" s="167"/>
      <c r="CC12" s="167"/>
      <c r="CD12" s="168"/>
      <c r="CE12" s="161"/>
      <c r="CF12" s="167"/>
      <c r="CJ12" s="240">
        <f t="shared" si="1"/>
        <v>0</v>
      </c>
      <c r="CK12" s="240">
        <f t="shared" si="2"/>
        <v>0</v>
      </c>
      <c r="CL12" s="240">
        <f t="shared" si="3"/>
        <v>0</v>
      </c>
      <c r="CO12" s="243" t="s">
        <v>373</v>
      </c>
      <c r="CP12" s="243" t="s">
        <v>336</v>
      </c>
      <c r="CQ12" s="244">
        <v>2.2400000000000002</v>
      </c>
      <c r="CR12" s="244">
        <v>0.111</v>
      </c>
      <c r="CS12" s="243">
        <v>20.09</v>
      </c>
      <c r="CT12" s="243" t="s">
        <v>420</v>
      </c>
      <c r="CU12" s="244">
        <v>2E-16</v>
      </c>
      <c r="CV12" s="81" t="s">
        <v>385</v>
      </c>
      <c r="CW12" s="245" t="s">
        <v>460</v>
      </c>
      <c r="CX12" s="248" t="s">
        <v>468</v>
      </c>
      <c r="CY12" s="246" t="s">
        <v>318</v>
      </c>
      <c r="CZ12" s="247">
        <f t="shared" si="12"/>
        <v>2.4500000000000002</v>
      </c>
      <c r="DA12" s="245" t="s">
        <v>317</v>
      </c>
    </row>
    <row r="13" spans="2:105" ht="15" customHeight="1" thickTop="1" thickBot="1" x14ac:dyDescent="0.3">
      <c r="B13" s="175"/>
      <c r="C13" s="176"/>
      <c r="D13" s="176"/>
      <c r="E13" s="178" t="s">
        <v>52</v>
      </c>
      <c r="F13" s="184" t="s">
        <v>56</v>
      </c>
      <c r="G13" s="179">
        <f t="shared" si="6"/>
        <v>6.4805825242718454E-2</v>
      </c>
      <c r="H13" s="176"/>
      <c r="I13" s="185">
        <f>'Tabula data'!B19*(1-'Tabula 2zone Ref 1'!D45)</f>
        <v>2.6700000000000004</v>
      </c>
      <c r="K13" s="81" t="s">
        <v>60</v>
      </c>
      <c r="L13" s="208">
        <v>0</v>
      </c>
      <c r="M13" s="209">
        <v>1</v>
      </c>
      <c r="N13" s="209" t="s">
        <v>54</v>
      </c>
      <c r="O13" s="210">
        <f>I9</f>
        <v>6.2299999999999995</v>
      </c>
      <c r="P13" s="211" t="s">
        <v>50</v>
      </c>
      <c r="Q13" s="30">
        <f t="shared" si="7"/>
        <v>2</v>
      </c>
      <c r="R13" s="30">
        <f t="shared" si="8"/>
        <v>12.459999999999999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223"/>
      <c r="Z13" s="221" t="s">
        <v>4</v>
      </c>
      <c r="AA13" s="221">
        <v>2.2000000000000002</v>
      </c>
      <c r="AB13" s="221" t="s">
        <v>5</v>
      </c>
      <c r="AF13" s="222"/>
      <c r="AG13" s="222"/>
      <c r="AH13" s="222"/>
      <c r="AP13" s="166"/>
      <c r="AQ13" s="81" t="s">
        <v>317</v>
      </c>
      <c r="AR13" s="166"/>
      <c r="AV13" s="167"/>
      <c r="AW13" s="167"/>
      <c r="AX13" s="167"/>
      <c r="AY13" s="168"/>
      <c r="BA13" s="167"/>
      <c r="BC13" s="81" t="s">
        <v>373</v>
      </c>
      <c r="BD13" s="81" t="s">
        <v>392</v>
      </c>
      <c r="BE13" s="166">
        <v>0.33700000000000002</v>
      </c>
      <c r="BF13" s="166">
        <v>8.6800000000000002E-3</v>
      </c>
      <c r="BG13" s="81">
        <v>38.840000000000003</v>
      </c>
      <c r="BH13" s="81" t="s">
        <v>384</v>
      </c>
      <c r="BI13" s="81" t="s">
        <v>385</v>
      </c>
      <c r="BL13" s="167"/>
      <c r="BM13" s="167"/>
      <c r="BN13" s="167"/>
      <c r="BO13" s="168"/>
      <c r="BP13" s="161"/>
      <c r="BQ13" s="167"/>
      <c r="BS13" s="81" t="s">
        <v>373</v>
      </c>
      <c r="BT13" s="81" t="s">
        <v>392</v>
      </c>
      <c r="BU13" s="166">
        <v>5.8500000000000003E-2</v>
      </c>
      <c r="BV13" s="166">
        <v>7.0000000000000001E-3</v>
      </c>
      <c r="BW13" s="81">
        <v>8.35</v>
      </c>
      <c r="BX13" s="81" t="s">
        <v>384</v>
      </c>
      <c r="BY13" s="81" t="s">
        <v>385</v>
      </c>
      <c r="CA13" s="167" t="s">
        <v>314</v>
      </c>
      <c r="CB13" s="167" t="s">
        <v>315</v>
      </c>
      <c r="CC13" s="167" t="s">
        <v>326</v>
      </c>
      <c r="CD13" s="168" t="s">
        <v>318</v>
      </c>
      <c r="CE13" s="161">
        <f>BU27</f>
        <v>8.2900000000000001E-2</v>
      </c>
      <c r="CF13" s="167" t="s">
        <v>317</v>
      </c>
      <c r="CI13" s="81" t="s">
        <v>326</v>
      </c>
      <c r="CJ13" s="239">
        <f t="shared" si="1"/>
        <v>8.823106152521229E-2</v>
      </c>
      <c r="CK13" s="239">
        <f t="shared" si="2"/>
        <v>0.128</v>
      </c>
      <c r="CL13" s="239">
        <f t="shared" si="3"/>
        <v>8.2900000000000001E-2</v>
      </c>
      <c r="CO13" s="243" t="s">
        <v>373</v>
      </c>
      <c r="CP13" s="243" t="s">
        <v>443</v>
      </c>
      <c r="CQ13" s="244">
        <v>1.57</v>
      </c>
      <c r="CR13" s="244">
        <v>2.1399999999999999E-2</v>
      </c>
      <c r="CS13" s="243">
        <v>73.36</v>
      </c>
      <c r="CT13" s="243" t="s">
        <v>420</v>
      </c>
      <c r="CU13" s="244">
        <v>2E-16</v>
      </c>
      <c r="CV13" s="81" t="s">
        <v>385</v>
      </c>
      <c r="CW13" s="245" t="s">
        <v>460</v>
      </c>
      <c r="CX13" s="250" t="s">
        <v>469</v>
      </c>
      <c r="CY13" s="246" t="s">
        <v>318</v>
      </c>
      <c r="CZ13" s="247">
        <f t="shared" si="12"/>
        <v>0.52</v>
      </c>
      <c r="DA13" s="245" t="s">
        <v>317</v>
      </c>
    </row>
    <row r="14" spans="2:105" ht="15" customHeight="1" thickTop="1" thickBot="1" x14ac:dyDescent="0.3">
      <c r="B14" s="175"/>
      <c r="C14" s="176"/>
      <c r="D14" s="176"/>
      <c r="E14" s="197" t="s">
        <v>65</v>
      </c>
      <c r="F14" s="194"/>
      <c r="G14" s="194"/>
      <c r="H14" s="194"/>
      <c r="I14" s="198"/>
      <c r="K14" s="81" t="s">
        <v>61</v>
      </c>
      <c r="L14" s="208" t="s">
        <v>62</v>
      </c>
      <c r="M14" s="209">
        <v>1</v>
      </c>
      <c r="N14" s="209" t="s">
        <v>63</v>
      </c>
      <c r="O14" s="210">
        <f>C7</f>
        <v>134.30000000000001</v>
      </c>
      <c r="P14" s="211"/>
      <c r="Q14" s="30">
        <f t="shared" si="7"/>
        <v>0.25127131319174395</v>
      </c>
      <c r="R14" s="30">
        <f t="shared" si="8"/>
        <v>33.745737361651216</v>
      </c>
      <c r="S14" s="30">
        <f t="shared" si="9"/>
        <v>50952976.810000002</v>
      </c>
      <c r="T14" s="30">
        <f t="shared" si="10"/>
        <v>379396.7</v>
      </c>
      <c r="U14" s="30">
        <f t="shared" si="11"/>
        <v>14901928.000000002</v>
      </c>
      <c r="V14" s="31"/>
      <c r="W14" s="223"/>
      <c r="X14" s="216" t="s">
        <v>64</v>
      </c>
      <c r="Y14" s="217"/>
      <c r="Z14" s="218" t="s">
        <v>21</v>
      </c>
      <c r="AA14" s="219">
        <f>1/(1/8+SUM(AD16:AD20)+1/23)</f>
        <v>0.29666979362101314</v>
      </c>
      <c r="AB14" s="217" t="s">
        <v>5</v>
      </c>
      <c r="AC14" s="217"/>
      <c r="AD14" s="217" t="s">
        <v>22</v>
      </c>
      <c r="AE14" s="220">
        <f>SUM(AE16:AE21)</f>
        <v>452555.4</v>
      </c>
      <c r="AF14" s="222" t="s">
        <v>23</v>
      </c>
      <c r="AG14" s="222">
        <f>SUM(AE19:AE20)</f>
        <v>404880</v>
      </c>
      <c r="AH14" s="222"/>
      <c r="AM14" s="158" t="s">
        <v>314</v>
      </c>
      <c r="AN14" s="81" t="s">
        <v>315</v>
      </c>
      <c r="AO14" s="81" t="s">
        <v>326</v>
      </c>
      <c r="AP14" s="81">
        <f>AP4*0.3</f>
        <v>8.823106152521229E-2</v>
      </c>
      <c r="AQ14" s="81" t="s">
        <v>317</v>
      </c>
      <c r="AR14" s="166">
        <v>6.5890790000000005E-2</v>
      </c>
      <c r="AV14" s="167" t="s">
        <v>314</v>
      </c>
      <c r="AW14" s="167" t="s">
        <v>315</v>
      </c>
      <c r="AX14" s="167" t="s">
        <v>326</v>
      </c>
      <c r="AY14" s="168" t="s">
        <v>318</v>
      </c>
      <c r="AZ14" s="161">
        <f>AZ4*0.3</f>
        <v>8.823106152521229E-2</v>
      </c>
      <c r="BA14" s="167" t="s">
        <v>317</v>
      </c>
      <c r="BC14" s="81" t="s">
        <v>373</v>
      </c>
      <c r="BD14" s="81" t="s">
        <v>393</v>
      </c>
      <c r="BE14" s="166">
        <v>0.10299999999999999</v>
      </c>
      <c r="BF14" s="166">
        <v>2.4099999999999998E-3</v>
      </c>
      <c r="BG14" s="81">
        <v>42.8</v>
      </c>
      <c r="BH14" s="81" t="s">
        <v>384</v>
      </c>
      <c r="BI14" s="81" t="s">
        <v>385</v>
      </c>
      <c r="BL14" s="167" t="s">
        <v>314</v>
      </c>
      <c r="BM14" s="167" t="s">
        <v>315</v>
      </c>
      <c r="BN14" s="167" t="s">
        <v>326</v>
      </c>
      <c r="BO14" s="168" t="s">
        <v>318</v>
      </c>
      <c r="BP14" s="161">
        <f>BE26</f>
        <v>0.128</v>
      </c>
      <c r="BQ14" s="167" t="s">
        <v>317</v>
      </c>
      <c r="BS14" s="81" t="s">
        <v>373</v>
      </c>
      <c r="BT14" s="81" t="s">
        <v>393</v>
      </c>
      <c r="BU14" s="166">
        <v>0.152</v>
      </c>
      <c r="BV14" s="166">
        <v>3.9300000000000001E-4</v>
      </c>
      <c r="BW14" s="81">
        <v>386.97</v>
      </c>
      <c r="BX14" s="81" t="s">
        <v>384</v>
      </c>
      <c r="BY14" s="81" t="s">
        <v>385</v>
      </c>
      <c r="CA14" s="167" t="s">
        <v>314</v>
      </c>
      <c r="CB14" s="167" t="s">
        <v>315</v>
      </c>
      <c r="CC14" s="167" t="s">
        <v>327</v>
      </c>
      <c r="CD14" s="168" t="s">
        <v>318</v>
      </c>
      <c r="CE14" s="161">
        <f t="shared" ref="CE14:CE16" si="16">BU28</f>
        <v>0.16500000000000001</v>
      </c>
      <c r="CF14" s="167" t="s">
        <v>317</v>
      </c>
      <c r="CI14" s="81" t="s">
        <v>327</v>
      </c>
      <c r="CJ14" s="239">
        <f t="shared" si="1"/>
        <v>8.823106152521229E-2</v>
      </c>
      <c r="CK14" s="239">
        <f t="shared" si="2"/>
        <v>0.23499999999999999</v>
      </c>
      <c r="CL14" s="239">
        <f t="shared" si="3"/>
        <v>0.16500000000000001</v>
      </c>
      <c r="CO14" s="243" t="s">
        <v>373</v>
      </c>
      <c r="CP14" s="243" t="s">
        <v>444</v>
      </c>
      <c r="CQ14" s="244">
        <v>0.92200000000000004</v>
      </c>
      <c r="CR14" s="244">
        <v>2.3099999999999999E-2</v>
      </c>
      <c r="CS14" s="243">
        <v>39.979999999999997</v>
      </c>
      <c r="CT14" s="243" t="s">
        <v>420</v>
      </c>
      <c r="CU14" s="244">
        <v>2E-16</v>
      </c>
      <c r="CV14" s="81" t="s">
        <v>385</v>
      </c>
      <c r="CW14" s="245" t="s">
        <v>460</v>
      </c>
      <c r="CX14" s="250" t="s">
        <v>470</v>
      </c>
      <c r="CY14" s="246" t="s">
        <v>318</v>
      </c>
      <c r="CZ14" s="247">
        <f t="shared" si="12"/>
        <v>1.3799999999999999E-6</v>
      </c>
      <c r="DA14" s="245" t="s">
        <v>317</v>
      </c>
    </row>
    <row r="15" spans="2:105" ht="15" customHeight="1" thickTop="1" thickBot="1" x14ac:dyDescent="0.3">
      <c r="B15" s="175"/>
      <c r="C15" s="176"/>
      <c r="D15" s="176"/>
      <c r="E15" s="186"/>
      <c r="F15" s="176"/>
      <c r="G15" s="176"/>
      <c r="H15" s="176"/>
      <c r="I15" s="177"/>
      <c r="K15" s="81" t="s">
        <v>66</v>
      </c>
      <c r="L15" s="208">
        <v>0</v>
      </c>
      <c r="M15" s="209">
        <v>1</v>
      </c>
      <c r="N15" s="209" t="s">
        <v>20</v>
      </c>
      <c r="O15" s="212">
        <v>0</v>
      </c>
      <c r="P15" s="211"/>
      <c r="Q15" s="30">
        <f t="shared" si="7"/>
        <v>0.27481053799679722</v>
      </c>
      <c r="R15" s="30">
        <f t="shared" si="8"/>
        <v>0</v>
      </c>
      <c r="S15" s="30">
        <v>0</v>
      </c>
      <c r="T15" s="30">
        <f>S15/O25</f>
        <v>0</v>
      </c>
      <c r="U15" s="30">
        <f>VLOOKUP(N15,$X$5:$AG$392,10,0)*O25</f>
        <v>6689232</v>
      </c>
      <c r="V15" s="31"/>
      <c r="W15" s="223"/>
      <c r="X15" s="224"/>
      <c r="Y15" s="225" t="s">
        <v>27</v>
      </c>
      <c r="Z15" s="225" t="s">
        <v>28</v>
      </c>
      <c r="AA15" s="225" t="s">
        <v>29</v>
      </c>
      <c r="AB15" s="225" t="s">
        <v>30</v>
      </c>
      <c r="AC15" s="225" t="s">
        <v>31</v>
      </c>
      <c r="AD15" s="225" t="s">
        <v>32</v>
      </c>
      <c r="AE15" s="226" t="s">
        <v>33</v>
      </c>
      <c r="AF15" s="222"/>
      <c r="AG15" s="222"/>
      <c r="AH15" s="222"/>
      <c r="AM15" s="158" t="s">
        <v>314</v>
      </c>
      <c r="AN15" s="81" t="s">
        <v>315</v>
      </c>
      <c r="AO15" s="81" t="s">
        <v>327</v>
      </c>
      <c r="AP15" s="81">
        <f>AP5*0.3</f>
        <v>8.823106152521229E-2</v>
      </c>
      <c r="AQ15" s="81" t="s">
        <v>317</v>
      </c>
      <c r="AR15" s="166">
        <v>0.1612856</v>
      </c>
      <c r="AV15" s="167" t="s">
        <v>314</v>
      </c>
      <c r="AW15" s="167" t="s">
        <v>315</v>
      </c>
      <c r="AX15" s="167" t="s">
        <v>327</v>
      </c>
      <c r="AY15" s="168" t="s">
        <v>318</v>
      </c>
      <c r="AZ15" s="161">
        <f>AZ5*0.3</f>
        <v>8.823106152521229E-2</v>
      </c>
      <c r="BA15" s="167" t="s">
        <v>317</v>
      </c>
      <c r="BC15" s="81" t="s">
        <v>373</v>
      </c>
      <c r="BD15" s="81" t="s">
        <v>394</v>
      </c>
      <c r="BE15" s="166">
        <v>2.8899999999999999E-2</v>
      </c>
      <c r="BF15" s="166">
        <v>2.8500000000000001E-3</v>
      </c>
      <c r="BG15" s="81">
        <v>10.15</v>
      </c>
      <c r="BH15" s="81" t="s">
        <v>384</v>
      </c>
      <c r="BI15" s="81" t="s">
        <v>385</v>
      </c>
      <c r="BL15" s="167" t="s">
        <v>314</v>
      </c>
      <c r="BM15" s="167" t="s">
        <v>315</v>
      </c>
      <c r="BN15" s="167" t="s">
        <v>327</v>
      </c>
      <c r="BO15" s="168" t="s">
        <v>318</v>
      </c>
      <c r="BP15" s="161">
        <f t="shared" ref="BP15:BP17" si="17">BE27</f>
        <v>0.23499999999999999</v>
      </c>
      <c r="BQ15" s="167" t="s">
        <v>317</v>
      </c>
      <c r="BS15" s="81" t="s">
        <v>373</v>
      </c>
      <c r="BT15" s="81" t="s">
        <v>394</v>
      </c>
      <c r="BU15" s="166">
        <v>7.9000000000000001E-2</v>
      </c>
      <c r="BV15" s="166">
        <v>5.5000000000000003E-4</v>
      </c>
      <c r="BW15" s="81">
        <v>143.72</v>
      </c>
      <c r="BX15" s="81" t="s">
        <v>384</v>
      </c>
      <c r="BY15" s="81" t="s">
        <v>385</v>
      </c>
      <c r="CA15" s="167" t="s">
        <v>314</v>
      </c>
      <c r="CB15" s="167" t="s">
        <v>315</v>
      </c>
      <c r="CC15" s="167" t="s">
        <v>328</v>
      </c>
      <c r="CD15" s="168" t="s">
        <v>318</v>
      </c>
      <c r="CE15" s="161">
        <f t="shared" si="16"/>
        <v>0.71599999999999997</v>
      </c>
      <c r="CF15" s="167" t="s">
        <v>317</v>
      </c>
      <c r="CI15" s="81" t="s">
        <v>328</v>
      </c>
      <c r="CJ15" s="239">
        <f t="shared" si="1"/>
        <v>0.71157364985455351</v>
      </c>
      <c r="CK15" s="239">
        <f t="shared" si="2"/>
        <v>0.53700000000000003</v>
      </c>
      <c r="CL15" s="239">
        <f t="shared" si="3"/>
        <v>0.71599999999999997</v>
      </c>
      <c r="CO15" s="243" t="s">
        <v>373</v>
      </c>
      <c r="CP15" s="243" t="s">
        <v>445</v>
      </c>
      <c r="CQ15" s="244">
        <v>2.68</v>
      </c>
      <c r="CR15" s="244">
        <v>8.4699999999999998E-2</v>
      </c>
      <c r="CS15" s="243">
        <v>31.59</v>
      </c>
      <c r="CT15" s="243" t="s">
        <v>420</v>
      </c>
      <c r="CU15" s="244">
        <v>2E-16</v>
      </c>
      <c r="CV15" s="81" t="s">
        <v>385</v>
      </c>
      <c r="CW15" s="245" t="s">
        <v>460</v>
      </c>
      <c r="CX15" s="250" t="s">
        <v>471</v>
      </c>
      <c r="CY15" s="246" t="s">
        <v>318</v>
      </c>
      <c r="CZ15" s="247">
        <f t="shared" si="12"/>
        <v>0.81</v>
      </c>
      <c r="DA15" s="245" t="s">
        <v>317</v>
      </c>
    </row>
    <row r="16" spans="2:105" ht="15" customHeight="1" thickTop="1" thickBot="1" x14ac:dyDescent="0.3">
      <c r="B16" s="187"/>
      <c r="C16" s="174"/>
      <c r="D16" s="174"/>
      <c r="E16" s="178" t="s">
        <v>69</v>
      </c>
      <c r="F16" s="176"/>
      <c r="G16" s="188">
        <f>C4/C26</f>
        <v>1.2783711615487316</v>
      </c>
      <c r="H16" s="184" t="s">
        <v>70</v>
      </c>
      <c r="I16" s="177"/>
      <c r="K16" s="81" t="s">
        <v>67</v>
      </c>
      <c r="L16" s="208">
        <v>0</v>
      </c>
      <c r="M16" s="209">
        <v>1</v>
      </c>
      <c r="N16" s="209" t="s">
        <v>68</v>
      </c>
      <c r="O16" s="210">
        <f>'Tabula data'!B15</f>
        <v>9.5</v>
      </c>
      <c r="P16" s="211"/>
      <c r="Q16" s="30">
        <f t="shared" si="7"/>
        <v>4</v>
      </c>
      <c r="R16" s="30">
        <f t="shared" si="8"/>
        <v>38</v>
      </c>
      <c r="S16" s="30">
        <f t="shared" ref="S16:S28" si="18">VLOOKUP(N16,$X$5:$AE$393,8,0)*O16</f>
        <v>346940</v>
      </c>
      <c r="T16" s="30">
        <f t="shared" ref="T16:T28" si="19">S16/O16</f>
        <v>36520</v>
      </c>
      <c r="U16" s="30">
        <f t="shared" ref="U16:U28" si="20">VLOOKUP(N16,$X$5:$AG$392,10,0)*O16</f>
        <v>0</v>
      </c>
      <c r="V16" s="31"/>
      <c r="W16" s="223"/>
      <c r="X16" s="175"/>
      <c r="Y16" s="176"/>
      <c r="Z16" s="176"/>
      <c r="AA16" s="176"/>
      <c r="AB16" s="176"/>
      <c r="AC16" s="184"/>
      <c r="AD16" s="227"/>
      <c r="AE16" s="177"/>
      <c r="AF16" s="222"/>
      <c r="AG16" s="222"/>
      <c r="AH16" s="222"/>
      <c r="AM16" s="158" t="s">
        <v>314</v>
      </c>
      <c r="AN16" s="81" t="s">
        <v>315</v>
      </c>
      <c r="AO16" s="81" t="s">
        <v>328</v>
      </c>
      <c r="AP16" s="81">
        <f>AP6*0.3+0.7</f>
        <v>0.71157364985455351</v>
      </c>
      <c r="AQ16" s="81" t="s">
        <v>317</v>
      </c>
      <c r="AR16" s="166">
        <v>0.64236059999999995</v>
      </c>
      <c r="AV16" s="167" t="s">
        <v>314</v>
      </c>
      <c r="AW16" s="167" t="s">
        <v>315</v>
      </c>
      <c r="AX16" s="167" t="s">
        <v>328</v>
      </c>
      <c r="AY16" s="168" t="s">
        <v>318</v>
      </c>
      <c r="AZ16" s="161">
        <f>AZ6*0.3+0.7</f>
        <v>0.71157364985455351</v>
      </c>
      <c r="BA16" s="167" t="s">
        <v>317</v>
      </c>
      <c r="BC16" s="81" t="s">
        <v>373</v>
      </c>
      <c r="BD16" s="81" t="s">
        <v>303</v>
      </c>
      <c r="BE16" s="166">
        <v>5570000</v>
      </c>
      <c r="BF16" s="166">
        <v>58300</v>
      </c>
      <c r="BG16" s="81">
        <v>95.57</v>
      </c>
      <c r="BH16" s="81" t="s">
        <v>384</v>
      </c>
      <c r="BI16" s="81" t="s">
        <v>385</v>
      </c>
      <c r="BL16" s="167" t="s">
        <v>314</v>
      </c>
      <c r="BM16" s="167" t="s">
        <v>315</v>
      </c>
      <c r="BN16" s="167" t="s">
        <v>328</v>
      </c>
      <c r="BO16" s="168" t="s">
        <v>318</v>
      </c>
      <c r="BP16" s="161">
        <f t="shared" si="17"/>
        <v>0.53700000000000003</v>
      </c>
      <c r="BQ16" s="167" t="s">
        <v>317</v>
      </c>
      <c r="BS16" s="81" t="s">
        <v>373</v>
      </c>
      <c r="BT16" s="81" t="s">
        <v>303</v>
      </c>
      <c r="BU16" s="166">
        <v>537000000</v>
      </c>
      <c r="BV16" s="166">
        <v>49100000</v>
      </c>
      <c r="BW16" s="81">
        <v>10.92</v>
      </c>
      <c r="BX16" s="81" t="s">
        <v>384</v>
      </c>
      <c r="BY16" s="81" t="s">
        <v>385</v>
      </c>
      <c r="CA16" s="167" t="s">
        <v>314</v>
      </c>
      <c r="CB16" s="167" t="s">
        <v>315</v>
      </c>
      <c r="CC16" s="167" t="s">
        <v>329</v>
      </c>
      <c r="CD16" s="168" t="s">
        <v>318</v>
      </c>
      <c r="CE16" s="161">
        <f t="shared" si="16"/>
        <v>5.5E-2</v>
      </c>
      <c r="CF16" s="167" t="s">
        <v>317</v>
      </c>
      <c r="CI16" s="81" t="s">
        <v>329</v>
      </c>
      <c r="CJ16" s="239">
        <f t="shared" si="1"/>
        <v>5.3895325085524901E-2</v>
      </c>
      <c r="CK16" s="239">
        <f t="shared" si="2"/>
        <v>7.7399999999999997E-2</v>
      </c>
      <c r="CL16" s="239">
        <f t="shared" si="3"/>
        <v>5.5E-2</v>
      </c>
      <c r="CO16" s="243" t="s">
        <v>373</v>
      </c>
      <c r="CP16" s="243" t="s">
        <v>337</v>
      </c>
      <c r="CQ16" s="244">
        <v>4.87</v>
      </c>
      <c r="CR16" s="244">
        <v>0.156</v>
      </c>
      <c r="CS16" s="243">
        <v>31.13</v>
      </c>
      <c r="CT16" s="244" t="s">
        <v>420</v>
      </c>
      <c r="CU16" s="244">
        <v>2E-16</v>
      </c>
      <c r="CV16" s="81" t="s">
        <v>385</v>
      </c>
      <c r="CW16" s="245" t="s">
        <v>460</v>
      </c>
      <c r="CX16" s="250" t="s">
        <v>472</v>
      </c>
      <c r="CY16" s="246" t="s">
        <v>318</v>
      </c>
      <c r="CZ16" s="247">
        <f t="shared" si="12"/>
        <v>0.65200000000000002</v>
      </c>
      <c r="DA16" s="245" t="s">
        <v>317</v>
      </c>
    </row>
    <row r="17" spans="2:105" ht="15" customHeight="1" thickTop="1" thickBot="1" x14ac:dyDescent="0.3">
      <c r="B17" s="193" t="s">
        <v>73</v>
      </c>
      <c r="C17" s="195">
        <v>0</v>
      </c>
      <c r="D17" s="194" t="s">
        <v>9</v>
      </c>
      <c r="E17" s="178" t="s">
        <v>74</v>
      </c>
      <c r="F17" s="176"/>
      <c r="G17" s="188">
        <f>C26/C23</f>
        <v>2.1476702508960575</v>
      </c>
      <c r="H17" s="184"/>
      <c r="I17" s="177"/>
      <c r="K17" s="81" t="s">
        <v>71</v>
      </c>
      <c r="L17" s="208">
        <v>0</v>
      </c>
      <c r="M17" s="209">
        <v>2</v>
      </c>
      <c r="N17" s="209" t="s">
        <v>25</v>
      </c>
      <c r="O17" s="210">
        <f>'Tabula data'!B10*'Tabula 2zone Ref 1'!D42/2*(1-'Tabula 2zone Ref 1'!D43)</f>
        <v>0.7034500000000008</v>
      </c>
      <c r="P17" s="211" t="s">
        <v>26</v>
      </c>
      <c r="Q17" s="30">
        <f t="shared" si="7"/>
        <v>0.29666979362101314</v>
      </c>
      <c r="R17" s="30">
        <f t="shared" si="8"/>
        <v>0.20869236632270194</v>
      </c>
      <c r="S17" s="30">
        <f t="shared" si="18"/>
        <v>318350.09613000037</v>
      </c>
      <c r="T17" s="30">
        <f t="shared" si="19"/>
        <v>452555.4</v>
      </c>
      <c r="U17" s="30">
        <f t="shared" si="20"/>
        <v>284812.8360000003</v>
      </c>
      <c r="V17" s="31"/>
      <c r="W17" s="223"/>
      <c r="X17" s="175"/>
      <c r="Y17" s="176" t="s">
        <v>72</v>
      </c>
      <c r="Z17" s="176">
        <v>2.5000000000000001E-2</v>
      </c>
      <c r="AA17" s="176">
        <v>1</v>
      </c>
      <c r="AB17" s="176">
        <v>1800</v>
      </c>
      <c r="AC17" s="176">
        <v>1000</v>
      </c>
      <c r="AD17" s="227">
        <f>Z17/AA17</f>
        <v>2.5000000000000001E-2</v>
      </c>
      <c r="AE17" s="177">
        <f>Z17*AB17*AC17</f>
        <v>45000</v>
      </c>
      <c r="AF17" s="222"/>
      <c r="AG17" s="222"/>
      <c r="AH17" s="222"/>
      <c r="AM17" s="158" t="s">
        <v>314</v>
      </c>
      <c r="AN17" s="81" t="s">
        <v>315</v>
      </c>
      <c r="AO17" s="81" t="s">
        <v>329</v>
      </c>
      <c r="AP17" s="81">
        <f>AP7*0.3</f>
        <v>5.3895325085524901E-2</v>
      </c>
      <c r="AQ17" s="81" t="s">
        <v>317</v>
      </c>
      <c r="AR17" s="166">
        <v>6.4977720000000003E-2</v>
      </c>
      <c r="AV17" s="167" t="s">
        <v>314</v>
      </c>
      <c r="AW17" s="167" t="s">
        <v>315</v>
      </c>
      <c r="AX17" s="167" t="s">
        <v>329</v>
      </c>
      <c r="AY17" s="168" t="s">
        <v>318</v>
      </c>
      <c r="AZ17" s="161">
        <f>AZ7*0.3</f>
        <v>5.3895325085524901E-2</v>
      </c>
      <c r="BA17" s="167" t="s">
        <v>317</v>
      </c>
      <c r="BC17" s="81" t="s">
        <v>373</v>
      </c>
      <c r="BD17" s="81" t="s">
        <v>299</v>
      </c>
      <c r="BE17" s="166">
        <v>14000000</v>
      </c>
      <c r="BF17" s="166">
        <v>170000</v>
      </c>
      <c r="BG17" s="81">
        <v>82.34</v>
      </c>
      <c r="BH17" s="81" t="s">
        <v>384</v>
      </c>
      <c r="BI17" s="81" t="s">
        <v>385</v>
      </c>
      <c r="BL17" s="167" t="s">
        <v>314</v>
      </c>
      <c r="BM17" s="167" t="s">
        <v>315</v>
      </c>
      <c r="BN17" s="167" t="s">
        <v>329</v>
      </c>
      <c r="BO17" s="168" t="s">
        <v>318</v>
      </c>
      <c r="BP17" s="161">
        <f t="shared" si="17"/>
        <v>7.7399999999999997E-2</v>
      </c>
      <c r="BQ17" s="167" t="s">
        <v>317</v>
      </c>
      <c r="BS17" s="81" t="s">
        <v>373</v>
      </c>
      <c r="BT17" s="81" t="s">
        <v>299</v>
      </c>
      <c r="BU17" s="166">
        <v>995000000</v>
      </c>
      <c r="BV17" s="166">
        <v>18600000</v>
      </c>
      <c r="BW17" s="81">
        <v>53.42</v>
      </c>
      <c r="BX17" s="81" t="s">
        <v>384</v>
      </c>
      <c r="BY17" s="81" t="s">
        <v>385</v>
      </c>
      <c r="CA17" s="167"/>
      <c r="CB17" s="167"/>
      <c r="CC17" s="167"/>
      <c r="CD17" s="168"/>
      <c r="CE17" s="161"/>
      <c r="CF17" s="167"/>
      <c r="CJ17" s="240"/>
      <c r="CK17" s="240"/>
      <c r="CL17" s="240"/>
      <c r="CO17" s="243" t="s">
        <v>373</v>
      </c>
      <c r="CP17" s="243" t="s">
        <v>446</v>
      </c>
      <c r="CQ17" s="244">
        <v>3.03</v>
      </c>
      <c r="CR17" s="244">
        <v>3.78E-2</v>
      </c>
      <c r="CS17" s="243">
        <v>80.150000000000006</v>
      </c>
      <c r="CT17" s="243" t="s">
        <v>420</v>
      </c>
      <c r="CU17" s="244">
        <v>2E-16</v>
      </c>
      <c r="CV17" s="81" t="s">
        <v>385</v>
      </c>
      <c r="CW17" s="245" t="s">
        <v>460</v>
      </c>
      <c r="CX17" s="250" t="s">
        <v>473</v>
      </c>
      <c r="CY17" s="246" t="s">
        <v>318</v>
      </c>
      <c r="CZ17" s="247">
        <f t="shared" si="12"/>
        <v>0.89</v>
      </c>
      <c r="DA17" s="245" t="s">
        <v>317</v>
      </c>
    </row>
    <row r="18" spans="2:105" ht="15" customHeight="1" thickTop="1" thickBot="1" x14ac:dyDescent="0.3">
      <c r="B18" s="175" t="s">
        <v>77</v>
      </c>
      <c r="C18" s="176">
        <v>0</v>
      </c>
      <c r="D18" s="176" t="s">
        <v>9</v>
      </c>
      <c r="E18" s="178" t="s">
        <v>78</v>
      </c>
      <c r="F18" s="176"/>
      <c r="G18" s="188">
        <f>C26/C6</f>
        <v>2.1476702508960575</v>
      </c>
      <c r="H18" s="184"/>
      <c r="I18" s="177"/>
      <c r="K18" s="81" t="s">
        <v>75</v>
      </c>
      <c r="L18" s="208">
        <v>0</v>
      </c>
      <c r="M18" s="209">
        <v>2</v>
      </c>
      <c r="N18" s="209" t="s">
        <v>25</v>
      </c>
      <c r="O18" s="210">
        <f>'Tabula data'!B10*(1-'Tabula 2zone Ref 1'!D42)/2*(1-'Tabula 2zone Ref 1'!D44)</f>
        <v>17.266500000000004</v>
      </c>
      <c r="P18" s="211" t="s">
        <v>39</v>
      </c>
      <c r="Q18" s="30">
        <f t="shared" si="7"/>
        <v>0.29666979362101314</v>
      </c>
      <c r="R18" s="30">
        <f t="shared" si="8"/>
        <v>5.1224489915572251</v>
      </c>
      <c r="S18" s="30">
        <f t="shared" si="18"/>
        <v>7814047.8141000019</v>
      </c>
      <c r="T18" s="30">
        <f t="shared" si="19"/>
        <v>452555.4</v>
      </c>
      <c r="U18" s="30">
        <f t="shared" si="20"/>
        <v>6990860.5200000014</v>
      </c>
      <c r="V18" s="31"/>
      <c r="W18" s="223"/>
      <c r="X18" s="175"/>
      <c r="Y18" s="172" t="s">
        <v>280</v>
      </c>
      <c r="Z18" s="243">
        <v>7.0000000000000007E-2</v>
      </c>
      <c r="AA18" s="172">
        <v>2.4E-2</v>
      </c>
      <c r="AB18" s="172">
        <v>26</v>
      </c>
      <c r="AC18" s="172">
        <v>1470</v>
      </c>
      <c r="AD18" s="227">
        <f>Z18/AA18</f>
        <v>2.916666666666667</v>
      </c>
      <c r="AE18" s="177">
        <f>Z18*AB18*AC18</f>
        <v>2675.4000000000005</v>
      </c>
      <c r="AF18" s="228" t="s">
        <v>271</v>
      </c>
      <c r="AG18" s="222"/>
      <c r="AH18" s="222"/>
      <c r="AQ18" s="81" t="s">
        <v>317</v>
      </c>
      <c r="AR18" s="166"/>
      <c r="AV18" s="167"/>
      <c r="AW18" s="167"/>
      <c r="AX18" s="167"/>
      <c r="AY18" s="168"/>
      <c r="BA18" s="167"/>
      <c r="BC18" s="81" t="s">
        <v>373</v>
      </c>
      <c r="BD18" s="81" t="s">
        <v>395</v>
      </c>
      <c r="BE18" s="166">
        <v>2900000</v>
      </c>
      <c r="BF18" s="166">
        <v>35800</v>
      </c>
      <c r="BG18" s="81">
        <v>81.02</v>
      </c>
      <c r="BH18" s="81" t="s">
        <v>384</v>
      </c>
      <c r="BI18" s="81" t="s">
        <v>385</v>
      </c>
      <c r="BL18" s="167"/>
      <c r="BM18" s="167"/>
      <c r="BN18" s="167"/>
      <c r="BO18" s="168"/>
      <c r="BP18" s="161"/>
      <c r="BQ18" s="167"/>
      <c r="BS18" s="81">
        <v>21</v>
      </c>
      <c r="CA18" s="167" t="s">
        <v>314</v>
      </c>
      <c r="CB18" s="167" t="s">
        <v>315</v>
      </c>
      <c r="CC18" s="167" t="s">
        <v>330</v>
      </c>
      <c r="CD18" s="168" t="s">
        <v>318</v>
      </c>
      <c r="CE18" s="161">
        <f>BU32</f>
        <v>505</v>
      </c>
      <c r="CF18" s="167" t="s">
        <v>317</v>
      </c>
      <c r="CI18" s="81" t="s">
        <v>330</v>
      </c>
      <c r="CJ18" s="242">
        <f t="shared" si="1"/>
        <v>861.17309198813064</v>
      </c>
      <c r="CK18" s="242">
        <f t="shared" si="2"/>
        <v>958</v>
      </c>
      <c r="CL18" s="242">
        <f t="shared" si="3"/>
        <v>505</v>
      </c>
      <c r="CO18" s="243" t="s">
        <v>373</v>
      </c>
      <c r="CP18" s="243" t="s">
        <v>447</v>
      </c>
      <c r="CQ18" s="244">
        <v>2.4500000000000002</v>
      </c>
      <c r="CR18" s="244">
        <v>4.3400000000000001E-2</v>
      </c>
      <c r="CS18" s="243">
        <v>56.47</v>
      </c>
      <c r="CT18" s="243" t="s">
        <v>420</v>
      </c>
      <c r="CU18" s="244">
        <v>2E-16</v>
      </c>
      <c r="CV18" s="81" t="s">
        <v>385</v>
      </c>
      <c r="CW18" s="245" t="s">
        <v>460</v>
      </c>
      <c r="CX18" s="250" t="s">
        <v>474</v>
      </c>
      <c r="CY18" s="246" t="s">
        <v>318</v>
      </c>
      <c r="CZ18" s="247">
        <f t="shared" si="12"/>
        <v>1.94</v>
      </c>
      <c r="DA18" s="245" t="s">
        <v>317</v>
      </c>
    </row>
    <row r="19" spans="2:105" ht="15" customHeight="1" thickTop="1" thickBot="1" x14ac:dyDescent="0.3">
      <c r="B19" s="175" t="s">
        <v>81</v>
      </c>
      <c r="C19" s="183">
        <f>C17-C18</f>
        <v>0</v>
      </c>
      <c r="D19" s="176" t="s">
        <v>9</v>
      </c>
      <c r="E19" s="186"/>
      <c r="F19" s="184"/>
      <c r="G19" s="184"/>
      <c r="H19" s="184"/>
      <c r="I19" s="189"/>
      <c r="K19" s="81" t="s">
        <v>79</v>
      </c>
      <c r="L19" s="208">
        <v>0</v>
      </c>
      <c r="M19" s="209">
        <v>2</v>
      </c>
      <c r="N19" s="209" t="s">
        <v>25</v>
      </c>
      <c r="O19" s="210">
        <f>'Tabula data'!B10*'Tabula 2zone Ref 1'!D42/2*(1-'Tabula 2zone Ref 1'!D43)</f>
        <v>0.7034500000000008</v>
      </c>
      <c r="P19" s="211" t="s">
        <v>45</v>
      </c>
      <c r="Q19" s="30">
        <f t="shared" si="7"/>
        <v>0.29666979362101314</v>
      </c>
      <c r="R19" s="30">
        <f t="shared" si="8"/>
        <v>0.20869236632270194</v>
      </c>
      <c r="S19" s="30">
        <f t="shared" si="18"/>
        <v>318350.09613000037</v>
      </c>
      <c r="T19" s="30">
        <f t="shared" si="19"/>
        <v>452555.4</v>
      </c>
      <c r="U19" s="30">
        <f t="shared" si="20"/>
        <v>284812.8360000003</v>
      </c>
      <c r="V19" s="31"/>
      <c r="W19" s="223"/>
      <c r="X19" s="175"/>
      <c r="Y19" s="184" t="s">
        <v>76</v>
      </c>
      <c r="Z19" s="176">
        <v>0.25</v>
      </c>
      <c r="AA19" s="176">
        <v>1.1000000000000001</v>
      </c>
      <c r="AB19" s="176">
        <v>1850</v>
      </c>
      <c r="AC19" s="184">
        <v>840</v>
      </c>
      <c r="AD19" s="227">
        <f>Z19/AA19</f>
        <v>0.22727272727272727</v>
      </c>
      <c r="AE19" s="177">
        <f>Z19*AB19*AC19</f>
        <v>388500</v>
      </c>
      <c r="AF19" s="222" t="s">
        <v>272</v>
      </c>
      <c r="AG19" s="222"/>
      <c r="AH19" s="222"/>
      <c r="AM19" s="158" t="s">
        <v>314</v>
      </c>
      <c r="AN19" s="81" t="s">
        <v>315</v>
      </c>
      <c r="AO19" s="81" t="s">
        <v>330</v>
      </c>
      <c r="AP19" s="81">
        <f>SUM(O6:O9)*(1/(SUM(AD19:AD20)*0.5+1/8))</f>
        <v>861.17309198813064</v>
      </c>
      <c r="AQ19" s="81" t="s">
        <v>317</v>
      </c>
      <c r="AR19" s="166">
        <v>298.59179999999998</v>
      </c>
      <c r="AV19" s="167" t="s">
        <v>314</v>
      </c>
      <c r="AW19" s="167" t="s">
        <v>315</v>
      </c>
      <c r="AX19" s="167" t="s">
        <v>330</v>
      </c>
      <c r="AY19" s="168" t="s">
        <v>318</v>
      </c>
      <c r="AZ19" s="161">
        <f>AP19</f>
        <v>861.17309198813064</v>
      </c>
      <c r="BA19" s="167" t="s">
        <v>317</v>
      </c>
      <c r="BC19" s="81" t="s">
        <v>373</v>
      </c>
      <c r="BD19" s="81" t="s">
        <v>296</v>
      </c>
      <c r="BE19" s="166">
        <v>50500000</v>
      </c>
      <c r="BF19" s="166">
        <v>737000</v>
      </c>
      <c r="BG19" s="81">
        <v>68.5</v>
      </c>
      <c r="BH19" s="81" t="s">
        <v>384</v>
      </c>
      <c r="BI19" s="81" t="s">
        <v>385</v>
      </c>
      <c r="BL19" s="167" t="s">
        <v>314</v>
      </c>
      <c r="BM19" s="167" t="s">
        <v>315</v>
      </c>
      <c r="BN19" s="167" t="s">
        <v>330</v>
      </c>
      <c r="BO19" s="168" t="s">
        <v>318</v>
      </c>
      <c r="BP19" s="161">
        <f>BE31</f>
        <v>958</v>
      </c>
      <c r="BQ19" s="167" t="s">
        <v>317</v>
      </c>
      <c r="BS19" s="81" t="s">
        <v>373</v>
      </c>
      <c r="BT19" s="81" t="s">
        <v>395</v>
      </c>
      <c r="BU19" s="166">
        <v>2910000</v>
      </c>
      <c r="BV19" s="166">
        <v>32100</v>
      </c>
      <c r="BW19" s="81">
        <v>90.66</v>
      </c>
      <c r="BX19" s="81" t="s">
        <v>384</v>
      </c>
      <c r="BY19" s="81" t="s">
        <v>385</v>
      </c>
      <c r="CA19" s="167" t="s">
        <v>314</v>
      </c>
      <c r="CB19" s="167" t="s">
        <v>315</v>
      </c>
      <c r="CC19" s="167" t="s">
        <v>331</v>
      </c>
      <c r="CD19" s="168" t="s">
        <v>318</v>
      </c>
      <c r="CE19" s="161">
        <f t="shared" ref="CE19:CE21" si="21">BU33</f>
        <v>194</v>
      </c>
      <c r="CF19" s="167" t="s">
        <v>317</v>
      </c>
      <c r="CI19" s="81" t="s">
        <v>331</v>
      </c>
      <c r="CJ19" s="242">
        <f t="shared" si="1"/>
        <v>558.4752475247526</v>
      </c>
      <c r="CK19" s="242">
        <f t="shared" si="2"/>
        <v>737</v>
      </c>
      <c r="CL19" s="242">
        <f t="shared" si="3"/>
        <v>194</v>
      </c>
      <c r="CO19" s="243" t="s">
        <v>373</v>
      </c>
      <c r="CP19" s="243" t="s">
        <v>448</v>
      </c>
      <c r="CQ19" s="244">
        <v>0.52</v>
      </c>
      <c r="CR19" s="244">
        <v>0.17599999999999999</v>
      </c>
      <c r="CS19" s="243">
        <v>2.96</v>
      </c>
      <c r="CT19" s="244">
        <v>3.0999999999999999E-3</v>
      </c>
      <c r="CU19" s="243" t="s">
        <v>398</v>
      </c>
      <c r="CW19" s="245" t="s">
        <v>460</v>
      </c>
      <c r="CX19" s="248" t="s">
        <v>475</v>
      </c>
      <c r="CY19" s="246" t="s">
        <v>318</v>
      </c>
      <c r="CZ19" s="247">
        <f t="shared" si="12"/>
        <v>1.08</v>
      </c>
      <c r="DA19" s="245" t="s">
        <v>317</v>
      </c>
    </row>
    <row r="20" spans="2:105" ht="15" customHeight="1" thickTop="1" thickBot="1" x14ac:dyDescent="0.3">
      <c r="B20" s="175"/>
      <c r="C20" s="176"/>
      <c r="D20" s="176"/>
      <c r="E20" s="178" t="s">
        <v>83</v>
      </c>
      <c r="F20" s="184"/>
      <c r="G20" s="190">
        <f>H4/C23</f>
        <v>0.14767025089605737</v>
      </c>
      <c r="H20" s="184"/>
      <c r="I20" s="177"/>
      <c r="K20" s="81" t="s">
        <v>82</v>
      </c>
      <c r="L20" s="208">
        <v>0</v>
      </c>
      <c r="M20" s="209">
        <v>2</v>
      </c>
      <c r="N20" s="209" t="s">
        <v>25</v>
      </c>
      <c r="O20" s="210">
        <f>'Tabula data'!B10*(1-'Tabula 2zone Ref 1'!D42)/2*(1-'Tabula 2zone Ref 1'!D44)</f>
        <v>17.266500000000004</v>
      </c>
      <c r="P20" s="211" t="s">
        <v>50</v>
      </c>
      <c r="Q20" s="30">
        <f t="shared" si="7"/>
        <v>0.29666979362101314</v>
      </c>
      <c r="R20" s="30">
        <f t="shared" si="8"/>
        <v>5.1224489915572251</v>
      </c>
      <c r="S20" s="30">
        <f t="shared" si="18"/>
        <v>7814047.8141000019</v>
      </c>
      <c r="T20" s="30">
        <f t="shared" si="19"/>
        <v>452555.4</v>
      </c>
      <c r="U20" s="30">
        <f t="shared" si="20"/>
        <v>6990860.5200000014</v>
      </c>
      <c r="V20" s="31"/>
      <c r="W20" s="223"/>
      <c r="X20" s="187"/>
      <c r="Y20" s="174" t="s">
        <v>273</v>
      </c>
      <c r="Z20" s="174">
        <v>0.02</v>
      </c>
      <c r="AA20" s="174">
        <v>0.6</v>
      </c>
      <c r="AB20" s="174">
        <v>975</v>
      </c>
      <c r="AC20" s="174">
        <v>840</v>
      </c>
      <c r="AD20" s="229">
        <f>Z20/AA20</f>
        <v>3.3333333333333333E-2</v>
      </c>
      <c r="AE20" s="192">
        <f>Z20*AB20*AC20</f>
        <v>16380</v>
      </c>
      <c r="AF20" s="222"/>
      <c r="AG20" s="222"/>
      <c r="AH20" s="222"/>
      <c r="AM20" s="158" t="s">
        <v>314</v>
      </c>
      <c r="AN20" s="81" t="s">
        <v>315</v>
      </c>
      <c r="AO20" s="81" t="s">
        <v>331</v>
      </c>
      <c r="AP20" s="81">
        <f>SUM(O14)*1/(0.5*SUM(AD43:AD44)+1/6)</f>
        <v>558.4752475247526</v>
      </c>
      <c r="AQ20" s="81" t="s">
        <v>317</v>
      </c>
      <c r="AR20" s="166">
        <v>278.86439999999999</v>
      </c>
      <c r="AV20" s="167" t="s">
        <v>314</v>
      </c>
      <c r="AW20" s="167" t="s">
        <v>315</v>
      </c>
      <c r="AX20" s="167" t="s">
        <v>331</v>
      </c>
      <c r="AY20" s="168" t="s">
        <v>318</v>
      </c>
      <c r="AZ20" s="161">
        <f t="shared" ref="AZ20:AZ24" si="22">AP20</f>
        <v>558.4752475247526</v>
      </c>
      <c r="BA20" s="167" t="s">
        <v>317</v>
      </c>
      <c r="BC20" s="81" t="s">
        <v>373</v>
      </c>
      <c r="BD20" s="81" t="s">
        <v>298</v>
      </c>
      <c r="BE20" s="166">
        <v>32700000</v>
      </c>
      <c r="BF20" s="166">
        <v>53200</v>
      </c>
      <c r="BG20" s="81">
        <v>614.4</v>
      </c>
      <c r="BH20" s="81" t="s">
        <v>384</v>
      </c>
      <c r="BI20" s="81" t="s">
        <v>385</v>
      </c>
      <c r="BL20" s="167" t="s">
        <v>314</v>
      </c>
      <c r="BM20" s="167" t="s">
        <v>315</v>
      </c>
      <c r="BN20" s="167" t="s">
        <v>331</v>
      </c>
      <c r="BO20" s="168" t="s">
        <v>318</v>
      </c>
      <c r="BP20" s="161">
        <f t="shared" ref="BP20:BP22" si="23">BE32</f>
        <v>737</v>
      </c>
      <c r="BQ20" s="167" t="s">
        <v>317</v>
      </c>
      <c r="BS20" s="81" t="s">
        <v>373</v>
      </c>
      <c r="BT20" s="81" t="s">
        <v>296</v>
      </c>
      <c r="BU20" s="166">
        <v>95200000</v>
      </c>
      <c r="BV20" s="166">
        <v>2180000</v>
      </c>
      <c r="BW20" s="81">
        <v>43.68</v>
      </c>
      <c r="BX20" s="81" t="s">
        <v>384</v>
      </c>
      <c r="BY20" s="81" t="s">
        <v>385</v>
      </c>
      <c r="CA20" s="167" t="s">
        <v>314</v>
      </c>
      <c r="CB20" s="167" t="s">
        <v>315</v>
      </c>
      <c r="CC20" s="167" t="s">
        <v>332</v>
      </c>
      <c r="CD20" s="168" t="s">
        <v>318</v>
      </c>
      <c r="CE20" s="161">
        <f t="shared" si="21"/>
        <v>644</v>
      </c>
      <c r="CF20" s="167" t="s">
        <v>317</v>
      </c>
      <c r="CI20" s="81" t="s">
        <v>332</v>
      </c>
      <c r="CJ20" s="242">
        <f t="shared" si="1"/>
        <v>1752.3904649446499</v>
      </c>
      <c r="CK20" s="242">
        <f t="shared" si="2"/>
        <v>2190</v>
      </c>
      <c r="CL20" s="242">
        <f t="shared" si="3"/>
        <v>644</v>
      </c>
      <c r="CO20" s="243" t="s">
        <v>373</v>
      </c>
      <c r="CP20" s="243" t="s">
        <v>338</v>
      </c>
      <c r="CQ20" s="244">
        <v>1.3799999999999999E-6</v>
      </c>
      <c r="CR20" s="244">
        <v>3.1500000000000001E-4</v>
      </c>
      <c r="CS20" s="243">
        <v>0</v>
      </c>
      <c r="CT20" s="243">
        <v>0.99650000000000005</v>
      </c>
      <c r="CW20" s="245" t="s">
        <v>460</v>
      </c>
      <c r="CX20" s="249" t="s">
        <v>476</v>
      </c>
      <c r="CY20" s="246" t="s">
        <v>318</v>
      </c>
      <c r="CZ20" s="247">
        <f t="shared" si="12"/>
        <v>0.74099999999999999</v>
      </c>
      <c r="DA20" s="245" t="s">
        <v>317</v>
      </c>
    </row>
    <row r="21" spans="2:105" ht="15" customHeight="1" thickTop="1" thickBot="1" x14ac:dyDescent="0.3">
      <c r="B21" s="175"/>
      <c r="C21" s="176"/>
      <c r="D21" s="176"/>
      <c r="E21" s="178" t="s">
        <v>86</v>
      </c>
      <c r="F21" s="184"/>
      <c r="G21" s="190">
        <f>H4/C6</f>
        <v>0.14767025089605737</v>
      </c>
      <c r="H21" s="184"/>
      <c r="I21" s="177"/>
      <c r="K21" s="81" t="s">
        <v>84</v>
      </c>
      <c r="L21" s="208">
        <v>0</v>
      </c>
      <c r="M21" s="209">
        <v>2</v>
      </c>
      <c r="N21" s="209" t="s">
        <v>54</v>
      </c>
      <c r="O21" s="210">
        <f>I10</f>
        <v>3.2400000000000007</v>
      </c>
      <c r="P21" s="211" t="s">
        <v>26</v>
      </c>
      <c r="Q21" s="30">
        <f t="shared" si="7"/>
        <v>2</v>
      </c>
      <c r="R21" s="30">
        <f t="shared" si="8"/>
        <v>6.4800000000000013</v>
      </c>
      <c r="S21" s="30">
        <f t="shared" si="18"/>
        <v>0</v>
      </c>
      <c r="T21" s="30">
        <f t="shared" si="19"/>
        <v>0</v>
      </c>
      <c r="U21" s="30">
        <f t="shared" si="20"/>
        <v>0</v>
      </c>
      <c r="V21" s="31"/>
      <c r="W21" s="223"/>
      <c r="AF21" s="222"/>
      <c r="AG21" s="222"/>
      <c r="AH21" s="222"/>
      <c r="AM21" s="158" t="s">
        <v>314</v>
      </c>
      <c r="AN21" s="81" t="s">
        <v>315</v>
      </c>
      <c r="AO21" s="81" t="s">
        <v>332</v>
      </c>
      <c r="AP21" s="81">
        <f>4*AA22*O27</f>
        <v>1752.3904649446499</v>
      </c>
      <c r="AQ21" s="81" t="s">
        <v>317</v>
      </c>
      <c r="AR21" s="166">
        <v>721.00049999999999</v>
      </c>
      <c r="AV21" s="167" t="s">
        <v>314</v>
      </c>
      <c r="AW21" s="167" t="s">
        <v>315</v>
      </c>
      <c r="AX21" s="167" t="s">
        <v>332</v>
      </c>
      <c r="AY21" s="168" t="s">
        <v>318</v>
      </c>
      <c r="AZ21" s="161">
        <f t="shared" si="22"/>
        <v>1752.3904649446499</v>
      </c>
      <c r="BA21" s="167" t="s">
        <v>317</v>
      </c>
      <c r="BC21" s="81" t="s">
        <v>373</v>
      </c>
      <c r="BD21" s="81" t="s">
        <v>396</v>
      </c>
      <c r="BE21" s="166">
        <v>-6.77</v>
      </c>
      <c r="BF21" s="166">
        <v>5.1499999999999997E-2</v>
      </c>
      <c r="BG21" s="81">
        <v>-131.33000000000001</v>
      </c>
      <c r="BH21" s="81" t="s">
        <v>384</v>
      </c>
      <c r="BI21" s="81" t="s">
        <v>385</v>
      </c>
      <c r="BL21" s="167" t="s">
        <v>314</v>
      </c>
      <c r="BM21" s="167" t="s">
        <v>315</v>
      </c>
      <c r="BN21" s="167" t="s">
        <v>332</v>
      </c>
      <c r="BO21" s="168" t="s">
        <v>318</v>
      </c>
      <c r="BP21" s="161">
        <f t="shared" si="23"/>
        <v>2190</v>
      </c>
      <c r="BQ21" s="167" t="s">
        <v>317</v>
      </c>
      <c r="BS21" s="81" t="s">
        <v>373</v>
      </c>
      <c r="BT21" s="81" t="s">
        <v>298</v>
      </c>
      <c r="BU21" s="166">
        <v>22100000</v>
      </c>
      <c r="BV21" s="166">
        <v>378000</v>
      </c>
      <c r="BW21" s="81">
        <v>58.53</v>
      </c>
      <c r="BX21" s="81" t="s">
        <v>384</v>
      </c>
      <c r="BY21" s="81" t="s">
        <v>385</v>
      </c>
      <c r="CA21" s="167" t="s">
        <v>314</v>
      </c>
      <c r="CB21" s="167" t="s">
        <v>315</v>
      </c>
      <c r="CC21" s="167" t="s">
        <v>333</v>
      </c>
      <c r="CD21" s="168" t="s">
        <v>318</v>
      </c>
      <c r="CE21" s="161">
        <f t="shared" si="21"/>
        <v>260</v>
      </c>
      <c r="CF21" s="167" t="s">
        <v>317</v>
      </c>
      <c r="CI21" s="81" t="s">
        <v>333</v>
      </c>
      <c r="CJ21" s="242">
        <f t="shared" si="1"/>
        <v>145.94022709677421</v>
      </c>
      <c r="CK21" s="242">
        <f t="shared" si="2"/>
        <v>251</v>
      </c>
      <c r="CL21" s="242">
        <f t="shared" si="3"/>
        <v>260</v>
      </c>
      <c r="CO21" s="243" t="s">
        <v>373</v>
      </c>
      <c r="CP21" s="243" t="s">
        <v>449</v>
      </c>
      <c r="CQ21" s="244">
        <v>0.81</v>
      </c>
      <c r="CR21" s="244">
        <v>6.4399999999999999E-2</v>
      </c>
      <c r="CS21" s="243">
        <v>12.58</v>
      </c>
      <c r="CT21" s="243" t="s">
        <v>420</v>
      </c>
      <c r="CU21" s="244">
        <v>2E-16</v>
      </c>
      <c r="CV21" s="81" t="s">
        <v>385</v>
      </c>
      <c r="CW21" s="245" t="s">
        <v>460</v>
      </c>
      <c r="CX21" s="249" t="s">
        <v>477</v>
      </c>
      <c r="CY21" s="246" t="s">
        <v>318</v>
      </c>
      <c r="CZ21" s="247">
        <f t="shared" si="12"/>
        <v>0.30299999999999999</v>
      </c>
      <c r="DA21" s="245" t="s">
        <v>317</v>
      </c>
    </row>
    <row r="22" spans="2:105" ht="15" customHeight="1" thickTop="1" thickBot="1" x14ac:dyDescent="0.3">
      <c r="B22" s="187"/>
      <c r="C22" s="174"/>
      <c r="D22" s="174"/>
      <c r="E22" s="175" t="s">
        <v>88</v>
      </c>
      <c r="F22" s="176"/>
      <c r="G22" s="179">
        <f>H4/C26</f>
        <v>6.8758344459279044E-2</v>
      </c>
      <c r="H22" s="176"/>
      <c r="I22" s="177"/>
      <c r="K22" s="81" t="s">
        <v>87</v>
      </c>
      <c r="L22" s="208">
        <v>0</v>
      </c>
      <c r="M22" s="209">
        <v>2</v>
      </c>
      <c r="N22" s="209" t="s">
        <v>54</v>
      </c>
      <c r="O22" s="210">
        <f>I11</f>
        <v>2.7900000000000005</v>
      </c>
      <c r="P22" s="211" t="s">
        <v>39</v>
      </c>
      <c r="Q22" s="30">
        <f t="shared" si="7"/>
        <v>2</v>
      </c>
      <c r="R22" s="30">
        <f t="shared" si="8"/>
        <v>5.580000000000001</v>
      </c>
      <c r="S22" s="30">
        <f t="shared" si="18"/>
        <v>0</v>
      </c>
      <c r="T22" s="30">
        <f t="shared" si="19"/>
        <v>0</v>
      </c>
      <c r="U22" s="30">
        <f t="shared" si="20"/>
        <v>0</v>
      </c>
      <c r="V22" s="31"/>
      <c r="W22" s="223"/>
      <c r="X22" s="216" t="s">
        <v>85</v>
      </c>
      <c r="Y22" s="217"/>
      <c r="Z22" s="218" t="s">
        <v>21</v>
      </c>
      <c r="AA22" s="219">
        <f>(1/(1/8+SUM(AD24:AD26)+1/8))</f>
        <v>1.9926199261992623</v>
      </c>
      <c r="AB22" s="217" t="s">
        <v>5</v>
      </c>
      <c r="AC22" s="217"/>
      <c r="AD22" s="217" t="s">
        <v>22</v>
      </c>
      <c r="AE22" s="220">
        <f>SUM(AE24:AE27)</f>
        <v>150360</v>
      </c>
      <c r="AF22" s="222" t="s">
        <v>23</v>
      </c>
      <c r="AG22" s="222">
        <f>SUM(AE24:AE26)</f>
        <v>150360</v>
      </c>
      <c r="AH22" s="222"/>
      <c r="AM22" s="158" t="s">
        <v>314</v>
      </c>
      <c r="AN22" s="81" t="s">
        <v>315</v>
      </c>
      <c r="AO22" s="81" t="s">
        <v>333</v>
      </c>
      <c r="AP22" s="152">
        <f>'Verwarming Tabula 2zone'!B60+SUM(R10:R13)</f>
        <v>145.94022709677421</v>
      </c>
      <c r="AQ22" s="81" t="s">
        <v>317</v>
      </c>
      <c r="AR22" s="166">
        <v>110.5333</v>
      </c>
      <c r="AV22" s="167" t="s">
        <v>314</v>
      </c>
      <c r="AW22" s="167" t="s">
        <v>315</v>
      </c>
      <c r="AX22" s="167" t="s">
        <v>333</v>
      </c>
      <c r="AY22" s="168" t="s">
        <v>318</v>
      </c>
      <c r="AZ22" s="161">
        <f t="shared" si="22"/>
        <v>145.94022709677421</v>
      </c>
      <c r="BA22" s="167" t="s">
        <v>317</v>
      </c>
      <c r="BC22" s="81" t="s">
        <v>373</v>
      </c>
      <c r="BD22" s="81" t="s">
        <v>397</v>
      </c>
      <c r="BE22" s="166">
        <v>-15.3</v>
      </c>
      <c r="BF22" s="166">
        <v>295</v>
      </c>
      <c r="BG22" s="81">
        <v>-0.05</v>
      </c>
      <c r="BH22" s="81">
        <v>0.96</v>
      </c>
      <c r="BL22" s="167" t="s">
        <v>314</v>
      </c>
      <c r="BM22" s="167" t="s">
        <v>315</v>
      </c>
      <c r="BN22" s="167" t="s">
        <v>333</v>
      </c>
      <c r="BO22" s="168" t="s">
        <v>318</v>
      </c>
      <c r="BP22" s="161">
        <f t="shared" si="23"/>
        <v>251</v>
      </c>
      <c r="BQ22" s="167" t="s">
        <v>317</v>
      </c>
      <c r="BS22" s="81" t="s">
        <v>373</v>
      </c>
      <c r="BT22" s="81" t="s">
        <v>396</v>
      </c>
      <c r="BU22" s="166">
        <v>-8.51</v>
      </c>
      <c r="BV22" s="166">
        <v>0.16800000000000001</v>
      </c>
      <c r="BW22" s="81">
        <v>-50.8</v>
      </c>
      <c r="BX22" s="81" t="s">
        <v>384</v>
      </c>
      <c r="BY22" s="81" t="s">
        <v>385</v>
      </c>
      <c r="CA22" s="167" t="s">
        <v>314</v>
      </c>
      <c r="CB22" s="167" t="s">
        <v>315</v>
      </c>
      <c r="CC22" s="167" t="s">
        <v>334</v>
      </c>
      <c r="CD22" s="168" t="s">
        <v>318</v>
      </c>
      <c r="CE22" s="161">
        <f>1/BU41</f>
        <v>1992.0318725099603</v>
      </c>
      <c r="CF22" s="167" t="s">
        <v>317</v>
      </c>
      <c r="CI22" s="81" t="s">
        <v>334</v>
      </c>
      <c r="CJ22" s="242">
        <f t="shared" si="1"/>
        <v>1106.0402048053024</v>
      </c>
      <c r="CK22" s="242">
        <f t="shared" si="2"/>
        <v>884.95575221238948</v>
      </c>
      <c r="CL22" s="242">
        <f t="shared" si="3"/>
        <v>1992.0318725099603</v>
      </c>
      <c r="CO22" s="243" t="s">
        <v>373</v>
      </c>
      <c r="CP22" s="243" t="s">
        <v>450</v>
      </c>
      <c r="CQ22" s="244">
        <v>0.65200000000000002</v>
      </c>
      <c r="CR22" s="244">
        <v>8.2500000000000004E-2</v>
      </c>
      <c r="CS22" s="243">
        <v>7.9</v>
      </c>
      <c r="CT22" s="244">
        <v>2.9000000000000002E-15</v>
      </c>
      <c r="CU22" s="243" t="s">
        <v>385</v>
      </c>
      <c r="CW22" s="245" t="s">
        <v>460</v>
      </c>
      <c r="CX22" s="249" t="s">
        <v>478</v>
      </c>
      <c r="CY22" s="246" t="s">
        <v>318</v>
      </c>
      <c r="CZ22" s="247">
        <f t="shared" si="12"/>
        <v>6.6400000000000002E-20</v>
      </c>
      <c r="DA22" s="245" t="s">
        <v>317</v>
      </c>
    </row>
    <row r="23" spans="2:105" ht="15" customHeight="1" thickTop="1" thickBot="1" x14ac:dyDescent="0.3">
      <c r="B23" s="193" t="s">
        <v>91</v>
      </c>
      <c r="C23" s="195">
        <f>C17+C6</f>
        <v>279</v>
      </c>
      <c r="D23" s="194" t="s">
        <v>9</v>
      </c>
      <c r="E23" s="175"/>
      <c r="F23" s="176"/>
      <c r="G23" s="176"/>
      <c r="H23" s="176"/>
      <c r="I23" s="177"/>
      <c r="K23" s="81" t="s">
        <v>89</v>
      </c>
      <c r="L23" s="208">
        <v>0</v>
      </c>
      <c r="M23" s="209">
        <v>2</v>
      </c>
      <c r="N23" s="209" t="s">
        <v>54</v>
      </c>
      <c r="O23" s="210">
        <f>I12</f>
        <v>3.66</v>
      </c>
      <c r="P23" s="211" t="s">
        <v>45</v>
      </c>
      <c r="Q23" s="30">
        <f t="shared" si="7"/>
        <v>2</v>
      </c>
      <c r="R23" s="30">
        <f t="shared" si="8"/>
        <v>7.32</v>
      </c>
      <c r="S23" s="30">
        <f t="shared" si="18"/>
        <v>0</v>
      </c>
      <c r="T23" s="30">
        <f t="shared" si="19"/>
        <v>0</v>
      </c>
      <c r="U23" s="30">
        <f t="shared" si="20"/>
        <v>0</v>
      </c>
      <c r="V23" s="31"/>
      <c r="W23" s="223"/>
      <c r="X23" s="224"/>
      <c r="Y23" s="225" t="s">
        <v>27</v>
      </c>
      <c r="Z23" s="225" t="s">
        <v>28</v>
      </c>
      <c r="AA23" s="225" t="s">
        <v>29</v>
      </c>
      <c r="AB23" s="225" t="s">
        <v>30</v>
      </c>
      <c r="AC23" s="225" t="s">
        <v>31</v>
      </c>
      <c r="AD23" s="225" t="s">
        <v>32</v>
      </c>
      <c r="AE23" s="226" t="s">
        <v>33</v>
      </c>
      <c r="AF23" s="222"/>
      <c r="AG23" s="222"/>
      <c r="AH23" s="222"/>
      <c r="AM23" s="158" t="s">
        <v>314</v>
      </c>
      <c r="AN23" s="81" t="s">
        <v>315</v>
      </c>
      <c r="AO23" s="81" t="s">
        <v>334</v>
      </c>
      <c r="AP23" s="81">
        <f>SUM(O6:O9)*1/(SUM(AD16:AD17)+0.5*SUM(AD19:AD20)+1/23)</f>
        <v>1106.0402048053024</v>
      </c>
      <c r="AQ23" s="81" t="s">
        <v>317</v>
      </c>
      <c r="AR23" s="81">
        <f>1/0.01496205</f>
        <v>66.83576114235683</v>
      </c>
      <c r="AV23" s="167" t="s">
        <v>314</v>
      </c>
      <c r="AW23" s="167" t="s">
        <v>315</v>
      </c>
      <c r="AX23" s="167" t="s">
        <v>334</v>
      </c>
      <c r="AY23" s="168" t="s">
        <v>318</v>
      </c>
      <c r="AZ23" s="161">
        <f t="shared" si="22"/>
        <v>1106.0402048053024</v>
      </c>
      <c r="BA23" s="167" t="s">
        <v>317</v>
      </c>
      <c r="BC23" s="81" t="s">
        <v>373</v>
      </c>
      <c r="BD23" s="81" t="s">
        <v>399</v>
      </c>
      <c r="BE23" s="166">
        <v>-14.3</v>
      </c>
      <c r="BF23" s="166">
        <v>275</v>
      </c>
      <c r="BG23" s="81">
        <v>-0.05</v>
      </c>
      <c r="BH23" s="81">
        <v>0.96</v>
      </c>
      <c r="BL23" s="167" t="s">
        <v>314</v>
      </c>
      <c r="BM23" s="167" t="s">
        <v>315</v>
      </c>
      <c r="BN23" s="167" t="s">
        <v>334</v>
      </c>
      <c r="BO23" s="168" t="s">
        <v>318</v>
      </c>
      <c r="BP23" s="161">
        <f>1/BE40</f>
        <v>884.95575221238948</v>
      </c>
      <c r="BQ23" s="167" t="s">
        <v>317</v>
      </c>
      <c r="BS23" s="81" t="s">
        <v>373</v>
      </c>
      <c r="BT23" s="81" t="s">
        <v>397</v>
      </c>
      <c r="BU23" s="166">
        <v>-16.7</v>
      </c>
      <c r="BV23" s="166">
        <v>5.94</v>
      </c>
      <c r="BW23" s="81">
        <v>-2.81</v>
      </c>
      <c r="BX23" s="81">
        <v>4.8999999999999998E-3</v>
      </c>
      <c r="BY23" s="81" t="s">
        <v>398</v>
      </c>
      <c r="CA23" s="167" t="s">
        <v>314</v>
      </c>
      <c r="CB23" s="167" t="s">
        <v>315</v>
      </c>
      <c r="CC23" s="167" t="s">
        <v>335</v>
      </c>
      <c r="CD23" s="168" t="s">
        <v>318</v>
      </c>
      <c r="CE23" s="161">
        <f>BU44</f>
        <v>530</v>
      </c>
      <c r="CF23" s="167" t="s">
        <v>317</v>
      </c>
      <c r="CI23" s="81" t="s">
        <v>335</v>
      </c>
      <c r="CJ23" s="242">
        <f t="shared" si="1"/>
        <v>35.286831404441671</v>
      </c>
      <c r="CK23" s="242">
        <f t="shared" si="2"/>
        <v>301</v>
      </c>
      <c r="CL23" s="242">
        <f t="shared" si="3"/>
        <v>530</v>
      </c>
      <c r="CO23" s="243" t="s">
        <v>373</v>
      </c>
      <c r="CP23" s="243" t="s">
        <v>451</v>
      </c>
      <c r="CQ23" s="244">
        <v>0.89</v>
      </c>
      <c r="CR23" s="244">
        <v>2.4400000000000002E-2</v>
      </c>
      <c r="CS23" s="243">
        <v>36.43</v>
      </c>
      <c r="CT23" s="243" t="s">
        <v>420</v>
      </c>
      <c r="CU23" s="244">
        <v>2E-16</v>
      </c>
      <c r="CV23" s="81" t="s">
        <v>385</v>
      </c>
      <c r="CW23" s="245" t="s">
        <v>460</v>
      </c>
      <c r="CX23" s="248" t="s">
        <v>479</v>
      </c>
      <c r="CY23" s="246" t="s">
        <v>318</v>
      </c>
      <c r="CZ23" s="247">
        <f t="shared" si="12"/>
        <v>0.436</v>
      </c>
      <c r="DA23" s="245" t="s">
        <v>317</v>
      </c>
    </row>
    <row r="24" spans="2:105" ht="15" customHeight="1" thickTop="1" thickBot="1" x14ac:dyDescent="0.3">
      <c r="B24" s="175" t="s">
        <v>94</v>
      </c>
      <c r="C24" s="191">
        <f>C23/C6</f>
        <v>1</v>
      </c>
      <c r="D24" s="176" t="s">
        <v>9</v>
      </c>
      <c r="E24" s="175" t="s">
        <v>95</v>
      </c>
      <c r="F24" s="176"/>
      <c r="G24" s="191">
        <f>C8/C6</f>
        <v>0.51863799283154122</v>
      </c>
      <c r="H24" s="176"/>
      <c r="I24" s="177"/>
      <c r="K24" s="81" t="s">
        <v>92</v>
      </c>
      <c r="L24" s="208">
        <v>0</v>
      </c>
      <c r="M24" s="209">
        <v>2</v>
      </c>
      <c r="N24" s="209" t="s">
        <v>54</v>
      </c>
      <c r="O24" s="210">
        <f>I13</f>
        <v>2.6700000000000004</v>
      </c>
      <c r="P24" s="211" t="s">
        <v>50</v>
      </c>
      <c r="Q24" s="30">
        <f t="shared" si="7"/>
        <v>2</v>
      </c>
      <c r="R24" s="30">
        <f t="shared" si="8"/>
        <v>5.3400000000000007</v>
      </c>
      <c r="S24" s="30">
        <f t="shared" si="18"/>
        <v>0</v>
      </c>
      <c r="T24" s="30">
        <f t="shared" si="19"/>
        <v>0</v>
      </c>
      <c r="U24" s="30">
        <f t="shared" si="20"/>
        <v>0</v>
      </c>
      <c r="V24" s="31"/>
      <c r="W24" s="223"/>
      <c r="X24" s="175"/>
      <c r="Y24" s="176" t="s">
        <v>433</v>
      </c>
      <c r="Z24" s="176">
        <v>0.02</v>
      </c>
      <c r="AA24" s="176">
        <v>0.6</v>
      </c>
      <c r="AB24" s="176">
        <v>975</v>
      </c>
      <c r="AC24" s="176">
        <v>840</v>
      </c>
      <c r="AD24" s="227">
        <f>Z24/AA24</f>
        <v>3.3333333333333333E-2</v>
      </c>
      <c r="AE24" s="177">
        <f>Z24*AB24*AC24</f>
        <v>16380</v>
      </c>
      <c r="AF24" s="222"/>
      <c r="AG24" s="222"/>
      <c r="AH24" s="222"/>
      <c r="AM24" s="158" t="s">
        <v>314</v>
      </c>
      <c r="AN24" s="81" t="s">
        <v>315</v>
      </c>
      <c r="AO24" s="81" t="s">
        <v>335</v>
      </c>
      <c r="AP24" s="81">
        <f>SUM(O14)*1/(SUM(AD45:AD47)+0.5*SUM(AD43:AD44))</f>
        <v>35.286831404441671</v>
      </c>
      <c r="AQ24" s="81" t="s">
        <v>317</v>
      </c>
      <c r="AR24" s="166">
        <v>43.800190000000001</v>
      </c>
      <c r="AV24" s="167" t="s">
        <v>314</v>
      </c>
      <c r="AW24" s="167" t="s">
        <v>315</v>
      </c>
      <c r="AX24" s="167" t="s">
        <v>335</v>
      </c>
      <c r="AY24" s="168" t="s">
        <v>318</v>
      </c>
      <c r="AZ24" s="161">
        <f t="shared" si="22"/>
        <v>35.286831404441671</v>
      </c>
      <c r="BA24" s="167" t="s">
        <v>317</v>
      </c>
      <c r="BC24" s="81" t="s">
        <v>373</v>
      </c>
      <c r="BD24" s="81" t="s">
        <v>400</v>
      </c>
      <c r="BE24" s="166">
        <v>-9.5399999999999991</v>
      </c>
      <c r="BF24" s="166">
        <v>148</v>
      </c>
      <c r="BG24" s="81">
        <v>-0.06</v>
      </c>
      <c r="BH24" s="81">
        <v>0.95</v>
      </c>
      <c r="BL24" s="167" t="s">
        <v>314</v>
      </c>
      <c r="BM24" s="167" t="s">
        <v>315</v>
      </c>
      <c r="BN24" s="167" t="s">
        <v>335</v>
      </c>
      <c r="BO24" s="168" t="s">
        <v>318</v>
      </c>
      <c r="BP24" s="161">
        <f>BE43</f>
        <v>301</v>
      </c>
      <c r="BQ24" s="167" t="s">
        <v>317</v>
      </c>
      <c r="BS24" s="81" t="s">
        <v>373</v>
      </c>
      <c r="BT24" s="81" t="s">
        <v>399</v>
      </c>
      <c r="BU24" s="166">
        <v>-12.4</v>
      </c>
      <c r="BV24" s="166">
        <v>4.4400000000000004</v>
      </c>
      <c r="BW24" s="81">
        <v>-2.8</v>
      </c>
      <c r="BX24" s="81">
        <v>5.1000000000000004E-3</v>
      </c>
      <c r="BY24" s="81" t="s">
        <v>398</v>
      </c>
      <c r="CA24" s="167"/>
      <c r="CB24" s="167"/>
      <c r="CC24" s="167"/>
      <c r="CD24" s="168"/>
      <c r="CE24" s="161"/>
      <c r="CF24" s="167"/>
      <c r="CJ24" s="240">
        <f t="shared" si="1"/>
        <v>0</v>
      </c>
      <c r="CK24" s="240">
        <f t="shared" si="2"/>
        <v>0</v>
      </c>
      <c r="CL24" s="240">
        <f t="shared" si="3"/>
        <v>0</v>
      </c>
      <c r="CO24" s="243" t="s">
        <v>373</v>
      </c>
      <c r="CP24" s="243" t="s">
        <v>452</v>
      </c>
      <c r="CQ24" s="244">
        <v>1.94</v>
      </c>
      <c r="CR24" s="244">
        <v>5.96E-2</v>
      </c>
      <c r="CS24" s="243">
        <v>32.5</v>
      </c>
      <c r="CT24" s="243" t="s">
        <v>420</v>
      </c>
      <c r="CU24" s="244">
        <v>2E-16</v>
      </c>
      <c r="CV24" s="81" t="s">
        <v>385</v>
      </c>
      <c r="CW24" s="245" t="s">
        <v>460</v>
      </c>
      <c r="CX24" s="246" t="s">
        <v>480</v>
      </c>
      <c r="CY24" s="246" t="s">
        <v>318</v>
      </c>
      <c r="CZ24" s="247">
        <f t="shared" si="12"/>
        <v>0.28100000000000003</v>
      </c>
      <c r="DA24" s="245" t="s">
        <v>317</v>
      </c>
    </row>
    <row r="25" spans="2:105" ht="15" customHeight="1" thickTop="1" thickBot="1" x14ac:dyDescent="0.3">
      <c r="B25" s="187"/>
      <c r="C25" s="174"/>
      <c r="D25" s="174"/>
      <c r="E25" s="175"/>
      <c r="F25" s="176"/>
      <c r="G25" s="176"/>
      <c r="H25" s="176"/>
      <c r="I25" s="177"/>
      <c r="K25" s="81" t="s">
        <v>96</v>
      </c>
      <c r="L25" s="208">
        <v>0</v>
      </c>
      <c r="M25" s="209">
        <v>2</v>
      </c>
      <c r="N25" s="209" t="s">
        <v>20</v>
      </c>
      <c r="O25" s="210">
        <f>'Tabula data'!B7</f>
        <v>158.4</v>
      </c>
      <c r="P25" s="211" t="s">
        <v>97</v>
      </c>
      <c r="Q25" s="30">
        <f t="shared" si="7"/>
        <v>0.27481053799679722</v>
      </c>
      <c r="R25" s="30">
        <f t="shared" si="8"/>
        <v>43.529989218692684</v>
      </c>
      <c r="S25" s="30">
        <f t="shared" si="18"/>
        <v>13515004.800000001</v>
      </c>
      <c r="T25" s="30">
        <f t="shared" si="19"/>
        <v>85322</v>
      </c>
      <c r="U25" s="30">
        <f t="shared" si="20"/>
        <v>6689232</v>
      </c>
      <c r="V25" s="31"/>
      <c r="W25" s="223"/>
      <c r="X25" s="175"/>
      <c r="Y25" s="176" t="s">
        <v>434</v>
      </c>
      <c r="Z25" s="176">
        <v>0.1</v>
      </c>
      <c r="AA25" s="176">
        <v>0.54</v>
      </c>
      <c r="AB25" s="176">
        <v>1400</v>
      </c>
      <c r="AC25" s="176">
        <v>840</v>
      </c>
      <c r="AD25" s="227">
        <f>Z25/AA25</f>
        <v>0.18518518518518517</v>
      </c>
      <c r="AE25" s="177">
        <f>Z25*AB25*AC25</f>
        <v>117600</v>
      </c>
      <c r="AF25" s="222"/>
      <c r="AG25" s="222"/>
      <c r="AH25" s="222"/>
      <c r="AQ25" s="81" t="s">
        <v>317</v>
      </c>
      <c r="AV25" s="167"/>
      <c r="AW25" s="167"/>
      <c r="AX25" s="167"/>
      <c r="AY25" s="168"/>
      <c r="BA25" s="167"/>
      <c r="BC25" s="81" t="s">
        <v>373</v>
      </c>
      <c r="BD25" s="81" t="s">
        <v>401</v>
      </c>
      <c r="BE25" s="166">
        <v>-13</v>
      </c>
      <c r="BF25" s="166">
        <v>221</v>
      </c>
      <c r="BG25" s="81">
        <v>-0.06</v>
      </c>
      <c r="BH25" s="81">
        <v>0.95</v>
      </c>
      <c r="BL25" s="167"/>
      <c r="BM25" s="167"/>
      <c r="BN25" s="167"/>
      <c r="BO25" s="168"/>
      <c r="BP25" s="161"/>
      <c r="BQ25" s="167"/>
      <c r="BS25" s="81" t="s">
        <v>373</v>
      </c>
      <c r="BT25" s="81" t="s">
        <v>400</v>
      </c>
      <c r="BU25" s="166">
        <v>-17.8</v>
      </c>
      <c r="BV25" s="166">
        <v>5.5</v>
      </c>
      <c r="BW25" s="81">
        <v>-3.24</v>
      </c>
      <c r="BX25" s="81">
        <v>1.1999999999999999E-3</v>
      </c>
      <c r="BY25" s="81" t="s">
        <v>398</v>
      </c>
      <c r="CA25" s="167" t="s">
        <v>314</v>
      </c>
      <c r="CB25" s="167" t="s">
        <v>315</v>
      </c>
      <c r="CC25" s="167" t="s">
        <v>336</v>
      </c>
      <c r="CD25" s="168" t="s">
        <v>318</v>
      </c>
      <c r="CE25" s="161">
        <f>BU53</f>
        <v>0.42799999999999999</v>
      </c>
      <c r="CF25" s="167" t="s">
        <v>317</v>
      </c>
      <c r="CI25" s="81" t="s">
        <v>336</v>
      </c>
      <c r="CJ25" s="239">
        <f t="shared" si="1"/>
        <v>0.50172974736910581</v>
      </c>
      <c r="CK25" s="239">
        <f t="shared" si="2"/>
        <v>0.01</v>
      </c>
      <c r="CL25" s="239">
        <f t="shared" si="3"/>
        <v>0.42799999999999999</v>
      </c>
      <c r="CO25" s="243" t="s">
        <v>373</v>
      </c>
      <c r="CP25" s="243" t="s">
        <v>453</v>
      </c>
      <c r="CQ25" s="244">
        <v>1.08</v>
      </c>
      <c r="CR25" s="244">
        <v>1.04E-2</v>
      </c>
      <c r="CS25" s="243">
        <v>103.51</v>
      </c>
      <c r="CT25" s="243" t="s">
        <v>420</v>
      </c>
      <c r="CU25" s="244">
        <v>2E-16</v>
      </c>
      <c r="CV25" s="81" t="s">
        <v>385</v>
      </c>
      <c r="CY25" s="246"/>
    </row>
    <row r="26" spans="2:105" ht="15" customHeight="1" thickTop="1" thickBot="1" x14ac:dyDescent="0.3">
      <c r="B26" s="193" t="s">
        <v>100</v>
      </c>
      <c r="C26" s="199">
        <f>'Tabula data'!B6</f>
        <v>599.20000000000005</v>
      </c>
      <c r="D26" s="198" t="s">
        <v>9</v>
      </c>
      <c r="E26" s="175"/>
      <c r="F26" s="176"/>
      <c r="G26" s="176"/>
      <c r="H26" s="176"/>
      <c r="I26" s="177"/>
      <c r="K26" s="81" t="s">
        <v>98</v>
      </c>
      <c r="L26" s="208">
        <v>1</v>
      </c>
      <c r="M26" s="209">
        <v>2</v>
      </c>
      <c r="N26" s="209" t="s">
        <v>99</v>
      </c>
      <c r="O26" s="210">
        <f>'Tabula data'!B4-'Tabula data'!B14</f>
        <v>144.69999999999999</v>
      </c>
      <c r="P26" s="211"/>
      <c r="Q26" s="30">
        <f t="shared" si="7"/>
        <v>1.2141280353200883</v>
      </c>
      <c r="R26" s="30">
        <f t="shared" si="8"/>
        <v>175.68432671081675</v>
      </c>
      <c r="S26" s="30">
        <f t="shared" si="18"/>
        <v>8354977.9999999991</v>
      </c>
      <c r="T26" s="30">
        <f t="shared" si="19"/>
        <v>57740</v>
      </c>
      <c r="U26" s="30">
        <f t="shared" si="20"/>
        <v>8354977.9999999991</v>
      </c>
      <c r="V26" s="31"/>
      <c r="W26" s="223"/>
      <c r="X26" s="187"/>
      <c r="Y26" s="174" t="s">
        <v>433</v>
      </c>
      <c r="Z26" s="174">
        <v>0.02</v>
      </c>
      <c r="AA26" s="174">
        <v>0.6</v>
      </c>
      <c r="AB26" s="174">
        <v>975</v>
      </c>
      <c r="AC26" s="174">
        <v>840</v>
      </c>
      <c r="AD26" s="229">
        <f>Z26/AA26</f>
        <v>3.3333333333333333E-2</v>
      </c>
      <c r="AE26" s="192">
        <f>Z26*AB26*AC26</f>
        <v>16380</v>
      </c>
      <c r="AF26" s="222"/>
      <c r="AG26" s="222"/>
      <c r="AH26" s="222"/>
      <c r="AM26" s="158" t="s">
        <v>314</v>
      </c>
      <c r="AN26" s="81" t="s">
        <v>315</v>
      </c>
      <c r="AO26" s="81" t="s">
        <v>336</v>
      </c>
      <c r="AP26" s="81">
        <f>SUM(O17:O20,O25)/SUM(O$17:O$25,O$28,O$26)</f>
        <v>0.50172974736910581</v>
      </c>
      <c r="AQ26" s="81" t="s">
        <v>317</v>
      </c>
      <c r="AR26" s="166">
        <v>0.44339849999999997</v>
      </c>
      <c r="AV26" s="167" t="s">
        <v>314</v>
      </c>
      <c r="AW26" s="167" t="s">
        <v>315</v>
      </c>
      <c r="AX26" s="167" t="s">
        <v>336</v>
      </c>
      <c r="AY26" s="168" t="s">
        <v>318</v>
      </c>
      <c r="AZ26" s="161">
        <f>AP26</f>
        <v>0.50172974736910581</v>
      </c>
      <c r="BA26" s="167" t="s">
        <v>317</v>
      </c>
      <c r="BC26" s="81" t="s">
        <v>373</v>
      </c>
      <c r="BD26" s="81" t="s">
        <v>402</v>
      </c>
      <c r="BE26" s="166">
        <v>0.128</v>
      </c>
      <c r="BF26" s="166">
        <v>7.7800000000000005E-4</v>
      </c>
      <c r="BG26" s="81">
        <v>164.49</v>
      </c>
      <c r="BH26" s="81" t="s">
        <v>384</v>
      </c>
      <c r="BI26" s="81" t="s">
        <v>385</v>
      </c>
      <c r="BL26" s="167" t="s">
        <v>314</v>
      </c>
      <c r="BM26" s="167" t="s">
        <v>315</v>
      </c>
      <c r="BN26" s="167" t="s">
        <v>336</v>
      </c>
      <c r="BO26" s="168" t="s">
        <v>318</v>
      </c>
      <c r="BP26" s="161">
        <f>BE52</f>
        <v>0.01</v>
      </c>
      <c r="BQ26" s="167" t="s">
        <v>317</v>
      </c>
      <c r="BS26" s="81" t="s">
        <v>373</v>
      </c>
      <c r="BT26" s="81" t="s">
        <v>401</v>
      </c>
      <c r="BU26" s="166">
        <v>-18.8</v>
      </c>
      <c r="BV26" s="166">
        <v>6.12</v>
      </c>
      <c r="BW26" s="81">
        <v>-3.06</v>
      </c>
      <c r="BX26" s="81">
        <v>2.2000000000000001E-3</v>
      </c>
      <c r="BY26" s="81" t="s">
        <v>398</v>
      </c>
      <c r="CA26" s="167" t="s">
        <v>314</v>
      </c>
      <c r="CB26" s="167" t="s">
        <v>315</v>
      </c>
      <c r="CC26" s="167" t="s">
        <v>337</v>
      </c>
      <c r="CD26" s="168" t="s">
        <v>318</v>
      </c>
      <c r="CE26" s="161">
        <f t="shared" ref="CE26:CE27" si="24">BU54</f>
        <v>0.161</v>
      </c>
      <c r="CF26" s="167" t="s">
        <v>317</v>
      </c>
      <c r="CI26" s="81" t="s">
        <v>337</v>
      </c>
      <c r="CJ26" s="239">
        <f t="shared" si="1"/>
        <v>9.2786488762580055E-2</v>
      </c>
      <c r="CK26" s="239">
        <f t="shared" si="2"/>
        <v>1.0200000000000001E-2</v>
      </c>
      <c r="CL26" s="239">
        <f t="shared" si="3"/>
        <v>0.161</v>
      </c>
      <c r="CO26" s="243" t="s">
        <v>373</v>
      </c>
      <c r="CP26" s="243" t="s">
        <v>454</v>
      </c>
      <c r="CQ26" s="244">
        <v>0.74099999999999999</v>
      </c>
      <c r="CR26" s="244">
        <v>1.18E-2</v>
      </c>
      <c r="CS26" s="243">
        <v>62.77</v>
      </c>
      <c r="CT26" s="243" t="s">
        <v>420</v>
      </c>
      <c r="CU26" s="244">
        <v>2E-16</v>
      </c>
      <c r="CV26" s="81" t="s">
        <v>385</v>
      </c>
      <c r="CX26" s="246"/>
      <c r="CY26" s="246"/>
      <c r="CZ26" s="247"/>
    </row>
    <row r="27" spans="2:105" ht="15" customHeight="1" thickTop="1" thickBot="1" x14ac:dyDescent="0.3">
      <c r="B27" s="175"/>
      <c r="C27" s="191">
        <f>SUM(O6:O25)</f>
        <v>599.20000000000005</v>
      </c>
      <c r="D27" s="177" t="s">
        <v>70</v>
      </c>
      <c r="E27" s="175"/>
      <c r="F27" s="176"/>
      <c r="G27" s="176"/>
      <c r="H27" s="176"/>
      <c r="I27" s="177"/>
      <c r="K27" s="81" t="s">
        <v>101</v>
      </c>
      <c r="L27" s="208">
        <v>1</v>
      </c>
      <c r="M27" s="209">
        <v>1</v>
      </c>
      <c r="N27" s="209" t="s">
        <v>85</v>
      </c>
      <c r="O27" s="210">
        <f>SUM(O6:O9)</f>
        <v>219.86010000000002</v>
      </c>
      <c r="P27" s="211"/>
      <c r="Q27" s="30">
        <f t="shared" si="7"/>
        <v>1.9926199261992623</v>
      </c>
      <c r="R27" s="30">
        <f t="shared" si="8"/>
        <v>438.09761623616248</v>
      </c>
      <c r="S27" s="30">
        <f t="shared" si="18"/>
        <v>33058164.636000004</v>
      </c>
      <c r="T27" s="30">
        <f t="shared" si="19"/>
        <v>150360</v>
      </c>
      <c r="U27" s="30">
        <f t="shared" si="20"/>
        <v>33058164.636000004</v>
      </c>
      <c r="V27" s="31"/>
      <c r="W27" s="223"/>
      <c r="AF27" s="222"/>
      <c r="AG27" s="222"/>
      <c r="AH27" s="222"/>
      <c r="AM27" s="158" t="s">
        <v>314</v>
      </c>
      <c r="AN27" s="81" t="s">
        <v>315</v>
      </c>
      <c r="AO27" s="81" t="s">
        <v>337</v>
      </c>
      <c r="AP27" s="81">
        <f>SUM(O28)/SUM(O$17:O$25,O$28,O$26)</f>
        <v>9.2786488762580055E-2</v>
      </c>
      <c r="AQ27" s="81" t="s">
        <v>317</v>
      </c>
      <c r="AR27" s="166">
        <v>0.14522370000000001</v>
      </c>
      <c r="AV27" s="167" t="s">
        <v>314</v>
      </c>
      <c r="AW27" s="167" t="s">
        <v>315</v>
      </c>
      <c r="AX27" s="167" t="s">
        <v>337</v>
      </c>
      <c r="AY27" s="168" t="s">
        <v>318</v>
      </c>
      <c r="AZ27" s="161">
        <f t="shared" ref="AZ27:AZ28" si="25">AP27</f>
        <v>9.2786488762580055E-2</v>
      </c>
      <c r="BA27" s="167" t="s">
        <v>317</v>
      </c>
      <c r="BC27" s="81" t="s">
        <v>373</v>
      </c>
      <c r="BD27" s="81" t="s">
        <v>403</v>
      </c>
      <c r="BE27" s="166">
        <v>0.23499999999999999</v>
      </c>
      <c r="BF27" s="166">
        <v>1.1199999999999999E-3</v>
      </c>
      <c r="BG27" s="81">
        <v>210.07</v>
      </c>
      <c r="BH27" s="81" t="s">
        <v>384</v>
      </c>
      <c r="BI27" s="81" t="s">
        <v>385</v>
      </c>
      <c r="BL27" s="167" t="s">
        <v>314</v>
      </c>
      <c r="BM27" s="167" t="s">
        <v>315</v>
      </c>
      <c r="BN27" s="167" t="s">
        <v>337</v>
      </c>
      <c r="BO27" s="168" t="s">
        <v>318</v>
      </c>
      <c r="BP27" s="161">
        <f t="shared" ref="BP27:BP28" si="26">BE53</f>
        <v>1.0200000000000001E-2</v>
      </c>
      <c r="BQ27" s="167" t="s">
        <v>317</v>
      </c>
      <c r="BS27" s="81" t="s">
        <v>373</v>
      </c>
      <c r="BT27" s="81" t="s">
        <v>402</v>
      </c>
      <c r="BU27" s="166">
        <v>8.2900000000000001E-2</v>
      </c>
      <c r="BV27" s="166">
        <v>2.0799999999999999E-4</v>
      </c>
      <c r="BW27" s="81">
        <v>398.4</v>
      </c>
      <c r="BX27" s="81" t="s">
        <v>384</v>
      </c>
      <c r="BY27" s="81" t="s">
        <v>385</v>
      </c>
      <c r="CA27" s="167" t="s">
        <v>314</v>
      </c>
      <c r="CB27" s="167" t="s">
        <v>315</v>
      </c>
      <c r="CC27" s="167" t="s">
        <v>338</v>
      </c>
      <c r="CD27" s="168" t="s">
        <v>318</v>
      </c>
      <c r="CE27" s="161">
        <f t="shared" si="24"/>
        <v>8.0100000000000005E-2</v>
      </c>
      <c r="CF27" s="167" t="s">
        <v>317</v>
      </c>
      <c r="CI27" s="81" t="s">
        <v>338</v>
      </c>
      <c r="CJ27" s="239">
        <f t="shared" si="1"/>
        <v>3.1909966391266788E-2</v>
      </c>
      <c r="CK27" s="239">
        <f t="shared" si="2"/>
        <v>0.69799999999999995</v>
      </c>
      <c r="CL27" s="239">
        <f t="shared" si="3"/>
        <v>8.0100000000000005E-2</v>
      </c>
      <c r="CO27" s="243" t="s">
        <v>373</v>
      </c>
      <c r="CP27" s="243" t="s">
        <v>455</v>
      </c>
      <c r="CQ27" s="244">
        <v>0.30299999999999999</v>
      </c>
      <c r="CR27" s="244">
        <v>3.5000000000000003E-2</v>
      </c>
      <c r="CS27" s="243">
        <v>8.65</v>
      </c>
      <c r="CT27" s="243" t="s">
        <v>420</v>
      </c>
      <c r="CU27" s="244">
        <v>2E-16</v>
      </c>
      <c r="CV27" s="81" t="s">
        <v>385</v>
      </c>
      <c r="CW27" s="245" t="s">
        <v>460</v>
      </c>
      <c r="CX27" s="246" t="s">
        <v>325</v>
      </c>
      <c r="CY27" s="246" t="s">
        <v>318</v>
      </c>
      <c r="CZ27" s="247">
        <f>CQ32</f>
        <v>15000000</v>
      </c>
      <c r="DA27" s="245" t="s">
        <v>317</v>
      </c>
    </row>
    <row r="28" spans="2:105" ht="15" customHeight="1" thickTop="1" thickBot="1" x14ac:dyDescent="0.3">
      <c r="B28" s="175"/>
      <c r="C28" s="176"/>
      <c r="D28" s="177"/>
      <c r="E28" s="175"/>
      <c r="F28" s="176"/>
      <c r="G28" s="176"/>
      <c r="H28" s="176"/>
      <c r="I28" s="177"/>
      <c r="K28" s="81" t="s">
        <v>102</v>
      </c>
      <c r="L28" s="208">
        <v>2</v>
      </c>
      <c r="M28" s="209">
        <v>2</v>
      </c>
      <c r="N28" s="209" t="s">
        <v>85</v>
      </c>
      <c r="O28" s="210">
        <f>SUM(O17:O20)</f>
        <v>35.939900000000009</v>
      </c>
      <c r="P28" s="211"/>
      <c r="Q28" s="30">
        <f t="shared" si="7"/>
        <v>1.9926199261992623</v>
      </c>
      <c r="R28" s="30">
        <f t="shared" si="8"/>
        <v>71.614560885608881</v>
      </c>
      <c r="S28" s="30">
        <f t="shared" si="18"/>
        <v>5403923.364000001</v>
      </c>
      <c r="T28" s="30">
        <f t="shared" si="19"/>
        <v>150360</v>
      </c>
      <c r="U28" s="30">
        <f t="shared" si="20"/>
        <v>5403923.364000001</v>
      </c>
      <c r="V28" s="31"/>
      <c r="W28" s="223"/>
      <c r="X28" s="216" t="s">
        <v>99</v>
      </c>
      <c r="Y28" s="217"/>
      <c r="Z28" s="218" t="s">
        <v>21</v>
      </c>
      <c r="AA28" s="219">
        <f>1/(1/10+SUM(AD30:AD33)+1/6)</f>
        <v>1.2141280353200883</v>
      </c>
      <c r="AB28" s="217" t="s">
        <v>5</v>
      </c>
      <c r="AC28" s="217"/>
      <c r="AD28" s="217" t="s">
        <v>22</v>
      </c>
      <c r="AE28" s="220">
        <f>SUM(AE30:AE33)</f>
        <v>57740</v>
      </c>
      <c r="AF28" s="222" t="s">
        <v>23</v>
      </c>
      <c r="AG28" s="222">
        <f>SUM(AE30:AE33)</f>
        <v>57740</v>
      </c>
      <c r="AH28" s="222"/>
      <c r="AM28" s="158" t="s">
        <v>314</v>
      </c>
      <c r="AN28" s="81" t="s">
        <v>315</v>
      </c>
      <c r="AO28" s="81" t="s">
        <v>338</v>
      </c>
      <c r="AP28" s="81">
        <f>SUM(O21:O24)/SUM(O$17:O$25,O$28,O$26)</f>
        <v>3.1909966391266788E-2</v>
      </c>
      <c r="AQ28" s="81" t="s">
        <v>317</v>
      </c>
      <c r="AR28" s="166">
        <v>0.13569049999999999</v>
      </c>
      <c r="AV28" s="167" t="s">
        <v>314</v>
      </c>
      <c r="AW28" s="167" t="s">
        <v>315</v>
      </c>
      <c r="AX28" s="167" t="s">
        <v>338</v>
      </c>
      <c r="AY28" s="168" t="s">
        <v>318</v>
      </c>
      <c r="AZ28" s="161">
        <f t="shared" si="25"/>
        <v>3.1909966391266788E-2</v>
      </c>
      <c r="BA28" s="167" t="s">
        <v>317</v>
      </c>
      <c r="BC28" s="81" t="s">
        <v>373</v>
      </c>
      <c r="BD28" s="81" t="s">
        <v>404</v>
      </c>
      <c r="BE28" s="166">
        <v>0.53700000000000003</v>
      </c>
      <c r="BF28" s="166">
        <v>2.6900000000000001E-3</v>
      </c>
      <c r="BG28" s="81">
        <v>199.49</v>
      </c>
      <c r="BH28" s="81" t="s">
        <v>384</v>
      </c>
      <c r="BI28" s="81" t="s">
        <v>385</v>
      </c>
      <c r="BL28" s="167" t="s">
        <v>314</v>
      </c>
      <c r="BM28" s="167" t="s">
        <v>315</v>
      </c>
      <c r="BN28" s="167" t="s">
        <v>338</v>
      </c>
      <c r="BO28" s="168" t="s">
        <v>318</v>
      </c>
      <c r="BP28" s="161">
        <f t="shared" si="26"/>
        <v>0.69799999999999995</v>
      </c>
      <c r="BQ28" s="167" t="s">
        <v>317</v>
      </c>
      <c r="BS28" s="81" t="s">
        <v>373</v>
      </c>
      <c r="BT28" s="81" t="s">
        <v>403</v>
      </c>
      <c r="BU28" s="166">
        <v>0.16500000000000001</v>
      </c>
      <c r="BV28" s="166">
        <v>4.26E-4</v>
      </c>
      <c r="BW28" s="81">
        <v>388.6</v>
      </c>
      <c r="BX28" s="81" t="s">
        <v>384</v>
      </c>
      <c r="BY28" s="81" t="s">
        <v>385</v>
      </c>
      <c r="CA28" s="167"/>
      <c r="CB28" s="167"/>
      <c r="CC28" s="167"/>
      <c r="CD28" s="168"/>
      <c r="CE28" s="161"/>
      <c r="CF28" s="167"/>
      <c r="CJ28" s="240"/>
      <c r="CK28" s="240"/>
      <c r="CL28" s="240"/>
      <c r="CO28" s="243" t="s">
        <v>373</v>
      </c>
      <c r="CP28" s="243" t="s">
        <v>355</v>
      </c>
      <c r="CQ28" s="244">
        <v>6.6400000000000002E-20</v>
      </c>
      <c r="CR28" s="244">
        <v>1.4000000000000001E-16</v>
      </c>
      <c r="CS28" s="243">
        <v>0</v>
      </c>
      <c r="CT28" s="243">
        <v>0.99960000000000004</v>
      </c>
      <c r="CW28" s="245" t="s">
        <v>460</v>
      </c>
      <c r="CX28" s="249" t="s">
        <v>322</v>
      </c>
      <c r="CY28" s="246" t="s">
        <v>318</v>
      </c>
      <c r="CZ28" s="247">
        <f t="shared" ref="CZ28:CZ30" si="27">CQ33</f>
        <v>2210000</v>
      </c>
      <c r="DA28" s="245" t="s">
        <v>317</v>
      </c>
    </row>
    <row r="29" spans="2:105" ht="15" customHeight="1" thickTop="1" thickBot="1" x14ac:dyDescent="0.3">
      <c r="B29" s="175"/>
      <c r="C29" s="176"/>
      <c r="D29" s="177"/>
      <c r="E29" s="175"/>
      <c r="F29" s="176"/>
      <c r="G29" s="176"/>
      <c r="H29" s="176"/>
      <c r="I29" s="177"/>
      <c r="L29" s="213"/>
      <c r="M29" s="214"/>
      <c r="N29" s="214"/>
      <c r="O29" s="214"/>
      <c r="P29" s="215"/>
      <c r="X29" s="224"/>
      <c r="Y29" s="225" t="s">
        <v>27</v>
      </c>
      <c r="Z29" s="225" t="s">
        <v>28</v>
      </c>
      <c r="AA29" s="225" t="s">
        <v>29</v>
      </c>
      <c r="AB29" s="225" t="s">
        <v>30</v>
      </c>
      <c r="AC29" s="225" t="s">
        <v>31</v>
      </c>
      <c r="AD29" s="225" t="s">
        <v>32</v>
      </c>
      <c r="AE29" s="226" t="s">
        <v>33</v>
      </c>
      <c r="AF29" s="222"/>
      <c r="AG29" s="222"/>
      <c r="AH29" s="222"/>
      <c r="AQ29" s="81" t="s">
        <v>317</v>
      </c>
      <c r="AV29" s="167"/>
      <c r="AW29" s="167"/>
      <c r="AX29" s="167"/>
      <c r="AY29" s="168"/>
      <c r="BA29" s="167"/>
      <c r="BC29" s="81" t="s">
        <v>373</v>
      </c>
      <c r="BD29" s="81" t="s">
        <v>405</v>
      </c>
      <c r="BE29" s="166">
        <v>7.7399999999999997E-2</v>
      </c>
      <c r="BF29" s="166">
        <v>7.9799999999999999E-4</v>
      </c>
      <c r="BG29" s="81">
        <v>97</v>
      </c>
      <c r="BH29" s="81" t="s">
        <v>384</v>
      </c>
      <c r="BI29" s="81" t="s">
        <v>385</v>
      </c>
      <c r="BL29" s="167"/>
      <c r="BM29" s="167"/>
      <c r="BN29" s="167"/>
      <c r="BO29" s="168"/>
      <c r="BP29" s="161"/>
      <c r="BQ29" s="167"/>
      <c r="BS29" s="81" t="s">
        <v>373</v>
      </c>
      <c r="BT29" s="81" t="s">
        <v>404</v>
      </c>
      <c r="BU29" s="166">
        <v>0.71599999999999997</v>
      </c>
      <c r="BV29" s="166">
        <v>3.2699999999999999E-3</v>
      </c>
      <c r="BW29" s="81">
        <v>219.17</v>
      </c>
      <c r="BX29" s="81" t="s">
        <v>384</v>
      </c>
      <c r="BY29" s="81" t="s">
        <v>385</v>
      </c>
      <c r="CA29" s="167" t="s">
        <v>314</v>
      </c>
      <c r="CB29" s="167" t="s">
        <v>315</v>
      </c>
      <c r="CC29" s="167" t="s">
        <v>339</v>
      </c>
      <c r="CD29" s="168" t="s">
        <v>318</v>
      </c>
      <c r="CE29" s="161">
        <f>BU58</f>
        <v>1470000</v>
      </c>
      <c r="CF29" s="167" t="s">
        <v>317</v>
      </c>
      <c r="CI29" s="81" t="s">
        <v>339</v>
      </c>
      <c r="CJ29" s="241">
        <f t="shared" si="1"/>
        <v>2090628.9192831542</v>
      </c>
      <c r="CK29" s="241">
        <f t="shared" si="2"/>
        <v>3800000</v>
      </c>
      <c r="CL29" s="241">
        <f t="shared" si="3"/>
        <v>1470000</v>
      </c>
      <c r="CO29" s="243" t="s">
        <v>373</v>
      </c>
      <c r="CP29" s="243" t="s">
        <v>456</v>
      </c>
      <c r="CQ29" s="244">
        <v>0.436</v>
      </c>
      <c r="CR29" s="244">
        <v>1.6799999999999999E-2</v>
      </c>
      <c r="CS29" s="243">
        <v>26.02</v>
      </c>
      <c r="CT29" s="243" t="s">
        <v>420</v>
      </c>
      <c r="CU29" s="244">
        <v>2E-16</v>
      </c>
      <c r="CV29" s="81" t="s">
        <v>385</v>
      </c>
      <c r="CW29" s="245" t="s">
        <v>460</v>
      </c>
      <c r="CX29" s="249" t="s">
        <v>323</v>
      </c>
      <c r="CY29" s="246" t="s">
        <v>318</v>
      </c>
      <c r="CZ29" s="247">
        <f t="shared" si="27"/>
        <v>990000000</v>
      </c>
      <c r="DA29" s="245" t="s">
        <v>317</v>
      </c>
    </row>
    <row r="30" spans="2:105" ht="15" customHeight="1" thickTop="1" thickBot="1" x14ac:dyDescent="0.3">
      <c r="B30" s="187"/>
      <c r="C30" s="174"/>
      <c r="D30" s="192"/>
      <c r="E30" s="187"/>
      <c r="F30" s="174"/>
      <c r="G30" s="174"/>
      <c r="H30" s="174"/>
      <c r="I30" s="192"/>
      <c r="L30" s="81"/>
      <c r="M30" s="81"/>
      <c r="N30" s="81"/>
      <c r="Q30" s="81"/>
      <c r="R30" s="81"/>
      <c r="X30" s="181"/>
      <c r="Y30" s="182" t="s">
        <v>103</v>
      </c>
      <c r="Z30" s="182">
        <v>0.02</v>
      </c>
      <c r="AA30" s="182">
        <v>0.11</v>
      </c>
      <c r="AB30" s="182">
        <v>550</v>
      </c>
      <c r="AC30" s="182">
        <v>1880</v>
      </c>
      <c r="AD30" s="231">
        <f>Z30/AA30</f>
        <v>0.18181818181818182</v>
      </c>
      <c r="AE30" s="232">
        <f>Z30*AB30*AC30</f>
        <v>20680</v>
      </c>
      <c r="AF30" s="222" t="s">
        <v>104</v>
      </c>
      <c r="AG30" s="222"/>
      <c r="AH30" s="222"/>
      <c r="AM30" s="158" t="s">
        <v>314</v>
      </c>
      <c r="AN30" s="81" t="s">
        <v>315</v>
      </c>
      <c r="AO30" s="81" t="s">
        <v>339</v>
      </c>
      <c r="AP30" s="166">
        <f>C35*1.04*1012*5</f>
        <v>2090628.9192831542</v>
      </c>
      <c r="AQ30" s="81" t="s">
        <v>317</v>
      </c>
      <c r="AR30" s="166">
        <v>1612741</v>
      </c>
      <c r="AV30" s="167" t="s">
        <v>314</v>
      </c>
      <c r="AW30" s="167" t="s">
        <v>315</v>
      </c>
      <c r="AX30" s="167" t="s">
        <v>339</v>
      </c>
      <c r="AY30" s="168" t="s">
        <v>318</v>
      </c>
      <c r="AZ30" s="161">
        <f>AP30</f>
        <v>2090628.9192831542</v>
      </c>
      <c r="BA30" s="167" t="s">
        <v>317</v>
      </c>
      <c r="BC30" s="81" t="s">
        <v>373</v>
      </c>
      <c r="BD30" s="81" t="s">
        <v>406</v>
      </c>
      <c r="BE30" s="166">
        <v>1.9E-2</v>
      </c>
      <c r="BF30" s="166">
        <v>6.78E-4</v>
      </c>
      <c r="BG30" s="81">
        <v>27.98</v>
      </c>
      <c r="BH30" s="81" t="s">
        <v>384</v>
      </c>
      <c r="BI30" s="81" t="s">
        <v>385</v>
      </c>
      <c r="BL30" s="167" t="s">
        <v>314</v>
      </c>
      <c r="BM30" s="167" t="s">
        <v>315</v>
      </c>
      <c r="BN30" s="167" t="s">
        <v>339</v>
      </c>
      <c r="BO30" s="168" t="s">
        <v>318</v>
      </c>
      <c r="BP30" s="161">
        <f>BE57</f>
        <v>3800000</v>
      </c>
      <c r="BQ30" s="167" t="s">
        <v>317</v>
      </c>
      <c r="BS30" s="81" t="s">
        <v>373</v>
      </c>
      <c r="BT30" s="81" t="s">
        <v>405</v>
      </c>
      <c r="BU30" s="166">
        <v>5.5E-2</v>
      </c>
      <c r="BV30" s="166">
        <v>1.06E-4</v>
      </c>
      <c r="BW30" s="81">
        <v>518.19000000000005</v>
      </c>
      <c r="BX30" s="81" t="s">
        <v>384</v>
      </c>
      <c r="BY30" s="81" t="s">
        <v>385</v>
      </c>
      <c r="CA30" s="167" t="s">
        <v>314</v>
      </c>
      <c r="CB30" s="167" t="s">
        <v>315</v>
      </c>
      <c r="CC30" s="167" t="s">
        <v>340</v>
      </c>
      <c r="CD30" s="168" t="s">
        <v>318</v>
      </c>
      <c r="CE30" s="161">
        <f t="shared" ref="CE30:CE31" si="28">BU59</f>
        <v>219000000</v>
      </c>
      <c r="CF30" s="167" t="s">
        <v>317</v>
      </c>
      <c r="CI30" s="81" t="s">
        <v>340</v>
      </c>
      <c r="CJ30" s="241">
        <f t="shared" si="1"/>
        <v>21240578.712000005</v>
      </c>
      <c r="CK30" s="241">
        <f t="shared" si="2"/>
        <v>78400000</v>
      </c>
      <c r="CL30" s="241">
        <f t="shared" si="3"/>
        <v>219000000</v>
      </c>
      <c r="CO30" s="243" t="s">
        <v>373</v>
      </c>
      <c r="CP30" s="243" t="s">
        <v>457</v>
      </c>
      <c r="CQ30" s="244">
        <v>0.28100000000000003</v>
      </c>
      <c r="CR30" s="244">
        <v>1.7600000000000001E-2</v>
      </c>
      <c r="CS30" s="243">
        <v>15.97</v>
      </c>
      <c r="CT30" s="243" t="s">
        <v>420</v>
      </c>
      <c r="CU30" s="244">
        <v>2E-16</v>
      </c>
      <c r="CV30" s="81" t="s">
        <v>385</v>
      </c>
      <c r="CW30" s="245" t="s">
        <v>460</v>
      </c>
      <c r="CX30" s="249" t="s">
        <v>324</v>
      </c>
      <c r="CY30" s="246" t="s">
        <v>318</v>
      </c>
      <c r="CZ30" s="247">
        <f t="shared" si="27"/>
        <v>20100000</v>
      </c>
      <c r="DA30" s="245" t="s">
        <v>317</v>
      </c>
    </row>
    <row r="31" spans="2:105" ht="15" customHeight="1" thickTop="1" thickBot="1" x14ac:dyDescent="0.3">
      <c r="L31" s="81"/>
      <c r="M31" s="81"/>
      <c r="N31" s="81"/>
      <c r="Q31" s="69" t="s">
        <v>106</v>
      </c>
      <c r="R31" s="70">
        <f>SUM(R4:R13)+R14*0.5+SUM(R17:R25)+R16</f>
        <v>256.69099110777347</v>
      </c>
      <c r="S31" s="69" t="s">
        <v>107</v>
      </c>
      <c r="X31" s="175"/>
      <c r="Y31" s="176" t="s">
        <v>105</v>
      </c>
      <c r="Z31" s="176">
        <v>0.1</v>
      </c>
      <c r="AA31" s="176"/>
      <c r="AB31" s="176"/>
      <c r="AC31" s="176"/>
      <c r="AD31" s="227">
        <v>0.16</v>
      </c>
      <c r="AE31" s="177">
        <f>Z31*AB31*AC31</f>
        <v>0</v>
      </c>
      <c r="AF31" s="222"/>
      <c r="AG31" s="222"/>
      <c r="AH31" s="222"/>
      <c r="AM31" s="158" t="s">
        <v>314</v>
      </c>
      <c r="AN31" s="81" t="s">
        <v>315</v>
      </c>
      <c r="AO31" s="81" t="s">
        <v>340</v>
      </c>
      <c r="AP31" s="166">
        <f>U25+SUM(U17:U20)</f>
        <v>21240578.712000005</v>
      </c>
      <c r="AQ31" s="81" t="s">
        <v>317</v>
      </c>
      <c r="AR31" s="166">
        <v>6867267</v>
      </c>
      <c r="AV31" s="167" t="s">
        <v>314</v>
      </c>
      <c r="AW31" s="167" t="s">
        <v>315</v>
      </c>
      <c r="AX31" s="167" t="s">
        <v>340</v>
      </c>
      <c r="AY31" s="168" t="s">
        <v>318</v>
      </c>
      <c r="AZ31" s="161">
        <f t="shared" ref="AZ31:AZ35" si="29">AP31</f>
        <v>21240578.712000005</v>
      </c>
      <c r="BA31" s="167" t="s">
        <v>317</v>
      </c>
      <c r="BC31" s="81" t="s">
        <v>373</v>
      </c>
      <c r="BD31" s="81" t="s">
        <v>407</v>
      </c>
      <c r="BE31" s="166">
        <v>958</v>
      </c>
      <c r="BF31" s="166">
        <v>7.5</v>
      </c>
      <c r="BG31" s="81">
        <v>127.81</v>
      </c>
      <c r="BH31" s="81" t="s">
        <v>384</v>
      </c>
      <c r="BI31" s="81" t="s">
        <v>385</v>
      </c>
      <c r="BL31" s="167" t="s">
        <v>314</v>
      </c>
      <c r="BM31" s="167" t="s">
        <v>315</v>
      </c>
      <c r="BN31" s="167" t="s">
        <v>340</v>
      </c>
      <c r="BO31" s="168" t="s">
        <v>318</v>
      </c>
      <c r="BP31" s="161">
        <f t="shared" ref="BP31:BP32" si="30">BE58</f>
        <v>78400000</v>
      </c>
      <c r="BQ31" s="167" t="s">
        <v>317</v>
      </c>
      <c r="BS31" s="81" t="s">
        <v>373</v>
      </c>
      <c r="BT31" s="81" t="s">
        <v>406</v>
      </c>
      <c r="BU31" s="166">
        <v>2.8899999999999999E-2</v>
      </c>
      <c r="BV31" s="166">
        <v>1.4300000000000001E-4</v>
      </c>
      <c r="BW31" s="81">
        <v>201.71</v>
      </c>
      <c r="BX31" s="81" t="s">
        <v>384</v>
      </c>
      <c r="BY31" s="81" t="s">
        <v>385</v>
      </c>
      <c r="CA31" s="167" t="s">
        <v>314</v>
      </c>
      <c r="CB31" s="167" t="s">
        <v>315</v>
      </c>
      <c r="CC31" s="167" t="s">
        <v>341</v>
      </c>
      <c r="CD31" s="168" t="s">
        <v>318</v>
      </c>
      <c r="CE31" s="161">
        <f t="shared" si="28"/>
        <v>40000000</v>
      </c>
      <c r="CF31" s="167" t="s">
        <v>317</v>
      </c>
      <c r="CI31" s="81" t="s">
        <v>341</v>
      </c>
      <c r="CJ31" s="241">
        <f t="shared" si="1"/>
        <v>5403923.364000001</v>
      </c>
      <c r="CK31" s="241">
        <f t="shared" si="2"/>
        <v>12500000</v>
      </c>
      <c r="CL31" s="241">
        <f t="shared" si="3"/>
        <v>40000000</v>
      </c>
      <c r="CO31" s="243" t="s">
        <v>373</v>
      </c>
      <c r="CP31" s="243" t="s">
        <v>303</v>
      </c>
      <c r="CQ31" s="244">
        <v>2080000000</v>
      </c>
      <c r="CR31" s="244">
        <v>322000000</v>
      </c>
      <c r="CS31" s="243">
        <v>6.45</v>
      </c>
      <c r="CT31" s="244">
        <v>1.2E-10</v>
      </c>
      <c r="CU31" s="243" t="s">
        <v>385</v>
      </c>
      <c r="CY31" s="246"/>
    </row>
    <row r="32" spans="2:105" ht="15" customHeight="1" thickTop="1" thickBot="1" x14ac:dyDescent="0.3">
      <c r="C32" s="81">
        <f>C4/C6</f>
        <v>2.7455197132616487</v>
      </c>
      <c r="L32" s="81"/>
      <c r="M32" s="81"/>
      <c r="N32" s="81"/>
      <c r="Q32" s="81"/>
      <c r="R32" s="81">
        <f>H4*Z37</f>
        <v>19.364000000000001</v>
      </c>
      <c r="X32" s="175"/>
      <c r="Y32" s="176" t="s">
        <v>108</v>
      </c>
      <c r="Z32" s="176">
        <v>0.02</v>
      </c>
      <c r="AA32" s="176">
        <v>0.11</v>
      </c>
      <c r="AB32" s="176">
        <v>550</v>
      </c>
      <c r="AC32" s="176">
        <v>1880</v>
      </c>
      <c r="AD32" s="227">
        <f>Z32/AA32</f>
        <v>0.18181818181818182</v>
      </c>
      <c r="AE32" s="177">
        <f>Z32*AB32*AC32</f>
        <v>20680</v>
      </c>
      <c r="AF32" s="222"/>
      <c r="AG32" s="222"/>
      <c r="AH32" s="222"/>
      <c r="AM32" s="158" t="s">
        <v>314</v>
      </c>
      <c r="AN32" s="81" t="s">
        <v>315</v>
      </c>
      <c r="AO32" s="81" t="s">
        <v>341</v>
      </c>
      <c r="AP32" s="166">
        <f>SUM(U28)</f>
        <v>5403923.364000001</v>
      </c>
      <c r="AQ32" s="81" t="s">
        <v>317</v>
      </c>
      <c r="AR32" s="166">
        <v>4590824</v>
      </c>
      <c r="AV32" s="167" t="s">
        <v>314</v>
      </c>
      <c r="AW32" s="167" t="s">
        <v>315</v>
      </c>
      <c r="AX32" s="167" t="s">
        <v>341</v>
      </c>
      <c r="AY32" s="168" t="s">
        <v>318</v>
      </c>
      <c r="AZ32" s="161">
        <f t="shared" si="29"/>
        <v>5403923.364000001</v>
      </c>
      <c r="BA32" s="167" t="s">
        <v>317</v>
      </c>
      <c r="BC32" s="81" t="s">
        <v>373</v>
      </c>
      <c r="BD32" s="81" t="s">
        <v>408</v>
      </c>
      <c r="BE32" s="166">
        <v>737</v>
      </c>
      <c r="BF32" s="166">
        <v>8.3800000000000008</v>
      </c>
      <c r="BG32" s="81">
        <v>87.98</v>
      </c>
      <c r="BH32" s="81" t="s">
        <v>384</v>
      </c>
      <c r="BI32" s="81" t="s">
        <v>385</v>
      </c>
      <c r="BL32" s="167" t="s">
        <v>314</v>
      </c>
      <c r="BM32" s="167" t="s">
        <v>315</v>
      </c>
      <c r="BN32" s="167" t="s">
        <v>341</v>
      </c>
      <c r="BO32" s="168" t="s">
        <v>318</v>
      </c>
      <c r="BP32" s="161">
        <f t="shared" si="30"/>
        <v>12500000</v>
      </c>
      <c r="BQ32" s="167" t="s">
        <v>317</v>
      </c>
      <c r="BS32" s="81" t="s">
        <v>373</v>
      </c>
      <c r="BT32" s="81" t="s">
        <v>407</v>
      </c>
      <c r="BU32" s="166">
        <v>505</v>
      </c>
      <c r="BV32" s="166">
        <v>1.79</v>
      </c>
      <c r="BW32" s="81">
        <v>282.55</v>
      </c>
      <c r="BX32" s="81" t="s">
        <v>384</v>
      </c>
      <c r="BY32" s="81" t="s">
        <v>385</v>
      </c>
      <c r="CA32" s="167" t="s">
        <v>314</v>
      </c>
      <c r="CB32" s="167" t="s">
        <v>315</v>
      </c>
      <c r="CC32" s="167" t="s">
        <v>342</v>
      </c>
      <c r="CD32" s="168" t="s">
        <v>318</v>
      </c>
      <c r="CE32" s="161">
        <f>BU65</f>
        <v>0.16500000000000001</v>
      </c>
      <c r="CF32" s="167" t="s">
        <v>317</v>
      </c>
      <c r="CI32" s="81" t="s">
        <v>342</v>
      </c>
      <c r="CJ32" s="239">
        <f t="shared" si="1"/>
        <v>0.15051892421073174</v>
      </c>
      <c r="CK32" s="239">
        <f t="shared" si="2"/>
        <v>1.6E-2</v>
      </c>
      <c r="CL32" s="239">
        <f t="shared" si="3"/>
        <v>0.16500000000000001</v>
      </c>
      <c r="CO32" s="243" t="s">
        <v>373</v>
      </c>
      <c r="CP32" s="243" t="s">
        <v>299</v>
      </c>
      <c r="CQ32" s="244">
        <v>15000000</v>
      </c>
      <c r="CR32" s="244">
        <v>179000</v>
      </c>
      <c r="CS32" s="243">
        <v>83.63</v>
      </c>
      <c r="CT32" s="244" t="s">
        <v>420</v>
      </c>
      <c r="CU32" s="244">
        <v>2E-16</v>
      </c>
      <c r="CV32" s="81" t="s">
        <v>385</v>
      </c>
      <c r="CW32" s="245" t="s">
        <v>460</v>
      </c>
      <c r="CX32" s="249" t="s">
        <v>330</v>
      </c>
      <c r="CY32" s="246" t="s">
        <v>318</v>
      </c>
      <c r="CZ32" s="247">
        <f>CQ46</f>
        <v>363</v>
      </c>
      <c r="DA32" s="245" t="s">
        <v>317</v>
      </c>
    </row>
    <row r="33" spans="2:107" ht="15" customHeight="1" thickTop="1" thickBot="1" x14ac:dyDescent="0.3">
      <c r="B33" s="72" t="s">
        <v>109</v>
      </c>
      <c r="C33" s="72" t="s">
        <v>110</v>
      </c>
      <c r="D33" s="72"/>
      <c r="E33" s="72" t="s">
        <v>111</v>
      </c>
      <c r="F33" s="274" t="s">
        <v>112</v>
      </c>
      <c r="G33" s="274"/>
      <c r="H33" s="72" t="s">
        <v>113</v>
      </c>
      <c r="L33" s="81"/>
      <c r="M33" s="81"/>
      <c r="N33" s="81"/>
      <c r="Q33" s="81"/>
      <c r="R33" s="81"/>
      <c r="X33" s="187"/>
      <c r="Y33" s="174" t="s">
        <v>80</v>
      </c>
      <c r="Z33" s="174">
        <v>0.02</v>
      </c>
      <c r="AA33" s="174">
        <v>0.6</v>
      </c>
      <c r="AB33" s="174">
        <v>975</v>
      </c>
      <c r="AC33" s="174">
        <v>840</v>
      </c>
      <c r="AD33" s="229">
        <f>Z33/AA33</f>
        <v>3.3333333333333333E-2</v>
      </c>
      <c r="AE33" s="192">
        <f>Z33*AB33*AC33</f>
        <v>16380</v>
      </c>
      <c r="AF33" s="222"/>
      <c r="AG33" s="222"/>
      <c r="AH33" s="222"/>
      <c r="AM33" s="158" t="s">
        <v>314</v>
      </c>
      <c r="AN33" s="81" t="s">
        <v>315</v>
      </c>
      <c r="AO33" s="81" t="s">
        <v>342</v>
      </c>
      <c r="AP33" s="81">
        <f>AP26*0.3</f>
        <v>0.15051892421073174</v>
      </c>
      <c r="AQ33" s="81" t="s">
        <v>317</v>
      </c>
      <c r="AR33" s="166">
        <v>0.1616958</v>
      </c>
      <c r="AV33" s="167" t="s">
        <v>314</v>
      </c>
      <c r="AW33" s="167" t="s">
        <v>315</v>
      </c>
      <c r="AX33" s="167" t="s">
        <v>342</v>
      </c>
      <c r="AY33" s="168" t="s">
        <v>318</v>
      </c>
      <c r="AZ33" s="161">
        <f t="shared" si="29"/>
        <v>0.15051892421073174</v>
      </c>
      <c r="BA33" s="167" t="s">
        <v>317</v>
      </c>
      <c r="BC33" s="81" t="s">
        <v>373</v>
      </c>
      <c r="BD33" s="81" t="s">
        <v>290</v>
      </c>
      <c r="BE33" s="166">
        <v>2190</v>
      </c>
      <c r="BF33" s="166">
        <v>10.6</v>
      </c>
      <c r="BG33" s="81">
        <v>207.31</v>
      </c>
      <c r="BH33" s="81" t="s">
        <v>384</v>
      </c>
      <c r="BI33" s="81" t="s">
        <v>385</v>
      </c>
      <c r="BL33" s="167" t="s">
        <v>314</v>
      </c>
      <c r="BM33" s="167" t="s">
        <v>315</v>
      </c>
      <c r="BN33" s="167" t="s">
        <v>342</v>
      </c>
      <c r="BO33" s="168" t="s">
        <v>318</v>
      </c>
      <c r="BP33" s="161">
        <f>BE64</f>
        <v>1.6E-2</v>
      </c>
      <c r="BQ33" s="167" t="s">
        <v>317</v>
      </c>
      <c r="BS33" s="81" t="s">
        <v>373</v>
      </c>
      <c r="BT33" s="81" t="s">
        <v>408</v>
      </c>
      <c r="BU33" s="166">
        <v>194</v>
      </c>
      <c r="BV33" s="166">
        <v>0.9</v>
      </c>
      <c r="BW33" s="81">
        <v>216.08</v>
      </c>
      <c r="BX33" s="81" t="s">
        <v>384</v>
      </c>
      <c r="BY33" s="81" t="s">
        <v>385</v>
      </c>
      <c r="CA33" s="167" t="s">
        <v>314</v>
      </c>
      <c r="CB33" s="167" t="s">
        <v>315</v>
      </c>
      <c r="CC33" s="167" t="s">
        <v>343</v>
      </c>
      <c r="CD33" s="168" t="s">
        <v>318</v>
      </c>
      <c r="CE33" s="161">
        <f t="shared" ref="CE33:CE34" si="31">BU66</f>
        <v>5.8500000000000003E-2</v>
      </c>
      <c r="CF33" s="167" t="s">
        <v>317</v>
      </c>
      <c r="CI33" s="81" t="s">
        <v>343</v>
      </c>
      <c r="CJ33" s="239">
        <f t="shared" si="1"/>
        <v>2.7835946628774016E-2</v>
      </c>
      <c r="CK33" s="239">
        <f t="shared" si="2"/>
        <v>4.2999999999999997E-2</v>
      </c>
      <c r="CL33" s="239">
        <f t="shared" si="3"/>
        <v>5.8500000000000003E-2</v>
      </c>
      <c r="CO33" s="243" t="s">
        <v>373</v>
      </c>
      <c r="CP33" s="243" t="s">
        <v>395</v>
      </c>
      <c r="CQ33" s="244">
        <v>2210000</v>
      </c>
      <c r="CR33" s="244">
        <v>13000</v>
      </c>
      <c r="CS33" s="243">
        <v>170.26</v>
      </c>
      <c r="CT33" s="243" t="s">
        <v>420</v>
      </c>
      <c r="CU33" s="244">
        <v>2E-16</v>
      </c>
      <c r="CV33" s="81" t="s">
        <v>385</v>
      </c>
      <c r="CW33" s="245" t="s">
        <v>460</v>
      </c>
      <c r="CX33" s="249" t="s">
        <v>331</v>
      </c>
      <c r="CY33" s="246" t="s">
        <v>318</v>
      </c>
      <c r="CZ33" s="247">
        <f t="shared" ref="CZ33:CZ35" si="32">CQ47</f>
        <v>181</v>
      </c>
      <c r="DA33" s="245" t="s">
        <v>317</v>
      </c>
    </row>
    <row r="34" spans="2:107" ht="15" customHeight="1" thickTop="1" thickBot="1" x14ac:dyDescent="0.3">
      <c r="B34" s="73">
        <v>1</v>
      </c>
      <c r="C34" s="74">
        <f>C7*C32</f>
        <v>368.72329749103943</v>
      </c>
      <c r="D34" s="73"/>
      <c r="E34" s="73" t="s">
        <v>42</v>
      </c>
      <c r="F34" s="275">
        <v>21</v>
      </c>
      <c r="G34" s="275"/>
      <c r="H34" s="76">
        <f>VLOOKUP(E34,B6:C22,2,0)</f>
        <v>134.30000000000001</v>
      </c>
      <c r="L34" s="81"/>
      <c r="M34" s="81"/>
      <c r="N34" s="81"/>
      <c r="Q34" s="81"/>
      <c r="R34" s="81"/>
      <c r="Z34" s="221" t="s">
        <v>4</v>
      </c>
      <c r="AA34" s="221">
        <v>5</v>
      </c>
      <c r="AB34" s="221" t="s">
        <v>5</v>
      </c>
      <c r="AF34" s="222"/>
      <c r="AG34" s="222"/>
      <c r="AH34" s="222"/>
      <c r="AM34" s="158" t="s">
        <v>314</v>
      </c>
      <c r="AN34" s="81" t="s">
        <v>315</v>
      </c>
      <c r="AO34" s="81" t="s">
        <v>343</v>
      </c>
      <c r="AP34" s="81">
        <f>AP27*0.3</f>
        <v>2.7835946628774016E-2</v>
      </c>
      <c r="AQ34" s="81" t="s">
        <v>317</v>
      </c>
      <c r="AR34" s="81" t="s">
        <v>344</v>
      </c>
      <c r="AV34" s="167" t="s">
        <v>314</v>
      </c>
      <c r="AW34" s="167" t="s">
        <v>315</v>
      </c>
      <c r="AX34" s="167" t="s">
        <v>343</v>
      </c>
      <c r="AY34" s="168" t="s">
        <v>318</v>
      </c>
      <c r="AZ34" s="161">
        <f t="shared" si="29"/>
        <v>2.7835946628774016E-2</v>
      </c>
      <c r="BA34" s="167" t="s">
        <v>317</v>
      </c>
      <c r="BC34" s="81" t="s">
        <v>373</v>
      </c>
      <c r="BD34" s="81" t="s">
        <v>120</v>
      </c>
      <c r="BE34" s="166">
        <v>251</v>
      </c>
      <c r="BF34" s="166">
        <v>1.35</v>
      </c>
      <c r="BG34" s="81">
        <v>186.02</v>
      </c>
      <c r="BH34" s="81" t="s">
        <v>384</v>
      </c>
      <c r="BI34" s="81" t="s">
        <v>385</v>
      </c>
      <c r="BL34" s="167" t="s">
        <v>314</v>
      </c>
      <c r="BM34" s="167" t="s">
        <v>315</v>
      </c>
      <c r="BN34" s="167" t="s">
        <v>343</v>
      </c>
      <c r="BO34" s="168" t="s">
        <v>318</v>
      </c>
      <c r="BP34" s="161">
        <f t="shared" ref="BP34:BP35" si="33">BE65</f>
        <v>4.2999999999999997E-2</v>
      </c>
      <c r="BQ34" s="167" t="s">
        <v>317</v>
      </c>
      <c r="BS34" s="81" t="s">
        <v>373</v>
      </c>
      <c r="BT34" s="81" t="s">
        <v>290</v>
      </c>
      <c r="BU34" s="166">
        <v>644</v>
      </c>
      <c r="BV34" s="166">
        <v>4.09</v>
      </c>
      <c r="BW34" s="81">
        <v>157.52000000000001</v>
      </c>
      <c r="BX34" s="81" t="s">
        <v>384</v>
      </c>
      <c r="BY34" s="81" t="s">
        <v>385</v>
      </c>
      <c r="CA34" s="167" t="s">
        <v>314</v>
      </c>
      <c r="CB34" s="167" t="s">
        <v>315</v>
      </c>
      <c r="CC34" s="167" t="s">
        <v>345</v>
      </c>
      <c r="CD34" s="168" t="s">
        <v>318</v>
      </c>
      <c r="CE34" s="161">
        <f t="shared" si="31"/>
        <v>0.61199999999999999</v>
      </c>
      <c r="CF34" s="167" t="s">
        <v>317</v>
      </c>
      <c r="CI34" s="81" t="s">
        <v>345</v>
      </c>
      <c r="CJ34" s="239">
        <f t="shared" si="1"/>
        <v>0.70957298991737994</v>
      </c>
      <c r="CK34" s="239">
        <f t="shared" si="2"/>
        <v>0.73</v>
      </c>
      <c r="CL34" s="239">
        <f t="shared" si="3"/>
        <v>0.61199999999999999</v>
      </c>
      <c r="CO34" s="243" t="s">
        <v>373</v>
      </c>
      <c r="CP34" s="243" t="s">
        <v>296</v>
      </c>
      <c r="CQ34" s="244">
        <v>990000000</v>
      </c>
      <c r="CR34" s="244">
        <v>591000000</v>
      </c>
      <c r="CS34" s="243">
        <v>16.760000000000002</v>
      </c>
      <c r="CT34" s="243" t="s">
        <v>420</v>
      </c>
      <c r="CU34" s="244">
        <v>2E-16</v>
      </c>
      <c r="CV34" s="81" t="s">
        <v>385</v>
      </c>
      <c r="CW34" s="245" t="s">
        <v>460</v>
      </c>
      <c r="CX34" s="250" t="s">
        <v>332</v>
      </c>
      <c r="CY34" s="246" t="s">
        <v>318</v>
      </c>
      <c r="CZ34" s="247">
        <f t="shared" si="32"/>
        <v>659</v>
      </c>
      <c r="DA34" s="245" t="s">
        <v>317</v>
      </c>
    </row>
    <row r="35" spans="2:107" ht="15" customHeight="1" thickTop="1" thickBot="1" x14ac:dyDescent="0.3">
      <c r="B35" s="73">
        <v>2</v>
      </c>
      <c r="C35" s="74">
        <f>C4-C34</f>
        <v>397.27670250896057</v>
      </c>
      <c r="D35" s="73"/>
      <c r="E35" s="73" t="s">
        <v>116</v>
      </c>
      <c r="F35" s="77">
        <v>18</v>
      </c>
      <c r="G35" s="77"/>
      <c r="H35" s="76">
        <f>VLOOKUP(E35,B7:C23,2,0)</f>
        <v>144.69999999999999</v>
      </c>
      <c r="L35" s="81"/>
      <c r="M35" s="81"/>
      <c r="N35" s="81" t="s">
        <v>114</v>
      </c>
      <c r="O35" s="152">
        <f>SUM(R6:R9,R15,R17:R20,R25)</f>
        <v>119.41812242694786</v>
      </c>
      <c r="P35" s="152"/>
      <c r="Q35" s="81"/>
      <c r="R35" s="81"/>
      <c r="X35" s="216" t="s">
        <v>115</v>
      </c>
      <c r="Y35" s="217"/>
      <c r="Z35" s="218" t="s">
        <v>21</v>
      </c>
      <c r="AA35" s="200">
        <v>2</v>
      </c>
      <c r="AB35" s="217" t="s">
        <v>5</v>
      </c>
      <c r="AC35" s="217"/>
      <c r="AD35" s="217" t="s">
        <v>22</v>
      </c>
      <c r="AE35" s="220">
        <f>SUM(AE36:AE37)</f>
        <v>0</v>
      </c>
      <c r="AF35" s="222" t="s">
        <v>23</v>
      </c>
      <c r="AG35" s="222">
        <f>SUM(AE37:AE39)</f>
        <v>0</v>
      </c>
      <c r="AH35" s="222"/>
      <c r="AM35" s="158" t="s">
        <v>314</v>
      </c>
      <c r="AN35" s="81" t="s">
        <v>315</v>
      </c>
      <c r="AO35" s="81" t="s">
        <v>345</v>
      </c>
      <c r="AP35" s="81">
        <f>AP28*0.3+0.7</f>
        <v>0.70957298991737994</v>
      </c>
      <c r="AQ35" s="81" t="s">
        <v>317</v>
      </c>
      <c r="AR35" s="81" t="s">
        <v>346</v>
      </c>
      <c r="AV35" s="167" t="s">
        <v>314</v>
      </c>
      <c r="AW35" s="167" t="s">
        <v>315</v>
      </c>
      <c r="AX35" s="167" t="s">
        <v>345</v>
      </c>
      <c r="AY35" s="168" t="s">
        <v>318</v>
      </c>
      <c r="AZ35" s="161">
        <f t="shared" si="29"/>
        <v>0.70957298991737994</v>
      </c>
      <c r="BA35" s="167" t="s">
        <v>317</v>
      </c>
      <c r="BC35" s="81" t="s">
        <v>373</v>
      </c>
      <c r="BD35" s="81" t="s">
        <v>409</v>
      </c>
      <c r="BE35" s="166">
        <v>-5.48</v>
      </c>
      <c r="BF35" s="166">
        <v>2.2200000000000001E-2</v>
      </c>
      <c r="BG35" s="81">
        <v>-247.15</v>
      </c>
      <c r="BH35" s="81" t="s">
        <v>384</v>
      </c>
      <c r="BI35" s="81" t="s">
        <v>385</v>
      </c>
      <c r="BL35" s="167" t="s">
        <v>314</v>
      </c>
      <c r="BM35" s="167" t="s">
        <v>315</v>
      </c>
      <c r="BN35" s="167" t="s">
        <v>345</v>
      </c>
      <c r="BO35" s="168" t="s">
        <v>318</v>
      </c>
      <c r="BP35" s="161">
        <f t="shared" si="33"/>
        <v>0.73</v>
      </c>
      <c r="BQ35" s="167" t="s">
        <v>317</v>
      </c>
      <c r="BS35" s="81" t="s">
        <v>373</v>
      </c>
      <c r="BT35" s="81" t="s">
        <v>120</v>
      </c>
      <c r="BU35" s="166">
        <v>260</v>
      </c>
      <c r="BV35" s="166">
        <v>2.52</v>
      </c>
      <c r="BW35" s="81">
        <v>103.2</v>
      </c>
      <c r="BX35" s="81" t="s">
        <v>384</v>
      </c>
      <c r="BY35" s="81" t="s">
        <v>385</v>
      </c>
      <c r="CA35" s="167"/>
      <c r="CB35" s="167"/>
      <c r="CC35" s="167"/>
      <c r="CD35" s="168"/>
      <c r="CE35" s="161"/>
      <c r="CF35" s="167"/>
      <c r="CJ35" s="240"/>
      <c r="CK35" s="240"/>
      <c r="CL35" s="240"/>
      <c r="CO35" s="243" t="s">
        <v>373</v>
      </c>
      <c r="CP35" s="243" t="s">
        <v>298</v>
      </c>
      <c r="CQ35" s="244">
        <v>20100000</v>
      </c>
      <c r="CR35" s="244">
        <v>115000</v>
      </c>
      <c r="CS35" s="243">
        <v>174.77</v>
      </c>
      <c r="CT35" s="243" t="s">
        <v>420</v>
      </c>
      <c r="CU35" s="244">
        <v>2E-16</v>
      </c>
      <c r="CV35" s="81" t="s">
        <v>385</v>
      </c>
      <c r="CW35" s="245" t="s">
        <v>460</v>
      </c>
      <c r="CX35" s="250" t="s">
        <v>333</v>
      </c>
      <c r="CY35" s="246" t="s">
        <v>318</v>
      </c>
      <c r="CZ35" s="247">
        <f t="shared" si="32"/>
        <v>104</v>
      </c>
      <c r="DA35" s="245" t="s">
        <v>317</v>
      </c>
    </row>
    <row r="36" spans="2:107" ht="15" customHeight="1" thickTop="1" thickBot="1" x14ac:dyDescent="0.3">
      <c r="B36" s="73">
        <v>3</v>
      </c>
      <c r="C36" s="74">
        <f>H36*2</f>
        <v>0</v>
      </c>
      <c r="D36" s="73"/>
      <c r="E36" s="73" t="s">
        <v>118</v>
      </c>
      <c r="F36" s="276" t="s">
        <v>119</v>
      </c>
      <c r="G36" s="276"/>
      <c r="H36" s="76">
        <f>C17</f>
        <v>0</v>
      </c>
      <c r="L36" s="81"/>
      <c r="M36" s="81"/>
      <c r="N36" s="81" t="s">
        <v>117</v>
      </c>
      <c r="O36" s="152">
        <f>SUM(R10:R13,R21:R24)</f>
        <v>82.4</v>
      </c>
      <c r="Q36" s="81"/>
      <c r="R36" s="81"/>
      <c r="X36" s="181"/>
      <c r="Y36" s="182" t="s">
        <v>435</v>
      </c>
      <c r="Z36" s="182">
        <v>1.361</v>
      </c>
      <c r="AA36" s="182" t="s">
        <v>5</v>
      </c>
      <c r="AB36" s="182"/>
      <c r="AC36" s="182"/>
      <c r="AD36" s="182">
        <f>(AA35-(1-AD37)*Z36)/AD37</f>
        <v>3.9169999999999998</v>
      </c>
      <c r="AE36" s="233"/>
      <c r="AF36" s="222"/>
      <c r="AG36" s="222"/>
      <c r="AH36" s="222"/>
      <c r="AQ36" s="81" t="s">
        <v>317</v>
      </c>
      <c r="AV36" s="167"/>
      <c r="AW36" s="167"/>
      <c r="AX36" s="167"/>
      <c r="AY36" s="168"/>
      <c r="BA36" s="167"/>
      <c r="BC36" s="81" t="s">
        <v>373</v>
      </c>
      <c r="BD36" s="81" t="s">
        <v>410</v>
      </c>
      <c r="BE36" s="166">
        <v>-6.58</v>
      </c>
      <c r="BF36" s="166">
        <v>2.1499999999999998E-2</v>
      </c>
      <c r="BG36" s="81">
        <v>-306.32</v>
      </c>
      <c r="BH36" s="81" t="s">
        <v>384</v>
      </c>
      <c r="BI36" s="81" t="s">
        <v>385</v>
      </c>
      <c r="BL36" s="167"/>
      <c r="BM36" s="167"/>
      <c r="BN36" s="167"/>
      <c r="BO36" s="168"/>
      <c r="BP36" s="161"/>
      <c r="BQ36" s="167"/>
      <c r="BS36" s="81" t="s">
        <v>373</v>
      </c>
      <c r="BT36" s="81" t="s">
        <v>409</v>
      </c>
      <c r="BU36" s="166">
        <v>-5.4</v>
      </c>
      <c r="BV36" s="166">
        <v>1.5699999999999999E-2</v>
      </c>
      <c r="BW36" s="81">
        <v>-344.27</v>
      </c>
      <c r="BX36" s="81" t="s">
        <v>384</v>
      </c>
      <c r="BY36" s="81" t="s">
        <v>385</v>
      </c>
      <c r="CA36" s="167" t="s">
        <v>314</v>
      </c>
      <c r="CB36" s="167" t="s">
        <v>315</v>
      </c>
      <c r="CC36" s="167" t="s">
        <v>347</v>
      </c>
      <c r="CD36" s="168" t="s">
        <v>318</v>
      </c>
      <c r="CE36" s="161">
        <f>BU69</f>
        <v>298</v>
      </c>
      <c r="CF36" s="167" t="s">
        <v>317</v>
      </c>
      <c r="CI36" s="81" t="s">
        <v>347</v>
      </c>
      <c r="CJ36" s="242">
        <f t="shared" si="1"/>
        <v>761.21266468842737</v>
      </c>
      <c r="CK36" s="242">
        <f t="shared" si="2"/>
        <v>1350</v>
      </c>
      <c r="CL36" s="242">
        <f t="shared" si="3"/>
        <v>298</v>
      </c>
      <c r="CO36" s="243" t="s">
        <v>373</v>
      </c>
      <c r="CP36" s="243" t="s">
        <v>396</v>
      </c>
      <c r="CQ36" s="244">
        <v>-7.54</v>
      </c>
      <c r="CR36" s="244">
        <v>8.5999999999999993E-2</v>
      </c>
      <c r="CS36" s="243">
        <v>-87.66</v>
      </c>
      <c r="CT36" s="243" t="s">
        <v>420</v>
      </c>
      <c r="CU36" s="244">
        <v>2E-16</v>
      </c>
      <c r="CV36" s="81" t="s">
        <v>385</v>
      </c>
      <c r="CW36" s="245" t="s">
        <v>460</v>
      </c>
      <c r="CX36" s="251" t="s">
        <v>335</v>
      </c>
      <c r="CY36" s="246" t="s">
        <v>318</v>
      </c>
      <c r="CZ36" s="247">
        <f>CQ58</f>
        <v>36.6</v>
      </c>
      <c r="DA36" s="245" t="s">
        <v>317</v>
      </c>
    </row>
    <row r="37" spans="2:107" ht="15" customHeight="1" thickTop="1" thickBot="1" x14ac:dyDescent="0.3">
      <c r="L37" s="81"/>
      <c r="M37" s="81"/>
      <c r="N37" s="81" t="s">
        <v>120</v>
      </c>
      <c r="O37" s="152">
        <f>'Verwarming Tabula'!B60</f>
        <v>138.03320000000002</v>
      </c>
      <c r="Q37" s="81"/>
      <c r="R37" s="81"/>
      <c r="X37" s="187"/>
      <c r="Y37" s="174" t="s">
        <v>436</v>
      </c>
      <c r="Z37" s="174">
        <v>0.47</v>
      </c>
      <c r="AA37" s="174"/>
      <c r="AB37" s="174"/>
      <c r="AC37" s="174"/>
      <c r="AD37" s="174">
        <v>0.25</v>
      </c>
      <c r="AE37" s="192"/>
      <c r="AF37" s="228" t="s">
        <v>274</v>
      </c>
      <c r="AG37" s="222"/>
      <c r="AH37" s="222"/>
      <c r="AM37" s="158" t="s">
        <v>314</v>
      </c>
      <c r="AN37" s="81" t="s">
        <v>315</v>
      </c>
      <c r="AO37" s="81" t="s">
        <v>347</v>
      </c>
      <c r="AP37" s="81">
        <f>SUM(O17:O20)*(1/(SUM(AD19:AD20)*0.5+1/8))+O25*(1/(SUM(AD10:AD11)*0.5+1/8))</f>
        <v>761.21266468842737</v>
      </c>
      <c r="AQ37" s="81" t="s">
        <v>317</v>
      </c>
      <c r="AR37" s="81" t="s">
        <v>348</v>
      </c>
      <c r="AV37" s="167" t="s">
        <v>314</v>
      </c>
      <c r="AW37" s="167" t="s">
        <v>315</v>
      </c>
      <c r="AX37" s="167" t="s">
        <v>347</v>
      </c>
      <c r="AY37" s="168" t="s">
        <v>318</v>
      </c>
      <c r="AZ37" s="161">
        <f>AP37</f>
        <v>761.21266468842737</v>
      </c>
      <c r="BA37" s="167" t="s">
        <v>317</v>
      </c>
      <c r="BC37" s="81" t="s">
        <v>373</v>
      </c>
      <c r="BD37" s="81" t="s">
        <v>411</v>
      </c>
      <c r="BE37" s="166">
        <v>-9.25</v>
      </c>
      <c r="BF37" s="166">
        <v>0.191</v>
      </c>
      <c r="BG37" s="81">
        <v>-48.52</v>
      </c>
      <c r="BH37" s="81" t="s">
        <v>384</v>
      </c>
      <c r="BI37" s="81" t="s">
        <v>385</v>
      </c>
      <c r="BL37" s="167" t="s">
        <v>314</v>
      </c>
      <c r="BM37" s="167" t="s">
        <v>315</v>
      </c>
      <c r="BN37" s="167" t="s">
        <v>347</v>
      </c>
      <c r="BO37" s="168" t="s">
        <v>318</v>
      </c>
      <c r="BP37" s="161">
        <f>BE68</f>
        <v>1350</v>
      </c>
      <c r="BQ37" s="167" t="s">
        <v>317</v>
      </c>
      <c r="BS37" s="81" t="s">
        <v>373</v>
      </c>
      <c r="BT37" s="81" t="s">
        <v>410</v>
      </c>
      <c r="BU37" s="166">
        <v>-6.41</v>
      </c>
      <c r="BV37" s="166">
        <v>1.4999999999999999E-2</v>
      </c>
      <c r="BW37" s="81">
        <v>-427.68</v>
      </c>
      <c r="BX37" s="81" t="s">
        <v>384</v>
      </c>
      <c r="BY37" s="81" t="s">
        <v>385</v>
      </c>
      <c r="CA37" s="167" t="s">
        <v>314</v>
      </c>
      <c r="CB37" s="167" t="s">
        <v>315</v>
      </c>
      <c r="CC37" s="167" t="s">
        <v>349</v>
      </c>
      <c r="CD37" s="168" t="s">
        <v>318</v>
      </c>
      <c r="CE37" s="161">
        <f t="shared" ref="CE37:CE38" si="34">BU70</f>
        <v>120</v>
      </c>
      <c r="CF37" s="167" t="s">
        <v>317</v>
      </c>
      <c r="CI37" s="81" t="s">
        <v>349</v>
      </c>
      <c r="CJ37" s="242">
        <f t="shared" si="1"/>
        <v>286.45824354243553</v>
      </c>
      <c r="CK37" s="242">
        <f t="shared" si="2"/>
        <v>372</v>
      </c>
      <c r="CL37" s="242">
        <f t="shared" si="3"/>
        <v>120</v>
      </c>
      <c r="CO37" s="243" t="s">
        <v>373</v>
      </c>
      <c r="CP37" s="243" t="s">
        <v>397</v>
      </c>
      <c r="CQ37" s="244">
        <v>-15.7</v>
      </c>
      <c r="CR37" s="244">
        <v>54.4</v>
      </c>
      <c r="CS37" s="243">
        <v>-0.28999999999999998</v>
      </c>
      <c r="CT37" s="243">
        <v>0.77249999999999996</v>
      </c>
      <c r="CW37" s="245" t="s">
        <v>460</v>
      </c>
      <c r="CX37" s="251" t="s">
        <v>334</v>
      </c>
      <c r="CY37" s="246" t="s">
        <v>318</v>
      </c>
      <c r="CZ37" s="247">
        <v>85.237835423998362</v>
      </c>
      <c r="DA37" s="245" t="s">
        <v>317</v>
      </c>
      <c r="DC37" s="166">
        <f>1/(1/CZ37+1/CZ32)</f>
        <v>69.028832047708093</v>
      </c>
    </row>
    <row r="38" spans="2:107" ht="15" customHeight="1" thickTop="1" thickBot="1" x14ac:dyDescent="0.3">
      <c r="C38" s="152"/>
      <c r="L38" s="81"/>
      <c r="M38" s="81"/>
      <c r="N38" s="81"/>
      <c r="O38" s="152"/>
      <c r="Q38" s="81"/>
      <c r="R38" s="81"/>
      <c r="AM38" s="158" t="s">
        <v>314</v>
      </c>
      <c r="AN38" s="81" t="s">
        <v>315</v>
      </c>
      <c r="AO38" s="81" t="s">
        <v>349</v>
      </c>
      <c r="AP38" s="81">
        <f>4*AA22*O28</f>
        <v>286.45824354243553</v>
      </c>
      <c r="AQ38" s="81" t="s">
        <v>317</v>
      </c>
      <c r="AR38" s="166">
        <v>85.692350000000005</v>
      </c>
      <c r="AV38" s="167" t="s">
        <v>314</v>
      </c>
      <c r="AW38" s="167" t="s">
        <v>315</v>
      </c>
      <c r="AX38" s="167" t="s">
        <v>349</v>
      </c>
      <c r="AY38" s="168" t="s">
        <v>318</v>
      </c>
      <c r="AZ38" s="161">
        <f t="shared" ref="AZ38:AZ40" si="35">AP38</f>
        <v>286.45824354243553</v>
      </c>
      <c r="BA38" s="167" t="s">
        <v>317</v>
      </c>
      <c r="BC38" s="81" t="s">
        <v>373</v>
      </c>
      <c r="BD38" s="81" t="s">
        <v>412</v>
      </c>
      <c r="BE38" s="166">
        <v>-6.11</v>
      </c>
      <c r="BF38" s="166">
        <v>2.2200000000000001E-2</v>
      </c>
      <c r="BG38" s="81">
        <v>-275.08</v>
      </c>
      <c r="BH38" s="81" t="s">
        <v>384</v>
      </c>
      <c r="BI38" s="81" t="s">
        <v>385</v>
      </c>
      <c r="BL38" s="167" t="s">
        <v>314</v>
      </c>
      <c r="BM38" s="167" t="s">
        <v>315</v>
      </c>
      <c r="BN38" s="167" t="s">
        <v>349</v>
      </c>
      <c r="BO38" s="168" t="s">
        <v>318</v>
      </c>
      <c r="BP38" s="161">
        <f t="shared" ref="BP38:BP39" si="36">BE69</f>
        <v>372</v>
      </c>
      <c r="BQ38" s="167" t="s">
        <v>317</v>
      </c>
      <c r="BS38" s="81" t="s">
        <v>373</v>
      </c>
      <c r="BT38" s="81" t="s">
        <v>411</v>
      </c>
      <c r="BU38" s="166">
        <v>-5.92</v>
      </c>
      <c r="BV38" s="166">
        <v>1.8499999999999999E-2</v>
      </c>
      <c r="BW38" s="81">
        <v>-319.37</v>
      </c>
      <c r="BX38" s="81" t="s">
        <v>384</v>
      </c>
      <c r="BY38" s="81" t="s">
        <v>385</v>
      </c>
      <c r="CA38" s="167" t="s">
        <v>314</v>
      </c>
      <c r="CB38" s="167" t="s">
        <v>315</v>
      </c>
      <c r="CC38" s="167" t="s">
        <v>350</v>
      </c>
      <c r="CD38" s="168" t="s">
        <v>318</v>
      </c>
      <c r="CE38" s="161">
        <f t="shared" si="34"/>
        <v>69.5</v>
      </c>
      <c r="CF38" s="167" t="s">
        <v>317</v>
      </c>
      <c r="CI38" s="81" t="s">
        <v>350</v>
      </c>
      <c r="CJ38" s="242">
        <f t="shared" si="1"/>
        <v>138.83396748387096</v>
      </c>
      <c r="CK38" s="242">
        <f t="shared" si="2"/>
        <v>31.9</v>
      </c>
      <c r="CL38" s="242">
        <f t="shared" si="3"/>
        <v>69.5</v>
      </c>
      <c r="CO38" s="243" t="s">
        <v>373</v>
      </c>
      <c r="CP38" s="243" t="s">
        <v>399</v>
      </c>
      <c r="CQ38" s="244">
        <v>-20.7</v>
      </c>
      <c r="CR38" s="244">
        <v>416</v>
      </c>
      <c r="CS38" s="243">
        <v>-0.05</v>
      </c>
      <c r="CT38" s="243">
        <v>0.96030000000000004</v>
      </c>
      <c r="CW38" s="245" t="s">
        <v>460</v>
      </c>
      <c r="CX38" s="248" t="s">
        <v>326</v>
      </c>
      <c r="CY38" s="246" t="s">
        <v>318</v>
      </c>
      <c r="CZ38" s="247">
        <f>CQ41</f>
        <v>7.4399999999999994E-2</v>
      </c>
      <c r="DA38" s="245" t="s">
        <v>317</v>
      </c>
      <c r="DC38" s="152">
        <f>SUM(R6:R9,R16)</f>
        <v>103.22585049249531</v>
      </c>
    </row>
    <row r="39" spans="2:107" ht="15" customHeight="1" thickTop="1" thickBot="1" x14ac:dyDescent="0.3">
      <c r="L39" s="81"/>
      <c r="M39" s="81"/>
      <c r="N39" s="81" t="s">
        <v>122</v>
      </c>
      <c r="O39" s="152">
        <f>C4*1.204*1012*5/1000000</f>
        <v>4.6666558399999998</v>
      </c>
      <c r="P39" s="81" t="s">
        <v>123</v>
      </c>
      <c r="R39" s="81"/>
      <c r="AF39" s="222"/>
      <c r="AG39" s="222"/>
      <c r="AH39" s="222"/>
      <c r="AM39" s="158" t="s">
        <v>314</v>
      </c>
      <c r="AN39" s="81" t="s">
        <v>315</v>
      </c>
      <c r="AO39" s="81" t="s">
        <v>350</v>
      </c>
      <c r="AP39" s="152">
        <f>'Verwarming Tabula 2zone'!B139+SUM(R21:R24)</f>
        <v>138.83396748387096</v>
      </c>
      <c r="AQ39" s="81" t="s">
        <v>317</v>
      </c>
      <c r="AR39" s="81" t="s">
        <v>351</v>
      </c>
      <c r="AV39" s="167" t="s">
        <v>314</v>
      </c>
      <c r="AW39" s="167" t="s">
        <v>315</v>
      </c>
      <c r="AX39" s="167" t="s">
        <v>350</v>
      </c>
      <c r="AY39" s="168" t="s">
        <v>318</v>
      </c>
      <c r="AZ39" s="161">
        <f t="shared" si="35"/>
        <v>138.83396748387096</v>
      </c>
      <c r="BA39" s="167" t="s">
        <v>317</v>
      </c>
      <c r="BC39" s="81" t="s">
        <v>373</v>
      </c>
      <c r="BD39" s="81" t="s">
        <v>413</v>
      </c>
      <c r="BE39" s="166">
        <v>-6.37</v>
      </c>
      <c r="BF39" s="166">
        <v>2.1899999999999999E-2</v>
      </c>
      <c r="BG39" s="81">
        <v>-290.83</v>
      </c>
      <c r="BH39" s="81" t="s">
        <v>384</v>
      </c>
      <c r="BI39" s="81" t="s">
        <v>385</v>
      </c>
      <c r="BL39" s="167" t="s">
        <v>314</v>
      </c>
      <c r="BM39" s="167" t="s">
        <v>315</v>
      </c>
      <c r="BN39" s="167" t="s">
        <v>350</v>
      </c>
      <c r="BO39" s="168" t="s">
        <v>318</v>
      </c>
      <c r="BP39" s="161">
        <f t="shared" si="36"/>
        <v>31.9</v>
      </c>
      <c r="BQ39" s="167" t="s">
        <v>317</v>
      </c>
      <c r="BS39" s="81" t="s">
        <v>373</v>
      </c>
      <c r="BT39" s="81" t="s">
        <v>412</v>
      </c>
      <c r="BU39" s="166">
        <v>-5.28</v>
      </c>
      <c r="BV39" s="166">
        <v>1.7000000000000001E-2</v>
      </c>
      <c r="BW39" s="81">
        <v>-310.54000000000002</v>
      </c>
      <c r="BX39" s="81" t="s">
        <v>384</v>
      </c>
      <c r="BY39" s="81" t="s">
        <v>385</v>
      </c>
      <c r="CA39" s="167" t="s">
        <v>314</v>
      </c>
      <c r="CB39" s="167" t="s">
        <v>315</v>
      </c>
      <c r="CC39" s="167" t="s">
        <v>352</v>
      </c>
      <c r="CD39" s="168" t="s">
        <v>318</v>
      </c>
      <c r="CE39" s="161">
        <f>1/BU76</f>
        <v>9900.9900990099013</v>
      </c>
      <c r="CF39" s="167" t="s">
        <v>317</v>
      </c>
      <c r="CI39" s="81" t="s">
        <v>352</v>
      </c>
      <c r="CJ39" s="242">
        <f t="shared" si="1"/>
        <v>225.77306197064001</v>
      </c>
      <c r="CK39" s="242">
        <f t="shared" si="2"/>
        <v>110.74197120708749</v>
      </c>
      <c r="CL39" s="242">
        <f t="shared" si="3"/>
        <v>9900.9900990099013</v>
      </c>
      <c r="CO39" s="243" t="s">
        <v>373</v>
      </c>
      <c r="CP39" s="243" t="s">
        <v>400</v>
      </c>
      <c r="CQ39" s="244">
        <v>-17.100000000000001</v>
      </c>
      <c r="CR39" s="244">
        <v>418</v>
      </c>
      <c r="CS39" s="243">
        <v>-0.04</v>
      </c>
      <c r="CT39" s="243">
        <v>0.96730000000000005</v>
      </c>
      <c r="CU39" s="244"/>
      <c r="CW39" s="245" t="s">
        <v>460</v>
      </c>
      <c r="CX39" s="249" t="s">
        <v>327</v>
      </c>
      <c r="CY39" s="246" t="s">
        <v>318</v>
      </c>
      <c r="CZ39" s="247">
        <f t="shared" ref="CZ39:CZ42" si="37">CQ42</f>
        <v>0.157</v>
      </c>
      <c r="DA39" s="245" t="s">
        <v>317</v>
      </c>
    </row>
    <row r="40" spans="2:107" ht="15" customHeight="1" thickTop="1" thickBot="1" x14ac:dyDescent="0.3">
      <c r="B40" s="81" t="s">
        <v>275</v>
      </c>
      <c r="L40" s="81"/>
      <c r="M40" s="81"/>
      <c r="N40" s="81" t="s">
        <v>124</v>
      </c>
      <c r="O40" s="152">
        <f>SUM(S6:S9,S15)/1000000</f>
        <v>99.498875499540006</v>
      </c>
      <c r="P40" s="81" t="s">
        <v>125</v>
      </c>
      <c r="Q40" s="152">
        <f>SUM(U6:U9,U15)/1000000</f>
        <v>95.706189288000004</v>
      </c>
      <c r="R40" s="81"/>
      <c r="Z40" s="221" t="s">
        <v>4</v>
      </c>
      <c r="AA40" s="221">
        <v>0.85</v>
      </c>
      <c r="AB40" s="221" t="s">
        <v>5</v>
      </c>
      <c r="AF40" s="222"/>
      <c r="AG40" s="222"/>
      <c r="AH40" s="222"/>
      <c r="AM40" s="158" t="s">
        <v>314</v>
      </c>
      <c r="AN40" s="81" t="s">
        <v>315</v>
      </c>
      <c r="AO40" s="81" t="s">
        <v>352</v>
      </c>
      <c r="AP40" s="81">
        <f>SUM(O17:O20)*1/(SUM(AD16:AD17)+0.5*SUM(AD19:AD20)+1/23)+O25*1/(SUM(AD7:AD10)+0.5*SUM(AD11)+1/23)</f>
        <v>225.77306197064001</v>
      </c>
      <c r="AQ40" s="81" t="s">
        <v>317</v>
      </c>
      <c r="AR40" s="81">
        <f>1/0.01634389</f>
        <v>61.184944343115376</v>
      </c>
      <c r="AV40" s="167" t="s">
        <v>314</v>
      </c>
      <c r="AW40" s="167" t="s">
        <v>315</v>
      </c>
      <c r="AX40" s="167" t="s">
        <v>352</v>
      </c>
      <c r="AY40" s="168" t="s">
        <v>318</v>
      </c>
      <c r="AZ40" s="161">
        <f t="shared" si="35"/>
        <v>225.77306197064001</v>
      </c>
      <c r="BA40" s="167" t="s">
        <v>317</v>
      </c>
      <c r="BC40" s="81" t="s">
        <v>373</v>
      </c>
      <c r="BD40" s="81" t="s">
        <v>414</v>
      </c>
      <c r="BE40" s="166">
        <v>1.1299999999999999E-3</v>
      </c>
      <c r="BF40" s="166">
        <v>9.9899999999999992E-6</v>
      </c>
      <c r="BG40" s="81">
        <v>113.15</v>
      </c>
      <c r="BH40" s="81" t="s">
        <v>384</v>
      </c>
      <c r="BI40" s="81" t="s">
        <v>385</v>
      </c>
      <c r="BL40" s="167" t="s">
        <v>314</v>
      </c>
      <c r="BM40" s="167" t="s">
        <v>315</v>
      </c>
      <c r="BN40" s="167" t="s">
        <v>352</v>
      </c>
      <c r="BO40" s="168" t="s">
        <v>318</v>
      </c>
      <c r="BP40" s="161">
        <f>1/BE75</f>
        <v>110.74197120708749</v>
      </c>
      <c r="BQ40" s="167" t="s">
        <v>317</v>
      </c>
      <c r="BS40" s="81" t="s">
        <v>373</v>
      </c>
      <c r="BT40" s="81" t="s">
        <v>413</v>
      </c>
      <c r="BU40" s="166">
        <v>-6.14</v>
      </c>
      <c r="BV40" s="166">
        <v>1.67E-2</v>
      </c>
      <c r="BW40" s="81">
        <v>-367.45</v>
      </c>
      <c r="BX40" s="81" t="s">
        <v>384</v>
      </c>
      <c r="BY40" s="81" t="s">
        <v>385</v>
      </c>
      <c r="CA40" s="167"/>
      <c r="CB40" s="167"/>
      <c r="CC40" s="167"/>
      <c r="CD40" s="168"/>
      <c r="CE40" s="161"/>
      <c r="CF40" s="167"/>
      <c r="CJ40" s="240"/>
      <c r="CK40" s="240"/>
      <c r="CL40" s="240"/>
      <c r="CO40" s="243" t="s">
        <v>373</v>
      </c>
      <c r="CP40" s="243" t="s">
        <v>401</v>
      </c>
      <c r="CQ40" s="244">
        <v>-18.100000000000001</v>
      </c>
      <c r="CR40" s="244">
        <v>34.9</v>
      </c>
      <c r="CS40" s="243">
        <v>-0.52</v>
      </c>
      <c r="CT40" s="243">
        <v>0.6048</v>
      </c>
      <c r="CW40" s="245" t="s">
        <v>460</v>
      </c>
      <c r="CX40" s="249" t="s">
        <v>328</v>
      </c>
      <c r="CY40" s="246" t="s">
        <v>318</v>
      </c>
      <c r="CZ40" s="247">
        <f t="shared" si="37"/>
        <v>0.7</v>
      </c>
      <c r="DA40" s="245" t="s">
        <v>317</v>
      </c>
    </row>
    <row r="41" spans="2:107" ht="15" customHeight="1" thickTop="1" thickBot="1" x14ac:dyDescent="0.3">
      <c r="B41" s="149" t="s">
        <v>276</v>
      </c>
      <c r="L41" s="81"/>
      <c r="M41" s="81"/>
      <c r="N41" s="81" t="s">
        <v>126</v>
      </c>
      <c r="O41" s="152">
        <f>SUM(S26:S27)/1000000</f>
        <v>41.413142636000003</v>
      </c>
      <c r="P41" s="81" t="s">
        <v>125</v>
      </c>
      <c r="Q41" s="152">
        <f>SUM(U26:U27)/1000000</f>
        <v>41.413142636000003</v>
      </c>
      <c r="R41" s="81"/>
      <c r="X41" s="216" t="s">
        <v>63</v>
      </c>
      <c r="Y41" s="217"/>
      <c r="Z41" s="218" t="s">
        <v>21</v>
      </c>
      <c r="AA41" s="219">
        <f>1/(1/10+SUM(AD43:AD47))</f>
        <v>0.25127131319174395</v>
      </c>
      <c r="AB41" s="217" t="s">
        <v>5</v>
      </c>
      <c r="AC41" s="217"/>
      <c r="AD41" s="217" t="s">
        <v>22</v>
      </c>
      <c r="AE41" s="220">
        <f>SUM(AE43:AE47)</f>
        <v>379396.7</v>
      </c>
      <c r="AF41" s="222" t="s">
        <v>23</v>
      </c>
      <c r="AG41" s="222">
        <f>SUM(AE43:AE44)</f>
        <v>110960</v>
      </c>
      <c r="AH41" s="222"/>
      <c r="AQ41" s="81" t="s">
        <v>317</v>
      </c>
      <c r="AV41" s="167"/>
      <c r="AW41" s="167"/>
      <c r="AX41" s="167"/>
      <c r="AY41" s="168"/>
      <c r="BA41" s="167"/>
      <c r="BC41" s="81" t="s">
        <v>373</v>
      </c>
      <c r="BD41" s="81" t="s">
        <v>415</v>
      </c>
      <c r="BE41" s="166">
        <v>762</v>
      </c>
      <c r="BF41" s="166">
        <v>7.54</v>
      </c>
      <c r="BG41" s="81">
        <v>101.02</v>
      </c>
      <c r="BH41" s="81" t="s">
        <v>384</v>
      </c>
      <c r="BI41" s="81" t="s">
        <v>385</v>
      </c>
      <c r="BL41" s="167"/>
      <c r="BM41" s="167"/>
      <c r="BN41" s="167"/>
      <c r="BO41" s="168"/>
      <c r="BP41" s="161"/>
      <c r="BQ41" s="167"/>
      <c r="BS41" s="81" t="s">
        <v>373</v>
      </c>
      <c r="BT41" s="81" t="s">
        <v>414</v>
      </c>
      <c r="BU41" s="166">
        <v>5.0199999999999995E-4</v>
      </c>
      <c r="BV41" s="166">
        <v>9.6099999999999995E-6</v>
      </c>
      <c r="BW41" s="81">
        <v>52.22</v>
      </c>
      <c r="BX41" s="81" t="s">
        <v>384</v>
      </c>
      <c r="BY41" s="81" t="s">
        <v>385</v>
      </c>
      <c r="CA41" s="167" t="s">
        <v>314</v>
      </c>
      <c r="CB41" s="167" t="s">
        <v>315</v>
      </c>
      <c r="CC41" s="167" t="s">
        <v>353</v>
      </c>
      <c r="CD41" s="168" t="s">
        <v>318</v>
      </c>
      <c r="CE41" s="161">
        <f>BU15</f>
        <v>7.9000000000000001E-2</v>
      </c>
      <c r="CF41" s="167" t="s">
        <v>317</v>
      </c>
      <c r="CI41" s="81" t="s">
        <v>353</v>
      </c>
      <c r="CJ41" s="239">
        <f t="shared" si="1"/>
        <v>0.19356300669832341</v>
      </c>
      <c r="CK41" s="239">
        <f t="shared" si="2"/>
        <v>2.8899999999999999E-2</v>
      </c>
      <c r="CL41" s="239">
        <f t="shared" si="3"/>
        <v>7.9000000000000001E-2</v>
      </c>
      <c r="CO41" s="243" t="s">
        <v>373</v>
      </c>
      <c r="CP41" s="243" t="s">
        <v>402</v>
      </c>
      <c r="CQ41" s="244">
        <v>7.4399999999999994E-2</v>
      </c>
      <c r="CR41" s="244">
        <v>4.8999999999999998E-4</v>
      </c>
      <c r="CS41" s="243">
        <v>151.93</v>
      </c>
      <c r="CT41" s="243" t="s">
        <v>420</v>
      </c>
      <c r="CU41" s="244">
        <v>2E-16</v>
      </c>
      <c r="CV41" s="81" t="s">
        <v>385</v>
      </c>
      <c r="CW41" s="245" t="s">
        <v>460</v>
      </c>
      <c r="CX41" s="246" t="s">
        <v>329</v>
      </c>
      <c r="CY41" s="246" t="s">
        <v>318</v>
      </c>
      <c r="CZ41" s="247">
        <f t="shared" si="37"/>
        <v>5.1999999999999998E-2</v>
      </c>
      <c r="DA41" s="245" t="s">
        <v>317</v>
      </c>
    </row>
    <row r="42" spans="2:107" ht="15" customHeight="1" thickTop="1" thickBot="1" x14ac:dyDescent="0.3">
      <c r="B42" s="81" t="s">
        <v>277</v>
      </c>
      <c r="D42" s="81">
        <f>0.55</f>
        <v>0.55000000000000004</v>
      </c>
      <c r="L42" s="81"/>
      <c r="M42" s="81"/>
      <c r="N42" s="81" t="s">
        <v>127</v>
      </c>
      <c r="O42" s="152">
        <f>S14/1000000</f>
        <v>50.952976810000003</v>
      </c>
      <c r="Q42" s="152">
        <f>U14/1000000</f>
        <v>14.901928000000002</v>
      </c>
      <c r="R42" s="81"/>
      <c r="X42" s="224"/>
      <c r="Y42" s="225" t="s">
        <v>27</v>
      </c>
      <c r="Z42" s="225" t="s">
        <v>28</v>
      </c>
      <c r="AA42" s="225" t="s">
        <v>29</v>
      </c>
      <c r="AB42" s="225" t="s">
        <v>30</v>
      </c>
      <c r="AC42" s="225" t="s">
        <v>31</v>
      </c>
      <c r="AD42" s="225" t="s">
        <v>32</v>
      </c>
      <c r="AE42" s="226" t="s">
        <v>33</v>
      </c>
      <c r="AF42" s="222"/>
      <c r="AG42" s="222"/>
      <c r="AH42" s="222"/>
      <c r="AM42" s="158" t="s">
        <v>314</v>
      </c>
      <c r="AN42" s="81" t="s">
        <v>315</v>
      </c>
      <c r="AO42" s="81" t="s">
        <v>353</v>
      </c>
      <c r="AP42" s="81">
        <f>SUM(O26)/SUM(O6:O14,O26:O27)</f>
        <v>0.19356300669832341</v>
      </c>
      <c r="AQ42" s="81" t="s">
        <v>317</v>
      </c>
      <c r="AR42" s="81" t="s">
        <v>354</v>
      </c>
      <c r="AV42" s="167" t="s">
        <v>314</v>
      </c>
      <c r="AW42" s="167" t="s">
        <v>315</v>
      </c>
      <c r="AX42" s="167" t="s">
        <v>353</v>
      </c>
      <c r="AY42" s="168" t="s">
        <v>318</v>
      </c>
      <c r="AZ42" s="161">
        <f>AP42</f>
        <v>0.19356300669832341</v>
      </c>
      <c r="BA42" s="167" t="s">
        <v>317</v>
      </c>
      <c r="BC42" s="81" t="s">
        <v>373</v>
      </c>
      <c r="BD42" s="81" t="s">
        <v>416</v>
      </c>
      <c r="BE42" s="166">
        <v>660</v>
      </c>
      <c r="BF42" s="166">
        <v>5.62</v>
      </c>
      <c r="BG42" s="81">
        <v>117.56</v>
      </c>
      <c r="BH42" s="81" t="s">
        <v>384</v>
      </c>
      <c r="BI42" s="81" t="s">
        <v>385</v>
      </c>
      <c r="BL42" s="167" t="s">
        <v>314</v>
      </c>
      <c r="BM42" s="167" t="s">
        <v>315</v>
      </c>
      <c r="BN42" s="167" t="s">
        <v>353</v>
      </c>
      <c r="BO42" s="168" t="s">
        <v>318</v>
      </c>
      <c r="BP42" s="161">
        <f>BE15</f>
        <v>2.8899999999999999E-2</v>
      </c>
      <c r="BQ42" s="167" t="s">
        <v>317</v>
      </c>
      <c r="BS42" s="81" t="s">
        <v>373</v>
      </c>
      <c r="BT42" s="81" t="s">
        <v>415</v>
      </c>
      <c r="BU42" s="166">
        <v>115</v>
      </c>
      <c r="BV42" s="166">
        <v>1.17</v>
      </c>
      <c r="BW42" s="81">
        <v>98.05</v>
      </c>
      <c r="BX42" s="81" t="s">
        <v>384</v>
      </c>
      <c r="BY42" s="81" t="s">
        <v>385</v>
      </c>
      <c r="CA42" s="167" t="s">
        <v>314</v>
      </c>
      <c r="CB42" s="167" t="s">
        <v>315</v>
      </c>
      <c r="CC42" s="167" t="s">
        <v>355</v>
      </c>
      <c r="CD42" s="168" t="s">
        <v>318</v>
      </c>
      <c r="CE42" s="161">
        <f>BU56</f>
        <v>0.33100000000000002</v>
      </c>
      <c r="CF42" s="167" t="s">
        <v>317</v>
      </c>
      <c r="CI42" s="81" t="s">
        <v>355</v>
      </c>
      <c r="CJ42" s="239">
        <f t="shared" si="1"/>
        <v>0.37357379747704722</v>
      </c>
      <c r="CK42" s="239">
        <f t="shared" si="2"/>
        <v>9.7500000000000003E-2</v>
      </c>
      <c r="CL42" s="239">
        <f t="shared" si="3"/>
        <v>0.33100000000000002</v>
      </c>
      <c r="CO42" s="243" t="s">
        <v>373</v>
      </c>
      <c r="CP42" s="243" t="s">
        <v>403</v>
      </c>
      <c r="CQ42" s="244">
        <v>0.157</v>
      </c>
      <c r="CR42" s="244">
        <v>8.3699999999999996E-4</v>
      </c>
      <c r="CS42" s="243">
        <v>187.91</v>
      </c>
      <c r="CT42" s="243" t="s">
        <v>420</v>
      </c>
      <c r="CU42" s="244">
        <v>2E-16</v>
      </c>
      <c r="CV42" s="81" t="s">
        <v>385</v>
      </c>
      <c r="CW42" s="245" t="s">
        <v>460</v>
      </c>
      <c r="CX42" s="246" t="s">
        <v>430</v>
      </c>
      <c r="CY42" s="246" t="s">
        <v>318</v>
      </c>
      <c r="CZ42" s="247">
        <f t="shared" si="37"/>
        <v>2.4799999999999999E-2</v>
      </c>
      <c r="DA42" s="245" t="s">
        <v>317</v>
      </c>
    </row>
    <row r="43" spans="2:107" ht="15" customHeight="1" thickTop="1" thickBot="1" x14ac:dyDescent="0.3">
      <c r="B43" s="81" t="s">
        <v>278</v>
      </c>
      <c r="D43" s="81">
        <v>0.99</v>
      </c>
      <c r="E43" s="81" t="s">
        <v>279</v>
      </c>
      <c r="L43" s="81"/>
      <c r="M43" s="81"/>
      <c r="N43" s="81"/>
      <c r="Q43" s="81"/>
      <c r="R43" s="81"/>
      <c r="X43" s="181"/>
      <c r="Y43" s="182" t="s">
        <v>128</v>
      </c>
      <c r="Z43" s="182">
        <v>0.02</v>
      </c>
      <c r="AA43" s="182">
        <v>1.4</v>
      </c>
      <c r="AB43" s="182">
        <v>2100</v>
      </c>
      <c r="AC43" s="182">
        <v>840</v>
      </c>
      <c r="AD43" s="231">
        <f>Z43/AA43</f>
        <v>1.4285714285714287E-2</v>
      </c>
      <c r="AE43" s="232">
        <f>Z43*AB43*AC43</f>
        <v>35280</v>
      </c>
      <c r="AF43" s="222" t="s">
        <v>104</v>
      </c>
      <c r="AG43" s="222"/>
      <c r="AH43" s="222"/>
      <c r="AM43" s="158" t="s">
        <v>314</v>
      </c>
      <c r="AN43" s="81" t="s">
        <v>315</v>
      </c>
      <c r="AO43" s="81" t="s">
        <v>355</v>
      </c>
      <c r="AP43" s="81">
        <f>SUM(O26)/SUM(O$17:O$25,O$28,O$26)</f>
        <v>0.37357379747704722</v>
      </c>
      <c r="AQ43" s="81" t="s">
        <v>317</v>
      </c>
      <c r="AR43" s="81" t="s">
        <v>356</v>
      </c>
      <c r="AV43" s="167" t="s">
        <v>314</v>
      </c>
      <c r="AW43" s="167" t="s">
        <v>315</v>
      </c>
      <c r="AX43" s="167" t="s">
        <v>355</v>
      </c>
      <c r="AY43" s="168" t="s">
        <v>318</v>
      </c>
      <c r="AZ43" s="161">
        <f t="shared" ref="AZ43:AZ50" si="38">AP43</f>
        <v>0.37357379747704722</v>
      </c>
      <c r="BA43" s="167" t="s">
        <v>317</v>
      </c>
      <c r="BC43" s="81" t="s">
        <v>373</v>
      </c>
      <c r="BD43" s="81" t="s">
        <v>417</v>
      </c>
      <c r="BE43" s="166">
        <v>301</v>
      </c>
      <c r="BF43" s="166">
        <v>3.03</v>
      </c>
      <c r="BG43" s="81">
        <v>99.4</v>
      </c>
      <c r="BH43" s="81" t="s">
        <v>384</v>
      </c>
      <c r="BI43" s="81" t="s">
        <v>385</v>
      </c>
      <c r="BL43" s="167" t="s">
        <v>314</v>
      </c>
      <c r="BM43" s="167" t="s">
        <v>315</v>
      </c>
      <c r="BN43" s="167" t="s">
        <v>355</v>
      </c>
      <c r="BO43" s="168" t="s">
        <v>318</v>
      </c>
      <c r="BP43" s="161">
        <f>BE55</f>
        <v>9.7500000000000003E-2</v>
      </c>
      <c r="BQ43" s="167" t="s">
        <v>317</v>
      </c>
      <c r="BS43" s="81" t="s">
        <v>373</v>
      </c>
      <c r="BT43" s="81" t="s">
        <v>416</v>
      </c>
      <c r="BU43" s="166">
        <v>9960</v>
      </c>
      <c r="BV43" s="166">
        <v>166</v>
      </c>
      <c r="BW43" s="81">
        <v>60.14</v>
      </c>
      <c r="BX43" s="81" t="s">
        <v>384</v>
      </c>
      <c r="BY43" s="81" t="s">
        <v>385</v>
      </c>
      <c r="CA43" s="167" t="s">
        <v>314</v>
      </c>
      <c r="CB43" s="167" t="s">
        <v>315</v>
      </c>
      <c r="CC43" s="167" t="s">
        <v>357</v>
      </c>
      <c r="CD43" s="168" t="s">
        <v>318</v>
      </c>
      <c r="CE43" s="161">
        <f>BU88</f>
        <v>139000000</v>
      </c>
      <c r="CF43" s="167" t="s">
        <v>317</v>
      </c>
      <c r="CI43" s="81" t="s">
        <v>357</v>
      </c>
      <c r="CJ43" s="241">
        <f t="shared" si="1"/>
        <v>4177488.9999999995</v>
      </c>
      <c r="CK43" s="241">
        <f t="shared" si="2"/>
        <v>248000</v>
      </c>
      <c r="CL43" s="241">
        <f t="shared" si="3"/>
        <v>139000000</v>
      </c>
      <c r="CO43" s="243" t="s">
        <v>373</v>
      </c>
      <c r="CP43" s="243" t="s">
        <v>404</v>
      </c>
      <c r="CQ43" s="244">
        <v>0.7</v>
      </c>
      <c r="CR43" s="244">
        <v>1.65E-3</v>
      </c>
      <c r="CS43" s="243">
        <v>425.32</v>
      </c>
      <c r="CT43" s="243" t="s">
        <v>420</v>
      </c>
      <c r="CU43" s="244">
        <v>2E-16</v>
      </c>
      <c r="CV43" s="81" t="s">
        <v>385</v>
      </c>
      <c r="CY43" s="246"/>
    </row>
    <row r="44" spans="2:107" ht="15" customHeight="1" thickTop="1" thickBot="1" x14ac:dyDescent="0.3">
      <c r="B44" s="81" t="s">
        <v>282</v>
      </c>
      <c r="D44" s="81">
        <v>0.7</v>
      </c>
      <c r="F44" s="79"/>
      <c r="L44" s="81"/>
      <c r="M44" s="81"/>
      <c r="N44" s="81"/>
      <c r="Q44" s="81"/>
      <c r="R44" s="81"/>
      <c r="X44" s="175"/>
      <c r="Y44" s="176" t="s">
        <v>129</v>
      </c>
      <c r="Z44" s="176">
        <v>0.08</v>
      </c>
      <c r="AA44" s="176">
        <v>0.6</v>
      </c>
      <c r="AB44" s="176">
        <v>1100</v>
      </c>
      <c r="AC44" s="176">
        <v>860</v>
      </c>
      <c r="AD44" s="227">
        <f>Z44/AA44</f>
        <v>0.13333333333333333</v>
      </c>
      <c r="AE44" s="177">
        <f>Z44*AB44*AC44</f>
        <v>75680</v>
      </c>
      <c r="AF44" s="222"/>
      <c r="AG44" s="222"/>
      <c r="AH44" s="222"/>
      <c r="AM44" s="158" t="s">
        <v>314</v>
      </c>
      <c r="AN44" s="81" t="s">
        <v>315</v>
      </c>
      <c r="AO44" s="81" t="s">
        <v>357</v>
      </c>
      <c r="AP44" s="81">
        <f>U26/2</f>
        <v>4177488.9999999995</v>
      </c>
      <c r="AQ44" s="81" t="s">
        <v>317</v>
      </c>
      <c r="AR44" s="81" t="s">
        <v>358</v>
      </c>
      <c r="AV44" s="167" t="s">
        <v>314</v>
      </c>
      <c r="AW44" s="167" t="s">
        <v>315</v>
      </c>
      <c r="AX44" s="167" t="s">
        <v>357</v>
      </c>
      <c r="AY44" s="168" t="s">
        <v>318</v>
      </c>
      <c r="AZ44" s="161">
        <f t="shared" si="38"/>
        <v>4177488.9999999995</v>
      </c>
      <c r="BA44" s="167" t="s">
        <v>317</v>
      </c>
      <c r="BL44" s="167" t="s">
        <v>314</v>
      </c>
      <c r="BM44" s="167" t="s">
        <v>315</v>
      </c>
      <c r="BN44" s="167" t="s">
        <v>357</v>
      </c>
      <c r="BO44" s="168" t="s">
        <v>318</v>
      </c>
      <c r="BP44" s="161">
        <f>BE86</f>
        <v>248000</v>
      </c>
      <c r="BQ44" s="167" t="s">
        <v>317</v>
      </c>
      <c r="BS44" s="81" t="s">
        <v>373</v>
      </c>
      <c r="BT44" s="81" t="s">
        <v>417</v>
      </c>
      <c r="BU44" s="166">
        <v>530</v>
      </c>
      <c r="BV44" s="166">
        <v>250</v>
      </c>
      <c r="BW44" s="81">
        <v>2.12</v>
      </c>
      <c r="BX44" s="81">
        <v>3.3700000000000001E-2</v>
      </c>
      <c r="BY44" s="81" t="s">
        <v>418</v>
      </c>
      <c r="CA44" s="167" t="s">
        <v>314</v>
      </c>
      <c r="CB44" s="167" t="s">
        <v>315</v>
      </c>
      <c r="CC44" s="167" t="s">
        <v>359</v>
      </c>
      <c r="CD44" s="168" t="s">
        <v>318</v>
      </c>
      <c r="CE44" s="161">
        <f>BU89</f>
        <v>18800000</v>
      </c>
      <c r="CF44" s="167" t="s">
        <v>317</v>
      </c>
      <c r="CI44" s="81" t="s">
        <v>359</v>
      </c>
      <c r="CJ44" s="241">
        <f t="shared" si="1"/>
        <v>4177488.9999999995</v>
      </c>
      <c r="CK44" s="241">
        <f t="shared" si="2"/>
        <v>6990000</v>
      </c>
      <c r="CL44" s="241">
        <f t="shared" si="3"/>
        <v>18800000</v>
      </c>
      <c r="CO44" s="243" t="s">
        <v>373</v>
      </c>
      <c r="CP44" s="243" t="s">
        <v>405</v>
      </c>
      <c r="CQ44" s="244">
        <v>5.1999999999999998E-2</v>
      </c>
      <c r="CR44" s="244">
        <v>2.3900000000000001E-4</v>
      </c>
      <c r="CS44" s="243">
        <v>217.08</v>
      </c>
      <c r="CT44" s="243" t="s">
        <v>420</v>
      </c>
      <c r="CU44" s="244">
        <v>2E-16</v>
      </c>
      <c r="CV44" s="81" t="s">
        <v>385</v>
      </c>
      <c r="CW44" s="245" t="s">
        <v>460</v>
      </c>
      <c r="CX44" s="251" t="s">
        <v>482</v>
      </c>
      <c r="CY44" s="246" t="s">
        <v>318</v>
      </c>
      <c r="CZ44" s="247">
        <f>CQ68</f>
        <v>0.873</v>
      </c>
      <c r="DA44" s="245" t="s">
        <v>317</v>
      </c>
    </row>
    <row r="45" spans="2:107" ht="15" customHeight="1" thickTop="1" thickBot="1" x14ac:dyDescent="0.3">
      <c r="B45" s="81" t="s">
        <v>283</v>
      </c>
      <c r="D45" s="81">
        <v>0.7</v>
      </c>
      <c r="F45" s="79"/>
      <c r="L45" s="81"/>
      <c r="M45" s="81"/>
      <c r="N45" s="81"/>
      <c r="Q45" s="81"/>
      <c r="R45" s="81"/>
      <c r="X45" s="175"/>
      <c r="Y45" s="176" t="s">
        <v>280</v>
      </c>
      <c r="Z45" s="255">
        <v>8.6999999999999994E-2</v>
      </c>
      <c r="AA45" s="176">
        <v>2.4E-2</v>
      </c>
      <c r="AB45" s="176">
        <v>30</v>
      </c>
      <c r="AC45" s="176">
        <v>1470</v>
      </c>
      <c r="AD45" s="227">
        <f>Z45/AA45</f>
        <v>3.6249999999999996</v>
      </c>
      <c r="AE45" s="177">
        <f>Z45*AB45*AC45</f>
        <v>3836.7</v>
      </c>
      <c r="AF45" s="228" t="s">
        <v>281</v>
      </c>
      <c r="AG45" s="222"/>
      <c r="AH45" s="222"/>
      <c r="AM45" s="158" t="s">
        <v>314</v>
      </c>
      <c r="AN45" s="81" t="s">
        <v>315</v>
      </c>
      <c r="AO45" s="81" t="s">
        <v>359</v>
      </c>
      <c r="AP45" s="81">
        <f>U26/2</f>
        <v>4177488.9999999995</v>
      </c>
      <c r="AQ45" s="81" t="s">
        <v>317</v>
      </c>
      <c r="AR45" s="81" t="s">
        <v>360</v>
      </c>
      <c r="AV45" s="167" t="s">
        <v>314</v>
      </c>
      <c r="AW45" s="167" t="s">
        <v>315</v>
      </c>
      <c r="AX45" s="167" t="s">
        <v>359</v>
      </c>
      <c r="AY45" s="168" t="s">
        <v>318</v>
      </c>
      <c r="AZ45" s="161">
        <f t="shared" si="38"/>
        <v>4177488.9999999995</v>
      </c>
      <c r="BA45" s="167" t="s">
        <v>317</v>
      </c>
      <c r="BC45" s="81" t="s">
        <v>373</v>
      </c>
      <c r="BD45" s="81" t="s">
        <v>374</v>
      </c>
      <c r="BE45" s="81" t="s">
        <v>419</v>
      </c>
      <c r="BL45" s="167" t="s">
        <v>314</v>
      </c>
      <c r="BM45" s="167" t="s">
        <v>315</v>
      </c>
      <c r="BN45" s="167" t="s">
        <v>359</v>
      </c>
      <c r="BO45" s="168" t="s">
        <v>318</v>
      </c>
      <c r="BP45" s="161">
        <f>BE87</f>
        <v>6990000</v>
      </c>
      <c r="BQ45" s="167" t="s">
        <v>317</v>
      </c>
      <c r="CA45" s="167" t="s">
        <v>314</v>
      </c>
      <c r="CB45" s="167" t="s">
        <v>315</v>
      </c>
      <c r="CC45" s="167" t="s">
        <v>361</v>
      </c>
      <c r="CD45" s="168" t="s">
        <v>318</v>
      </c>
      <c r="CE45" s="161">
        <f>BU31</f>
        <v>2.8899999999999999E-2</v>
      </c>
      <c r="CF45" s="167" t="s">
        <v>317</v>
      </c>
      <c r="CI45" s="81" t="s">
        <v>361</v>
      </c>
      <c r="CJ45" s="239">
        <f t="shared" si="1"/>
        <v>5.806890200949702E-2</v>
      </c>
      <c r="CK45" s="239">
        <f t="shared" si="2"/>
        <v>1.9E-2</v>
      </c>
      <c r="CL45" s="239">
        <f t="shared" si="3"/>
        <v>2.8899999999999999E-2</v>
      </c>
      <c r="CO45" s="243" t="s">
        <v>373</v>
      </c>
      <c r="CP45" s="243" t="s">
        <v>406</v>
      </c>
      <c r="CQ45" s="244">
        <v>2.4799999999999999E-2</v>
      </c>
      <c r="CR45" s="244">
        <v>2.2000000000000001E-4</v>
      </c>
      <c r="CS45" s="243">
        <v>112.77</v>
      </c>
      <c r="CT45" s="243" t="s">
        <v>420</v>
      </c>
      <c r="CU45" s="244">
        <v>2E-16</v>
      </c>
      <c r="CV45" s="81" t="s">
        <v>385</v>
      </c>
      <c r="CW45" s="245" t="s">
        <v>460</v>
      </c>
      <c r="CX45" s="251" t="s">
        <v>483</v>
      </c>
      <c r="CY45" s="246" t="s">
        <v>318</v>
      </c>
      <c r="CZ45" s="247">
        <f t="shared" ref="CZ45:CZ59" si="39">CQ69</f>
        <v>2.99</v>
      </c>
      <c r="DA45" s="245" t="s">
        <v>317</v>
      </c>
    </row>
    <row r="46" spans="2:107" ht="15" customHeight="1" thickTop="1" thickBot="1" x14ac:dyDescent="0.3">
      <c r="L46" s="81"/>
      <c r="M46" s="81"/>
      <c r="N46" s="81"/>
      <c r="Q46" s="81"/>
      <c r="R46" s="81"/>
      <c r="X46" s="175"/>
      <c r="Y46" s="176" t="s">
        <v>131</v>
      </c>
      <c r="Z46" s="176">
        <v>0.15</v>
      </c>
      <c r="AA46" s="176">
        <v>1.4</v>
      </c>
      <c r="AB46" s="176">
        <v>2100</v>
      </c>
      <c r="AC46" s="176">
        <v>840</v>
      </c>
      <c r="AD46" s="227">
        <f>Z46/AA46</f>
        <v>0.10714285714285715</v>
      </c>
      <c r="AE46" s="177">
        <f>Z46*AB46*AC46</f>
        <v>264600</v>
      </c>
      <c r="AF46" s="222"/>
      <c r="AG46" s="222"/>
      <c r="AH46" s="222"/>
      <c r="AM46" s="158" t="s">
        <v>314</v>
      </c>
      <c r="AN46" s="81" t="s">
        <v>315</v>
      </c>
      <c r="AO46" s="81" t="s">
        <v>361</v>
      </c>
      <c r="AP46" s="81">
        <f>AP42*0.3</f>
        <v>5.806890200949702E-2</v>
      </c>
      <c r="AQ46" s="81" t="s">
        <v>317</v>
      </c>
      <c r="AR46" s="81" t="s">
        <v>362</v>
      </c>
      <c r="AV46" s="167" t="s">
        <v>314</v>
      </c>
      <c r="AW46" s="167" t="s">
        <v>315</v>
      </c>
      <c r="AX46" s="167" t="s">
        <v>361</v>
      </c>
      <c r="AY46" s="168" t="s">
        <v>318</v>
      </c>
      <c r="AZ46" s="161">
        <f t="shared" si="38"/>
        <v>5.806890200949702E-2</v>
      </c>
      <c r="BA46" s="167" t="s">
        <v>317</v>
      </c>
      <c r="BC46" s="81" t="s">
        <v>373</v>
      </c>
      <c r="BD46" s="81" t="s">
        <v>376</v>
      </c>
      <c r="BL46" s="167" t="s">
        <v>314</v>
      </c>
      <c r="BM46" s="167" t="s">
        <v>315</v>
      </c>
      <c r="BN46" s="167" t="s">
        <v>361</v>
      </c>
      <c r="BO46" s="168" t="s">
        <v>318</v>
      </c>
      <c r="BP46" s="161">
        <f>BE30</f>
        <v>1.9E-2</v>
      </c>
      <c r="BQ46" s="167" t="s">
        <v>317</v>
      </c>
      <c r="BS46" s="81" t="s">
        <v>373</v>
      </c>
      <c r="BT46" s="81" t="s">
        <v>374</v>
      </c>
      <c r="BU46" s="81" t="s">
        <v>419</v>
      </c>
      <c r="CA46" s="167" t="s">
        <v>314</v>
      </c>
      <c r="CB46" s="167" t="s">
        <v>315</v>
      </c>
      <c r="CC46" s="167" t="s">
        <v>363</v>
      </c>
      <c r="CD46" s="168" t="s">
        <v>318</v>
      </c>
      <c r="CE46" s="161">
        <f>BU68</f>
        <v>0.11700000000000001</v>
      </c>
      <c r="CF46" s="167" t="s">
        <v>317</v>
      </c>
      <c r="CI46" s="81" t="s">
        <v>363</v>
      </c>
      <c r="CJ46" s="239">
        <f t="shared" si="1"/>
        <v>0.11207213924311417</v>
      </c>
      <c r="CK46" s="239">
        <f t="shared" si="2"/>
        <v>0.184</v>
      </c>
      <c r="CL46" s="239">
        <f t="shared" si="3"/>
        <v>0.11700000000000001</v>
      </c>
      <c r="CO46" s="243" t="s">
        <v>373</v>
      </c>
      <c r="CP46" s="243" t="s">
        <v>407</v>
      </c>
      <c r="CQ46" s="244">
        <v>363</v>
      </c>
      <c r="CR46" s="244">
        <v>1.1499999999999999</v>
      </c>
      <c r="CS46" s="243">
        <v>316.27999999999997</v>
      </c>
      <c r="CT46" s="243" t="s">
        <v>420</v>
      </c>
      <c r="CU46" s="244">
        <v>2E-16</v>
      </c>
      <c r="CV46" s="81" t="s">
        <v>385</v>
      </c>
      <c r="CW46" s="245" t="s">
        <v>460</v>
      </c>
      <c r="CX46" s="251" t="s">
        <v>484</v>
      </c>
      <c r="CY46" s="246" t="s">
        <v>318</v>
      </c>
      <c r="CZ46" s="247">
        <f t="shared" si="39"/>
        <v>1.62</v>
      </c>
      <c r="DA46" s="245" t="s">
        <v>317</v>
      </c>
    </row>
    <row r="47" spans="2:107" ht="15" customHeight="1" thickTop="1" thickBot="1" x14ac:dyDescent="0.3">
      <c r="C47" s="152"/>
      <c r="L47" s="81"/>
      <c r="M47" s="81"/>
      <c r="N47" s="81"/>
      <c r="Q47" s="81"/>
      <c r="R47" s="81"/>
      <c r="X47" s="187"/>
      <c r="Y47" s="174" t="s">
        <v>132</v>
      </c>
      <c r="Z47" s="174">
        <v>0</v>
      </c>
      <c r="AA47" s="174">
        <v>2.4E-2</v>
      </c>
      <c r="AB47" s="174">
        <v>26</v>
      </c>
      <c r="AC47" s="174">
        <v>1470</v>
      </c>
      <c r="AD47" s="229">
        <f>Z47/AA47</f>
        <v>0</v>
      </c>
      <c r="AE47" s="192">
        <f>Z47*AB47*AC47</f>
        <v>0</v>
      </c>
      <c r="AF47" s="222"/>
      <c r="AG47" s="222"/>
      <c r="AH47" s="222"/>
      <c r="AM47" s="158" t="s">
        <v>314</v>
      </c>
      <c r="AN47" s="81" t="s">
        <v>315</v>
      </c>
      <c r="AO47" s="81" t="s">
        <v>363</v>
      </c>
      <c r="AP47" s="81">
        <f>AP43*0.3</f>
        <v>0.11207213924311417</v>
      </c>
      <c r="AQ47" s="81" t="s">
        <v>317</v>
      </c>
      <c r="AR47" s="81" t="s">
        <v>364</v>
      </c>
      <c r="AV47" s="167" t="s">
        <v>314</v>
      </c>
      <c r="AW47" s="167" t="s">
        <v>315</v>
      </c>
      <c r="AX47" s="167" t="s">
        <v>363</v>
      </c>
      <c r="AY47" s="168" t="s">
        <v>318</v>
      </c>
      <c r="AZ47" s="161">
        <f t="shared" si="38"/>
        <v>0.11207213924311417</v>
      </c>
      <c r="BA47" s="167" t="s">
        <v>317</v>
      </c>
      <c r="BC47" s="81" t="s">
        <v>373</v>
      </c>
      <c r="BD47" s="81" t="s">
        <v>377</v>
      </c>
      <c r="BE47" s="81" t="s">
        <v>378</v>
      </c>
      <c r="BF47" s="81" t="s">
        <v>379</v>
      </c>
      <c r="BG47" s="81" t="s">
        <v>380</v>
      </c>
      <c r="BH47" s="81" t="s">
        <v>381</v>
      </c>
      <c r="BI47" s="81" t="s">
        <v>382</v>
      </c>
      <c r="BL47" s="167" t="s">
        <v>314</v>
      </c>
      <c r="BM47" s="167" t="s">
        <v>315</v>
      </c>
      <c r="BN47" s="167" t="s">
        <v>363</v>
      </c>
      <c r="BO47" s="168" t="s">
        <v>318</v>
      </c>
      <c r="BP47" s="161">
        <f>BE67</f>
        <v>0.184</v>
      </c>
      <c r="BQ47" s="167" t="s">
        <v>317</v>
      </c>
      <c r="BS47" s="81" t="s">
        <v>373</v>
      </c>
      <c r="BT47" s="81" t="s">
        <v>376</v>
      </c>
      <c r="CA47" s="167" t="s">
        <v>314</v>
      </c>
      <c r="CB47" s="167" t="s">
        <v>315</v>
      </c>
      <c r="CC47" s="167" t="s">
        <v>365</v>
      </c>
      <c r="CD47" s="168" t="s">
        <v>318</v>
      </c>
      <c r="CE47" s="161">
        <f>BU94</f>
        <v>192</v>
      </c>
      <c r="CF47" s="167" t="s">
        <v>317</v>
      </c>
      <c r="CI47" s="81" t="s">
        <v>365</v>
      </c>
      <c r="CJ47" s="242">
        <f t="shared" si="1"/>
        <v>702.73730684326699</v>
      </c>
      <c r="CK47" s="242">
        <f t="shared" si="2"/>
        <v>476</v>
      </c>
      <c r="CL47" s="242">
        <f t="shared" si="3"/>
        <v>192</v>
      </c>
      <c r="CO47" s="243" t="s">
        <v>373</v>
      </c>
      <c r="CP47" s="243" t="s">
        <v>408</v>
      </c>
      <c r="CQ47" s="244">
        <v>181</v>
      </c>
      <c r="CR47" s="244">
        <v>0.59799999999999998</v>
      </c>
      <c r="CS47" s="243">
        <v>303.27</v>
      </c>
      <c r="CT47" s="243" t="s">
        <v>420</v>
      </c>
      <c r="CU47" s="244">
        <v>2E-16</v>
      </c>
      <c r="CV47" s="81" t="s">
        <v>385</v>
      </c>
      <c r="CW47" s="245" t="s">
        <v>460</v>
      </c>
      <c r="CX47" s="251" t="s">
        <v>485</v>
      </c>
      <c r="CY47" s="246" t="s">
        <v>318</v>
      </c>
      <c r="CZ47" s="247">
        <f t="shared" si="39"/>
        <v>0.92700000000000005</v>
      </c>
      <c r="DA47" s="245" t="s">
        <v>317</v>
      </c>
    </row>
    <row r="48" spans="2:107" ht="15" customHeight="1" thickTop="1" thickBot="1" x14ac:dyDescent="0.3">
      <c r="C48" s="152"/>
      <c r="L48" s="81"/>
      <c r="M48" s="81"/>
      <c r="N48" s="81"/>
      <c r="Q48" s="81"/>
      <c r="R48" s="81"/>
      <c r="X48" s="176"/>
      <c r="Y48" s="176"/>
      <c r="Z48" s="176"/>
      <c r="AA48" s="176"/>
      <c r="AB48" s="176"/>
      <c r="AC48" s="176"/>
      <c r="AD48" s="227"/>
      <c r="AE48" s="176"/>
      <c r="AF48" s="222"/>
      <c r="AG48" s="222"/>
      <c r="AH48" s="222"/>
      <c r="AM48" s="158" t="s">
        <v>314</v>
      </c>
      <c r="AN48" s="81" t="s">
        <v>315</v>
      </c>
      <c r="AO48" s="81" t="s">
        <v>365</v>
      </c>
      <c r="AP48" s="81">
        <f>AA28*4*O26</f>
        <v>702.73730684326699</v>
      </c>
      <c r="AQ48" s="81" t="s">
        <v>317</v>
      </c>
      <c r="AR48" s="81" t="s">
        <v>366</v>
      </c>
      <c r="AV48" s="167" t="s">
        <v>314</v>
      </c>
      <c r="AW48" s="167" t="s">
        <v>315</v>
      </c>
      <c r="AX48" s="167" t="s">
        <v>365</v>
      </c>
      <c r="AY48" s="168" t="s">
        <v>318</v>
      </c>
      <c r="AZ48" s="161">
        <f t="shared" si="38"/>
        <v>702.73730684326699</v>
      </c>
      <c r="BA48" s="167" t="s">
        <v>317</v>
      </c>
      <c r="BC48" s="81" t="s">
        <v>373</v>
      </c>
      <c r="BD48" s="81" t="s">
        <v>383</v>
      </c>
      <c r="BE48" s="166">
        <v>288</v>
      </c>
      <c r="BF48" s="166">
        <v>2.2799999999999998</v>
      </c>
      <c r="BG48" s="81">
        <v>126.5</v>
      </c>
      <c r="BH48" s="81" t="s">
        <v>420</v>
      </c>
      <c r="BI48" s="166">
        <v>2E-16</v>
      </c>
      <c r="BJ48" s="81" t="s">
        <v>385</v>
      </c>
      <c r="BL48" s="167" t="s">
        <v>314</v>
      </c>
      <c r="BM48" s="167" t="s">
        <v>315</v>
      </c>
      <c r="BN48" s="167" t="s">
        <v>365</v>
      </c>
      <c r="BO48" s="168" t="s">
        <v>318</v>
      </c>
      <c r="BP48" s="161">
        <f>BE94</f>
        <v>476</v>
      </c>
      <c r="BQ48" s="167" t="s">
        <v>317</v>
      </c>
      <c r="BS48" s="81" t="s">
        <v>373</v>
      </c>
      <c r="BT48" s="81" t="s">
        <v>377</v>
      </c>
      <c r="BU48" s="81" t="s">
        <v>378</v>
      </c>
      <c r="BV48" s="81" t="s">
        <v>379</v>
      </c>
      <c r="BW48" s="81" t="s">
        <v>380</v>
      </c>
      <c r="BX48" s="81" t="s">
        <v>381</v>
      </c>
      <c r="BY48" s="81" t="s">
        <v>382</v>
      </c>
      <c r="CA48" s="167" t="s">
        <v>314</v>
      </c>
      <c r="CB48" s="167" t="s">
        <v>315</v>
      </c>
      <c r="CC48" s="167" t="s">
        <v>367</v>
      </c>
      <c r="CD48" s="168" t="s">
        <v>318</v>
      </c>
      <c r="CE48" s="161">
        <f>BU95</f>
        <v>2.63E-4</v>
      </c>
      <c r="CF48" s="167" t="s">
        <v>317</v>
      </c>
      <c r="CI48" s="81" t="s">
        <v>367</v>
      </c>
      <c r="CJ48" s="242">
        <f t="shared" si="1"/>
        <v>351.3686534216335</v>
      </c>
      <c r="CK48" s="242">
        <f t="shared" si="2"/>
        <v>3410</v>
      </c>
      <c r="CL48" s="242">
        <f t="shared" si="3"/>
        <v>2.63E-4</v>
      </c>
      <c r="CO48" s="243" t="s">
        <v>373</v>
      </c>
      <c r="CP48" s="243" t="s">
        <v>290</v>
      </c>
      <c r="CQ48" s="244">
        <v>659</v>
      </c>
      <c r="CR48" s="244">
        <v>2.42</v>
      </c>
      <c r="CS48" s="243">
        <v>271.79000000000002</v>
      </c>
      <c r="CT48" s="243" t="s">
        <v>420</v>
      </c>
      <c r="CU48" s="244">
        <v>2E-16</v>
      </c>
      <c r="CV48" s="81" t="s">
        <v>385</v>
      </c>
      <c r="CW48" s="245" t="s">
        <v>460</v>
      </c>
      <c r="CX48" s="251" t="s">
        <v>486</v>
      </c>
      <c r="CY48" s="246" t="s">
        <v>318</v>
      </c>
      <c r="CZ48" s="247">
        <f t="shared" si="39"/>
        <v>0.53300000000000003</v>
      </c>
      <c r="DA48" s="245" t="s">
        <v>317</v>
      </c>
    </row>
    <row r="49" spans="1:105" ht="15" customHeight="1" thickTop="1" thickBot="1" x14ac:dyDescent="0.3">
      <c r="C49" s="152"/>
      <c r="L49" s="81"/>
      <c r="M49" s="81"/>
      <c r="N49" s="81"/>
      <c r="Q49" s="81"/>
      <c r="R49" s="81"/>
      <c r="Z49" s="221" t="s">
        <v>4</v>
      </c>
      <c r="AA49" s="221">
        <v>4</v>
      </c>
      <c r="AB49" s="221" t="s">
        <v>5</v>
      </c>
      <c r="AF49" s="222"/>
      <c r="AG49" s="222"/>
      <c r="AH49" s="222"/>
      <c r="AM49" s="158" t="s">
        <v>314</v>
      </c>
      <c r="AN49" s="81" t="s">
        <v>315</v>
      </c>
      <c r="AO49" s="81" t="s">
        <v>367</v>
      </c>
      <c r="AP49" s="81">
        <f>AP50/2</f>
        <v>351.3686534216335</v>
      </c>
      <c r="AQ49" s="81" t="s">
        <v>317</v>
      </c>
      <c r="AR49" s="81" t="s">
        <v>368</v>
      </c>
      <c r="AV49" s="167" t="s">
        <v>314</v>
      </c>
      <c r="AW49" s="167" t="s">
        <v>315</v>
      </c>
      <c r="AX49" s="167" t="s">
        <v>367</v>
      </c>
      <c r="AY49" s="168" t="s">
        <v>318</v>
      </c>
      <c r="AZ49" s="161">
        <f t="shared" si="38"/>
        <v>351.3686534216335</v>
      </c>
      <c r="BA49" s="167" t="s">
        <v>317</v>
      </c>
      <c r="BC49" s="81" t="s">
        <v>373</v>
      </c>
      <c r="BD49" s="81" t="s">
        <v>386</v>
      </c>
      <c r="BE49" s="166">
        <v>287</v>
      </c>
      <c r="BF49" s="166">
        <v>1.8</v>
      </c>
      <c r="BG49" s="81">
        <v>159.38999999999999</v>
      </c>
      <c r="BH49" s="81" t="s">
        <v>420</v>
      </c>
      <c r="BI49" s="166">
        <v>2E-16</v>
      </c>
      <c r="BJ49" s="81" t="s">
        <v>385</v>
      </c>
      <c r="BL49" s="167" t="s">
        <v>314</v>
      </c>
      <c r="BM49" s="167" t="s">
        <v>315</v>
      </c>
      <c r="BN49" s="167" t="s">
        <v>367</v>
      </c>
      <c r="BO49" s="168" t="s">
        <v>318</v>
      </c>
      <c r="BP49" s="161">
        <f t="shared" ref="BP49:BP50" si="40">BE95</f>
        <v>3410</v>
      </c>
      <c r="BQ49" s="167" t="s">
        <v>317</v>
      </c>
      <c r="BS49" s="81" t="s">
        <v>373</v>
      </c>
      <c r="BT49" s="81" t="s">
        <v>383</v>
      </c>
      <c r="BU49" s="166">
        <v>289</v>
      </c>
      <c r="BV49" s="166">
        <v>0.14899999999999999</v>
      </c>
      <c r="BW49" s="81">
        <v>1944.91</v>
      </c>
      <c r="BX49" s="81" t="s">
        <v>420</v>
      </c>
      <c r="BY49" s="166">
        <v>2E-16</v>
      </c>
      <c r="BZ49" s="81" t="s">
        <v>385</v>
      </c>
      <c r="CA49" s="167" t="s">
        <v>314</v>
      </c>
      <c r="CB49" s="167" t="s">
        <v>315</v>
      </c>
      <c r="CC49" s="167" t="s">
        <v>369</v>
      </c>
      <c r="CD49" s="168" t="s">
        <v>318</v>
      </c>
      <c r="CE49" s="161">
        <f>BU96</f>
        <v>389</v>
      </c>
      <c r="CF49" s="167" t="s">
        <v>317</v>
      </c>
      <c r="CI49" s="81" t="s">
        <v>369</v>
      </c>
      <c r="CJ49" s="242">
        <f t="shared" si="1"/>
        <v>702.73730684326699</v>
      </c>
      <c r="CK49" s="242">
        <f t="shared" si="2"/>
        <v>989</v>
      </c>
      <c r="CL49" s="242">
        <f t="shared" si="3"/>
        <v>389</v>
      </c>
      <c r="CO49" s="243" t="s">
        <v>373</v>
      </c>
      <c r="CP49" s="243" t="s">
        <v>120</v>
      </c>
      <c r="CQ49" s="244">
        <v>104</v>
      </c>
      <c r="CR49" s="244">
        <v>0.185</v>
      </c>
      <c r="CS49" s="243">
        <v>562.17999999999995</v>
      </c>
      <c r="CT49" s="243" t="s">
        <v>420</v>
      </c>
      <c r="CU49" s="244">
        <v>2E-16</v>
      </c>
      <c r="CV49" s="81" t="s">
        <v>385</v>
      </c>
      <c r="CW49" s="245" t="s">
        <v>460</v>
      </c>
      <c r="CX49" s="251" t="s">
        <v>487</v>
      </c>
      <c r="CY49" s="246" t="s">
        <v>318</v>
      </c>
      <c r="CZ49" s="247">
        <f t="shared" si="39"/>
        <v>0.191</v>
      </c>
      <c r="DA49" s="245" t="s">
        <v>317</v>
      </c>
    </row>
    <row r="50" spans="1:105" ht="15" customHeight="1" thickTop="1" thickBot="1" x14ac:dyDescent="0.3">
      <c r="L50" s="81"/>
      <c r="M50" s="81"/>
      <c r="N50" s="81"/>
      <c r="Q50" s="81"/>
      <c r="R50" s="81"/>
      <c r="X50" s="216" t="s">
        <v>68</v>
      </c>
      <c r="Y50" s="217"/>
      <c r="Z50" s="218" t="s">
        <v>21</v>
      </c>
      <c r="AA50" s="200">
        <v>4</v>
      </c>
      <c r="AB50" s="217" t="s">
        <v>5</v>
      </c>
      <c r="AC50" s="217"/>
      <c r="AD50" s="217" t="s">
        <v>22</v>
      </c>
      <c r="AE50" s="220">
        <f>0.04*550*1660</f>
        <v>36520</v>
      </c>
      <c r="AF50" s="222" t="s">
        <v>23</v>
      </c>
      <c r="AG50" s="222">
        <f>SUM(AE53:AE54)</f>
        <v>0</v>
      </c>
      <c r="AH50" s="222"/>
      <c r="AM50" s="158" t="s">
        <v>314</v>
      </c>
      <c r="AN50" s="81" t="s">
        <v>315</v>
      </c>
      <c r="AO50" s="81" t="s">
        <v>369</v>
      </c>
      <c r="AP50" s="81">
        <f>AP48</f>
        <v>702.73730684326699</v>
      </c>
      <c r="AQ50" s="81" t="s">
        <v>317</v>
      </c>
      <c r="AR50" s="81" t="s">
        <v>370</v>
      </c>
      <c r="AV50" s="167" t="s">
        <v>314</v>
      </c>
      <c r="AW50" s="167" t="s">
        <v>315</v>
      </c>
      <c r="AX50" s="167" t="s">
        <v>369</v>
      </c>
      <c r="AY50" s="168" t="s">
        <v>318</v>
      </c>
      <c r="AZ50" s="161">
        <f t="shared" si="38"/>
        <v>702.73730684326699</v>
      </c>
      <c r="BA50" s="167" t="s">
        <v>317</v>
      </c>
      <c r="BC50" s="81" t="s">
        <v>373</v>
      </c>
      <c r="BD50" s="81" t="s">
        <v>387</v>
      </c>
      <c r="BE50" s="166">
        <v>288</v>
      </c>
      <c r="BF50" s="166">
        <v>6.47</v>
      </c>
      <c r="BG50" s="81">
        <v>44.51</v>
      </c>
      <c r="BH50" s="81" t="s">
        <v>420</v>
      </c>
      <c r="BI50" s="166">
        <v>2E-16</v>
      </c>
      <c r="BJ50" s="81" t="s">
        <v>385</v>
      </c>
      <c r="BL50" s="167" t="s">
        <v>314</v>
      </c>
      <c r="BM50" s="167" t="s">
        <v>315</v>
      </c>
      <c r="BN50" s="167" t="s">
        <v>369</v>
      </c>
      <c r="BO50" s="168" t="s">
        <v>318</v>
      </c>
      <c r="BP50" s="161">
        <f t="shared" si="40"/>
        <v>989</v>
      </c>
      <c r="BQ50" s="167" t="s">
        <v>317</v>
      </c>
      <c r="BS50" s="81" t="s">
        <v>373</v>
      </c>
      <c r="BT50" s="81" t="s">
        <v>386</v>
      </c>
      <c r="BU50" s="166">
        <v>282</v>
      </c>
      <c r="BV50" s="166">
        <v>0.17299999999999999</v>
      </c>
      <c r="BW50" s="81">
        <v>1635.35</v>
      </c>
      <c r="BX50" s="81" t="s">
        <v>420</v>
      </c>
      <c r="BY50" s="166">
        <v>2E-16</v>
      </c>
      <c r="BZ50" s="81" t="s">
        <v>385</v>
      </c>
      <c r="CA50" s="160"/>
      <c r="CB50" s="160"/>
      <c r="CC50" s="160"/>
      <c r="CD50" s="160"/>
      <c r="CE50" s="161"/>
      <c r="CF50" s="160"/>
      <c r="CO50" s="243" t="s">
        <v>373</v>
      </c>
      <c r="CP50" s="243" t="s">
        <v>409</v>
      </c>
      <c r="CQ50" s="244">
        <v>-6.8</v>
      </c>
      <c r="CR50" s="244">
        <v>1.9300000000000001E-2</v>
      </c>
      <c r="CS50" s="243">
        <v>-352.52</v>
      </c>
      <c r="CT50" s="243" t="s">
        <v>420</v>
      </c>
      <c r="CU50" s="244">
        <v>2E-16</v>
      </c>
      <c r="CV50" s="81" t="s">
        <v>385</v>
      </c>
      <c r="CW50" s="245" t="s">
        <v>460</v>
      </c>
      <c r="CX50" s="251" t="s">
        <v>488</v>
      </c>
      <c r="CY50" s="246" t="s">
        <v>318</v>
      </c>
      <c r="CZ50" s="247">
        <f t="shared" si="39"/>
        <v>0.51300000000000001</v>
      </c>
      <c r="DA50" s="245" t="s">
        <v>317</v>
      </c>
    </row>
    <row r="51" spans="1:105" ht="15" customHeight="1" thickTop="1" thickBot="1" x14ac:dyDescent="0.3">
      <c r="L51" s="81"/>
      <c r="M51" s="81"/>
      <c r="N51" s="81"/>
      <c r="Q51" s="81"/>
      <c r="R51" s="81"/>
      <c r="X51" s="224"/>
      <c r="Y51" s="225" t="s">
        <v>27</v>
      </c>
      <c r="Z51" s="225" t="s">
        <v>28</v>
      </c>
      <c r="AA51" s="225" t="s">
        <v>29</v>
      </c>
      <c r="AB51" s="225" t="s">
        <v>30</v>
      </c>
      <c r="AC51" s="225" t="s">
        <v>31</v>
      </c>
      <c r="AD51" s="225" t="s">
        <v>32</v>
      </c>
      <c r="AE51" s="226" t="s">
        <v>33</v>
      </c>
      <c r="AF51" s="222"/>
      <c r="AG51" s="222"/>
      <c r="AH51" s="222"/>
      <c r="BC51" s="81" t="s">
        <v>373</v>
      </c>
      <c r="BD51" s="81" t="s">
        <v>388</v>
      </c>
      <c r="BE51" s="166">
        <v>292</v>
      </c>
      <c r="BF51" s="166">
        <v>2.2999999999999998</v>
      </c>
      <c r="BG51" s="81">
        <v>126.59</v>
      </c>
      <c r="BH51" s="81" t="s">
        <v>420</v>
      </c>
      <c r="BI51" s="166">
        <v>2E-16</v>
      </c>
      <c r="BJ51" s="81" t="s">
        <v>385</v>
      </c>
      <c r="BS51" s="81" t="s">
        <v>373</v>
      </c>
      <c r="BT51" s="81" t="s">
        <v>387</v>
      </c>
      <c r="BU51" s="166">
        <v>292</v>
      </c>
      <c r="BV51" s="166">
        <v>0.111</v>
      </c>
      <c r="BW51" s="81">
        <v>2622.7</v>
      </c>
      <c r="BX51" s="81" t="s">
        <v>420</v>
      </c>
      <c r="BY51" s="166">
        <v>2E-16</v>
      </c>
      <c r="BZ51" s="81" t="s">
        <v>385</v>
      </c>
      <c r="CO51" s="243" t="s">
        <v>373</v>
      </c>
      <c r="CP51" s="243" t="s">
        <v>410</v>
      </c>
      <c r="CQ51" s="244">
        <v>-7.43</v>
      </c>
      <c r="CR51" s="244">
        <v>1.7399999999999999E-2</v>
      </c>
      <c r="CS51" s="243">
        <v>-426.11</v>
      </c>
      <c r="CT51" s="243" t="s">
        <v>420</v>
      </c>
      <c r="CU51" s="244">
        <v>2E-16</v>
      </c>
      <c r="CV51" s="81" t="s">
        <v>385</v>
      </c>
      <c r="CW51" s="245" t="s">
        <v>460</v>
      </c>
      <c r="CX51" s="251" t="s">
        <v>489</v>
      </c>
      <c r="CY51" s="246" t="s">
        <v>318</v>
      </c>
      <c r="CZ51" s="247">
        <f t="shared" si="39"/>
        <v>0.311</v>
      </c>
      <c r="DA51" s="245" t="s">
        <v>317</v>
      </c>
    </row>
    <row r="52" spans="1:105" thickTop="1" thickBot="1" x14ac:dyDescent="0.3">
      <c r="X52" s="181"/>
      <c r="Y52" s="182" t="s">
        <v>16</v>
      </c>
      <c r="Z52" s="182">
        <v>4</v>
      </c>
      <c r="AA52" s="182" t="s">
        <v>5</v>
      </c>
      <c r="AB52" s="182"/>
      <c r="AC52" s="182" t="s">
        <v>308</v>
      </c>
      <c r="AD52" s="182">
        <f>0.11*(1/AA50-1/23-1/8)</f>
        <v>8.9673913043478264E-3</v>
      </c>
      <c r="AE52" s="233"/>
      <c r="AF52" s="222"/>
      <c r="AG52" s="222"/>
      <c r="AH52" s="222"/>
      <c r="BC52" s="81" t="s">
        <v>373</v>
      </c>
      <c r="BD52" s="81" t="s">
        <v>390</v>
      </c>
      <c r="BE52" s="166">
        <v>0.01</v>
      </c>
      <c r="BF52" s="166">
        <v>1.0200000000000001E-3</v>
      </c>
      <c r="BG52" s="81">
        <v>9.8000000000000007</v>
      </c>
      <c r="BH52" s="81" t="s">
        <v>420</v>
      </c>
      <c r="BI52" s="166">
        <v>2E-16</v>
      </c>
      <c r="BJ52" s="81" t="s">
        <v>385</v>
      </c>
      <c r="BS52" s="81" t="s">
        <v>373</v>
      </c>
      <c r="BT52" s="81" t="s">
        <v>388</v>
      </c>
      <c r="BU52" s="166">
        <v>294</v>
      </c>
      <c r="BV52" s="166">
        <v>0.13300000000000001</v>
      </c>
      <c r="BW52" s="81">
        <v>2217.33</v>
      </c>
      <c r="BX52" s="81" t="s">
        <v>420</v>
      </c>
      <c r="BY52" s="166">
        <v>2E-16</v>
      </c>
      <c r="BZ52" s="81" t="s">
        <v>385</v>
      </c>
      <c r="CO52" s="243" t="s">
        <v>373</v>
      </c>
      <c r="CP52" s="243" t="s">
        <v>411</v>
      </c>
      <c r="CQ52" s="244">
        <v>-7.41</v>
      </c>
      <c r="CR52" s="244">
        <v>2.1899999999999999E-2</v>
      </c>
      <c r="CS52" s="243">
        <v>-337.85</v>
      </c>
      <c r="CT52" s="243" t="s">
        <v>420</v>
      </c>
      <c r="CU52" s="244">
        <v>2E-16</v>
      </c>
      <c r="CV52" s="81" t="s">
        <v>385</v>
      </c>
      <c r="CW52" s="245" t="s">
        <v>460</v>
      </c>
      <c r="CX52" s="251" t="s">
        <v>490</v>
      </c>
      <c r="CY52" s="246" t="s">
        <v>318</v>
      </c>
      <c r="CZ52" s="247">
        <f t="shared" si="39"/>
        <v>9.2699999999999993E-6</v>
      </c>
      <c r="DA52" s="245" t="s">
        <v>317</v>
      </c>
    </row>
    <row r="53" spans="1:105" thickTop="1" thickBot="1" x14ac:dyDescent="0.3">
      <c r="X53" s="187"/>
      <c r="Y53" s="174" t="s">
        <v>121</v>
      </c>
      <c r="Z53" s="174">
        <v>0</v>
      </c>
      <c r="AA53" s="174"/>
      <c r="AB53" s="174"/>
      <c r="AC53" s="174"/>
      <c r="AD53" s="174"/>
      <c r="AE53" s="192"/>
      <c r="BC53" s="81" t="s">
        <v>373</v>
      </c>
      <c r="BD53" s="81" t="s">
        <v>391</v>
      </c>
      <c r="BE53" s="166">
        <v>1.0200000000000001E-2</v>
      </c>
      <c r="BF53" s="166">
        <v>1.07E-3</v>
      </c>
      <c r="BG53" s="81">
        <v>9.57</v>
      </c>
      <c r="BH53" s="81" t="s">
        <v>420</v>
      </c>
      <c r="BI53" s="166">
        <v>2E-16</v>
      </c>
      <c r="BJ53" s="81" t="s">
        <v>385</v>
      </c>
      <c r="BS53" s="81" t="s">
        <v>373</v>
      </c>
      <c r="BT53" s="81" t="s">
        <v>390</v>
      </c>
      <c r="BU53" s="166">
        <v>0.42799999999999999</v>
      </c>
      <c r="BV53" s="166">
        <v>6.11E-3</v>
      </c>
      <c r="BW53" s="81">
        <v>69.94</v>
      </c>
      <c r="BX53" s="81" t="s">
        <v>420</v>
      </c>
      <c r="BY53" s="166">
        <v>2E-16</v>
      </c>
      <c r="BZ53" s="81" t="s">
        <v>385</v>
      </c>
      <c r="CO53" s="243" t="s">
        <v>373</v>
      </c>
      <c r="CP53" s="243" t="s">
        <v>412</v>
      </c>
      <c r="CQ53" s="244">
        <v>-6</v>
      </c>
      <c r="CR53" s="244">
        <v>1.7500000000000002E-2</v>
      </c>
      <c r="CS53" s="243">
        <v>-342.07</v>
      </c>
      <c r="CT53" s="243" t="s">
        <v>420</v>
      </c>
      <c r="CU53" s="244">
        <v>2E-16</v>
      </c>
      <c r="CV53" s="81" t="s">
        <v>385</v>
      </c>
      <c r="CW53" s="245" t="s">
        <v>460</v>
      </c>
      <c r="CX53" s="251" t="s">
        <v>491</v>
      </c>
      <c r="CY53" s="246" t="s">
        <v>318</v>
      </c>
      <c r="CZ53" s="247">
        <f t="shared" si="39"/>
        <v>1.55E-13</v>
      </c>
      <c r="DA53" s="245" t="s">
        <v>317</v>
      </c>
    </row>
    <row r="54" spans="1:105" thickTop="1" thickBot="1" x14ac:dyDescent="0.3">
      <c r="AO54" s="169" t="s">
        <v>371</v>
      </c>
      <c r="AP54" s="169">
        <f>SUM(AP42,AP4:AP7)</f>
        <v>1.0000000000000002</v>
      </c>
      <c r="AQ54" s="169"/>
      <c r="BC54" s="81" t="s">
        <v>373</v>
      </c>
      <c r="BD54" s="81" t="s">
        <v>392</v>
      </c>
      <c r="BE54" s="166">
        <v>0.69799999999999995</v>
      </c>
      <c r="BF54" s="166">
        <v>0.156</v>
      </c>
      <c r="BG54" s="81">
        <v>4.47</v>
      </c>
      <c r="BH54" s="166">
        <v>8.1000000000000004E-6</v>
      </c>
      <c r="BI54" s="81" t="s">
        <v>385</v>
      </c>
      <c r="BS54" s="81" t="s">
        <v>373</v>
      </c>
      <c r="BT54" s="81" t="s">
        <v>391</v>
      </c>
      <c r="BU54" s="166">
        <v>0.161</v>
      </c>
      <c r="BV54" s="166">
        <v>1.7899999999999999E-3</v>
      </c>
      <c r="BW54" s="81">
        <v>89.98</v>
      </c>
      <c r="BX54" s="81" t="s">
        <v>420</v>
      </c>
      <c r="BY54" s="166">
        <v>2E-16</v>
      </c>
      <c r="BZ54" s="81" t="s">
        <v>385</v>
      </c>
      <c r="CO54" s="243" t="s">
        <v>373</v>
      </c>
      <c r="CP54" s="243" t="s">
        <v>413</v>
      </c>
      <c r="CQ54" s="244">
        <v>-7.46</v>
      </c>
      <c r="CR54" s="244">
        <v>2.1100000000000001E-2</v>
      </c>
      <c r="CS54" s="243">
        <v>-353.52</v>
      </c>
      <c r="CT54" s="243" t="s">
        <v>420</v>
      </c>
      <c r="CU54" s="244">
        <v>2E-16</v>
      </c>
      <c r="CV54" s="81" t="s">
        <v>385</v>
      </c>
      <c r="CW54" s="245" t="s">
        <v>460</v>
      </c>
      <c r="CX54" s="251" t="s">
        <v>492</v>
      </c>
      <c r="CY54" s="246" t="s">
        <v>318</v>
      </c>
      <c r="CZ54" s="247">
        <f t="shared" si="39"/>
        <v>0.41799999999999998</v>
      </c>
      <c r="DA54" s="245" t="s">
        <v>317</v>
      </c>
    </row>
    <row r="55" spans="1:105" thickTop="1" thickBot="1" x14ac:dyDescent="0.3">
      <c r="AO55" s="169" t="s">
        <v>371</v>
      </c>
      <c r="AP55" s="169">
        <f>SUM(AP43,AP26:AP28)</f>
        <v>0.99999999999999978</v>
      </c>
      <c r="AQ55" s="169"/>
      <c r="BC55" s="81" t="s">
        <v>373</v>
      </c>
      <c r="BD55" s="81" t="s">
        <v>393</v>
      </c>
      <c r="BE55" s="166">
        <v>9.7500000000000003E-2</v>
      </c>
      <c r="BF55" s="166">
        <v>9.8200000000000006E-3</v>
      </c>
      <c r="BG55" s="81">
        <v>9.93</v>
      </c>
      <c r="BH55" s="81" t="s">
        <v>420</v>
      </c>
      <c r="BI55" s="166">
        <v>2E-16</v>
      </c>
      <c r="BJ55" s="81" t="s">
        <v>385</v>
      </c>
      <c r="BS55" s="81" t="s">
        <v>373</v>
      </c>
      <c r="BT55" s="81" t="s">
        <v>392</v>
      </c>
      <c r="BU55" s="166">
        <v>8.0100000000000005E-2</v>
      </c>
      <c r="BV55" s="166">
        <v>1.77E-2</v>
      </c>
      <c r="BW55" s="81">
        <v>4.53</v>
      </c>
      <c r="BX55" s="166">
        <v>6.1E-6</v>
      </c>
      <c r="BY55" s="81" t="s">
        <v>385</v>
      </c>
      <c r="CO55" s="243" t="s">
        <v>373</v>
      </c>
      <c r="CP55" s="243" t="s">
        <v>414</v>
      </c>
      <c r="CQ55" s="244">
        <v>4.2000000000000002E-4</v>
      </c>
      <c r="CR55" s="244">
        <v>5.8300000000000001E-5</v>
      </c>
      <c r="CS55" s="243">
        <v>7.2</v>
      </c>
      <c r="CT55" s="244">
        <v>6.1999999999999998E-13</v>
      </c>
      <c r="CU55" s="244" t="s">
        <v>385</v>
      </c>
      <c r="CW55" s="245" t="s">
        <v>460</v>
      </c>
      <c r="CX55" s="251" t="s">
        <v>493</v>
      </c>
      <c r="CY55" s="246" t="s">
        <v>318</v>
      </c>
      <c r="CZ55" s="247">
        <f t="shared" si="39"/>
        <v>7.2999999999999995E-2</v>
      </c>
      <c r="DA55" s="245" t="s">
        <v>317</v>
      </c>
    </row>
    <row r="56" spans="1:105" thickTop="1" thickBot="1" x14ac:dyDescent="0.3">
      <c r="AO56" s="169" t="s">
        <v>372</v>
      </c>
      <c r="AP56" s="169">
        <f>SUM(AP46,AP14:AP17)</f>
        <v>1</v>
      </c>
      <c r="AQ56" s="169"/>
      <c r="BC56" s="81" t="s">
        <v>373</v>
      </c>
      <c r="BD56" s="81" t="s">
        <v>303</v>
      </c>
      <c r="BE56" s="166">
        <v>69800</v>
      </c>
      <c r="BF56" s="166">
        <v>108000</v>
      </c>
      <c r="BG56" s="81">
        <v>0.65</v>
      </c>
      <c r="BH56" s="81">
        <v>0.51685000000000003</v>
      </c>
      <c r="BS56" s="81" t="s">
        <v>373</v>
      </c>
      <c r="BT56" s="81" t="s">
        <v>393</v>
      </c>
      <c r="BU56" s="166">
        <v>0.33100000000000002</v>
      </c>
      <c r="BV56" s="166">
        <v>4.3699999999999998E-3</v>
      </c>
      <c r="BW56" s="81">
        <v>75.67</v>
      </c>
      <c r="BX56" s="81" t="s">
        <v>420</v>
      </c>
      <c r="BY56" s="166">
        <v>2E-16</v>
      </c>
      <c r="BZ56" s="81" t="s">
        <v>385</v>
      </c>
      <c r="CO56" s="243" t="s">
        <v>373</v>
      </c>
      <c r="CP56" s="243" t="s">
        <v>415</v>
      </c>
      <c r="CQ56" s="244">
        <v>76.2</v>
      </c>
      <c r="CR56" s="244">
        <v>0.78900000000000003</v>
      </c>
      <c r="CS56" s="243">
        <v>96.59</v>
      </c>
      <c r="CT56" s="243" t="s">
        <v>420</v>
      </c>
      <c r="CU56" s="244">
        <v>2E-16</v>
      </c>
      <c r="CV56" s="81" t="s">
        <v>385</v>
      </c>
      <c r="CW56" s="245" t="s">
        <v>460</v>
      </c>
      <c r="CX56" s="251" t="s">
        <v>494</v>
      </c>
      <c r="CY56" s="246" t="s">
        <v>318</v>
      </c>
      <c r="CZ56" s="247">
        <f t="shared" si="39"/>
        <v>0.54200000000000004</v>
      </c>
      <c r="DA56" s="245" t="s">
        <v>317</v>
      </c>
    </row>
    <row r="57" spans="1:105" thickTop="1" thickBot="1" x14ac:dyDescent="0.3">
      <c r="A57" s="271" t="s">
        <v>518</v>
      </c>
      <c r="B57" s="271"/>
      <c r="C57" s="269"/>
      <c r="D57" s="269"/>
      <c r="E57" s="269"/>
      <c r="AO57" s="169" t="s">
        <v>372</v>
      </c>
      <c r="AP57" s="169">
        <f>SUM(AP47,AP33:AP35)</f>
        <v>0.99999999999999989</v>
      </c>
      <c r="AQ57" s="169"/>
      <c r="BC57" s="81" t="s">
        <v>373</v>
      </c>
      <c r="BD57" s="81" t="s">
        <v>395</v>
      </c>
      <c r="BE57" s="166">
        <v>3800000</v>
      </c>
      <c r="BF57" s="166">
        <v>1390000</v>
      </c>
      <c r="BG57" s="81">
        <v>2.72</v>
      </c>
      <c r="BH57" s="81">
        <v>6.4799999999999996E-3</v>
      </c>
      <c r="BI57" s="81" t="s">
        <v>398</v>
      </c>
      <c r="BS57" s="81" t="s">
        <v>373</v>
      </c>
      <c r="BT57" s="81" t="s">
        <v>303</v>
      </c>
      <c r="BU57" s="166">
        <v>976000000</v>
      </c>
      <c r="BV57" s="166">
        <v>20400000</v>
      </c>
      <c r="BW57" s="81">
        <v>47.85</v>
      </c>
      <c r="BX57" s="81" t="s">
        <v>420</v>
      </c>
      <c r="BY57" s="166">
        <v>2E-16</v>
      </c>
      <c r="BZ57" s="81" t="s">
        <v>385</v>
      </c>
      <c r="CO57" s="243" t="s">
        <v>373</v>
      </c>
      <c r="CP57" s="243" t="s">
        <v>416</v>
      </c>
      <c r="CQ57" s="244">
        <v>9940</v>
      </c>
      <c r="CR57" s="244">
        <v>288</v>
      </c>
      <c r="CS57" s="243">
        <v>34.54</v>
      </c>
      <c r="CT57" s="243" t="s">
        <v>420</v>
      </c>
      <c r="CU57" s="244">
        <v>2E-16</v>
      </c>
      <c r="CV57" s="81" t="s">
        <v>385</v>
      </c>
      <c r="CW57" s="245" t="s">
        <v>460</v>
      </c>
      <c r="CX57" s="251" t="s">
        <v>495</v>
      </c>
      <c r="CY57" s="246" t="s">
        <v>318</v>
      </c>
      <c r="CZ57" s="247">
        <f t="shared" si="39"/>
        <v>3.3699999999999997E-8</v>
      </c>
      <c r="DA57" s="245" t="s">
        <v>317</v>
      </c>
    </row>
    <row r="58" spans="1:105" thickTop="1" thickBot="1" x14ac:dyDescent="0.3">
      <c r="A58" s="270" t="s">
        <v>122</v>
      </c>
      <c r="B58" s="273">
        <f>C4*1008*1.204*5</f>
        <v>4648210.5599999996</v>
      </c>
      <c r="C58" s="273">
        <f>C34*1008*1.204*5</f>
        <v>2237471.9649032257</v>
      </c>
      <c r="D58" s="273">
        <f>B58-C58</f>
        <v>2410738.5950967739</v>
      </c>
      <c r="E58" s="269"/>
      <c r="BC58" s="81" t="s">
        <v>373</v>
      </c>
      <c r="BD58" s="81" t="s">
        <v>296</v>
      </c>
      <c r="BE58" s="166">
        <v>78400000</v>
      </c>
      <c r="BF58" s="166">
        <v>49600000</v>
      </c>
      <c r="BG58" s="81">
        <v>1.58</v>
      </c>
      <c r="BH58" s="81">
        <v>0.11389000000000001</v>
      </c>
      <c r="BS58" s="81" t="s">
        <v>373</v>
      </c>
      <c r="BT58" s="81" t="s">
        <v>395</v>
      </c>
      <c r="BU58" s="166">
        <v>1470000</v>
      </c>
      <c r="BV58" s="166">
        <v>21800</v>
      </c>
      <c r="BW58" s="81">
        <v>67.430000000000007</v>
      </c>
      <c r="BX58" s="81" t="s">
        <v>420</v>
      </c>
      <c r="BY58" s="166">
        <v>2E-16</v>
      </c>
      <c r="BZ58" s="81" t="s">
        <v>385</v>
      </c>
      <c r="CO58" s="243" t="s">
        <v>373</v>
      </c>
      <c r="CP58" s="243" t="s">
        <v>417</v>
      </c>
      <c r="CQ58" s="244">
        <v>36.6</v>
      </c>
      <c r="CR58" s="244">
        <v>0.75600000000000001</v>
      </c>
      <c r="CS58" s="243">
        <v>48.38</v>
      </c>
      <c r="CT58" s="243" t="s">
        <v>420</v>
      </c>
      <c r="CU58" s="244">
        <v>2E-16</v>
      </c>
      <c r="CV58" s="81" t="s">
        <v>385</v>
      </c>
      <c r="CW58" s="245" t="s">
        <v>460</v>
      </c>
      <c r="CX58" s="251" t="s">
        <v>496</v>
      </c>
      <c r="CY58" s="246" t="s">
        <v>318</v>
      </c>
      <c r="CZ58" s="247">
        <f t="shared" si="39"/>
        <v>0.56799999999999995</v>
      </c>
      <c r="DA58" s="245" t="s">
        <v>317</v>
      </c>
    </row>
    <row r="59" spans="1:105" thickTop="1" thickBot="1" x14ac:dyDescent="0.3">
      <c r="A59" s="270" t="s">
        <v>152</v>
      </c>
      <c r="B59" s="272">
        <f>'Tabula data'!B21</f>
        <v>1.2783711615487316</v>
      </c>
      <c r="C59" s="272">
        <f>B59</f>
        <v>1.2783711615487316</v>
      </c>
      <c r="D59" s="272">
        <f>B59</f>
        <v>1.2783711615487316</v>
      </c>
      <c r="E59" s="269"/>
      <c r="BC59" s="81" t="s">
        <v>373</v>
      </c>
      <c r="BD59" s="81" t="s">
        <v>298</v>
      </c>
      <c r="BE59" s="166">
        <v>12500000</v>
      </c>
      <c r="BF59" s="166">
        <v>17900000</v>
      </c>
      <c r="BG59" s="81">
        <v>0.7</v>
      </c>
      <c r="BH59" s="81">
        <v>0.48460999999999999</v>
      </c>
      <c r="BS59" s="81" t="s">
        <v>373</v>
      </c>
      <c r="BT59" s="81" t="s">
        <v>296</v>
      </c>
      <c r="BU59" s="166">
        <v>219000000</v>
      </c>
      <c r="BV59" s="166">
        <v>15400000</v>
      </c>
      <c r="BW59" s="81">
        <v>14.25</v>
      </c>
      <c r="BX59" s="81" t="s">
        <v>420</v>
      </c>
      <c r="BY59" s="166">
        <v>2E-16</v>
      </c>
      <c r="BZ59" s="81" t="s">
        <v>385</v>
      </c>
      <c r="CW59" s="245" t="s">
        <v>460</v>
      </c>
      <c r="CX59" s="251" t="s">
        <v>497</v>
      </c>
      <c r="CY59" s="246" t="s">
        <v>318</v>
      </c>
      <c r="CZ59" s="247">
        <f t="shared" si="39"/>
        <v>0.76500000000000001</v>
      </c>
      <c r="DA59" s="245" t="s">
        <v>317</v>
      </c>
    </row>
    <row r="60" spans="1:105" thickTop="1" thickBot="1" x14ac:dyDescent="0.3">
      <c r="A60" s="270" t="s">
        <v>519</v>
      </c>
      <c r="B60" s="273">
        <f>SUM(S6:S28)</f>
        <v>227395658.93000004</v>
      </c>
      <c r="C60" s="273">
        <f>SUM(S6:S14,S16,S26/2,S27)</f>
        <v>188034445.94554001</v>
      </c>
      <c r="D60" s="273">
        <f>SUM(S17:S25,S26/2,S28)</f>
        <v>39361212.984460004</v>
      </c>
      <c r="E60" s="269"/>
      <c r="BC60" s="81" t="s">
        <v>373</v>
      </c>
      <c r="BD60" s="81" t="s">
        <v>396</v>
      </c>
      <c r="BE60" s="166">
        <v>-13.2</v>
      </c>
      <c r="BF60" s="166">
        <v>3.9</v>
      </c>
      <c r="BG60" s="81">
        <v>-3.38</v>
      </c>
      <c r="BH60" s="81">
        <v>7.3999999999999999E-4</v>
      </c>
      <c r="BI60" s="81" t="s">
        <v>385</v>
      </c>
      <c r="BS60" s="81" t="s">
        <v>373</v>
      </c>
      <c r="BT60" s="81" t="s">
        <v>298</v>
      </c>
      <c r="BU60" s="166">
        <v>40000000</v>
      </c>
      <c r="BV60" s="166">
        <v>20300000</v>
      </c>
      <c r="BW60" s="81">
        <v>1.97</v>
      </c>
      <c r="BX60" s="81">
        <v>4.9000000000000002E-2</v>
      </c>
      <c r="BY60" s="81" t="s">
        <v>418</v>
      </c>
      <c r="CX60" s="251"/>
      <c r="CY60" s="246"/>
      <c r="CZ60" s="247"/>
    </row>
    <row r="61" spans="1:105" thickTop="1" thickBot="1" x14ac:dyDescent="0.3">
      <c r="A61" s="270" t="s">
        <v>520</v>
      </c>
      <c r="B61" s="270">
        <f>Z19</f>
        <v>0.25</v>
      </c>
      <c r="C61" s="270">
        <f>B61</f>
        <v>0.25</v>
      </c>
      <c r="D61" s="270">
        <f>C61</f>
        <v>0.25</v>
      </c>
      <c r="E61" s="269"/>
      <c r="BC61" s="81" t="s">
        <v>373</v>
      </c>
      <c r="BD61" s="81" t="s">
        <v>397</v>
      </c>
      <c r="BE61" s="166">
        <v>-1</v>
      </c>
      <c r="BF61" s="166">
        <v>0.91300000000000003</v>
      </c>
      <c r="BG61" s="81">
        <v>-1.1000000000000001</v>
      </c>
      <c r="BH61" s="81">
        <v>0.27290999999999999</v>
      </c>
      <c r="BS61" s="81" t="s">
        <v>373</v>
      </c>
      <c r="BT61" s="81" t="s">
        <v>396</v>
      </c>
      <c r="BU61" s="166">
        <v>-36.9</v>
      </c>
      <c r="BV61" s="166">
        <v>1.4</v>
      </c>
      <c r="BW61" s="81">
        <v>-26.39</v>
      </c>
      <c r="BX61" s="81" t="s">
        <v>420</v>
      </c>
      <c r="BY61" s="166">
        <v>2E-16</v>
      </c>
      <c r="BZ61" s="81" t="s">
        <v>385</v>
      </c>
      <c r="CO61" s="243" t="s">
        <v>373</v>
      </c>
      <c r="CP61" s="243" t="s">
        <v>374</v>
      </c>
      <c r="CQ61" s="243" t="s">
        <v>458</v>
      </c>
      <c r="CW61" s="245" t="s">
        <v>460</v>
      </c>
      <c r="CX61" s="251" t="s">
        <v>339</v>
      </c>
      <c r="CY61" s="246" t="s">
        <v>318</v>
      </c>
      <c r="CZ61" s="247">
        <f>CQ85</f>
        <v>2610000</v>
      </c>
      <c r="DA61" s="245" t="s">
        <v>317</v>
      </c>
    </row>
    <row r="62" spans="1:105" thickTop="1" thickBot="1" x14ac:dyDescent="0.3">
      <c r="A62" s="270" t="s">
        <v>521</v>
      </c>
      <c r="B62" s="270">
        <f>0.15</f>
        <v>0.15</v>
      </c>
      <c r="C62" s="270">
        <f>B62</f>
        <v>0.15</v>
      </c>
      <c r="D62" s="270">
        <f>C62</f>
        <v>0.15</v>
      </c>
      <c r="E62" s="269"/>
      <c r="BC62" s="81" t="s">
        <v>373</v>
      </c>
      <c r="BD62" s="81" t="s">
        <v>399</v>
      </c>
      <c r="BE62" s="166">
        <v>-1.02</v>
      </c>
      <c r="BF62" s="166">
        <v>0.91400000000000003</v>
      </c>
      <c r="BG62" s="81">
        <v>-1.1100000000000001</v>
      </c>
      <c r="BH62" s="81">
        <v>0.26651000000000002</v>
      </c>
      <c r="BS62" s="81" t="s">
        <v>373</v>
      </c>
      <c r="BT62" s="81" t="s">
        <v>397</v>
      </c>
      <c r="BU62" s="166">
        <v>-40.700000000000003</v>
      </c>
      <c r="BV62" s="166">
        <v>1.36</v>
      </c>
      <c r="BW62" s="81">
        <v>-29.88</v>
      </c>
      <c r="BX62" s="81" t="s">
        <v>420</v>
      </c>
      <c r="BY62" s="166">
        <v>2E-16</v>
      </c>
      <c r="BZ62" s="81" t="s">
        <v>385</v>
      </c>
      <c r="CO62" s="243" t="s">
        <v>373</v>
      </c>
      <c r="CP62" s="243" t="s">
        <v>376</v>
      </c>
      <c r="CW62" s="245" t="s">
        <v>460</v>
      </c>
      <c r="CX62" s="251" t="s">
        <v>340</v>
      </c>
      <c r="CY62" s="246" t="s">
        <v>318</v>
      </c>
      <c r="CZ62" s="247">
        <f t="shared" ref="CZ62:CZ63" si="41">CQ86</f>
        <v>8320000</v>
      </c>
      <c r="DA62" s="245" t="s">
        <v>317</v>
      </c>
    </row>
    <row r="63" spans="1:105" thickTop="1" thickBot="1" x14ac:dyDescent="0.3">
      <c r="A63" s="270" t="s">
        <v>522</v>
      </c>
      <c r="B63" s="270">
        <v>1</v>
      </c>
      <c r="C63" s="270">
        <v>1</v>
      </c>
      <c r="D63" s="270">
        <v>1</v>
      </c>
      <c r="E63" s="269"/>
      <c r="BC63" s="81" t="s">
        <v>373</v>
      </c>
      <c r="BD63" s="81" t="s">
        <v>400</v>
      </c>
      <c r="BE63" s="166">
        <v>-1</v>
      </c>
      <c r="BF63" s="166">
        <v>0.91300000000000003</v>
      </c>
      <c r="BG63" s="81">
        <v>-1.0900000000000001</v>
      </c>
      <c r="BH63" s="81">
        <v>0.27359</v>
      </c>
      <c r="BS63" s="81" t="s">
        <v>373</v>
      </c>
      <c r="BT63" s="81" t="s">
        <v>399</v>
      </c>
      <c r="BU63" s="166">
        <v>-37.1</v>
      </c>
      <c r="BV63" s="166">
        <v>1.59</v>
      </c>
      <c r="BW63" s="81">
        <v>-23.36</v>
      </c>
      <c r="BX63" s="81" t="s">
        <v>420</v>
      </c>
      <c r="BY63" s="166">
        <v>2E-16</v>
      </c>
      <c r="BZ63" s="81" t="s">
        <v>385</v>
      </c>
      <c r="CO63" s="243" t="s">
        <v>373</v>
      </c>
      <c r="CP63" s="243" t="s">
        <v>377</v>
      </c>
      <c r="CQ63" s="243" t="s">
        <v>378</v>
      </c>
      <c r="CR63" s="243" t="s">
        <v>379</v>
      </c>
      <c r="CS63" s="243" t="s">
        <v>380</v>
      </c>
      <c r="CT63" s="243" t="s">
        <v>381</v>
      </c>
      <c r="CU63" s="243" t="s">
        <v>382</v>
      </c>
      <c r="CW63" s="245" t="s">
        <v>460</v>
      </c>
      <c r="CX63" s="251" t="s">
        <v>341</v>
      </c>
      <c r="CY63" s="246" t="s">
        <v>318</v>
      </c>
      <c r="CZ63" s="247">
        <f t="shared" si="41"/>
        <v>3800000</v>
      </c>
      <c r="DA63" s="245" t="s">
        <v>317</v>
      </c>
    </row>
    <row r="64" spans="1:105" thickTop="1" thickBot="1" x14ac:dyDescent="0.3">
      <c r="A64" s="270" t="s">
        <v>523</v>
      </c>
      <c r="B64" s="272">
        <f>C64+D64</f>
        <v>278.17694465514404</v>
      </c>
      <c r="C64" s="272">
        <f>'Verwarming Tabula 2zone Ref1'!B42+'Verwarming Tabula 2zone Ref1'!B60</f>
        <v>219.5359411873242</v>
      </c>
      <c r="D64" s="272">
        <f>'Verwarming Tabula 2zone Ref1'!B121+'Verwarming Tabula 2zone Ref1'!B139</f>
        <v>58.641003467819843</v>
      </c>
      <c r="E64" s="269"/>
      <c r="BC64" s="81" t="s">
        <v>373</v>
      </c>
      <c r="BD64" s="81" t="s">
        <v>402</v>
      </c>
      <c r="BE64" s="166">
        <v>1.6E-2</v>
      </c>
      <c r="BF64" s="166">
        <v>6.1700000000000001E-3</v>
      </c>
      <c r="BG64" s="81">
        <v>2.6</v>
      </c>
      <c r="BH64" s="81">
        <v>9.41E-3</v>
      </c>
      <c r="BI64" s="81" t="s">
        <v>398</v>
      </c>
      <c r="BS64" s="81" t="s">
        <v>373</v>
      </c>
      <c r="BT64" s="81" t="s">
        <v>400</v>
      </c>
      <c r="BU64" s="166">
        <v>-24.8</v>
      </c>
      <c r="BV64" s="166">
        <v>7.4200000000000002E-2</v>
      </c>
      <c r="BW64" s="81">
        <v>-334.42</v>
      </c>
      <c r="BX64" s="81" t="s">
        <v>420</v>
      </c>
      <c r="BY64" s="166">
        <v>2E-16</v>
      </c>
      <c r="BZ64" s="81" t="s">
        <v>385</v>
      </c>
      <c r="CO64" s="243" t="s">
        <v>373</v>
      </c>
      <c r="CP64" s="243" t="s">
        <v>383</v>
      </c>
      <c r="CQ64" s="244">
        <v>291</v>
      </c>
      <c r="CR64" s="244">
        <v>1.8599999999999998E-2</v>
      </c>
      <c r="CS64" s="243">
        <v>15655.97</v>
      </c>
      <c r="CT64" s="243" t="s">
        <v>384</v>
      </c>
      <c r="CU64" s="244" t="s">
        <v>385</v>
      </c>
      <c r="CV64" s="81" t="s">
        <v>385</v>
      </c>
      <c r="CY64" s="246"/>
    </row>
    <row r="65" spans="1:106" thickTop="1" thickBot="1" x14ac:dyDescent="0.3">
      <c r="A65" s="270" t="s">
        <v>524</v>
      </c>
      <c r="B65" s="273">
        <f>B64/B60</f>
        <v>1.2233168652563248E-6</v>
      </c>
      <c r="C65" s="273">
        <f t="shared" ref="C65:D65" si="42">C64/C60</f>
        <v>1.1675304494523726E-6</v>
      </c>
      <c r="D65" s="273">
        <f t="shared" si="42"/>
        <v>1.4898169802584995E-6</v>
      </c>
      <c r="E65" s="269"/>
      <c r="BC65" s="81" t="s">
        <v>373</v>
      </c>
      <c r="BD65" s="81" t="s">
        <v>403</v>
      </c>
      <c r="BE65" s="166">
        <v>4.2999999999999997E-2</v>
      </c>
      <c r="BF65" s="166">
        <v>6.2700000000000006E-2</v>
      </c>
      <c r="BG65" s="81">
        <v>0.69</v>
      </c>
      <c r="BH65" s="81">
        <v>0.49241000000000001</v>
      </c>
      <c r="BS65" s="81" t="s">
        <v>373</v>
      </c>
      <c r="BT65" s="81" t="s">
        <v>402</v>
      </c>
      <c r="BU65" s="166">
        <v>0.16500000000000001</v>
      </c>
      <c r="BV65" s="166">
        <v>4.6200000000000001E-4</v>
      </c>
      <c r="BW65" s="81">
        <v>357.36</v>
      </c>
      <c r="BX65" s="81" t="s">
        <v>420</v>
      </c>
      <c r="BY65" s="166">
        <v>2E-16</v>
      </c>
      <c r="BZ65" s="81" t="s">
        <v>385</v>
      </c>
      <c r="CO65" s="243" t="s">
        <v>373</v>
      </c>
      <c r="CP65" s="243" t="s">
        <v>386</v>
      </c>
      <c r="CQ65" s="244">
        <v>289</v>
      </c>
      <c r="CR65" s="244">
        <v>5.7299999999999997E-2</v>
      </c>
      <c r="CS65" s="243">
        <v>5039.72</v>
      </c>
      <c r="CT65" s="243" t="s">
        <v>384</v>
      </c>
      <c r="CU65" s="244" t="s">
        <v>385</v>
      </c>
      <c r="CV65" s="81" t="s">
        <v>385</v>
      </c>
      <c r="CW65" s="245" t="s">
        <v>460</v>
      </c>
      <c r="CX65" s="251" t="s">
        <v>342</v>
      </c>
      <c r="CY65" s="246" t="s">
        <v>318</v>
      </c>
      <c r="CZ65" s="247">
        <f>CQ92</f>
        <v>0.14000000000000001</v>
      </c>
      <c r="DA65" s="245" t="s">
        <v>317</v>
      </c>
    </row>
    <row r="66" spans="1:106" thickTop="1" thickBot="1" x14ac:dyDescent="0.3">
      <c r="A66" s="270" t="s">
        <v>525</v>
      </c>
      <c r="B66" s="270">
        <f>1</f>
        <v>1</v>
      </c>
      <c r="C66" s="270">
        <v>1</v>
      </c>
      <c r="D66" s="270">
        <v>1</v>
      </c>
      <c r="E66" s="269"/>
      <c r="BC66" s="81" t="s">
        <v>373</v>
      </c>
      <c r="BD66" s="81" t="s">
        <v>404</v>
      </c>
      <c r="BE66" s="166">
        <v>0.73</v>
      </c>
      <c r="BF66" s="166">
        <v>3.09E-2</v>
      </c>
      <c r="BG66" s="81">
        <v>23.6</v>
      </c>
      <c r="BH66" s="81" t="s">
        <v>420</v>
      </c>
      <c r="BI66" s="166">
        <v>2E-16</v>
      </c>
      <c r="BJ66" s="81" t="s">
        <v>385</v>
      </c>
      <c r="BS66" s="81" t="s">
        <v>373</v>
      </c>
      <c r="BT66" s="81" t="s">
        <v>403</v>
      </c>
      <c r="BU66" s="166">
        <v>5.8500000000000003E-2</v>
      </c>
      <c r="BV66" s="166">
        <v>1.2799999999999999E-4</v>
      </c>
      <c r="BW66" s="81">
        <v>455.64</v>
      </c>
      <c r="BX66" s="81" t="s">
        <v>420</v>
      </c>
      <c r="BY66" s="166">
        <v>2E-16</v>
      </c>
      <c r="BZ66" s="81" t="s">
        <v>385</v>
      </c>
      <c r="CO66" s="243" t="s">
        <v>373</v>
      </c>
      <c r="CP66" s="243" t="s">
        <v>387</v>
      </c>
      <c r="CQ66" s="244">
        <v>292</v>
      </c>
      <c r="CR66" s="244">
        <v>5.0099999999999999E-2</v>
      </c>
      <c r="CS66" s="243">
        <v>5834.87</v>
      </c>
      <c r="CT66" s="243" t="s">
        <v>384</v>
      </c>
      <c r="CU66" s="244" t="s">
        <v>385</v>
      </c>
      <c r="CV66" s="81" t="s">
        <v>385</v>
      </c>
      <c r="CW66" s="245" t="s">
        <v>460</v>
      </c>
      <c r="CX66" s="251" t="s">
        <v>343</v>
      </c>
      <c r="CY66" s="246" t="s">
        <v>318</v>
      </c>
      <c r="CZ66" s="247">
        <f t="shared" ref="CZ66:CZ68" si="43">CQ93</f>
        <v>5.0200000000000002E-2</v>
      </c>
      <c r="DA66" s="245" t="s">
        <v>317</v>
      </c>
    </row>
    <row r="67" spans="1:106" thickTop="1" thickBot="1" x14ac:dyDescent="0.3">
      <c r="A67" s="270"/>
      <c r="B67" s="270"/>
      <c r="C67" s="270"/>
      <c r="D67" s="270"/>
      <c r="E67" s="269"/>
      <c r="BC67" s="81" t="s">
        <v>373</v>
      </c>
      <c r="BD67" s="81" t="s">
        <v>405</v>
      </c>
      <c r="BE67" s="166">
        <v>0.184</v>
      </c>
      <c r="BF67" s="166">
        <v>5.0500000000000003E-2</v>
      </c>
      <c r="BG67" s="81">
        <v>3.64</v>
      </c>
      <c r="BH67" s="81">
        <v>2.7E-4</v>
      </c>
      <c r="BI67" s="81" t="s">
        <v>385</v>
      </c>
      <c r="BS67" s="81" t="s">
        <v>373</v>
      </c>
      <c r="BT67" s="81" t="s">
        <v>404</v>
      </c>
      <c r="BU67" s="166">
        <v>0.61199999999999999</v>
      </c>
      <c r="BV67" s="166">
        <v>6.6400000000000001E-3</v>
      </c>
      <c r="BW67" s="81">
        <v>92.16</v>
      </c>
      <c r="BX67" s="81" t="s">
        <v>420</v>
      </c>
      <c r="BY67" s="166">
        <v>2E-16</v>
      </c>
      <c r="BZ67" s="81" t="s">
        <v>385</v>
      </c>
      <c r="CO67" s="243" t="s">
        <v>373</v>
      </c>
      <c r="CP67" s="243" t="s">
        <v>388</v>
      </c>
      <c r="CQ67" s="244">
        <v>295</v>
      </c>
      <c r="CR67" s="244">
        <v>6.9400000000000003E-2</v>
      </c>
      <c r="CS67" s="243">
        <v>4245.7299999999996</v>
      </c>
      <c r="CT67" s="243" t="s">
        <v>384</v>
      </c>
      <c r="CU67" s="244" t="s">
        <v>385</v>
      </c>
      <c r="CV67" s="81" t="s">
        <v>385</v>
      </c>
      <c r="CW67" s="245" t="s">
        <v>460</v>
      </c>
      <c r="CX67" s="251" t="s">
        <v>345</v>
      </c>
      <c r="CY67" s="246" t="s">
        <v>318</v>
      </c>
      <c r="CZ67" s="247">
        <f t="shared" si="43"/>
        <v>0.69699999999999995</v>
      </c>
      <c r="DA67" s="245" t="s">
        <v>317</v>
      </c>
    </row>
    <row r="68" spans="1:106" thickTop="1" thickBot="1" x14ac:dyDescent="0.3">
      <c r="A68" s="269"/>
      <c r="B68" s="269"/>
      <c r="C68" s="269"/>
      <c r="D68" s="269"/>
      <c r="E68" s="269"/>
      <c r="BC68" s="81" t="s">
        <v>373</v>
      </c>
      <c r="BD68" s="81" t="s">
        <v>407</v>
      </c>
      <c r="BE68" s="166">
        <v>1350</v>
      </c>
      <c r="BF68" s="166">
        <v>248</v>
      </c>
      <c r="BG68" s="81">
        <v>5.42</v>
      </c>
      <c r="BH68" s="166">
        <v>6.1000000000000004E-8</v>
      </c>
      <c r="BI68" s="81" t="s">
        <v>385</v>
      </c>
      <c r="BS68" s="81" t="s">
        <v>373</v>
      </c>
      <c r="BT68" s="81" t="s">
        <v>405</v>
      </c>
      <c r="BU68" s="166">
        <v>0.11700000000000001</v>
      </c>
      <c r="BV68" s="166">
        <v>3.1700000000000001E-4</v>
      </c>
      <c r="BW68" s="81">
        <v>369.23</v>
      </c>
      <c r="BX68" s="81" t="s">
        <v>420</v>
      </c>
      <c r="BY68" s="166">
        <v>2E-16</v>
      </c>
      <c r="BZ68" s="81" t="s">
        <v>385</v>
      </c>
      <c r="CO68" s="243" t="s">
        <v>373</v>
      </c>
      <c r="CP68" s="243" t="s">
        <v>442</v>
      </c>
      <c r="CQ68" s="244">
        <v>0.873</v>
      </c>
      <c r="CR68" s="244">
        <v>5.5300000000000002E-2</v>
      </c>
      <c r="CS68" s="243">
        <v>15.78</v>
      </c>
      <c r="CT68" s="244" t="s">
        <v>384</v>
      </c>
      <c r="CU68" s="243" t="s">
        <v>385</v>
      </c>
      <c r="CW68" s="245" t="s">
        <v>460</v>
      </c>
      <c r="CX68" s="251" t="s">
        <v>431</v>
      </c>
      <c r="CY68" s="246" t="s">
        <v>318</v>
      </c>
      <c r="CZ68" s="247">
        <f t="shared" si="43"/>
        <v>0.109</v>
      </c>
      <c r="DA68" s="245" t="s">
        <v>317</v>
      </c>
    </row>
    <row r="69" spans="1:106" thickTop="1" thickBot="1" x14ac:dyDescent="0.3">
      <c r="A69" s="269"/>
      <c r="B69" s="269"/>
      <c r="C69" s="269"/>
      <c r="D69" s="269"/>
      <c r="E69" s="269"/>
      <c r="BC69" s="81" t="s">
        <v>373</v>
      </c>
      <c r="BD69" s="81" t="s">
        <v>290</v>
      </c>
      <c r="BE69" s="166">
        <v>372</v>
      </c>
      <c r="BF69" s="166">
        <v>148</v>
      </c>
      <c r="BG69" s="81">
        <v>2.5099999999999998</v>
      </c>
      <c r="BH69" s="81">
        <v>1.21E-2</v>
      </c>
      <c r="BI69" s="81" t="s">
        <v>418</v>
      </c>
      <c r="BS69" s="81" t="s">
        <v>373</v>
      </c>
      <c r="BT69" s="81" t="s">
        <v>407</v>
      </c>
      <c r="BU69" s="166">
        <v>298</v>
      </c>
      <c r="BV69" s="166">
        <v>1.43</v>
      </c>
      <c r="BW69" s="81">
        <v>208.33</v>
      </c>
      <c r="BX69" s="81" t="s">
        <v>420</v>
      </c>
      <c r="BY69" s="166">
        <v>2E-16</v>
      </c>
      <c r="BZ69" s="81" t="s">
        <v>385</v>
      </c>
      <c r="CO69" s="243" t="s">
        <v>373</v>
      </c>
      <c r="CP69" s="243" t="s">
        <v>336</v>
      </c>
      <c r="CQ69" s="244">
        <v>2.99</v>
      </c>
      <c r="CR69" s="244">
        <v>0.113</v>
      </c>
      <c r="CS69" s="243">
        <v>26.54</v>
      </c>
      <c r="CT69" s="243" t="s">
        <v>384</v>
      </c>
      <c r="CU69" s="243" t="s">
        <v>385</v>
      </c>
      <c r="CY69" s="246"/>
    </row>
    <row r="70" spans="1:106" thickTop="1" thickBot="1" x14ac:dyDescent="0.3">
      <c r="BC70" s="81" t="s">
        <v>373</v>
      </c>
      <c r="BD70" s="81" t="s">
        <v>120</v>
      </c>
      <c r="BE70" s="166">
        <v>31.9</v>
      </c>
      <c r="BF70" s="166">
        <v>23.8</v>
      </c>
      <c r="BG70" s="81">
        <v>1.34</v>
      </c>
      <c r="BH70" s="81">
        <v>0.18071999999999999</v>
      </c>
      <c r="BS70" s="81" t="s">
        <v>373</v>
      </c>
      <c r="BT70" s="81" t="s">
        <v>290</v>
      </c>
      <c r="BU70" s="166">
        <v>120</v>
      </c>
      <c r="BV70" s="166">
        <v>0.72799999999999998</v>
      </c>
      <c r="BW70" s="81">
        <v>164.9</v>
      </c>
      <c r="BX70" s="81" t="s">
        <v>420</v>
      </c>
      <c r="BY70" s="166">
        <v>2E-16</v>
      </c>
      <c r="BZ70" s="81" t="s">
        <v>385</v>
      </c>
      <c r="CO70" s="243" t="s">
        <v>373</v>
      </c>
      <c r="CP70" s="243" t="s">
        <v>443</v>
      </c>
      <c r="CQ70" s="244">
        <v>1.62</v>
      </c>
      <c r="CR70" s="244">
        <v>2.5100000000000001E-2</v>
      </c>
      <c r="CS70" s="243">
        <v>64.52</v>
      </c>
      <c r="CT70" s="243" t="s">
        <v>384</v>
      </c>
      <c r="CU70" s="244" t="s">
        <v>385</v>
      </c>
      <c r="CV70" s="81" t="s">
        <v>385</v>
      </c>
      <c r="CW70" s="245" t="s">
        <v>460</v>
      </c>
      <c r="CX70" s="251" t="s">
        <v>347</v>
      </c>
      <c r="CY70" s="246" t="s">
        <v>318</v>
      </c>
      <c r="CZ70" s="247">
        <f>CQ96</f>
        <v>171</v>
      </c>
      <c r="DA70" s="245" t="s">
        <v>317</v>
      </c>
    </row>
    <row r="71" spans="1:106" thickTop="1" thickBot="1" x14ac:dyDescent="0.3">
      <c r="BC71" s="81" t="s">
        <v>373</v>
      </c>
      <c r="BD71" s="81" t="s">
        <v>409</v>
      </c>
      <c r="BE71" s="166">
        <v>-6.79</v>
      </c>
      <c r="BF71" s="166">
        <v>0.47699999999999998</v>
      </c>
      <c r="BG71" s="81">
        <v>-14.23</v>
      </c>
      <c r="BH71" s="81" t="s">
        <v>420</v>
      </c>
      <c r="BI71" s="166">
        <v>2E-16</v>
      </c>
      <c r="BJ71" s="81" t="s">
        <v>385</v>
      </c>
      <c r="BS71" s="81" t="s">
        <v>373</v>
      </c>
      <c r="BT71" s="81" t="s">
        <v>120</v>
      </c>
      <c r="BU71" s="166">
        <v>69.5</v>
      </c>
      <c r="BV71" s="166">
        <v>2.5499999999999998</v>
      </c>
      <c r="BW71" s="81">
        <v>27.22</v>
      </c>
      <c r="BX71" s="81" t="s">
        <v>420</v>
      </c>
      <c r="BY71" s="166">
        <v>2E-16</v>
      </c>
      <c r="BZ71" s="81" t="s">
        <v>385</v>
      </c>
      <c r="CO71" s="243" t="s">
        <v>373</v>
      </c>
      <c r="CP71" s="243" t="s">
        <v>444</v>
      </c>
      <c r="CQ71" s="244">
        <v>0.92700000000000005</v>
      </c>
      <c r="CR71" s="244">
        <v>2.3E-2</v>
      </c>
      <c r="CS71" s="243">
        <v>40.32</v>
      </c>
      <c r="CT71" s="243" t="s">
        <v>384</v>
      </c>
      <c r="CU71" s="244" t="s">
        <v>385</v>
      </c>
      <c r="CV71" s="81" t="s">
        <v>385</v>
      </c>
      <c r="CW71" s="245" t="s">
        <v>460</v>
      </c>
      <c r="CX71" s="251" t="s">
        <v>349</v>
      </c>
      <c r="CY71" s="246" t="s">
        <v>318</v>
      </c>
      <c r="CZ71" s="247">
        <f t="shared" ref="CZ71:CZ72" si="44">CQ97</f>
        <v>82.5</v>
      </c>
      <c r="DA71" s="245" t="s">
        <v>317</v>
      </c>
    </row>
    <row r="72" spans="1:106" thickTop="1" thickBot="1" x14ac:dyDescent="0.3">
      <c r="BC72" s="81" t="s">
        <v>373</v>
      </c>
      <c r="BD72" s="81" t="s">
        <v>410</v>
      </c>
      <c r="BE72" s="166">
        <v>-4.62</v>
      </c>
      <c r="BF72" s="166">
        <v>0.26700000000000002</v>
      </c>
      <c r="BG72" s="81">
        <v>-17.32</v>
      </c>
      <c r="BH72" s="81" t="s">
        <v>420</v>
      </c>
      <c r="BI72" s="166">
        <v>2E-16</v>
      </c>
      <c r="BJ72" s="81" t="s">
        <v>385</v>
      </c>
      <c r="BS72" s="81" t="s">
        <v>373</v>
      </c>
      <c r="BT72" s="81" t="s">
        <v>409</v>
      </c>
      <c r="BU72" s="166">
        <v>-5.14</v>
      </c>
      <c r="BV72" s="166">
        <v>1.41E-2</v>
      </c>
      <c r="BW72" s="81">
        <v>-364.74</v>
      </c>
      <c r="BX72" s="81" t="s">
        <v>420</v>
      </c>
      <c r="BY72" s="166">
        <v>2E-16</v>
      </c>
      <c r="BZ72" s="81" t="s">
        <v>385</v>
      </c>
      <c r="CO72" s="243" t="s">
        <v>373</v>
      </c>
      <c r="CP72" s="243" t="s">
        <v>445</v>
      </c>
      <c r="CQ72" s="244">
        <v>0.53300000000000003</v>
      </c>
      <c r="CR72" s="244">
        <v>3.1600000000000003E-2</v>
      </c>
      <c r="CS72" s="243">
        <v>16.84</v>
      </c>
      <c r="CT72" s="243" t="s">
        <v>384</v>
      </c>
      <c r="CU72" s="244" t="s">
        <v>385</v>
      </c>
      <c r="CV72" s="81" t="s">
        <v>385</v>
      </c>
      <c r="CW72" s="245" t="s">
        <v>460</v>
      </c>
      <c r="CX72" s="251" t="s">
        <v>350</v>
      </c>
      <c r="CY72" s="246" t="s">
        <v>318</v>
      </c>
      <c r="CZ72" s="247">
        <f t="shared" si="44"/>
        <v>47.4</v>
      </c>
      <c r="DA72" s="245" t="s">
        <v>317</v>
      </c>
      <c r="DB72" s="152">
        <f>SUM(R17:R20,R25)</f>
        <v>54.192271934452535</v>
      </c>
    </row>
    <row r="73" spans="1:106" thickTop="1" thickBot="1" x14ac:dyDescent="0.3">
      <c r="BC73" s="81" t="s">
        <v>373</v>
      </c>
      <c r="BD73" s="81" t="s">
        <v>411</v>
      </c>
      <c r="BE73" s="166">
        <v>-4.95</v>
      </c>
      <c r="BF73" s="166">
        <v>0.26600000000000001</v>
      </c>
      <c r="BG73" s="81">
        <v>-18.59</v>
      </c>
      <c r="BH73" s="81" t="s">
        <v>420</v>
      </c>
      <c r="BI73" s="166">
        <v>2E-16</v>
      </c>
      <c r="BJ73" s="81" t="s">
        <v>385</v>
      </c>
      <c r="BS73" s="81" t="s">
        <v>373</v>
      </c>
      <c r="BT73" s="81" t="s">
        <v>410</v>
      </c>
      <c r="BU73" s="166">
        <v>-5.22</v>
      </c>
      <c r="BV73" s="166">
        <v>1.5100000000000001E-2</v>
      </c>
      <c r="BW73" s="81">
        <v>-345.49</v>
      </c>
      <c r="BX73" s="81" t="s">
        <v>420</v>
      </c>
      <c r="BY73" s="166">
        <v>2E-16</v>
      </c>
      <c r="BZ73" s="81" t="s">
        <v>385</v>
      </c>
      <c r="CO73" s="243" t="s">
        <v>373</v>
      </c>
      <c r="CP73" s="243" t="s">
        <v>337</v>
      </c>
      <c r="CQ73" s="244">
        <v>0.191</v>
      </c>
      <c r="CR73" s="244">
        <v>6.7799999999999999E-2</v>
      </c>
      <c r="CS73" s="243">
        <v>2.81</v>
      </c>
      <c r="CT73" s="244">
        <v>4.8999999999999998E-3</v>
      </c>
      <c r="CU73" s="243" t="s">
        <v>398</v>
      </c>
      <c r="CW73" s="245" t="s">
        <v>460</v>
      </c>
      <c r="CX73" s="251" t="s">
        <v>352</v>
      </c>
      <c r="CY73" s="246" t="s">
        <v>318</v>
      </c>
      <c r="CZ73" s="247">
        <v>30.990399745497765</v>
      </c>
      <c r="DA73" s="245" t="s">
        <v>317</v>
      </c>
      <c r="DB73" s="166">
        <f>1/(1/CZ73+1/CZ70)</f>
        <v>26.235694187234447</v>
      </c>
    </row>
    <row r="74" spans="1:106" thickTop="1" thickBot="1" x14ac:dyDescent="0.3">
      <c r="BC74" s="81" t="s">
        <v>373</v>
      </c>
      <c r="BD74" s="81" t="s">
        <v>412</v>
      </c>
      <c r="BE74" s="166">
        <v>-1.07</v>
      </c>
      <c r="BF74" s="166">
        <v>0.64</v>
      </c>
      <c r="BG74" s="81">
        <v>-1.68</v>
      </c>
      <c r="BH74" s="81">
        <v>9.3189999999999995E-2</v>
      </c>
      <c r="BI74" s="81" t="s">
        <v>428</v>
      </c>
      <c r="BS74" s="81" t="s">
        <v>373</v>
      </c>
      <c r="BT74" s="81" t="s">
        <v>411</v>
      </c>
      <c r="BU74" s="166">
        <v>-5.62</v>
      </c>
      <c r="BV74" s="166">
        <v>1.6E-2</v>
      </c>
      <c r="BW74" s="81">
        <v>-351.63</v>
      </c>
      <c r="BX74" s="81" t="s">
        <v>420</v>
      </c>
      <c r="BY74" s="166">
        <v>2E-16</v>
      </c>
      <c r="BZ74" s="81" t="s">
        <v>385</v>
      </c>
      <c r="CO74" s="243" t="s">
        <v>373</v>
      </c>
      <c r="CP74" s="243" t="s">
        <v>446</v>
      </c>
      <c r="CQ74" s="244">
        <v>0.51300000000000001</v>
      </c>
      <c r="CR74" s="244">
        <v>1.34E-2</v>
      </c>
      <c r="CS74" s="243">
        <v>38.26</v>
      </c>
      <c r="CT74" s="243" t="s">
        <v>384</v>
      </c>
      <c r="CU74" s="244" t="s">
        <v>385</v>
      </c>
      <c r="CV74" s="81" t="s">
        <v>385</v>
      </c>
      <c r="CY74" s="246"/>
    </row>
    <row r="75" spans="1:106" thickTop="1" thickBot="1" x14ac:dyDescent="0.3">
      <c r="BC75" s="81" t="s">
        <v>373</v>
      </c>
      <c r="BD75" s="81" t="s">
        <v>414</v>
      </c>
      <c r="BE75" s="166">
        <v>9.0299999999999998E-3</v>
      </c>
      <c r="BF75" s="166">
        <v>1.08E-3</v>
      </c>
      <c r="BG75" s="81">
        <v>8.4</v>
      </c>
      <c r="BH75" s="81" t="s">
        <v>420</v>
      </c>
      <c r="BI75" s="166">
        <v>2E-16</v>
      </c>
      <c r="BJ75" s="81" t="s">
        <v>385</v>
      </c>
      <c r="BS75" s="81" t="s">
        <v>373</v>
      </c>
      <c r="BT75" s="81" t="s">
        <v>412</v>
      </c>
      <c r="BU75" s="166">
        <v>-5.44</v>
      </c>
      <c r="BV75" s="166">
        <v>1.4999999999999999E-2</v>
      </c>
      <c r="BW75" s="81">
        <v>-361.47</v>
      </c>
      <c r="BX75" s="81" t="s">
        <v>420</v>
      </c>
      <c r="BY75" s="166">
        <v>2E-16</v>
      </c>
      <c r="BZ75" s="81" t="s">
        <v>385</v>
      </c>
      <c r="CO75" s="243" t="s">
        <v>373</v>
      </c>
      <c r="CP75" s="243" t="s">
        <v>447</v>
      </c>
      <c r="CQ75" s="244">
        <v>0.311</v>
      </c>
      <c r="CR75" s="244">
        <v>1.14E-2</v>
      </c>
      <c r="CS75" s="243">
        <v>27.19</v>
      </c>
      <c r="CT75" s="243" t="s">
        <v>384</v>
      </c>
      <c r="CU75" s="244" t="s">
        <v>385</v>
      </c>
      <c r="CV75" s="81" t="s">
        <v>385</v>
      </c>
      <c r="CW75" s="245" t="s">
        <v>460</v>
      </c>
      <c r="CX75" s="251" t="s">
        <v>424</v>
      </c>
      <c r="CY75" s="246" t="s">
        <v>318</v>
      </c>
      <c r="CZ75" s="247">
        <f>CQ112</f>
        <v>994000000</v>
      </c>
      <c r="DA75" s="245" t="s">
        <v>317</v>
      </c>
    </row>
    <row r="76" spans="1:106" thickTop="1" thickBot="1" x14ac:dyDescent="0.3">
      <c r="BC76" s="81" t="s">
        <v>373</v>
      </c>
      <c r="BD76" s="81" t="s">
        <v>415</v>
      </c>
      <c r="BE76" s="166">
        <v>531</v>
      </c>
      <c r="BF76" s="166">
        <v>102</v>
      </c>
      <c r="BG76" s="81">
        <v>5.22</v>
      </c>
      <c r="BH76" s="166">
        <v>1.9000000000000001E-7</v>
      </c>
      <c r="BI76" s="81" t="s">
        <v>385</v>
      </c>
      <c r="BS76" s="81" t="s">
        <v>373</v>
      </c>
      <c r="BT76" s="81" t="s">
        <v>414</v>
      </c>
      <c r="BU76" s="166">
        <v>1.01E-4</v>
      </c>
      <c r="BV76" s="166">
        <v>3.2899999999999998E-6</v>
      </c>
      <c r="BW76" s="81">
        <v>30.66</v>
      </c>
      <c r="BX76" s="81" t="s">
        <v>420</v>
      </c>
      <c r="BY76" s="166">
        <v>2E-16</v>
      </c>
      <c r="BZ76" s="81" t="s">
        <v>385</v>
      </c>
      <c r="CO76" s="243" t="s">
        <v>373</v>
      </c>
      <c r="CP76" s="243" t="s">
        <v>448</v>
      </c>
      <c r="CQ76" s="244">
        <v>9.2699999999999993E-6</v>
      </c>
      <c r="CR76" s="244">
        <v>1.9699999999999999E-4</v>
      </c>
      <c r="CS76" s="243">
        <v>0.05</v>
      </c>
      <c r="CT76" s="244">
        <v>0.96250000000000002</v>
      </c>
      <c r="CW76" s="245" t="s">
        <v>460</v>
      </c>
      <c r="CX76" s="251" t="s">
        <v>359</v>
      </c>
      <c r="CY76" s="246" t="s">
        <v>318</v>
      </c>
      <c r="CZ76" s="247">
        <f>CQ113</f>
        <v>206000000</v>
      </c>
      <c r="DA76" s="245" t="s">
        <v>317</v>
      </c>
    </row>
    <row r="77" spans="1:106" thickTop="1" thickBot="1" x14ac:dyDescent="0.3">
      <c r="BC77" s="81" t="s">
        <v>373</v>
      </c>
      <c r="BD77" s="81" t="s">
        <v>416</v>
      </c>
      <c r="BE77" s="166">
        <v>697</v>
      </c>
      <c r="BF77" s="166">
        <v>233</v>
      </c>
      <c r="BG77" s="81">
        <v>2.99</v>
      </c>
      <c r="BH77" s="81">
        <v>2.7799999999999999E-3</v>
      </c>
      <c r="BI77" s="81" t="s">
        <v>398</v>
      </c>
      <c r="BS77" s="81" t="s">
        <v>373</v>
      </c>
      <c r="BT77" s="81" t="s">
        <v>415</v>
      </c>
      <c r="BU77" s="166">
        <v>252</v>
      </c>
      <c r="BV77" s="166">
        <v>1.62</v>
      </c>
      <c r="BW77" s="81">
        <v>155.62</v>
      </c>
      <c r="BX77" s="81" t="s">
        <v>420</v>
      </c>
      <c r="BY77" s="166">
        <v>2E-16</v>
      </c>
      <c r="BZ77" s="81" t="s">
        <v>385</v>
      </c>
      <c r="CO77" s="243" t="s">
        <v>373</v>
      </c>
      <c r="CP77" s="243" t="s">
        <v>338</v>
      </c>
      <c r="CQ77" s="244">
        <v>1.55E-13</v>
      </c>
      <c r="CR77" s="244">
        <v>5.4499999999999996E-12</v>
      </c>
      <c r="CS77" s="243">
        <v>0.03</v>
      </c>
      <c r="CT77" s="243">
        <v>0.97729999999999995</v>
      </c>
      <c r="CW77" s="245" t="s">
        <v>460</v>
      </c>
      <c r="CX77" s="251" t="s">
        <v>365</v>
      </c>
      <c r="CY77" s="246" t="s">
        <v>318</v>
      </c>
      <c r="CZ77" s="247">
        <f>CQ120</f>
        <v>70</v>
      </c>
      <c r="DA77" s="245" t="s">
        <v>317</v>
      </c>
    </row>
    <row r="78" spans="1:106" thickTop="1" thickBot="1" x14ac:dyDescent="0.3">
      <c r="BS78" s="81" t="s">
        <v>373</v>
      </c>
      <c r="BT78" s="81" t="s">
        <v>416</v>
      </c>
      <c r="BU78" s="166">
        <v>5430</v>
      </c>
      <c r="BV78" s="166">
        <v>185</v>
      </c>
      <c r="BW78" s="81">
        <v>29.43</v>
      </c>
      <c r="BX78" s="81" t="s">
        <v>420</v>
      </c>
      <c r="BY78" s="166">
        <v>2E-16</v>
      </c>
      <c r="BZ78" s="81" t="s">
        <v>385</v>
      </c>
      <c r="CO78" s="243" t="s">
        <v>373</v>
      </c>
      <c r="CP78" s="243" t="s">
        <v>449</v>
      </c>
      <c r="CQ78" s="244">
        <v>0.41799999999999998</v>
      </c>
      <c r="CR78" s="244">
        <v>4.2999999999999997E-2</v>
      </c>
      <c r="CS78" s="243">
        <v>9.7200000000000006</v>
      </c>
      <c r="CT78" s="243" t="s">
        <v>384</v>
      </c>
      <c r="CU78" s="243" t="s">
        <v>385</v>
      </c>
      <c r="CW78" s="245" t="s">
        <v>460</v>
      </c>
      <c r="CX78" s="251" t="s">
        <v>367</v>
      </c>
      <c r="CY78" s="246" t="s">
        <v>318</v>
      </c>
      <c r="CZ78" s="247">
        <f t="shared" ref="CZ78:CZ79" si="45">CQ121</f>
        <v>21.3</v>
      </c>
      <c r="DA78" s="245" t="s">
        <v>317</v>
      </c>
    </row>
    <row r="79" spans="1:106" thickTop="1" thickBot="1" x14ac:dyDescent="0.3">
      <c r="BC79" s="81" t="s">
        <v>373</v>
      </c>
      <c r="BD79" s="81" t="s">
        <v>374</v>
      </c>
      <c r="BE79" s="81" t="s">
        <v>429</v>
      </c>
      <c r="CO79" s="243" t="s">
        <v>373</v>
      </c>
      <c r="CP79" s="243" t="s">
        <v>450</v>
      </c>
      <c r="CQ79" s="244">
        <v>7.2999999999999995E-2</v>
      </c>
      <c r="CR79" s="244">
        <v>5.5E-2</v>
      </c>
      <c r="CS79" s="243">
        <v>1.33</v>
      </c>
      <c r="CT79" s="243">
        <v>0.18390000000000001</v>
      </c>
      <c r="CW79" s="245" t="s">
        <v>460</v>
      </c>
      <c r="CX79" s="251" t="s">
        <v>369</v>
      </c>
      <c r="CY79" s="246" t="s">
        <v>318</v>
      </c>
      <c r="CZ79" s="247">
        <f t="shared" si="45"/>
        <v>120</v>
      </c>
      <c r="DA79" s="245" t="s">
        <v>317</v>
      </c>
    </row>
    <row r="80" spans="1:106" thickTop="1" thickBot="1" x14ac:dyDescent="0.3">
      <c r="BC80" s="81" t="s">
        <v>373</v>
      </c>
      <c r="BD80" s="81" t="s">
        <v>376</v>
      </c>
      <c r="CO80" s="243" t="s">
        <v>373</v>
      </c>
      <c r="CP80" s="243" t="s">
        <v>451</v>
      </c>
      <c r="CQ80" s="244">
        <v>0.54200000000000004</v>
      </c>
      <c r="CR80" s="244">
        <v>5.4300000000000001E-2</v>
      </c>
      <c r="CS80" s="243">
        <v>9.98</v>
      </c>
      <c r="CT80" s="243" t="s">
        <v>384</v>
      </c>
      <c r="CU80" s="244" t="s">
        <v>385</v>
      </c>
      <c r="CV80" s="81" t="s">
        <v>385</v>
      </c>
    </row>
    <row r="81" spans="55:100" thickTop="1" thickBot="1" x14ac:dyDescent="0.3">
      <c r="BC81" s="81" t="s">
        <v>373</v>
      </c>
      <c r="BD81" s="81" t="s">
        <v>377</v>
      </c>
      <c r="BE81" s="81" t="s">
        <v>378</v>
      </c>
      <c r="BF81" s="81" t="s">
        <v>379</v>
      </c>
      <c r="BG81" s="81" t="s">
        <v>380</v>
      </c>
      <c r="BH81" s="81" t="s">
        <v>381</v>
      </c>
      <c r="BI81" s="81" t="s">
        <v>382</v>
      </c>
      <c r="BS81" s="81" t="s">
        <v>373</v>
      </c>
      <c r="BT81" s="81" t="s">
        <v>374</v>
      </c>
      <c r="BU81" s="81" t="s">
        <v>421</v>
      </c>
      <c r="CO81" s="243" t="s">
        <v>373</v>
      </c>
      <c r="CP81" s="243" t="s">
        <v>452</v>
      </c>
      <c r="CQ81" s="244">
        <v>3.3699999999999997E-8</v>
      </c>
      <c r="CR81" s="244">
        <v>6.8100000000000002E-7</v>
      </c>
      <c r="CS81" s="243">
        <v>0.05</v>
      </c>
      <c r="CT81" s="243">
        <v>0.96050000000000002</v>
      </c>
    </row>
    <row r="82" spans="55:100" thickTop="1" thickBot="1" x14ac:dyDescent="0.3">
      <c r="BC82" s="81" t="s">
        <v>373</v>
      </c>
      <c r="BD82" s="81" t="s">
        <v>422</v>
      </c>
      <c r="BE82" s="166">
        <v>291</v>
      </c>
      <c r="BF82" s="166">
        <v>0.112</v>
      </c>
      <c r="BG82" s="81">
        <v>2609.3000000000002</v>
      </c>
      <c r="BH82" s="81" t="s">
        <v>420</v>
      </c>
      <c r="BI82" s="166">
        <v>2E-16</v>
      </c>
      <c r="BJ82" s="81" t="s">
        <v>385</v>
      </c>
      <c r="BS82" s="81" t="s">
        <v>373</v>
      </c>
      <c r="BT82" s="81" t="s">
        <v>376</v>
      </c>
      <c r="CO82" s="243" t="s">
        <v>373</v>
      </c>
      <c r="CP82" s="243" t="s">
        <v>453</v>
      </c>
      <c r="CQ82" s="244">
        <v>0.56799999999999995</v>
      </c>
      <c r="CR82" s="244">
        <v>2.8799999999999999E-2</v>
      </c>
      <c r="CS82" s="243">
        <v>19.739999999999998</v>
      </c>
      <c r="CT82" s="243" t="s">
        <v>384</v>
      </c>
      <c r="CU82" s="244" t="s">
        <v>385</v>
      </c>
      <c r="CV82" s="81" t="s">
        <v>385</v>
      </c>
    </row>
    <row r="83" spans="55:100" thickTop="1" thickBot="1" x14ac:dyDescent="0.3">
      <c r="BC83" s="81" t="s">
        <v>373</v>
      </c>
      <c r="BD83" s="81" t="s">
        <v>423</v>
      </c>
      <c r="BE83" s="166">
        <v>291</v>
      </c>
      <c r="BF83" s="166">
        <v>3.9800000000000002E-2</v>
      </c>
      <c r="BG83" s="81">
        <v>7295.15</v>
      </c>
      <c r="BH83" s="81" t="s">
        <v>420</v>
      </c>
      <c r="BI83" s="166">
        <v>2E-16</v>
      </c>
      <c r="BJ83" s="81" t="s">
        <v>385</v>
      </c>
      <c r="BS83" s="81" t="s">
        <v>373</v>
      </c>
      <c r="BT83" s="81" t="s">
        <v>377</v>
      </c>
      <c r="BU83" s="81" t="s">
        <v>378</v>
      </c>
      <c r="BV83" s="81" t="s">
        <v>379</v>
      </c>
      <c r="BW83" s="81" t="s">
        <v>380</v>
      </c>
      <c r="BX83" s="81" t="s">
        <v>381</v>
      </c>
      <c r="BY83" s="81" t="s">
        <v>382</v>
      </c>
      <c r="CO83" s="243" t="s">
        <v>373</v>
      </c>
      <c r="CP83" s="243" t="s">
        <v>454</v>
      </c>
      <c r="CQ83" s="244">
        <v>0.76500000000000001</v>
      </c>
      <c r="CR83" s="244">
        <v>2.35E-2</v>
      </c>
      <c r="CS83" s="243">
        <v>32.54</v>
      </c>
      <c r="CT83" s="243" t="s">
        <v>384</v>
      </c>
      <c r="CU83" s="244" t="s">
        <v>385</v>
      </c>
      <c r="CV83" s="81" t="s">
        <v>385</v>
      </c>
    </row>
    <row r="84" spans="55:100" thickTop="1" thickBot="1" x14ac:dyDescent="0.3">
      <c r="BC84" s="81" t="s">
        <v>373</v>
      </c>
      <c r="BD84" s="81" t="s">
        <v>353</v>
      </c>
      <c r="BE84" s="166">
        <v>6.6500000000000004E-2</v>
      </c>
      <c r="BF84" s="166">
        <v>1.2700000000000001E-3</v>
      </c>
      <c r="BG84" s="81">
        <v>52.59</v>
      </c>
      <c r="BH84" s="81" t="s">
        <v>420</v>
      </c>
      <c r="BI84" s="166">
        <v>2E-16</v>
      </c>
      <c r="BJ84" s="81" t="s">
        <v>385</v>
      </c>
      <c r="BS84" s="81" t="s">
        <v>373</v>
      </c>
      <c r="BT84" s="81" t="s">
        <v>422</v>
      </c>
      <c r="BU84" s="166">
        <v>289</v>
      </c>
      <c r="BV84" s="166">
        <v>0.34499999999999997</v>
      </c>
      <c r="BW84" s="81">
        <v>837.17</v>
      </c>
      <c r="BX84" s="81" t="s">
        <v>420</v>
      </c>
      <c r="BY84" s="166">
        <v>2E-16</v>
      </c>
      <c r="BZ84" s="81" t="s">
        <v>385</v>
      </c>
      <c r="CO84" s="243" t="s">
        <v>373</v>
      </c>
      <c r="CP84" s="243" t="s">
        <v>303</v>
      </c>
      <c r="CQ84" s="244">
        <v>458000000</v>
      </c>
      <c r="CR84" s="244">
        <v>17300000</v>
      </c>
      <c r="CS84" s="243">
        <v>26.45</v>
      </c>
      <c r="CT84" s="243" t="s">
        <v>384</v>
      </c>
      <c r="CU84" s="243" t="s">
        <v>385</v>
      </c>
    </row>
    <row r="85" spans="55:100" thickTop="1" thickBot="1" x14ac:dyDescent="0.3">
      <c r="BC85" s="81" t="s">
        <v>373</v>
      </c>
      <c r="BD85" s="81" t="s">
        <v>355</v>
      </c>
      <c r="BE85" s="166">
        <v>0.246</v>
      </c>
      <c r="BF85" s="166">
        <v>7.6600000000000001E-3</v>
      </c>
      <c r="BG85" s="81">
        <v>32.04</v>
      </c>
      <c r="BH85" s="81" t="s">
        <v>420</v>
      </c>
      <c r="BI85" s="166">
        <v>2E-16</v>
      </c>
      <c r="BJ85" s="81" t="s">
        <v>385</v>
      </c>
      <c r="BS85" s="81" t="s">
        <v>373</v>
      </c>
      <c r="BT85" s="81" t="s">
        <v>423</v>
      </c>
      <c r="BU85" s="166">
        <v>292</v>
      </c>
      <c r="BV85" s="166">
        <v>0.36699999999999999</v>
      </c>
      <c r="BW85" s="81">
        <v>796.26</v>
      </c>
      <c r="BX85" s="81" t="s">
        <v>420</v>
      </c>
      <c r="BY85" s="166">
        <v>2E-16</v>
      </c>
      <c r="BZ85" s="81" t="s">
        <v>385</v>
      </c>
      <c r="CO85" s="243" t="s">
        <v>373</v>
      </c>
      <c r="CP85" s="243" t="s">
        <v>395</v>
      </c>
      <c r="CQ85" s="244">
        <v>2610000</v>
      </c>
      <c r="CR85" s="244">
        <v>19200</v>
      </c>
      <c r="CS85" s="243">
        <v>135.5</v>
      </c>
      <c r="CT85" s="243" t="s">
        <v>384</v>
      </c>
      <c r="CU85" s="244" t="s">
        <v>385</v>
      </c>
      <c r="CV85" s="81" t="s">
        <v>385</v>
      </c>
    </row>
    <row r="86" spans="55:100" thickTop="1" thickBot="1" x14ac:dyDescent="0.3">
      <c r="BC86" s="81" t="s">
        <v>373</v>
      </c>
      <c r="BD86" s="81" t="s">
        <v>424</v>
      </c>
      <c r="BE86" s="166">
        <v>248000</v>
      </c>
      <c r="BF86" s="166">
        <v>22200</v>
      </c>
      <c r="BG86" s="81">
        <v>11.17</v>
      </c>
      <c r="BH86" s="81" t="s">
        <v>420</v>
      </c>
      <c r="BI86" s="166">
        <v>2E-16</v>
      </c>
      <c r="BJ86" s="81" t="s">
        <v>385</v>
      </c>
      <c r="BS86" s="81" t="s">
        <v>373</v>
      </c>
      <c r="BT86" s="81" t="s">
        <v>353</v>
      </c>
      <c r="BU86" s="166">
        <v>9.84</v>
      </c>
      <c r="BV86" s="166">
        <v>1.27</v>
      </c>
      <c r="BW86" s="81">
        <v>7.73</v>
      </c>
      <c r="BX86" s="166">
        <v>1.4E-14</v>
      </c>
      <c r="BY86" s="81" t="s">
        <v>385</v>
      </c>
      <c r="CO86" s="243" t="s">
        <v>373</v>
      </c>
      <c r="CP86" s="243" t="s">
        <v>296</v>
      </c>
      <c r="CQ86" s="244">
        <v>8320000</v>
      </c>
      <c r="CR86" s="244">
        <v>282000</v>
      </c>
      <c r="CS86" s="243">
        <v>29.48</v>
      </c>
      <c r="CT86" s="243" t="s">
        <v>384</v>
      </c>
      <c r="CU86" s="244" t="s">
        <v>385</v>
      </c>
      <c r="CV86" s="81" t="s">
        <v>385</v>
      </c>
    </row>
    <row r="87" spans="55:100" thickTop="1" thickBot="1" x14ac:dyDescent="0.3">
      <c r="BC87" s="81" t="s">
        <v>373</v>
      </c>
      <c r="BD87" s="81" t="s">
        <v>359</v>
      </c>
      <c r="BE87" s="166">
        <v>6990000</v>
      </c>
      <c r="BF87" s="166">
        <v>43300</v>
      </c>
      <c r="BG87" s="81">
        <v>161.22</v>
      </c>
      <c r="BH87" s="81" t="s">
        <v>420</v>
      </c>
      <c r="BI87" s="166">
        <v>2E-16</v>
      </c>
      <c r="BJ87" s="81" t="s">
        <v>385</v>
      </c>
      <c r="BS87" s="81" t="s">
        <v>373</v>
      </c>
      <c r="BT87" s="81" t="s">
        <v>355</v>
      </c>
      <c r="BU87" s="166">
        <v>1.35</v>
      </c>
      <c r="BV87" s="166">
        <v>0.24399999999999999</v>
      </c>
      <c r="BW87" s="81">
        <v>5.54</v>
      </c>
      <c r="BX87" s="166">
        <v>3.1E-8</v>
      </c>
      <c r="BY87" s="81" t="s">
        <v>385</v>
      </c>
      <c r="CO87" s="243" t="s">
        <v>373</v>
      </c>
      <c r="CP87" s="243" t="s">
        <v>298</v>
      </c>
      <c r="CQ87" s="244">
        <v>3800000</v>
      </c>
      <c r="CR87" s="244">
        <v>168000</v>
      </c>
      <c r="CS87" s="243">
        <v>22.54</v>
      </c>
      <c r="CT87" s="243" t="s">
        <v>384</v>
      </c>
      <c r="CU87" s="243" t="s">
        <v>385</v>
      </c>
    </row>
    <row r="88" spans="55:100" thickTop="1" thickBot="1" x14ac:dyDescent="0.3">
      <c r="BC88" s="81" t="s">
        <v>373</v>
      </c>
      <c r="BD88" s="81" t="s">
        <v>401</v>
      </c>
      <c r="BE88" s="166">
        <v>3.27</v>
      </c>
      <c r="BF88" s="166">
        <v>0.71599999999999997</v>
      </c>
      <c r="BG88" s="81">
        <v>4.57</v>
      </c>
      <c r="BH88" s="166">
        <v>5.2000000000000002E-6</v>
      </c>
      <c r="BI88" s="81" t="s">
        <v>385</v>
      </c>
      <c r="BS88" s="81" t="s">
        <v>373</v>
      </c>
      <c r="BT88" s="81" t="s">
        <v>424</v>
      </c>
      <c r="BU88" s="166">
        <v>139000000</v>
      </c>
      <c r="BV88" s="166">
        <v>35000000</v>
      </c>
      <c r="BW88" s="81">
        <v>3.98</v>
      </c>
      <c r="BX88" s="166">
        <v>6.8999999999999997E-5</v>
      </c>
      <c r="BY88" s="81" t="s">
        <v>385</v>
      </c>
      <c r="CO88" s="243" t="s">
        <v>373</v>
      </c>
      <c r="CP88" s="243" t="s">
        <v>396</v>
      </c>
      <c r="CQ88" s="244">
        <v>-26</v>
      </c>
      <c r="CR88" s="244">
        <v>45.2</v>
      </c>
      <c r="CS88" s="243">
        <v>-0.57999999999999996</v>
      </c>
      <c r="CT88" s="243">
        <v>0.56520000000000004</v>
      </c>
    </row>
    <row r="89" spans="55:100" thickTop="1" thickBot="1" x14ac:dyDescent="0.3">
      <c r="BC89" s="81" t="s">
        <v>373</v>
      </c>
      <c r="BD89" s="81" t="s">
        <v>425</v>
      </c>
      <c r="BE89" s="166">
        <v>-1.33</v>
      </c>
      <c r="BF89" s="166">
        <v>0.96699999999999997</v>
      </c>
      <c r="BG89" s="81">
        <v>-1.38</v>
      </c>
      <c r="BH89" s="81">
        <v>0.17</v>
      </c>
      <c r="BS89" s="81" t="s">
        <v>373</v>
      </c>
      <c r="BT89" s="81" t="s">
        <v>359</v>
      </c>
      <c r="BU89" s="166">
        <v>18800000</v>
      </c>
      <c r="BV89" s="166">
        <v>2330000</v>
      </c>
      <c r="BW89" s="81">
        <v>8.09</v>
      </c>
      <c r="BX89" s="166">
        <v>6.7000000000000004E-16</v>
      </c>
      <c r="BY89" s="81" t="s">
        <v>385</v>
      </c>
      <c r="CO89" s="243" t="s">
        <v>373</v>
      </c>
      <c r="CP89" s="243" t="s">
        <v>397</v>
      </c>
      <c r="CQ89" s="244">
        <v>-15.8</v>
      </c>
      <c r="CR89" s="244">
        <v>26</v>
      </c>
      <c r="CS89" s="243">
        <v>-0.61</v>
      </c>
      <c r="CT89" s="243">
        <v>0.54339999999999999</v>
      </c>
    </row>
    <row r="90" spans="55:100" thickTop="1" thickBot="1" x14ac:dyDescent="0.3">
      <c r="BC90" s="81" t="s">
        <v>373</v>
      </c>
      <c r="BD90" s="81" t="s">
        <v>430</v>
      </c>
      <c r="BE90" s="166">
        <v>5.4399999999999997E-2</v>
      </c>
      <c r="BF90" s="166">
        <v>1.76E-4</v>
      </c>
      <c r="BG90" s="81">
        <v>309.37</v>
      </c>
      <c r="BH90" s="81" t="s">
        <v>420</v>
      </c>
      <c r="BI90" s="166">
        <v>2E-16</v>
      </c>
      <c r="BJ90" s="81" t="s">
        <v>385</v>
      </c>
      <c r="BS90" s="81" t="s">
        <v>373</v>
      </c>
      <c r="BT90" s="81" t="s">
        <v>401</v>
      </c>
      <c r="BU90" s="166">
        <v>8.0500000000000007</v>
      </c>
      <c r="BV90" s="166">
        <v>5.5100000000000003E-2</v>
      </c>
      <c r="BW90" s="81">
        <v>146.16999999999999</v>
      </c>
      <c r="BX90" s="81" t="s">
        <v>420</v>
      </c>
      <c r="BY90" s="166">
        <v>2E-16</v>
      </c>
      <c r="BZ90" s="81" t="s">
        <v>385</v>
      </c>
      <c r="CO90" s="243" t="s">
        <v>373</v>
      </c>
      <c r="CP90" s="243" t="s">
        <v>399</v>
      </c>
      <c r="CQ90" s="244">
        <v>-16.3</v>
      </c>
      <c r="CR90" s="244">
        <v>56.6</v>
      </c>
      <c r="CS90" s="243">
        <v>-0.28999999999999998</v>
      </c>
      <c r="CT90" s="243">
        <v>0.77349999999999997</v>
      </c>
    </row>
    <row r="91" spans="55:100" thickTop="1" thickBot="1" x14ac:dyDescent="0.3">
      <c r="BC91" s="81" t="s">
        <v>373</v>
      </c>
      <c r="BD91" s="81" t="s">
        <v>431</v>
      </c>
      <c r="BE91" s="166">
        <v>0.16</v>
      </c>
      <c r="BF91" s="166">
        <v>5.0500000000000002E-4</v>
      </c>
      <c r="BG91" s="81">
        <v>315.95999999999998</v>
      </c>
      <c r="BH91" s="81" t="s">
        <v>420</v>
      </c>
      <c r="BI91" s="166">
        <v>2E-16</v>
      </c>
      <c r="BJ91" s="81" t="s">
        <v>385</v>
      </c>
      <c r="BS91" s="81" t="s">
        <v>373</v>
      </c>
      <c r="BT91" s="81" t="s">
        <v>425</v>
      </c>
      <c r="BU91" s="166">
        <v>10</v>
      </c>
      <c r="BV91" s="166">
        <v>2.14E-3</v>
      </c>
      <c r="BW91" s="81">
        <v>4675.1499999999996</v>
      </c>
      <c r="BX91" s="81" t="s">
        <v>420</v>
      </c>
      <c r="BY91" s="166">
        <v>2E-16</v>
      </c>
      <c r="BZ91" s="81" t="s">
        <v>385</v>
      </c>
      <c r="CO91" s="243" t="s">
        <v>373</v>
      </c>
      <c r="CP91" s="243" t="s">
        <v>400</v>
      </c>
      <c r="CQ91" s="244">
        <v>-16.100000000000001</v>
      </c>
      <c r="CR91" s="244">
        <v>24.7</v>
      </c>
      <c r="CS91" s="243">
        <v>-0.65</v>
      </c>
      <c r="CT91" s="243">
        <v>0.51459999999999995</v>
      </c>
    </row>
    <row r="92" spans="55:100" thickTop="1" thickBot="1" x14ac:dyDescent="0.3">
      <c r="BC92" s="81" t="s">
        <v>373</v>
      </c>
      <c r="BD92" s="81" t="s">
        <v>413</v>
      </c>
      <c r="BE92" s="166">
        <v>-6.96</v>
      </c>
      <c r="BF92" s="166">
        <v>3.44E-2</v>
      </c>
      <c r="BG92" s="81">
        <v>-202.39</v>
      </c>
      <c r="BH92" s="81" t="s">
        <v>420</v>
      </c>
      <c r="BI92" s="166">
        <v>2E-16</v>
      </c>
      <c r="BJ92" s="81" t="s">
        <v>385</v>
      </c>
      <c r="BS92" s="81" t="s">
        <v>373</v>
      </c>
      <c r="BT92" s="81" t="s">
        <v>413</v>
      </c>
      <c r="BU92" s="166">
        <v>-4.74</v>
      </c>
      <c r="BV92" s="166">
        <v>3.8199999999999998E-2</v>
      </c>
      <c r="BW92" s="81">
        <v>-124.2</v>
      </c>
      <c r="BX92" s="81" t="s">
        <v>420</v>
      </c>
      <c r="BY92" s="166">
        <v>2E-16</v>
      </c>
      <c r="BZ92" s="81" t="s">
        <v>385</v>
      </c>
      <c r="CO92" s="243" t="s">
        <v>373</v>
      </c>
      <c r="CP92" s="243" t="s">
        <v>402</v>
      </c>
      <c r="CQ92" s="244">
        <v>0.14000000000000001</v>
      </c>
      <c r="CR92" s="244">
        <v>6.0899999999999995E-4</v>
      </c>
      <c r="CS92" s="243">
        <v>229.56</v>
      </c>
      <c r="CT92" s="243" t="s">
        <v>384</v>
      </c>
      <c r="CU92" s="244" t="s">
        <v>385</v>
      </c>
      <c r="CV92" s="81" t="s">
        <v>385</v>
      </c>
    </row>
    <row r="93" spans="55:100" thickTop="1" thickBot="1" x14ac:dyDescent="0.3">
      <c r="BC93" s="81" t="s">
        <v>373</v>
      </c>
      <c r="BD93" s="81" t="s">
        <v>426</v>
      </c>
      <c r="BE93" s="166">
        <v>-3.98</v>
      </c>
      <c r="BF93" s="166">
        <v>4.7100000000000003E-2</v>
      </c>
      <c r="BG93" s="81">
        <v>-84.36</v>
      </c>
      <c r="BH93" s="81" t="s">
        <v>420</v>
      </c>
      <c r="BI93" s="166">
        <v>2E-16</v>
      </c>
      <c r="BJ93" s="81" t="s">
        <v>385</v>
      </c>
      <c r="BS93" s="81" t="s">
        <v>373</v>
      </c>
      <c r="BT93" s="81" t="s">
        <v>426</v>
      </c>
      <c r="BU93" s="166">
        <v>-4.71</v>
      </c>
      <c r="BV93" s="166">
        <v>4.3700000000000003E-2</v>
      </c>
      <c r="BW93" s="81">
        <v>-107.8</v>
      </c>
      <c r="BX93" s="81" t="s">
        <v>420</v>
      </c>
      <c r="BY93" s="166">
        <v>2E-16</v>
      </c>
      <c r="BZ93" s="81" t="s">
        <v>385</v>
      </c>
      <c r="CO93" s="243" t="s">
        <v>373</v>
      </c>
      <c r="CP93" s="243" t="s">
        <v>403</v>
      </c>
      <c r="CQ93" s="244">
        <v>5.0200000000000002E-2</v>
      </c>
      <c r="CR93" s="244">
        <v>2.5999999999999998E-4</v>
      </c>
      <c r="CS93" s="243">
        <v>193.37</v>
      </c>
      <c r="CT93" s="243" t="s">
        <v>384</v>
      </c>
      <c r="CU93" s="244" t="s">
        <v>385</v>
      </c>
      <c r="CV93" s="81" t="s">
        <v>385</v>
      </c>
    </row>
    <row r="94" spans="55:100" thickTop="1" thickBot="1" x14ac:dyDescent="0.3">
      <c r="BC94" s="81" t="s">
        <v>373</v>
      </c>
      <c r="BD94" s="81" t="s">
        <v>365</v>
      </c>
      <c r="BE94" s="166">
        <v>476</v>
      </c>
      <c r="BF94" s="166">
        <v>0.70699999999999996</v>
      </c>
      <c r="BG94" s="81">
        <v>673.36</v>
      </c>
      <c r="BH94" s="81" t="s">
        <v>420</v>
      </c>
      <c r="BI94" s="166">
        <v>2E-16</v>
      </c>
      <c r="BJ94" s="81" t="s">
        <v>385</v>
      </c>
      <c r="BS94" s="81" t="s">
        <v>373</v>
      </c>
      <c r="BT94" s="81" t="s">
        <v>365</v>
      </c>
      <c r="BU94" s="166">
        <v>192</v>
      </c>
      <c r="BV94" s="166">
        <v>3.81</v>
      </c>
      <c r="BW94" s="81">
        <v>50.34</v>
      </c>
      <c r="BX94" s="81" t="s">
        <v>420</v>
      </c>
      <c r="BY94" s="166">
        <v>2E-16</v>
      </c>
      <c r="BZ94" s="81" t="s">
        <v>385</v>
      </c>
      <c r="CO94" s="243" t="s">
        <v>373</v>
      </c>
      <c r="CP94" s="243" t="s">
        <v>404</v>
      </c>
      <c r="CQ94" s="244">
        <v>0.69699999999999995</v>
      </c>
      <c r="CR94" s="244">
        <v>3.0100000000000001E-3</v>
      </c>
      <c r="CS94" s="243">
        <v>231.59</v>
      </c>
      <c r="CT94" s="243" t="s">
        <v>384</v>
      </c>
      <c r="CU94" s="244" t="s">
        <v>385</v>
      </c>
      <c r="CV94" s="81" t="s">
        <v>385</v>
      </c>
    </row>
    <row r="95" spans="55:100" thickTop="1" thickBot="1" x14ac:dyDescent="0.3">
      <c r="BC95" s="81" t="s">
        <v>373</v>
      </c>
      <c r="BD95" s="81" t="s">
        <v>367</v>
      </c>
      <c r="BE95" s="166">
        <v>3410</v>
      </c>
      <c r="BF95" s="166">
        <v>3.6</v>
      </c>
      <c r="BG95" s="81">
        <v>945.88</v>
      </c>
      <c r="BH95" s="81" t="s">
        <v>420</v>
      </c>
      <c r="BI95" s="166">
        <v>2E-16</v>
      </c>
      <c r="BJ95" s="81" t="s">
        <v>385</v>
      </c>
      <c r="BS95" s="81" t="s">
        <v>373</v>
      </c>
      <c r="BT95" s="81" t="s">
        <v>367</v>
      </c>
      <c r="BU95" s="166">
        <v>2.63E-4</v>
      </c>
      <c r="BV95" s="166">
        <v>6.5899999999999997E-4</v>
      </c>
      <c r="BW95" s="81">
        <v>0.4</v>
      </c>
      <c r="BX95" s="81">
        <v>0.69</v>
      </c>
      <c r="CO95" s="243" t="s">
        <v>373</v>
      </c>
      <c r="CP95" s="243" t="s">
        <v>405</v>
      </c>
      <c r="CQ95" s="244">
        <v>0.109</v>
      </c>
      <c r="CR95" s="244">
        <v>6.0700000000000001E-4</v>
      </c>
      <c r="CS95" s="243">
        <v>180.23</v>
      </c>
      <c r="CT95" s="243" t="s">
        <v>384</v>
      </c>
      <c r="CU95" s="244" t="s">
        <v>385</v>
      </c>
      <c r="CV95" s="81" t="s">
        <v>385</v>
      </c>
    </row>
    <row r="96" spans="55:100" thickTop="1" thickBot="1" x14ac:dyDescent="0.3">
      <c r="BC96" s="81" t="s">
        <v>373</v>
      </c>
      <c r="BD96" s="81" t="s">
        <v>369</v>
      </c>
      <c r="BE96" s="166">
        <v>989</v>
      </c>
      <c r="BF96" s="166">
        <v>2.68</v>
      </c>
      <c r="BG96" s="81">
        <v>369.05</v>
      </c>
      <c r="BH96" s="81" t="s">
        <v>420</v>
      </c>
      <c r="BI96" s="166">
        <v>2E-16</v>
      </c>
      <c r="BJ96" s="81" t="s">
        <v>385</v>
      </c>
      <c r="BS96" s="81" t="s">
        <v>373</v>
      </c>
      <c r="BT96" s="81" t="s">
        <v>369</v>
      </c>
      <c r="BU96" s="166">
        <v>389</v>
      </c>
      <c r="BV96" s="166">
        <v>9.27</v>
      </c>
      <c r="BW96" s="81">
        <v>41.99</v>
      </c>
      <c r="BX96" s="81" t="s">
        <v>420</v>
      </c>
      <c r="BY96" s="166">
        <v>2E-16</v>
      </c>
      <c r="BZ96" s="81" t="s">
        <v>385</v>
      </c>
      <c r="CO96" s="243" t="s">
        <v>373</v>
      </c>
      <c r="CP96" s="243" t="s">
        <v>407</v>
      </c>
      <c r="CQ96" s="244">
        <v>171</v>
      </c>
      <c r="CR96" s="244">
        <v>2.23</v>
      </c>
      <c r="CS96" s="243">
        <v>76.69</v>
      </c>
      <c r="CT96" s="243" t="s">
        <v>384</v>
      </c>
      <c r="CU96" s="244" t="s">
        <v>385</v>
      </c>
      <c r="CV96" s="81" t="s">
        <v>385</v>
      </c>
    </row>
    <row r="97" spans="93:100" thickTop="1" thickBot="1" x14ac:dyDescent="0.3">
      <c r="CO97" s="243" t="s">
        <v>373</v>
      </c>
      <c r="CP97" s="243" t="s">
        <v>290</v>
      </c>
      <c r="CQ97" s="244">
        <v>82.5</v>
      </c>
      <c r="CR97" s="244">
        <v>1.07</v>
      </c>
      <c r="CS97" s="243">
        <v>77.180000000000007</v>
      </c>
      <c r="CT97" s="243" t="s">
        <v>384</v>
      </c>
      <c r="CU97" s="244" t="s">
        <v>385</v>
      </c>
      <c r="CV97" s="81" t="s">
        <v>385</v>
      </c>
    </row>
    <row r="98" spans="93:100" thickTop="1" thickBot="1" x14ac:dyDescent="0.3">
      <c r="CO98" s="243" t="s">
        <v>373</v>
      </c>
      <c r="CP98" s="243" t="s">
        <v>120</v>
      </c>
      <c r="CQ98" s="244">
        <v>47.4</v>
      </c>
      <c r="CR98" s="244">
        <v>0.217</v>
      </c>
      <c r="CS98" s="243">
        <v>218.35</v>
      </c>
      <c r="CT98" s="243" t="s">
        <v>384</v>
      </c>
      <c r="CU98" s="244" t="s">
        <v>385</v>
      </c>
      <c r="CV98" s="81" t="s">
        <v>385</v>
      </c>
    </row>
    <row r="99" spans="93:100" thickTop="1" thickBot="1" x14ac:dyDescent="0.3">
      <c r="CO99" s="243" t="s">
        <v>373</v>
      </c>
      <c r="CP99" s="243" t="s">
        <v>409</v>
      </c>
      <c r="CQ99" s="244">
        <v>-7.34</v>
      </c>
      <c r="CR99" s="244">
        <v>1.7500000000000002E-2</v>
      </c>
      <c r="CS99" s="243">
        <v>-418.55</v>
      </c>
      <c r="CT99" s="243" t="s">
        <v>384</v>
      </c>
      <c r="CU99" s="244" t="s">
        <v>385</v>
      </c>
      <c r="CV99" s="81" t="s">
        <v>385</v>
      </c>
    </row>
    <row r="100" spans="93:100" thickTop="1" thickBot="1" x14ac:dyDescent="0.3">
      <c r="CO100" s="243" t="s">
        <v>373</v>
      </c>
      <c r="CP100" s="243" t="s">
        <v>410</v>
      </c>
      <c r="CQ100" s="244">
        <v>-6.45</v>
      </c>
      <c r="CR100" s="244">
        <v>1.89E-2</v>
      </c>
      <c r="CS100" s="243">
        <v>-342.24</v>
      </c>
      <c r="CT100" s="243" t="s">
        <v>384</v>
      </c>
      <c r="CU100" s="244" t="s">
        <v>385</v>
      </c>
      <c r="CV100" s="81" t="s">
        <v>385</v>
      </c>
    </row>
    <row r="101" spans="93:100" thickTop="1" thickBot="1" x14ac:dyDescent="0.3">
      <c r="CO101" s="243" t="s">
        <v>373</v>
      </c>
      <c r="CP101" s="243" t="s">
        <v>411</v>
      </c>
      <c r="CQ101" s="244">
        <v>-6.42</v>
      </c>
      <c r="CR101" s="244">
        <v>1.7999999999999999E-2</v>
      </c>
      <c r="CS101" s="243">
        <v>-355.84</v>
      </c>
      <c r="CT101" s="243" t="s">
        <v>384</v>
      </c>
      <c r="CU101" s="244" t="s">
        <v>385</v>
      </c>
      <c r="CV101" s="81" t="s">
        <v>385</v>
      </c>
    </row>
    <row r="102" spans="93:100" thickTop="1" thickBot="1" x14ac:dyDescent="0.3">
      <c r="CO102" s="243" t="s">
        <v>373</v>
      </c>
      <c r="CP102" s="243" t="s">
        <v>412</v>
      </c>
      <c r="CQ102" s="244">
        <v>-6.24</v>
      </c>
      <c r="CR102" s="244">
        <v>1.9099999999999999E-2</v>
      </c>
      <c r="CS102" s="243">
        <v>-327.07</v>
      </c>
      <c r="CT102" s="243" t="s">
        <v>384</v>
      </c>
      <c r="CU102" s="244" t="s">
        <v>385</v>
      </c>
      <c r="CV102" s="81" t="s">
        <v>385</v>
      </c>
    </row>
    <row r="103" spans="93:100" thickTop="1" thickBot="1" x14ac:dyDescent="0.3">
      <c r="CO103" s="243" t="s">
        <v>373</v>
      </c>
      <c r="CP103" s="243" t="s">
        <v>414</v>
      </c>
      <c r="CQ103" s="244">
        <v>1.26E-2</v>
      </c>
      <c r="CR103" s="244">
        <v>1.54E-4</v>
      </c>
      <c r="CS103" s="243">
        <v>81.73</v>
      </c>
      <c r="CT103" s="243" t="s">
        <v>384</v>
      </c>
      <c r="CU103" s="244" t="s">
        <v>385</v>
      </c>
      <c r="CV103" s="81" t="s">
        <v>385</v>
      </c>
    </row>
    <row r="104" spans="93:100" thickTop="1" thickBot="1" x14ac:dyDescent="0.3">
      <c r="CO104" s="243" t="s">
        <v>373</v>
      </c>
      <c r="CP104" s="243" t="s">
        <v>415</v>
      </c>
      <c r="CQ104" s="244">
        <v>154</v>
      </c>
      <c r="CR104" s="244">
        <v>1.62</v>
      </c>
      <c r="CS104" s="243">
        <v>95.2</v>
      </c>
      <c r="CT104" s="243" t="s">
        <v>384</v>
      </c>
      <c r="CU104" s="244" t="s">
        <v>385</v>
      </c>
      <c r="CV104" s="81" t="s">
        <v>385</v>
      </c>
    </row>
    <row r="105" spans="93:100" thickTop="1" thickBot="1" x14ac:dyDescent="0.3">
      <c r="CO105" s="243" t="s">
        <v>373</v>
      </c>
      <c r="CP105" s="243" t="s">
        <v>416</v>
      </c>
      <c r="CQ105" s="244">
        <v>9960</v>
      </c>
      <c r="CR105" s="244">
        <v>164</v>
      </c>
      <c r="CS105" s="243">
        <v>60.78</v>
      </c>
      <c r="CT105" s="243" t="s">
        <v>384</v>
      </c>
      <c r="CU105" s="243" t="s">
        <v>385</v>
      </c>
    </row>
    <row r="108" spans="93:100" thickTop="1" thickBot="1" x14ac:dyDescent="0.3">
      <c r="CO108" s="243" t="s">
        <v>373</v>
      </c>
      <c r="CP108" s="243" t="s">
        <v>422</v>
      </c>
      <c r="CQ108" s="244">
        <v>289</v>
      </c>
      <c r="CR108" s="244">
        <v>9.7000000000000003E-2</v>
      </c>
      <c r="CS108" s="243">
        <v>2983.77</v>
      </c>
      <c r="CT108" s="243" t="s">
        <v>384</v>
      </c>
      <c r="CU108" s="244" t="s">
        <v>385</v>
      </c>
      <c r="CV108" s="243" t="s">
        <v>385</v>
      </c>
    </row>
    <row r="109" spans="93:100" thickTop="1" thickBot="1" x14ac:dyDescent="0.3">
      <c r="CO109" s="243" t="s">
        <v>373</v>
      </c>
      <c r="CP109" s="243" t="s">
        <v>423</v>
      </c>
      <c r="CQ109" s="244">
        <v>296</v>
      </c>
      <c r="CR109" s="244">
        <v>0.11899999999999999</v>
      </c>
      <c r="CS109" s="243">
        <v>2488.14</v>
      </c>
      <c r="CT109" s="243" t="s">
        <v>384</v>
      </c>
      <c r="CU109" s="244" t="s">
        <v>385</v>
      </c>
      <c r="CV109" s="81" t="s">
        <v>385</v>
      </c>
    </row>
    <row r="110" spans="93:100" thickTop="1" thickBot="1" x14ac:dyDescent="0.3">
      <c r="CO110" s="243" t="s">
        <v>373</v>
      </c>
      <c r="CP110" s="243" t="s">
        <v>353</v>
      </c>
      <c r="CQ110" s="244">
        <v>6.4100000000000004E-2</v>
      </c>
      <c r="CR110" s="244">
        <v>1.5499999999999999E-3</v>
      </c>
      <c r="CS110" s="243">
        <v>41.27</v>
      </c>
      <c r="CT110" s="244" t="s">
        <v>384</v>
      </c>
      <c r="CU110" s="243" t="s">
        <v>385</v>
      </c>
    </row>
    <row r="111" spans="93:100" thickTop="1" thickBot="1" x14ac:dyDescent="0.3">
      <c r="CO111" s="243" t="s">
        <v>373</v>
      </c>
      <c r="CP111" s="243" t="s">
        <v>355</v>
      </c>
      <c r="CQ111" s="244">
        <v>0.26100000000000001</v>
      </c>
      <c r="CR111" s="244">
        <v>6.3200000000000001E-3</v>
      </c>
      <c r="CS111" s="243">
        <v>41.32</v>
      </c>
      <c r="CT111" s="244" t="s">
        <v>384</v>
      </c>
      <c r="CU111" s="243" t="s">
        <v>385</v>
      </c>
    </row>
    <row r="112" spans="93:100" thickTop="1" thickBot="1" x14ac:dyDescent="0.3">
      <c r="CO112" s="243" t="s">
        <v>373</v>
      </c>
      <c r="CP112" s="243" t="s">
        <v>424</v>
      </c>
      <c r="CQ112" s="244">
        <v>994000000</v>
      </c>
      <c r="CR112" s="244">
        <v>27700000</v>
      </c>
      <c r="CS112" s="243">
        <v>35.94</v>
      </c>
      <c r="CT112" s="244" t="s">
        <v>384</v>
      </c>
      <c r="CU112" s="243" t="s">
        <v>385</v>
      </c>
    </row>
    <row r="113" spans="93:100" thickTop="1" thickBot="1" x14ac:dyDescent="0.3">
      <c r="CO113" s="243" t="s">
        <v>373</v>
      </c>
      <c r="CP113" s="243" t="s">
        <v>359</v>
      </c>
      <c r="CQ113" s="244">
        <v>206000000</v>
      </c>
      <c r="CR113" s="244">
        <v>132000000</v>
      </c>
      <c r="CS113" s="243">
        <v>1.57</v>
      </c>
      <c r="CT113" s="244">
        <v>0.12</v>
      </c>
    </row>
    <row r="114" spans="93:100" thickTop="1" thickBot="1" x14ac:dyDescent="0.3">
      <c r="CO114" s="243" t="s">
        <v>373</v>
      </c>
      <c r="CP114" s="243" t="s">
        <v>401</v>
      </c>
      <c r="CQ114" s="244">
        <v>-16.600000000000001</v>
      </c>
      <c r="CR114" s="244">
        <v>309</v>
      </c>
      <c r="CS114" s="243">
        <v>-0.05</v>
      </c>
      <c r="CT114" s="243">
        <v>0.96</v>
      </c>
      <c r="CU114" s="244"/>
      <c r="CV114" s="81" t="s">
        <v>385</v>
      </c>
    </row>
    <row r="115" spans="93:100" thickTop="1" thickBot="1" x14ac:dyDescent="0.3">
      <c r="CO115" s="243" t="s">
        <v>373</v>
      </c>
      <c r="CP115" s="243" t="s">
        <v>425</v>
      </c>
      <c r="CQ115" s="244">
        <v>-15.6</v>
      </c>
      <c r="CR115" s="244">
        <v>175</v>
      </c>
      <c r="CS115" s="243">
        <v>-0.09</v>
      </c>
      <c r="CT115" s="243">
        <v>0.93</v>
      </c>
      <c r="CU115" s="244"/>
      <c r="CV115" s="81" t="s">
        <v>385</v>
      </c>
    </row>
    <row r="116" spans="93:100" thickTop="1" thickBot="1" x14ac:dyDescent="0.3">
      <c r="CO116" s="243" t="s">
        <v>373</v>
      </c>
      <c r="CP116" s="243" t="s">
        <v>430</v>
      </c>
      <c r="CQ116" s="244">
        <v>2.3400000000000001E-2</v>
      </c>
      <c r="CR116" s="244">
        <v>1.3899999999999999E-4</v>
      </c>
      <c r="CS116" s="243">
        <v>168.19</v>
      </c>
      <c r="CT116" s="243" t="s">
        <v>384</v>
      </c>
      <c r="CU116" s="244" t="s">
        <v>385</v>
      </c>
      <c r="CV116" s="81" t="s">
        <v>385</v>
      </c>
    </row>
    <row r="117" spans="93:100" thickTop="1" thickBot="1" x14ac:dyDescent="0.3">
      <c r="CO117" s="243" t="s">
        <v>373</v>
      </c>
      <c r="CP117" s="243" t="s">
        <v>431</v>
      </c>
      <c r="CQ117" s="244">
        <v>0.105</v>
      </c>
      <c r="CR117" s="244">
        <v>3.86E-4</v>
      </c>
      <c r="CS117" s="243">
        <v>272.63</v>
      </c>
      <c r="CT117" s="243" t="s">
        <v>384</v>
      </c>
      <c r="CU117" s="244" t="s">
        <v>385</v>
      </c>
      <c r="CV117" s="81" t="s">
        <v>385</v>
      </c>
    </row>
    <row r="118" spans="93:100" thickTop="1" thickBot="1" x14ac:dyDescent="0.3">
      <c r="CO118" s="243" t="s">
        <v>373</v>
      </c>
      <c r="CP118" s="243" t="s">
        <v>413</v>
      </c>
      <c r="CQ118" s="244">
        <v>-5.76</v>
      </c>
      <c r="CR118" s="244">
        <v>2.2100000000000002E-2</v>
      </c>
      <c r="CS118" s="243">
        <v>-260.87</v>
      </c>
      <c r="CT118" s="243" t="s">
        <v>384</v>
      </c>
      <c r="CU118" s="244" t="s">
        <v>385</v>
      </c>
      <c r="CV118" s="81" t="s">
        <v>385</v>
      </c>
    </row>
    <row r="119" spans="93:100" thickTop="1" thickBot="1" x14ac:dyDescent="0.3">
      <c r="CO119" s="243" t="s">
        <v>373</v>
      </c>
      <c r="CP119" s="243" t="s">
        <v>426</v>
      </c>
      <c r="CQ119" s="244">
        <v>-5.78</v>
      </c>
      <c r="CR119" s="244">
        <v>1.7100000000000001E-2</v>
      </c>
      <c r="CS119" s="243">
        <v>-339.05</v>
      </c>
      <c r="CT119" s="243" t="s">
        <v>384</v>
      </c>
      <c r="CU119" s="243" t="s">
        <v>385</v>
      </c>
    </row>
    <row r="120" spans="93:100" thickTop="1" thickBot="1" x14ac:dyDescent="0.3">
      <c r="CO120" s="243" t="s">
        <v>373</v>
      </c>
      <c r="CP120" s="243" t="s">
        <v>365</v>
      </c>
      <c r="CQ120" s="244">
        <v>70</v>
      </c>
      <c r="CR120" s="244">
        <v>0.60499999999999998</v>
      </c>
      <c r="CS120" s="243">
        <v>115.72</v>
      </c>
      <c r="CT120" s="243" t="s">
        <v>384</v>
      </c>
      <c r="CU120" s="244" t="s">
        <v>385</v>
      </c>
      <c r="CV120" s="81" t="s">
        <v>385</v>
      </c>
    </row>
    <row r="121" spans="93:100" thickTop="1" thickBot="1" x14ac:dyDescent="0.3">
      <c r="CO121" s="243" t="s">
        <v>373</v>
      </c>
      <c r="CP121" s="243" t="s">
        <v>367</v>
      </c>
      <c r="CQ121" s="244">
        <v>21.3</v>
      </c>
      <c r="CR121" s="244">
        <v>57.9</v>
      </c>
      <c r="CS121" s="243">
        <v>0.37</v>
      </c>
      <c r="CT121" s="243">
        <v>0.71</v>
      </c>
    </row>
    <row r="122" spans="93:100" thickTop="1" thickBot="1" x14ac:dyDescent="0.3">
      <c r="CO122" s="243" t="s">
        <v>373</v>
      </c>
      <c r="CP122" s="243" t="s">
        <v>369</v>
      </c>
      <c r="CQ122" s="244">
        <v>120</v>
      </c>
      <c r="CR122" s="244">
        <v>1.98</v>
      </c>
      <c r="CS122" s="243">
        <v>60.65</v>
      </c>
      <c r="CT122" s="243" t="s">
        <v>384</v>
      </c>
      <c r="CU122" s="243" t="s">
        <v>385</v>
      </c>
    </row>
  </sheetData>
  <mergeCells count="8">
    <mergeCell ref="F36:G36"/>
    <mergeCell ref="B1:H1"/>
    <mergeCell ref="B3:I3"/>
    <mergeCell ref="K3:U3"/>
    <mergeCell ref="W3:AH3"/>
    <mergeCell ref="L4:P4"/>
    <mergeCell ref="F33:G33"/>
    <mergeCell ref="F34:G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C120"/>
  <sheetViews>
    <sheetView zoomScale="90" zoomScaleNormal="90" workbookViewId="0">
      <selection activeCell="AP40" sqref="AP40"/>
    </sheetView>
  </sheetViews>
  <sheetFormatPr defaultColWidth="9.140625" defaultRowHeight="16.5" thickTop="1" thickBottom="1" x14ac:dyDescent="0.3"/>
  <cols>
    <col min="1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2"/>
    <col min="19" max="21" width="9.140625" style="81"/>
    <col min="22" max="22" width="9.140625" style="1"/>
    <col min="23" max="34" width="9.140625" style="172"/>
    <col min="35" max="35" width="9.140625" style="81"/>
    <col min="36" max="37" width="9.140625" style="157"/>
    <col min="38" max="38" width="9.140625" style="158"/>
    <col min="39" max="39" width="10.28515625" style="158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0"/>
    <col min="52" max="52" width="14.7109375" style="161" bestFit="1" customWidth="1"/>
    <col min="53" max="53" width="9.140625" style="160"/>
    <col min="54" max="54" width="9.140625" style="170"/>
    <col min="55" max="67" width="9.140625" style="81"/>
    <col min="68" max="68" width="15.42578125" style="81" customWidth="1"/>
    <col min="69" max="69" width="9.140625" style="81"/>
    <col min="70" max="70" width="9.140625" style="170"/>
    <col min="71" max="82" width="9.140625" style="81"/>
    <col min="83" max="83" width="15" style="81" bestFit="1" customWidth="1"/>
    <col min="84" max="85" width="9.140625" style="81"/>
    <col min="86" max="86" width="9.140625" style="238"/>
    <col min="87" max="92" width="9.140625" style="81"/>
    <col min="93" max="99" width="9.140625" style="243"/>
    <col min="100" max="100" width="9.140625" style="81"/>
    <col min="101" max="101" width="15.5703125" style="245" bestFit="1" customWidth="1"/>
    <col min="102" max="103" width="9.140625" style="245"/>
    <col min="104" max="104" width="10.28515625" style="245" customWidth="1"/>
    <col min="105" max="105" width="9.140625" style="245"/>
    <col min="106" max="16384" width="9.140625" style="81"/>
  </cols>
  <sheetData>
    <row r="1" spans="2:105" ht="20.25" customHeight="1" thickTop="1" thickBot="1" x14ac:dyDescent="0.35">
      <c r="B1" s="277" t="s">
        <v>307</v>
      </c>
      <c r="C1" s="277"/>
      <c r="D1" s="277"/>
      <c r="E1" s="277"/>
      <c r="F1" s="277"/>
      <c r="G1" s="277"/>
      <c r="H1" s="277"/>
      <c r="AO1" s="159" t="s">
        <v>309</v>
      </c>
      <c r="BS1" s="81" t="s">
        <v>427</v>
      </c>
    </row>
    <row r="2" spans="2:105" thickTop="1" thickBot="1" x14ac:dyDescent="0.3">
      <c r="AO2" s="81" t="s">
        <v>310</v>
      </c>
      <c r="CA2" s="165" t="s">
        <v>313</v>
      </c>
      <c r="CB2" s="160"/>
      <c r="CC2" s="160"/>
      <c r="CD2" s="160"/>
      <c r="CE2" s="161"/>
      <c r="CF2" s="160"/>
      <c r="CI2" s="81" t="s">
        <v>311</v>
      </c>
      <c r="CJ2" s="79" t="s">
        <v>437</v>
      </c>
      <c r="CK2" s="79" t="s">
        <v>438</v>
      </c>
      <c r="CL2" s="79" t="s">
        <v>439</v>
      </c>
      <c r="CO2" s="243" t="s">
        <v>440</v>
      </c>
    </row>
    <row r="3" spans="2:105" thickTop="1" thickBot="1" x14ac:dyDescent="0.3">
      <c r="B3" s="281" t="s">
        <v>1</v>
      </c>
      <c r="C3" s="282"/>
      <c r="D3" s="282"/>
      <c r="E3" s="282"/>
      <c r="F3" s="282"/>
      <c r="G3" s="282"/>
      <c r="H3" s="282"/>
      <c r="I3" s="283"/>
      <c r="K3" s="274" t="s">
        <v>2</v>
      </c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4"/>
      <c r="W3" s="280" t="s">
        <v>3</v>
      </c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O3" s="162" t="s">
        <v>311</v>
      </c>
      <c r="AP3" s="163" t="s">
        <v>312</v>
      </c>
      <c r="AQ3" s="163"/>
      <c r="AR3" s="164"/>
      <c r="AS3" s="164"/>
      <c r="AT3" s="164"/>
      <c r="AV3" s="165" t="s">
        <v>313</v>
      </c>
      <c r="BC3" s="81" t="s">
        <v>373</v>
      </c>
      <c r="BD3" s="81" t="s">
        <v>374</v>
      </c>
      <c r="BE3" s="81" t="s">
        <v>375</v>
      </c>
      <c r="BL3" s="165" t="s">
        <v>313</v>
      </c>
      <c r="BM3" s="160"/>
      <c r="BN3" s="160"/>
      <c r="BO3" s="160"/>
      <c r="BP3" s="161"/>
      <c r="BQ3" s="160"/>
      <c r="BS3" s="81" t="s">
        <v>373</v>
      </c>
      <c r="BT3" s="81" t="s">
        <v>374</v>
      </c>
      <c r="BU3" s="81" t="s">
        <v>375</v>
      </c>
      <c r="CA3" s="167" t="s">
        <v>314</v>
      </c>
      <c r="CB3" s="167" t="s">
        <v>315</v>
      </c>
      <c r="CC3" s="167" t="s">
        <v>316</v>
      </c>
      <c r="CD3" s="171" t="s">
        <v>318</v>
      </c>
      <c r="CE3" s="161">
        <f>BU11</f>
        <v>0.22</v>
      </c>
      <c r="CF3" s="167" t="s">
        <v>317</v>
      </c>
      <c r="CI3" s="81" t="s">
        <v>316</v>
      </c>
      <c r="CJ3" s="239">
        <f>AZ4</f>
        <v>0.2941035384173743</v>
      </c>
      <c r="CK3" s="239">
        <f>BP4</f>
        <v>0.18</v>
      </c>
      <c r="CL3" s="239">
        <f>CE3</f>
        <v>0.22</v>
      </c>
      <c r="CO3" s="243" t="s">
        <v>373</v>
      </c>
      <c r="CP3" s="243" t="s">
        <v>374</v>
      </c>
      <c r="CQ3" s="243" t="s">
        <v>441</v>
      </c>
      <c r="CW3" s="245" t="s">
        <v>459</v>
      </c>
    </row>
    <row r="4" spans="2:105" ht="15.75" customHeight="1" thickTop="1" thickBot="1" x14ac:dyDescent="0.3">
      <c r="B4" s="234" t="s">
        <v>6</v>
      </c>
      <c r="C4" s="235">
        <f>'Tabula data'!B5</f>
        <v>766</v>
      </c>
      <c r="D4" s="235" t="s">
        <v>7</v>
      </c>
      <c r="E4" s="234" t="s">
        <v>8</v>
      </c>
      <c r="F4" s="235"/>
      <c r="G4" s="235"/>
      <c r="H4" s="236">
        <f>SUM(I6:I13)</f>
        <v>41.2</v>
      </c>
      <c r="I4" s="237" t="s">
        <v>9</v>
      </c>
      <c r="L4" s="284" t="s">
        <v>432</v>
      </c>
      <c r="M4" s="285"/>
      <c r="N4" s="285"/>
      <c r="O4" s="285"/>
      <c r="P4" s="286"/>
      <c r="Z4" s="221" t="s">
        <v>4</v>
      </c>
      <c r="AA4" s="221">
        <v>1.7</v>
      </c>
      <c r="AB4" s="221" t="s">
        <v>5</v>
      </c>
      <c r="AM4" s="158" t="s">
        <v>314</v>
      </c>
      <c r="AN4" s="81" t="s">
        <v>315</v>
      </c>
      <c r="AO4" s="81" t="s">
        <v>316</v>
      </c>
      <c r="AP4" s="81">
        <f>SUM(O6:O9)/SUM($O$6:$O$14,$O$26:$O$27)</f>
        <v>0.2941035384173743</v>
      </c>
      <c r="AQ4" s="81" t="s">
        <v>317</v>
      </c>
      <c r="AR4" s="166">
        <v>0.1641929</v>
      </c>
      <c r="AV4" s="167" t="s">
        <v>314</v>
      </c>
      <c r="AW4" s="167" t="s">
        <v>315</v>
      </c>
      <c r="AX4" s="167" t="s">
        <v>316</v>
      </c>
      <c r="AY4" s="168" t="s">
        <v>318</v>
      </c>
      <c r="AZ4" s="161">
        <f>AP4</f>
        <v>0.2941035384173743</v>
      </c>
      <c r="BA4" s="167" t="s">
        <v>317</v>
      </c>
      <c r="BC4" s="81" t="s">
        <v>373</v>
      </c>
      <c r="BD4" s="81" t="s">
        <v>376</v>
      </c>
      <c r="BL4" s="167" t="s">
        <v>314</v>
      </c>
      <c r="BM4" s="167" t="s">
        <v>315</v>
      </c>
      <c r="BN4" s="167" t="s">
        <v>316</v>
      </c>
      <c r="BO4" s="168" t="s">
        <v>318</v>
      </c>
      <c r="BP4" s="161">
        <f>BE11</f>
        <v>0.18</v>
      </c>
      <c r="BQ4" s="167" t="s">
        <v>317</v>
      </c>
      <c r="BS4" s="81" t="s">
        <v>373</v>
      </c>
      <c r="BT4" s="81" t="s">
        <v>376</v>
      </c>
      <c r="CA4" s="167" t="s">
        <v>314</v>
      </c>
      <c r="CB4" s="167" t="s">
        <v>315</v>
      </c>
      <c r="CC4" s="167" t="s">
        <v>319</v>
      </c>
      <c r="CD4" s="171" t="s">
        <v>318</v>
      </c>
      <c r="CE4" s="161">
        <f t="shared" ref="CE4:CE6" si="0">BU12</f>
        <v>0.45400000000000001</v>
      </c>
      <c r="CF4" s="167" t="s">
        <v>317</v>
      </c>
      <c r="CI4" s="81" t="s">
        <v>319</v>
      </c>
      <c r="CJ4" s="239">
        <f t="shared" ref="CJ4:CJ49" si="1">AZ5</f>
        <v>0.2941035384173743</v>
      </c>
      <c r="CK4" s="239">
        <f t="shared" ref="CK4:CK49" si="2">BP5</f>
        <v>0.33600000000000002</v>
      </c>
      <c r="CL4" s="239">
        <f t="shared" ref="CL4:CL49" si="3">CE4</f>
        <v>0.45400000000000001</v>
      </c>
      <c r="CO4" s="243" t="s">
        <v>373</v>
      </c>
      <c r="CP4" s="243" t="s">
        <v>376</v>
      </c>
    </row>
    <row r="5" spans="2:105" ht="15" customHeight="1" thickTop="1" thickBot="1" x14ac:dyDescent="0.3">
      <c r="B5" s="173"/>
      <c r="C5" s="174"/>
      <c r="D5" s="174"/>
      <c r="E5" s="175"/>
      <c r="F5" s="176"/>
      <c r="G5" s="176"/>
      <c r="H5" s="176"/>
      <c r="I5" s="177"/>
      <c r="K5" s="81" t="s">
        <v>10</v>
      </c>
      <c r="L5" s="201" t="s">
        <v>11</v>
      </c>
      <c r="M5" s="202" t="s">
        <v>12</v>
      </c>
      <c r="N5" s="202" t="s">
        <v>13</v>
      </c>
      <c r="O5" s="202" t="s">
        <v>14</v>
      </c>
      <c r="P5" s="20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16" t="s">
        <v>20</v>
      </c>
      <c r="Y5" s="217"/>
      <c r="Z5" s="218" t="s">
        <v>21</v>
      </c>
      <c r="AA5" s="219">
        <f>1/(1/10+SUM(AD7:AD11)+1/23)</f>
        <v>0.14117683417924493</v>
      </c>
      <c r="AB5" s="217" t="s">
        <v>5</v>
      </c>
      <c r="AC5" s="217"/>
      <c r="AD5" s="217" t="s">
        <v>22</v>
      </c>
      <c r="AE5" s="220">
        <f>SUM(AE7:AE11)</f>
        <v>95402</v>
      </c>
      <c r="AF5" s="222" t="s">
        <v>23</v>
      </c>
      <c r="AG5" s="222">
        <f>SUM(AE10:AE11)</f>
        <v>42230</v>
      </c>
      <c r="AH5" s="222"/>
      <c r="AM5" s="158" t="s">
        <v>314</v>
      </c>
      <c r="AN5" s="81" t="s">
        <v>315</v>
      </c>
      <c r="AO5" s="81" t="s">
        <v>319</v>
      </c>
      <c r="AP5" s="81">
        <f>SUM(O27)/SUM($O$6:$O$14,$O$26:$O$27)</f>
        <v>0.2941035384173743</v>
      </c>
      <c r="AQ5" s="81" t="s">
        <v>317</v>
      </c>
      <c r="AR5" s="166">
        <v>0.42146270000000002</v>
      </c>
      <c r="AV5" s="167" t="s">
        <v>314</v>
      </c>
      <c r="AW5" s="167" t="s">
        <v>315</v>
      </c>
      <c r="AX5" s="167" t="s">
        <v>319</v>
      </c>
      <c r="AY5" s="168" t="s">
        <v>318</v>
      </c>
      <c r="AZ5" s="161">
        <f t="shared" ref="AZ5:AZ7" si="4">AP5</f>
        <v>0.2941035384173743</v>
      </c>
      <c r="BA5" s="167" t="s">
        <v>317</v>
      </c>
      <c r="BC5" s="81" t="s">
        <v>373</v>
      </c>
      <c r="BD5" s="81" t="s">
        <v>377</v>
      </c>
      <c r="BE5" s="81" t="s">
        <v>378</v>
      </c>
      <c r="BF5" s="81" t="s">
        <v>379</v>
      </c>
      <c r="BG5" s="81" t="s">
        <v>380</v>
      </c>
      <c r="BH5" s="81" t="s">
        <v>381</v>
      </c>
      <c r="BI5" s="81" t="s">
        <v>382</v>
      </c>
      <c r="BL5" s="167" t="s">
        <v>314</v>
      </c>
      <c r="BM5" s="167" t="s">
        <v>315</v>
      </c>
      <c r="BN5" s="167" t="s">
        <v>319</v>
      </c>
      <c r="BO5" s="168" t="s">
        <v>318</v>
      </c>
      <c r="BP5" s="161">
        <f t="shared" ref="BP5:BP7" si="5">BE12</f>
        <v>0.33600000000000002</v>
      </c>
      <c r="BQ5" s="167" t="s">
        <v>317</v>
      </c>
      <c r="BS5" s="81" t="s">
        <v>373</v>
      </c>
      <c r="BT5" s="81" t="s">
        <v>377</v>
      </c>
      <c r="BU5" s="81" t="s">
        <v>378</v>
      </c>
      <c r="BV5" s="81" t="s">
        <v>379</v>
      </c>
      <c r="BW5" s="81" t="s">
        <v>380</v>
      </c>
      <c r="BX5" s="81" t="s">
        <v>381</v>
      </c>
      <c r="BY5" s="81" t="s">
        <v>382</v>
      </c>
      <c r="CA5" s="167" t="s">
        <v>314</v>
      </c>
      <c r="CB5" s="167" t="s">
        <v>315</v>
      </c>
      <c r="CC5" s="167" t="s">
        <v>320</v>
      </c>
      <c r="CD5" s="168" t="s">
        <v>318</v>
      </c>
      <c r="CE5" s="161">
        <f t="shared" si="0"/>
        <v>5.8500000000000003E-2</v>
      </c>
      <c r="CF5" s="167" t="s">
        <v>317</v>
      </c>
      <c r="CI5" s="81" t="s">
        <v>320</v>
      </c>
      <c r="CJ5" s="239">
        <f t="shared" si="1"/>
        <v>3.8578832848511733E-2</v>
      </c>
      <c r="CK5" s="239">
        <f t="shared" si="2"/>
        <v>0.33700000000000002</v>
      </c>
      <c r="CL5" s="239">
        <f t="shared" si="3"/>
        <v>5.8500000000000003E-2</v>
      </c>
      <c r="CO5" s="243" t="s">
        <v>373</v>
      </c>
      <c r="CP5" s="243" t="s">
        <v>377</v>
      </c>
      <c r="CQ5" s="243" t="s">
        <v>378</v>
      </c>
      <c r="CR5" s="243" t="s">
        <v>379</v>
      </c>
      <c r="CS5" s="243" t="s">
        <v>380</v>
      </c>
      <c r="CT5" s="243" t="s">
        <v>381</v>
      </c>
      <c r="CU5" s="243" t="s">
        <v>382</v>
      </c>
      <c r="CW5" s="245" t="s">
        <v>460</v>
      </c>
      <c r="CX5" s="246" t="s">
        <v>461</v>
      </c>
      <c r="CY5" s="246" t="s">
        <v>318</v>
      </c>
      <c r="CZ5" s="247">
        <f>CQ11</f>
        <v>0.96399999999999997</v>
      </c>
      <c r="DA5" s="245" t="s">
        <v>317</v>
      </c>
    </row>
    <row r="6" spans="2:105" ht="15" customHeight="1" thickTop="1" thickBot="1" x14ac:dyDescent="0.3">
      <c r="B6" s="193" t="s">
        <v>34</v>
      </c>
      <c r="C6" s="195">
        <f>'Tabula data'!B4</f>
        <v>279</v>
      </c>
      <c r="D6" s="196" t="s">
        <v>9</v>
      </c>
      <c r="E6" s="178" t="s">
        <v>35</v>
      </c>
      <c r="F6" s="176" t="s">
        <v>36</v>
      </c>
      <c r="G6" s="179">
        <f t="shared" ref="G6:G13" si="6">I6/$H$4</f>
        <v>0.18349514563106795</v>
      </c>
      <c r="H6" s="176"/>
      <c r="I6" s="180">
        <f>'Tabula data'!B16*'Tabula 2zone Ref 2 (LE)'!D45</f>
        <v>7.56</v>
      </c>
      <c r="K6" s="81" t="s">
        <v>24</v>
      </c>
      <c r="L6" s="204">
        <v>0</v>
      </c>
      <c r="M6" s="205">
        <v>1</v>
      </c>
      <c r="N6" s="205" t="s">
        <v>25</v>
      </c>
      <c r="O6" s="206">
        <f>'Tabula data'!B10*D42/2*D43</f>
        <v>69.641550000000009</v>
      </c>
      <c r="P6" s="207" t="s">
        <v>26</v>
      </c>
      <c r="Q6" s="30">
        <f t="shared" ref="Q6:Q28" si="7">VLOOKUP(N6,$X$5:$AA$393,4,0)</f>
        <v>0.18334883383860953</v>
      </c>
      <c r="R6" s="30">
        <f t="shared" ref="R6:R28" si="8">Q6*O6</f>
        <v>12.768696979213219</v>
      </c>
      <c r="S6" s="30">
        <f t="shared" ref="S6:S14" si="9">VLOOKUP(N6,$X$5:$AE$393,8,0)*O6</f>
        <v>31649744.518920004</v>
      </c>
      <c r="T6" s="30">
        <f t="shared" ref="T6:T14" si="10">S6/O6</f>
        <v>454466.4</v>
      </c>
      <c r="U6" s="30">
        <f t="shared" ref="U6:U14" si="11">VLOOKUP(N6,$X$5:$AG$392,10,0)*O6</f>
        <v>28196470.764000002</v>
      </c>
      <c r="V6" s="31"/>
      <c r="W6" s="223"/>
      <c r="X6" s="224"/>
      <c r="Y6" s="225" t="s">
        <v>27</v>
      </c>
      <c r="Z6" s="225" t="s">
        <v>28</v>
      </c>
      <c r="AA6" s="225" t="s">
        <v>29</v>
      </c>
      <c r="AB6" s="225" t="s">
        <v>30</v>
      </c>
      <c r="AC6" s="225" t="s">
        <v>31</v>
      </c>
      <c r="AD6" s="225" t="s">
        <v>32</v>
      </c>
      <c r="AE6" s="226" t="s">
        <v>33</v>
      </c>
      <c r="AF6" s="222"/>
      <c r="AG6" s="222"/>
      <c r="AH6" s="222"/>
      <c r="AM6" s="158" t="s">
        <v>314</v>
      </c>
      <c r="AN6" s="81" t="s">
        <v>315</v>
      </c>
      <c r="AO6" s="81" t="s">
        <v>320</v>
      </c>
      <c r="AP6" s="81">
        <f>SUM(O10:O13)/SUM($O$6:$O$14,$O$26:$O$27)</f>
        <v>3.8578832848511733E-2</v>
      </c>
      <c r="AQ6" s="81" t="s">
        <v>317</v>
      </c>
      <c r="AR6" s="166">
        <v>0.13510150000000001</v>
      </c>
      <c r="AV6" s="167" t="s">
        <v>314</v>
      </c>
      <c r="AW6" s="167" t="s">
        <v>315</v>
      </c>
      <c r="AX6" s="167" t="s">
        <v>320</v>
      </c>
      <c r="AY6" s="168" t="s">
        <v>318</v>
      </c>
      <c r="AZ6" s="161">
        <f t="shared" si="4"/>
        <v>3.8578832848511733E-2</v>
      </c>
      <c r="BA6" s="167" t="s">
        <v>317</v>
      </c>
      <c r="BC6" s="81" t="s">
        <v>373</v>
      </c>
      <c r="BD6" s="81" t="s">
        <v>383</v>
      </c>
      <c r="BE6" s="166">
        <v>294</v>
      </c>
      <c r="BF6" s="166">
        <v>7.8200000000000006E-2</v>
      </c>
      <c r="BG6" s="81">
        <v>3752.8</v>
      </c>
      <c r="BH6" s="81" t="s">
        <v>384</v>
      </c>
      <c r="BI6" s="81" t="s">
        <v>385</v>
      </c>
      <c r="BL6" s="167" t="s">
        <v>314</v>
      </c>
      <c r="BM6" s="167" t="s">
        <v>315</v>
      </c>
      <c r="BN6" s="167" t="s">
        <v>320</v>
      </c>
      <c r="BO6" s="168" t="s">
        <v>318</v>
      </c>
      <c r="BP6" s="161">
        <f t="shared" si="5"/>
        <v>0.33700000000000002</v>
      </c>
      <c r="BQ6" s="167" t="s">
        <v>317</v>
      </c>
      <c r="BS6" s="81" t="s">
        <v>373</v>
      </c>
      <c r="BT6" s="81" t="s">
        <v>383</v>
      </c>
      <c r="BU6" s="166">
        <v>290</v>
      </c>
      <c r="BV6" s="166">
        <v>0.105</v>
      </c>
      <c r="BW6" s="81">
        <v>2755.29</v>
      </c>
      <c r="BX6" s="81" t="s">
        <v>384</v>
      </c>
      <c r="BY6" s="81" t="s">
        <v>385</v>
      </c>
      <c r="CA6" s="167" t="s">
        <v>314</v>
      </c>
      <c r="CB6" s="167" t="s">
        <v>315</v>
      </c>
      <c r="CC6" s="167" t="s">
        <v>321</v>
      </c>
      <c r="CD6" s="168" t="s">
        <v>318</v>
      </c>
      <c r="CE6" s="161">
        <f t="shared" si="0"/>
        <v>0.152</v>
      </c>
      <c r="CF6" s="167" t="s">
        <v>317</v>
      </c>
      <c r="CI6" s="81" t="s">
        <v>321</v>
      </c>
      <c r="CJ6" s="239">
        <f t="shared" si="1"/>
        <v>0.17965108361841634</v>
      </c>
      <c r="CK6" s="239">
        <f t="shared" si="2"/>
        <v>0.10299999999999999</v>
      </c>
      <c r="CL6" s="239">
        <f t="shared" si="3"/>
        <v>0.152</v>
      </c>
      <c r="CO6" s="243" t="s">
        <v>373</v>
      </c>
      <c r="CP6" s="243" t="s">
        <v>383</v>
      </c>
      <c r="CQ6" s="244">
        <v>290</v>
      </c>
      <c r="CR6" s="244">
        <v>0.112</v>
      </c>
      <c r="CS6" s="243">
        <v>2599.9299999999998</v>
      </c>
      <c r="CT6" s="243" t="s">
        <v>420</v>
      </c>
      <c r="CU6" s="244">
        <v>2E-16</v>
      </c>
      <c r="CV6" s="81" t="s">
        <v>385</v>
      </c>
      <c r="CW6" s="245" t="s">
        <v>460</v>
      </c>
      <c r="CX6" s="246" t="s">
        <v>462</v>
      </c>
      <c r="CY6" s="246" t="s">
        <v>318</v>
      </c>
      <c r="CZ6" s="247">
        <f t="shared" ref="CZ6:CZ24" si="12">CQ12</f>
        <v>1.39</v>
      </c>
      <c r="DA6" s="245" t="s">
        <v>317</v>
      </c>
    </row>
    <row r="7" spans="2:105" ht="15" customHeight="1" thickTop="1" thickBot="1" x14ac:dyDescent="0.3">
      <c r="B7" s="178" t="s">
        <v>42</v>
      </c>
      <c r="C7" s="183">
        <f>'Tabula data'!B14</f>
        <v>134.30000000000001</v>
      </c>
      <c r="D7" s="189" t="s">
        <v>9</v>
      </c>
      <c r="E7" s="178" t="s">
        <v>43</v>
      </c>
      <c r="F7" s="176" t="s">
        <v>36</v>
      </c>
      <c r="G7" s="179">
        <f t="shared" si="6"/>
        <v>0.15800970873786407</v>
      </c>
      <c r="H7" s="176"/>
      <c r="I7" s="180">
        <f>'Tabula data'!B17*'Tabula 2zone Ref 2 (LE)'!D45</f>
        <v>6.51</v>
      </c>
      <c r="K7" s="81" t="s">
        <v>38</v>
      </c>
      <c r="L7" s="208">
        <v>0</v>
      </c>
      <c r="M7" s="209">
        <v>1</v>
      </c>
      <c r="N7" s="209" t="s">
        <v>25</v>
      </c>
      <c r="O7" s="210">
        <f>'Tabula data'!B10*(1-D42)/2*D44</f>
        <v>40.288499999999999</v>
      </c>
      <c r="P7" s="211" t="s">
        <v>39</v>
      </c>
      <c r="Q7" s="30">
        <f t="shared" si="7"/>
        <v>0.18334883383860953</v>
      </c>
      <c r="R7" s="30">
        <f t="shared" si="8"/>
        <v>7.38684949210682</v>
      </c>
      <c r="S7" s="30">
        <f t="shared" si="9"/>
        <v>18309769.556400001</v>
      </c>
      <c r="T7" s="30">
        <f t="shared" si="10"/>
        <v>454466.4</v>
      </c>
      <c r="U7" s="30">
        <f t="shared" si="11"/>
        <v>16312007.879999999</v>
      </c>
      <c r="V7" s="31"/>
      <c r="W7" s="223"/>
      <c r="X7" s="175"/>
      <c r="Y7" s="176" t="s">
        <v>40</v>
      </c>
      <c r="Z7" s="176">
        <v>2.5000000000000001E-2</v>
      </c>
      <c r="AA7" s="176">
        <v>1.3</v>
      </c>
      <c r="AB7" s="176">
        <v>1700</v>
      </c>
      <c r="AC7" s="176">
        <v>840</v>
      </c>
      <c r="AD7" s="227">
        <f>Z7/AA7</f>
        <v>1.9230769230769232E-2</v>
      </c>
      <c r="AE7" s="177">
        <f>Z7*AB7*AC7</f>
        <v>35700</v>
      </c>
      <c r="AF7" s="222" t="s">
        <v>41</v>
      </c>
      <c r="AG7" s="222"/>
      <c r="AH7" s="222"/>
      <c r="AM7" s="158" t="s">
        <v>314</v>
      </c>
      <c r="AN7" s="81" t="s">
        <v>315</v>
      </c>
      <c r="AO7" s="81" t="s">
        <v>321</v>
      </c>
      <c r="AP7" s="81">
        <f>SUM(O14)/SUM(O6:O14,O27,O26)</f>
        <v>0.17965108361841634</v>
      </c>
      <c r="AQ7" s="81" t="s">
        <v>317</v>
      </c>
      <c r="AR7" s="166">
        <v>0.161666</v>
      </c>
      <c r="AV7" s="167" t="s">
        <v>314</v>
      </c>
      <c r="AW7" s="167" t="s">
        <v>315</v>
      </c>
      <c r="AX7" s="167" t="s">
        <v>321</v>
      </c>
      <c r="AY7" s="168" t="s">
        <v>318</v>
      </c>
      <c r="AZ7" s="161">
        <f t="shared" si="4"/>
        <v>0.17965108361841634</v>
      </c>
      <c r="BA7" s="167" t="s">
        <v>317</v>
      </c>
      <c r="BC7" s="81" t="s">
        <v>373</v>
      </c>
      <c r="BD7" s="81" t="s">
        <v>386</v>
      </c>
      <c r="BE7" s="166">
        <v>289</v>
      </c>
      <c r="BF7" s="166">
        <v>6.1899999999999997E-2</v>
      </c>
      <c r="BG7" s="81">
        <v>4670.42</v>
      </c>
      <c r="BH7" s="81" t="s">
        <v>384</v>
      </c>
      <c r="BI7" s="81" t="s">
        <v>385</v>
      </c>
      <c r="BL7" s="167" t="s">
        <v>314</v>
      </c>
      <c r="BM7" s="167" t="s">
        <v>315</v>
      </c>
      <c r="BN7" s="167" t="s">
        <v>321</v>
      </c>
      <c r="BO7" s="168" t="s">
        <v>318</v>
      </c>
      <c r="BP7" s="161">
        <f t="shared" si="5"/>
        <v>0.10299999999999999</v>
      </c>
      <c r="BQ7" s="167" t="s">
        <v>317</v>
      </c>
      <c r="BS7" s="81" t="s">
        <v>373</v>
      </c>
      <c r="BT7" s="81" t="s">
        <v>386</v>
      </c>
      <c r="BU7" s="166">
        <v>286</v>
      </c>
      <c r="BV7" s="166">
        <v>5.2200000000000003E-2</v>
      </c>
      <c r="BW7" s="81">
        <v>5486.87</v>
      </c>
      <c r="BX7" s="81" t="s">
        <v>384</v>
      </c>
      <c r="BY7" s="81" t="s">
        <v>385</v>
      </c>
      <c r="CA7" s="167"/>
      <c r="CB7" s="167"/>
      <c r="CC7" s="167"/>
      <c r="CD7" s="168"/>
      <c r="CE7" s="161"/>
      <c r="CF7" s="167"/>
      <c r="CJ7" s="240"/>
      <c r="CK7" s="240"/>
      <c r="CL7" s="240"/>
      <c r="CO7" s="243" t="s">
        <v>373</v>
      </c>
      <c r="CP7" s="243" t="s">
        <v>386</v>
      </c>
      <c r="CQ7" s="244">
        <v>286</v>
      </c>
      <c r="CR7" s="244">
        <v>5.8000000000000003E-2</v>
      </c>
      <c r="CS7" s="243">
        <v>4938.09</v>
      </c>
      <c r="CT7" s="243" t="s">
        <v>420</v>
      </c>
      <c r="CU7" s="244">
        <v>2E-16</v>
      </c>
      <c r="CV7" s="81" t="s">
        <v>385</v>
      </c>
      <c r="CW7" s="245" t="s">
        <v>460</v>
      </c>
      <c r="CX7" s="248" t="s">
        <v>463</v>
      </c>
      <c r="CY7" s="246" t="s">
        <v>318</v>
      </c>
      <c r="CZ7" s="247">
        <f t="shared" si="12"/>
        <v>1.27</v>
      </c>
      <c r="DA7" s="245" t="s">
        <v>317</v>
      </c>
    </row>
    <row r="8" spans="2:105" ht="15" customHeight="1" thickTop="1" thickBot="1" x14ac:dyDescent="0.3">
      <c r="B8" s="178" t="s">
        <v>47</v>
      </c>
      <c r="C8" s="183">
        <f>C6-C7</f>
        <v>144.69999999999999</v>
      </c>
      <c r="D8" s="176" t="s">
        <v>9</v>
      </c>
      <c r="E8" s="178" t="s">
        <v>48</v>
      </c>
      <c r="F8" s="176" t="s">
        <v>36</v>
      </c>
      <c r="G8" s="179">
        <f t="shared" si="6"/>
        <v>0.2072815533980582</v>
      </c>
      <c r="H8" s="176"/>
      <c r="I8" s="180">
        <f>'Tabula data'!B18*D45</f>
        <v>8.5399999999999991</v>
      </c>
      <c r="K8" s="81" t="s">
        <v>44</v>
      </c>
      <c r="L8" s="208">
        <v>0</v>
      </c>
      <c r="M8" s="209">
        <v>1</v>
      </c>
      <c r="N8" s="209" t="s">
        <v>25</v>
      </c>
      <c r="O8" s="210">
        <f>O6</f>
        <v>69.641550000000009</v>
      </c>
      <c r="P8" s="211" t="s">
        <v>45</v>
      </c>
      <c r="Q8" s="30">
        <f t="shared" si="7"/>
        <v>0.18334883383860953</v>
      </c>
      <c r="R8" s="30">
        <f t="shared" si="8"/>
        <v>12.768696979213219</v>
      </c>
      <c r="S8" s="30">
        <f t="shared" si="9"/>
        <v>31649744.518920004</v>
      </c>
      <c r="T8" s="30">
        <f t="shared" si="10"/>
        <v>454466.4</v>
      </c>
      <c r="U8" s="30">
        <f t="shared" si="11"/>
        <v>28196470.764000002</v>
      </c>
      <c r="V8" s="31"/>
      <c r="W8" s="223"/>
      <c r="X8" s="175"/>
      <c r="Y8" s="176" t="s">
        <v>46</v>
      </c>
      <c r="Z8" s="176">
        <v>0.03</v>
      </c>
      <c r="AA8" s="176">
        <f>0.18/Z8</f>
        <v>6</v>
      </c>
      <c r="AB8" s="176">
        <v>0</v>
      </c>
      <c r="AC8" s="176">
        <v>0</v>
      </c>
      <c r="AD8" s="227">
        <v>0.16</v>
      </c>
      <c r="AE8" s="177">
        <f>Z8*AB8*AC8</f>
        <v>0</v>
      </c>
      <c r="AF8" s="222"/>
      <c r="AG8" s="222"/>
      <c r="AH8" s="222"/>
      <c r="AQ8" s="81" t="s">
        <v>317</v>
      </c>
      <c r="AR8" s="166"/>
      <c r="AV8" s="167"/>
      <c r="AW8" s="167"/>
      <c r="AX8" s="167"/>
      <c r="AY8" s="168"/>
      <c r="BA8" s="167"/>
      <c r="BC8" s="81" t="s">
        <v>373</v>
      </c>
      <c r="BD8" s="81" t="s">
        <v>387</v>
      </c>
      <c r="BE8" s="166">
        <v>294</v>
      </c>
      <c r="BF8" s="166">
        <v>1.9099999999999999E-2</v>
      </c>
      <c r="BG8" s="81">
        <v>15359.29</v>
      </c>
      <c r="BH8" s="81" t="s">
        <v>384</v>
      </c>
      <c r="BI8" s="81" t="s">
        <v>385</v>
      </c>
      <c r="BL8" s="167"/>
      <c r="BM8" s="167"/>
      <c r="BN8" s="167"/>
      <c r="BO8" s="168"/>
      <c r="BP8" s="161"/>
      <c r="BQ8" s="167"/>
      <c r="BS8" s="81" t="s">
        <v>373</v>
      </c>
      <c r="BT8" s="81" t="s">
        <v>387</v>
      </c>
      <c r="BU8" s="166">
        <v>295</v>
      </c>
      <c r="BV8" s="166">
        <v>8.5800000000000001E-2</v>
      </c>
      <c r="BW8" s="81">
        <v>3431.93</v>
      </c>
      <c r="BX8" s="81" t="s">
        <v>384</v>
      </c>
      <c r="BY8" s="81" t="s">
        <v>385</v>
      </c>
      <c r="CA8" s="167" t="s">
        <v>314</v>
      </c>
      <c r="CB8" s="167" t="s">
        <v>315</v>
      </c>
      <c r="CC8" s="167" t="s">
        <v>322</v>
      </c>
      <c r="CD8" s="168" t="s">
        <v>318</v>
      </c>
      <c r="CE8" s="161">
        <f>BU19</f>
        <v>2910000</v>
      </c>
      <c r="CF8" s="167" t="s">
        <v>317</v>
      </c>
      <c r="CI8" s="81" t="s">
        <v>322</v>
      </c>
      <c r="CJ8" s="241">
        <f t="shared" si="1"/>
        <v>1940369.480716846</v>
      </c>
      <c r="CK8" s="241">
        <f t="shared" si="2"/>
        <v>2900000</v>
      </c>
      <c r="CL8" s="241">
        <f t="shared" si="3"/>
        <v>2910000</v>
      </c>
      <c r="CO8" s="243" t="s">
        <v>373</v>
      </c>
      <c r="CP8" s="243" t="s">
        <v>387</v>
      </c>
      <c r="CQ8" s="244">
        <v>295</v>
      </c>
      <c r="CR8" s="244">
        <v>7.0999999999999994E-2</v>
      </c>
      <c r="CS8" s="243">
        <v>4146.3999999999996</v>
      </c>
      <c r="CT8" s="243" t="s">
        <v>420</v>
      </c>
      <c r="CU8" s="244">
        <v>2E-16</v>
      </c>
      <c r="CV8" s="81" t="s">
        <v>385</v>
      </c>
      <c r="CW8" s="245" t="s">
        <v>460</v>
      </c>
      <c r="CX8" s="249" t="s">
        <v>464</v>
      </c>
      <c r="CY8" s="246" t="s">
        <v>318</v>
      </c>
      <c r="CZ8" s="247">
        <f t="shared" si="12"/>
        <v>0.89100000000000001</v>
      </c>
      <c r="DA8" s="245" t="s">
        <v>317</v>
      </c>
    </row>
    <row r="9" spans="2:105" ht="15" customHeight="1" thickTop="1" thickBot="1" x14ac:dyDescent="0.3">
      <c r="B9" s="175"/>
      <c r="C9" s="176"/>
      <c r="D9" s="176"/>
      <c r="E9" s="178" t="s">
        <v>52</v>
      </c>
      <c r="F9" s="184" t="s">
        <v>36</v>
      </c>
      <c r="G9" s="179">
        <f t="shared" si="6"/>
        <v>0.15121359223300967</v>
      </c>
      <c r="H9" s="176"/>
      <c r="I9" s="180">
        <f>'Tabula data'!B19*'Tabula 2zone Ref 2 (LE)'!D45</f>
        <v>6.2299999999999995</v>
      </c>
      <c r="K9" s="81" t="s">
        <v>49</v>
      </c>
      <c r="L9" s="208">
        <v>0</v>
      </c>
      <c r="M9" s="209">
        <v>1</v>
      </c>
      <c r="N9" s="209" t="s">
        <v>25</v>
      </c>
      <c r="O9" s="210">
        <f>'Tabula data'!B10*(1-D42)/2*D44</f>
        <v>40.288499999999999</v>
      </c>
      <c r="P9" s="211" t="s">
        <v>50</v>
      </c>
      <c r="Q9" s="30">
        <f t="shared" si="7"/>
        <v>0.18334883383860953</v>
      </c>
      <c r="R9" s="30">
        <f t="shared" si="8"/>
        <v>7.38684949210682</v>
      </c>
      <c r="S9" s="30">
        <f t="shared" si="9"/>
        <v>18309769.556400001</v>
      </c>
      <c r="T9" s="30">
        <f t="shared" si="10"/>
        <v>454466.4</v>
      </c>
      <c r="U9" s="30">
        <f t="shared" si="11"/>
        <v>16312007.879999999</v>
      </c>
      <c r="V9" s="31"/>
      <c r="W9" s="223"/>
      <c r="X9" s="175"/>
      <c r="Y9" s="176" t="s">
        <v>499</v>
      </c>
      <c r="Z9" s="176">
        <v>0.26</v>
      </c>
      <c r="AA9" s="176">
        <v>0.04</v>
      </c>
      <c r="AB9" s="176">
        <v>80</v>
      </c>
      <c r="AC9" s="176">
        <v>840</v>
      </c>
      <c r="AD9" s="227">
        <f>Z9/AA9</f>
        <v>6.5</v>
      </c>
      <c r="AE9" s="177">
        <f>Z9*AB9*AC9</f>
        <v>17472</v>
      </c>
      <c r="AF9" s="222"/>
      <c r="AG9" s="222"/>
      <c r="AH9" s="222"/>
      <c r="AM9" s="158" t="s">
        <v>314</v>
      </c>
      <c r="AN9" s="81" t="s">
        <v>315</v>
      </c>
      <c r="AO9" s="81" t="s">
        <v>322</v>
      </c>
      <c r="AP9" s="166">
        <f>C34*1.04*1012*5</f>
        <v>1940369.480716846</v>
      </c>
      <c r="AQ9" s="81" t="s">
        <v>317</v>
      </c>
      <c r="AR9" s="166">
        <v>2745646</v>
      </c>
      <c r="AV9" s="167" t="s">
        <v>314</v>
      </c>
      <c r="AW9" s="167" t="s">
        <v>315</v>
      </c>
      <c r="AX9" s="167" t="s">
        <v>322</v>
      </c>
      <c r="AY9" s="168" t="s">
        <v>318</v>
      </c>
      <c r="AZ9" s="161">
        <f>AP9</f>
        <v>1940369.480716846</v>
      </c>
      <c r="BA9" s="167" t="s">
        <v>317</v>
      </c>
      <c r="BC9" s="81" t="s">
        <v>373</v>
      </c>
      <c r="BD9" s="81" t="s">
        <v>388</v>
      </c>
      <c r="BE9" s="166">
        <v>291</v>
      </c>
      <c r="BF9" s="166">
        <v>8.3099999999999993E-2</v>
      </c>
      <c r="BG9" s="81">
        <v>3501.39</v>
      </c>
      <c r="BH9" s="81" t="s">
        <v>384</v>
      </c>
      <c r="BI9" s="81" t="s">
        <v>385</v>
      </c>
      <c r="BL9" s="167" t="s">
        <v>314</v>
      </c>
      <c r="BM9" s="167" t="s">
        <v>315</v>
      </c>
      <c r="BN9" s="167" t="s">
        <v>322</v>
      </c>
      <c r="BO9" s="168" t="s">
        <v>318</v>
      </c>
      <c r="BP9" s="161">
        <f>BE18</f>
        <v>2900000</v>
      </c>
      <c r="BQ9" s="167" t="s">
        <v>317</v>
      </c>
      <c r="BS9" s="81" t="s">
        <v>373</v>
      </c>
      <c r="BT9" s="81" t="s">
        <v>388</v>
      </c>
      <c r="BU9" s="166">
        <v>288</v>
      </c>
      <c r="BV9" s="166">
        <v>0.16300000000000001</v>
      </c>
      <c r="BW9" s="81">
        <v>1771.76</v>
      </c>
      <c r="BX9" s="81" t="s">
        <v>384</v>
      </c>
      <c r="BY9" s="81" t="s">
        <v>385</v>
      </c>
      <c r="CA9" s="167" t="s">
        <v>314</v>
      </c>
      <c r="CB9" s="167" t="s">
        <v>315</v>
      </c>
      <c r="CC9" s="167" t="s">
        <v>323</v>
      </c>
      <c r="CD9" s="168" t="s">
        <v>318</v>
      </c>
      <c r="CE9" s="161">
        <f t="shared" ref="CE9:CE10" si="13">BU20</f>
        <v>95200000</v>
      </c>
      <c r="CF9" s="167" t="s">
        <v>317</v>
      </c>
      <c r="CI9" s="81" t="s">
        <v>323</v>
      </c>
      <c r="CJ9" s="241">
        <f t="shared" si="1"/>
        <v>89016957.288000003</v>
      </c>
      <c r="CK9" s="241">
        <f t="shared" si="2"/>
        <v>50500000</v>
      </c>
      <c r="CL9" s="241">
        <f t="shared" si="3"/>
        <v>95200000</v>
      </c>
      <c r="CO9" s="243" t="s">
        <v>373</v>
      </c>
      <c r="CP9" s="243" t="s">
        <v>388</v>
      </c>
      <c r="CQ9" s="244">
        <v>288</v>
      </c>
      <c r="CR9" s="244">
        <v>0.13500000000000001</v>
      </c>
      <c r="CS9" s="243">
        <v>2128.44</v>
      </c>
      <c r="CT9" s="243" t="s">
        <v>420</v>
      </c>
      <c r="CU9" s="244">
        <v>2E-16</v>
      </c>
      <c r="CV9" s="81" t="s">
        <v>385</v>
      </c>
      <c r="CW9" s="245" t="s">
        <v>460</v>
      </c>
      <c r="CX9" s="249" t="s">
        <v>465</v>
      </c>
      <c r="CY9" s="246" t="s">
        <v>318</v>
      </c>
      <c r="CZ9" s="247">
        <f t="shared" si="12"/>
        <v>2.1</v>
      </c>
      <c r="DA9" s="245" t="s">
        <v>317</v>
      </c>
    </row>
    <row r="10" spans="2:105" ht="15" customHeight="1" thickTop="1" thickBot="1" x14ac:dyDescent="0.3">
      <c r="B10" s="175"/>
      <c r="C10" s="176"/>
      <c r="D10" s="176"/>
      <c r="E10" s="178" t="s">
        <v>35</v>
      </c>
      <c r="F10" s="184" t="s">
        <v>56</v>
      </c>
      <c r="G10" s="179">
        <f t="shared" si="6"/>
        <v>7.8640776699029136E-2</v>
      </c>
      <c r="H10" s="176"/>
      <c r="I10" s="185">
        <f>'Tabula data'!B16*(1-D45)</f>
        <v>3.2400000000000007</v>
      </c>
      <c r="K10" s="81" t="s">
        <v>53</v>
      </c>
      <c r="L10" s="208">
        <v>0</v>
      </c>
      <c r="M10" s="209">
        <v>1</v>
      </c>
      <c r="N10" s="209" t="s">
        <v>54</v>
      </c>
      <c r="O10" s="210">
        <f>I6</f>
        <v>7.56</v>
      </c>
      <c r="P10" s="211" t="s">
        <v>26</v>
      </c>
      <c r="Q10" s="30">
        <f t="shared" si="7"/>
        <v>1.1000000000000001</v>
      </c>
      <c r="R10" s="30">
        <f t="shared" si="8"/>
        <v>8.3160000000000007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223"/>
      <c r="X10" s="175"/>
      <c r="Y10" s="184" t="s">
        <v>55</v>
      </c>
      <c r="Z10" s="176">
        <v>2.5000000000000001E-2</v>
      </c>
      <c r="AA10" s="176">
        <v>0.11</v>
      </c>
      <c r="AB10" s="176">
        <v>550</v>
      </c>
      <c r="AC10" s="176">
        <v>1880</v>
      </c>
      <c r="AD10" s="227">
        <f>Z10/AA10</f>
        <v>0.22727272727272729</v>
      </c>
      <c r="AE10" s="177">
        <f>Z10*AB10*AC10</f>
        <v>25850</v>
      </c>
      <c r="AF10" s="228" t="s">
        <v>270</v>
      </c>
      <c r="AG10" s="222"/>
      <c r="AH10" s="222"/>
      <c r="AM10" s="158" t="s">
        <v>314</v>
      </c>
      <c r="AN10" s="81" t="s">
        <v>315</v>
      </c>
      <c r="AO10" s="81" t="s">
        <v>323</v>
      </c>
      <c r="AP10" s="166">
        <f>SUM(U6:U9)</f>
        <v>89016957.288000003</v>
      </c>
      <c r="AQ10" s="81" t="s">
        <v>317</v>
      </c>
      <c r="AR10" s="166">
        <v>14395560</v>
      </c>
      <c r="AV10" s="167" t="s">
        <v>314</v>
      </c>
      <c r="AW10" s="167" t="s">
        <v>315</v>
      </c>
      <c r="AX10" s="167" t="s">
        <v>323</v>
      </c>
      <c r="AY10" s="168" t="s">
        <v>318</v>
      </c>
      <c r="AZ10" s="161">
        <f t="shared" ref="AZ10:AZ12" si="14">AP10</f>
        <v>89016957.288000003</v>
      </c>
      <c r="BA10" s="167" t="s">
        <v>317</v>
      </c>
      <c r="BC10" s="81" t="s">
        <v>373</v>
      </c>
      <c r="BD10" s="81" t="s">
        <v>389</v>
      </c>
      <c r="BE10" s="166">
        <v>291</v>
      </c>
      <c r="BF10" s="166">
        <v>7.2099999999999997E-2</v>
      </c>
      <c r="BG10" s="81">
        <v>4032.89</v>
      </c>
      <c r="BH10" s="81" t="s">
        <v>384</v>
      </c>
      <c r="BI10" s="81" t="s">
        <v>385</v>
      </c>
      <c r="BL10" s="167" t="s">
        <v>314</v>
      </c>
      <c r="BM10" s="167" t="s">
        <v>315</v>
      </c>
      <c r="BN10" s="167" t="s">
        <v>323</v>
      </c>
      <c r="BO10" s="168" t="s">
        <v>318</v>
      </c>
      <c r="BP10" s="161">
        <f t="shared" ref="BP10:BP11" si="15">BE19</f>
        <v>50500000</v>
      </c>
      <c r="BQ10" s="167" t="s">
        <v>317</v>
      </c>
      <c r="BS10" s="81" t="s">
        <v>373</v>
      </c>
      <c r="BT10" s="81" t="s">
        <v>389</v>
      </c>
      <c r="BU10" s="166">
        <v>288</v>
      </c>
      <c r="BV10" s="166">
        <v>6.7900000000000002E-2</v>
      </c>
      <c r="BW10" s="81">
        <v>4246.6099999999997</v>
      </c>
      <c r="BX10" s="81" t="s">
        <v>384</v>
      </c>
      <c r="BY10" s="81" t="s">
        <v>385</v>
      </c>
      <c r="CA10" s="167" t="s">
        <v>314</v>
      </c>
      <c r="CB10" s="167" t="s">
        <v>315</v>
      </c>
      <c r="CC10" s="167" t="s">
        <v>324</v>
      </c>
      <c r="CD10" s="168" t="s">
        <v>318</v>
      </c>
      <c r="CE10" s="161">
        <f t="shared" si="13"/>
        <v>22100000</v>
      </c>
      <c r="CF10" s="167" t="s">
        <v>317</v>
      </c>
      <c r="CI10" s="81" t="s">
        <v>324</v>
      </c>
      <c r="CJ10" s="241">
        <f t="shared" si="1"/>
        <v>33058164.636000004</v>
      </c>
      <c r="CK10" s="241">
        <f t="shared" si="2"/>
        <v>32700000</v>
      </c>
      <c r="CL10" s="241">
        <f t="shared" si="3"/>
        <v>22100000</v>
      </c>
      <c r="CO10" s="243" t="s">
        <v>373</v>
      </c>
      <c r="CP10" s="243" t="s">
        <v>389</v>
      </c>
      <c r="CQ10" s="244">
        <v>288</v>
      </c>
      <c r="CR10" s="244">
        <v>5.8500000000000003E-2</v>
      </c>
      <c r="CS10" s="243">
        <v>4927.58</v>
      </c>
      <c r="CT10" s="243" t="s">
        <v>420</v>
      </c>
      <c r="CU10" s="244">
        <v>2E-16</v>
      </c>
      <c r="CV10" s="81" t="s">
        <v>385</v>
      </c>
      <c r="CW10" s="245" t="s">
        <v>460</v>
      </c>
      <c r="CX10" s="249" t="s">
        <v>466</v>
      </c>
      <c r="CY10" s="246" t="s">
        <v>318</v>
      </c>
      <c r="CZ10" s="247">
        <f t="shared" si="12"/>
        <v>1.24</v>
      </c>
      <c r="DA10" s="245" t="s">
        <v>317</v>
      </c>
    </row>
    <row r="11" spans="2:105" ht="15" customHeight="1" thickTop="1" thickBot="1" x14ac:dyDescent="0.3">
      <c r="B11" s="175"/>
      <c r="C11" s="176"/>
      <c r="D11" s="176"/>
      <c r="E11" s="178" t="s">
        <v>43</v>
      </c>
      <c r="F11" s="184" t="s">
        <v>56</v>
      </c>
      <c r="G11" s="179">
        <f t="shared" si="6"/>
        <v>6.7718446601941748E-2</v>
      </c>
      <c r="H11" s="176"/>
      <c r="I11" s="185">
        <f>'Tabula data'!B17*(1-'Tabula 2zone Ref 2 (LE)'!D45)</f>
        <v>2.7900000000000005</v>
      </c>
      <c r="K11" s="81" t="s">
        <v>57</v>
      </c>
      <c r="L11" s="208">
        <v>0</v>
      </c>
      <c r="M11" s="209">
        <v>1</v>
      </c>
      <c r="N11" s="209" t="s">
        <v>54</v>
      </c>
      <c r="O11" s="210">
        <f>I7</f>
        <v>6.51</v>
      </c>
      <c r="P11" s="211" t="s">
        <v>39</v>
      </c>
      <c r="Q11" s="30">
        <f t="shared" si="7"/>
        <v>1.1000000000000001</v>
      </c>
      <c r="R11" s="30">
        <f t="shared" si="8"/>
        <v>7.1610000000000005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223"/>
      <c r="X11" s="187"/>
      <c r="Y11" s="174" t="s">
        <v>433</v>
      </c>
      <c r="Z11" s="174">
        <v>0.02</v>
      </c>
      <c r="AA11" s="174">
        <v>0.6</v>
      </c>
      <c r="AB11" s="174">
        <v>975</v>
      </c>
      <c r="AC11" s="174">
        <v>840</v>
      </c>
      <c r="AD11" s="229">
        <f>Z11/AA11</f>
        <v>3.3333333333333333E-2</v>
      </c>
      <c r="AE11" s="192">
        <f>Z11*AB11*AC11</f>
        <v>16380</v>
      </c>
      <c r="AF11" s="222"/>
      <c r="AG11" s="222"/>
      <c r="AH11" s="222"/>
      <c r="AM11" s="158" t="s">
        <v>314</v>
      </c>
      <c r="AN11" s="81" t="s">
        <v>315</v>
      </c>
      <c r="AO11" s="81" t="s">
        <v>324</v>
      </c>
      <c r="AP11" s="166">
        <f>SUM(U27)</f>
        <v>33058164.636000004</v>
      </c>
      <c r="AQ11" s="81" t="s">
        <v>317</v>
      </c>
      <c r="AR11" s="166">
        <v>26154150</v>
      </c>
      <c r="AV11" s="167" t="s">
        <v>314</v>
      </c>
      <c r="AW11" s="167" t="s">
        <v>315</v>
      </c>
      <c r="AX11" s="167" t="s">
        <v>324</v>
      </c>
      <c r="AY11" s="168" t="s">
        <v>318</v>
      </c>
      <c r="AZ11" s="161">
        <f t="shared" si="14"/>
        <v>33058164.636000004</v>
      </c>
      <c r="BA11" s="167" t="s">
        <v>317</v>
      </c>
      <c r="BC11" s="81" t="s">
        <v>373</v>
      </c>
      <c r="BD11" s="81" t="s">
        <v>390</v>
      </c>
      <c r="BE11" s="166">
        <v>0.18</v>
      </c>
      <c r="BF11" s="166">
        <v>2.64E-3</v>
      </c>
      <c r="BG11" s="81">
        <v>67.989999999999995</v>
      </c>
      <c r="BH11" s="81" t="s">
        <v>384</v>
      </c>
      <c r="BI11" s="81" t="s">
        <v>385</v>
      </c>
      <c r="BL11" s="167" t="s">
        <v>314</v>
      </c>
      <c r="BM11" s="167" t="s">
        <v>315</v>
      </c>
      <c r="BN11" s="167" t="s">
        <v>324</v>
      </c>
      <c r="BO11" s="168" t="s">
        <v>318</v>
      </c>
      <c r="BP11" s="161">
        <f t="shared" si="15"/>
        <v>32700000</v>
      </c>
      <c r="BQ11" s="167" t="s">
        <v>317</v>
      </c>
      <c r="BS11" s="81" t="s">
        <v>373</v>
      </c>
      <c r="BT11" s="81" t="s">
        <v>390</v>
      </c>
      <c r="BU11" s="166">
        <v>0.22</v>
      </c>
      <c r="BV11" s="166">
        <v>7.8100000000000001E-4</v>
      </c>
      <c r="BW11" s="81">
        <v>281.52</v>
      </c>
      <c r="BX11" s="81" t="s">
        <v>384</v>
      </c>
      <c r="BY11" s="81" t="s">
        <v>385</v>
      </c>
      <c r="CA11" s="167" t="s">
        <v>314</v>
      </c>
      <c r="CB11" s="167" t="s">
        <v>315</v>
      </c>
      <c r="CC11" s="167" t="s">
        <v>325</v>
      </c>
      <c r="CD11" s="168" t="s">
        <v>318</v>
      </c>
      <c r="CE11" s="161">
        <f>BU17</f>
        <v>995000000</v>
      </c>
      <c r="CF11" s="167" t="s">
        <v>317</v>
      </c>
      <c r="CI11" s="81" t="s">
        <v>325</v>
      </c>
      <c r="CJ11" s="241">
        <f t="shared" si="1"/>
        <v>14901928.000000002</v>
      </c>
      <c r="CK11" s="241">
        <f t="shared" si="2"/>
        <v>14000000</v>
      </c>
      <c r="CL11" s="241">
        <f t="shared" si="3"/>
        <v>995000000</v>
      </c>
      <c r="CO11" s="243" t="s">
        <v>373</v>
      </c>
      <c r="CP11" s="243" t="s">
        <v>442</v>
      </c>
      <c r="CQ11" s="244">
        <v>0.96399999999999997</v>
      </c>
      <c r="CR11" s="244">
        <v>2.3300000000000001E-2</v>
      </c>
      <c r="CS11" s="243">
        <v>41.35</v>
      </c>
      <c r="CT11" s="243" t="s">
        <v>420</v>
      </c>
      <c r="CU11" s="244">
        <v>2E-16</v>
      </c>
      <c r="CV11" s="81" t="s">
        <v>385</v>
      </c>
      <c r="CW11" s="245" t="s">
        <v>460</v>
      </c>
      <c r="CX11" s="249" t="s">
        <v>467</v>
      </c>
      <c r="CY11" s="246" t="s">
        <v>318</v>
      </c>
      <c r="CZ11" s="247">
        <f t="shared" si="12"/>
        <v>2.57</v>
      </c>
      <c r="DA11" s="245" t="s">
        <v>317</v>
      </c>
    </row>
    <row r="12" spans="2:105" ht="15" customHeight="1" thickTop="1" thickBot="1" x14ac:dyDescent="0.3">
      <c r="B12" s="175"/>
      <c r="C12" s="176"/>
      <c r="D12" s="176"/>
      <c r="E12" s="178" t="s">
        <v>48</v>
      </c>
      <c r="F12" s="184" t="s">
        <v>56</v>
      </c>
      <c r="G12" s="179">
        <f t="shared" si="6"/>
        <v>8.8834951456310679E-2</v>
      </c>
      <c r="H12" s="176"/>
      <c r="I12" s="185">
        <f>'Tabula data'!B18*(1-'Tabula 2zone Ref 2 (LE)'!D45)</f>
        <v>3.66</v>
      </c>
      <c r="K12" s="81" t="s">
        <v>59</v>
      </c>
      <c r="L12" s="208">
        <v>0</v>
      </c>
      <c r="M12" s="209">
        <v>1</v>
      </c>
      <c r="N12" s="209" t="s">
        <v>54</v>
      </c>
      <c r="O12" s="210">
        <f>I8</f>
        <v>8.5399999999999991</v>
      </c>
      <c r="P12" s="211" t="s">
        <v>45</v>
      </c>
      <c r="Q12" s="30">
        <f t="shared" si="7"/>
        <v>1.1000000000000001</v>
      </c>
      <c r="R12" s="30">
        <f t="shared" si="8"/>
        <v>9.3940000000000001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223"/>
      <c r="X12" s="176"/>
      <c r="Y12" s="176"/>
      <c r="Z12" s="230"/>
      <c r="AA12" s="230"/>
      <c r="AB12" s="230"/>
      <c r="AC12" s="176"/>
      <c r="AD12" s="227"/>
      <c r="AE12" s="176"/>
      <c r="AF12" s="222"/>
      <c r="AG12" s="222"/>
      <c r="AH12" s="222"/>
      <c r="AM12" s="158" t="s">
        <v>314</v>
      </c>
      <c r="AN12" s="81" t="s">
        <v>315</v>
      </c>
      <c r="AO12" s="81" t="s">
        <v>325</v>
      </c>
      <c r="AP12" s="166">
        <f>SUM(U14)</f>
        <v>14901928.000000002</v>
      </c>
      <c r="AQ12" s="81" t="s">
        <v>317</v>
      </c>
      <c r="AR12" s="166">
        <v>12228720</v>
      </c>
      <c r="AV12" s="167" t="s">
        <v>314</v>
      </c>
      <c r="AW12" s="167" t="s">
        <v>315</v>
      </c>
      <c r="AX12" s="167" t="s">
        <v>325</v>
      </c>
      <c r="AY12" s="168" t="s">
        <v>318</v>
      </c>
      <c r="AZ12" s="161">
        <f t="shared" si="14"/>
        <v>14901928.000000002</v>
      </c>
      <c r="BA12" s="167" t="s">
        <v>317</v>
      </c>
      <c r="BC12" s="81" t="s">
        <v>373</v>
      </c>
      <c r="BD12" s="81" t="s">
        <v>391</v>
      </c>
      <c r="BE12" s="166">
        <v>0.33600000000000002</v>
      </c>
      <c r="BF12" s="166">
        <v>2.32E-3</v>
      </c>
      <c r="BG12" s="81">
        <v>144.99</v>
      </c>
      <c r="BH12" s="81" t="s">
        <v>384</v>
      </c>
      <c r="BI12" s="81" t="s">
        <v>385</v>
      </c>
      <c r="BL12" s="167" t="s">
        <v>314</v>
      </c>
      <c r="BM12" s="167" t="s">
        <v>315</v>
      </c>
      <c r="BN12" s="167" t="s">
        <v>325</v>
      </c>
      <c r="BO12" s="168" t="s">
        <v>318</v>
      </c>
      <c r="BP12" s="161">
        <f>BE17</f>
        <v>14000000</v>
      </c>
      <c r="BQ12" s="167" t="s">
        <v>317</v>
      </c>
      <c r="BS12" s="81" t="s">
        <v>373</v>
      </c>
      <c r="BT12" s="81" t="s">
        <v>391</v>
      </c>
      <c r="BU12" s="166">
        <v>0.45400000000000001</v>
      </c>
      <c r="BV12" s="166">
        <v>1.67E-3</v>
      </c>
      <c r="BW12" s="81">
        <v>272.11</v>
      </c>
      <c r="BX12" s="81" t="s">
        <v>384</v>
      </c>
      <c r="BY12" s="81" t="s">
        <v>385</v>
      </c>
      <c r="CA12" s="167"/>
      <c r="CB12" s="167"/>
      <c r="CC12" s="167"/>
      <c r="CD12" s="168"/>
      <c r="CE12" s="161"/>
      <c r="CF12" s="167"/>
      <c r="CJ12" s="240">
        <f t="shared" si="1"/>
        <v>0</v>
      </c>
      <c r="CK12" s="240">
        <f t="shared" si="2"/>
        <v>0</v>
      </c>
      <c r="CL12" s="240">
        <f t="shared" si="3"/>
        <v>0</v>
      </c>
      <c r="CO12" s="243" t="s">
        <v>373</v>
      </c>
      <c r="CP12" s="243" t="s">
        <v>336</v>
      </c>
      <c r="CQ12" s="244">
        <v>1.39</v>
      </c>
      <c r="CR12" s="244">
        <v>9.4399999999999998E-2</v>
      </c>
      <c r="CS12" s="243">
        <v>14.76</v>
      </c>
      <c r="CT12" s="243" t="s">
        <v>420</v>
      </c>
      <c r="CU12" s="244">
        <v>2E-16</v>
      </c>
      <c r="CV12" s="81" t="s">
        <v>385</v>
      </c>
      <c r="CW12" s="245" t="s">
        <v>460</v>
      </c>
      <c r="CX12" s="248" t="s">
        <v>468</v>
      </c>
      <c r="CY12" s="246" t="s">
        <v>318</v>
      </c>
      <c r="CZ12" s="247">
        <f t="shared" si="12"/>
        <v>2.04</v>
      </c>
      <c r="DA12" s="245" t="s">
        <v>317</v>
      </c>
    </row>
    <row r="13" spans="2:105" ht="15" customHeight="1" thickTop="1" thickBot="1" x14ac:dyDescent="0.3">
      <c r="B13" s="175"/>
      <c r="C13" s="176"/>
      <c r="D13" s="176"/>
      <c r="E13" s="178" t="s">
        <v>52</v>
      </c>
      <c r="F13" s="184" t="s">
        <v>56</v>
      </c>
      <c r="G13" s="179">
        <f t="shared" si="6"/>
        <v>6.4805825242718454E-2</v>
      </c>
      <c r="H13" s="176"/>
      <c r="I13" s="185">
        <f>'Tabula data'!B19*(1-'Tabula 2zone Ref 2 (LE)'!D45)</f>
        <v>2.6700000000000004</v>
      </c>
      <c r="K13" s="81" t="s">
        <v>60</v>
      </c>
      <c r="L13" s="208">
        <v>0</v>
      </c>
      <c r="M13" s="209">
        <v>1</v>
      </c>
      <c r="N13" s="209" t="s">
        <v>54</v>
      </c>
      <c r="O13" s="210">
        <f>I9</f>
        <v>6.2299999999999995</v>
      </c>
      <c r="P13" s="211" t="s">
        <v>50</v>
      </c>
      <c r="Q13" s="30">
        <f t="shared" si="7"/>
        <v>1.1000000000000001</v>
      </c>
      <c r="R13" s="30">
        <f t="shared" si="8"/>
        <v>6.8529999999999998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223"/>
      <c r="Z13" s="221" t="s">
        <v>4</v>
      </c>
      <c r="AA13" s="221">
        <v>2.2000000000000002</v>
      </c>
      <c r="AB13" s="221" t="s">
        <v>5</v>
      </c>
      <c r="AF13" s="222"/>
      <c r="AG13" s="222"/>
      <c r="AH13" s="222"/>
      <c r="AP13" s="166"/>
      <c r="AQ13" s="81" t="s">
        <v>317</v>
      </c>
      <c r="AR13" s="166"/>
      <c r="AV13" s="167"/>
      <c r="AW13" s="167"/>
      <c r="AX13" s="167"/>
      <c r="AY13" s="168"/>
      <c r="BA13" s="167"/>
      <c r="BC13" s="81" t="s">
        <v>373</v>
      </c>
      <c r="BD13" s="81" t="s">
        <v>392</v>
      </c>
      <c r="BE13" s="166">
        <v>0.33700000000000002</v>
      </c>
      <c r="BF13" s="166">
        <v>8.6800000000000002E-3</v>
      </c>
      <c r="BG13" s="81">
        <v>38.840000000000003</v>
      </c>
      <c r="BH13" s="81" t="s">
        <v>384</v>
      </c>
      <c r="BI13" s="81" t="s">
        <v>385</v>
      </c>
      <c r="BL13" s="167"/>
      <c r="BM13" s="167"/>
      <c r="BN13" s="167"/>
      <c r="BO13" s="168"/>
      <c r="BP13" s="161"/>
      <c r="BQ13" s="167"/>
      <c r="BS13" s="81" t="s">
        <v>373</v>
      </c>
      <c r="BT13" s="81" t="s">
        <v>392</v>
      </c>
      <c r="BU13" s="166">
        <v>5.8500000000000003E-2</v>
      </c>
      <c r="BV13" s="166">
        <v>7.0000000000000001E-3</v>
      </c>
      <c r="BW13" s="81">
        <v>8.35</v>
      </c>
      <c r="BX13" s="81" t="s">
        <v>384</v>
      </c>
      <c r="BY13" s="81" t="s">
        <v>385</v>
      </c>
      <c r="CA13" s="167" t="s">
        <v>314</v>
      </c>
      <c r="CB13" s="167" t="s">
        <v>315</v>
      </c>
      <c r="CC13" s="167" t="s">
        <v>326</v>
      </c>
      <c r="CD13" s="168" t="s">
        <v>318</v>
      </c>
      <c r="CE13" s="161">
        <f>BU27</f>
        <v>8.2900000000000001E-2</v>
      </c>
      <c r="CF13" s="167" t="s">
        <v>317</v>
      </c>
      <c r="CI13" s="81" t="s">
        <v>326</v>
      </c>
      <c r="CJ13" s="239">
        <f t="shared" si="1"/>
        <v>8.823106152521229E-2</v>
      </c>
      <c r="CK13" s="239">
        <f t="shared" si="2"/>
        <v>0.128</v>
      </c>
      <c r="CL13" s="239">
        <f t="shared" si="3"/>
        <v>8.2900000000000001E-2</v>
      </c>
      <c r="CO13" s="243" t="s">
        <v>373</v>
      </c>
      <c r="CP13" s="243" t="s">
        <v>443</v>
      </c>
      <c r="CQ13" s="244">
        <v>1.27</v>
      </c>
      <c r="CR13" s="244">
        <v>1.09E-2</v>
      </c>
      <c r="CS13" s="243">
        <v>117.01</v>
      </c>
      <c r="CT13" s="243" t="s">
        <v>420</v>
      </c>
      <c r="CU13" s="244">
        <v>2E-16</v>
      </c>
      <c r="CV13" s="81" t="s">
        <v>385</v>
      </c>
      <c r="CW13" s="245" t="s">
        <v>460</v>
      </c>
      <c r="CX13" s="250" t="s">
        <v>469</v>
      </c>
      <c r="CY13" s="246" t="s">
        <v>318</v>
      </c>
      <c r="CZ13" s="247">
        <f t="shared" si="12"/>
        <v>1.1100000000000001</v>
      </c>
      <c r="DA13" s="245" t="s">
        <v>317</v>
      </c>
    </row>
    <row r="14" spans="2:105" ht="15" customHeight="1" thickTop="1" thickBot="1" x14ac:dyDescent="0.3">
      <c r="B14" s="175"/>
      <c r="C14" s="176"/>
      <c r="D14" s="176"/>
      <c r="E14" s="197" t="s">
        <v>65</v>
      </c>
      <c r="F14" s="194"/>
      <c r="G14" s="194"/>
      <c r="H14" s="194"/>
      <c r="I14" s="198"/>
      <c r="K14" s="81" t="s">
        <v>61</v>
      </c>
      <c r="L14" s="208" t="s">
        <v>62</v>
      </c>
      <c r="M14" s="209">
        <v>1</v>
      </c>
      <c r="N14" s="209" t="s">
        <v>63</v>
      </c>
      <c r="O14" s="210">
        <f>C7</f>
        <v>134.30000000000001</v>
      </c>
      <c r="P14" s="211"/>
      <c r="Q14" s="30">
        <f t="shared" si="7"/>
        <v>0.17975604536700196</v>
      </c>
      <c r="R14" s="30">
        <f t="shared" si="8"/>
        <v>24.141236892788367</v>
      </c>
      <c r="S14" s="30">
        <f t="shared" si="9"/>
        <v>51178036.750000007</v>
      </c>
      <c r="T14" s="30">
        <f t="shared" si="10"/>
        <v>381072.5</v>
      </c>
      <c r="U14" s="30">
        <f t="shared" si="11"/>
        <v>14901928.000000002</v>
      </c>
      <c r="V14" s="31"/>
      <c r="W14" s="223"/>
      <c r="X14" s="216" t="s">
        <v>64</v>
      </c>
      <c r="Y14" s="217"/>
      <c r="Z14" s="218" t="s">
        <v>21</v>
      </c>
      <c r="AA14" s="219">
        <f>1/(1/8+SUM(AD16:AD20)+1/23)</f>
        <v>0.18334883383860953</v>
      </c>
      <c r="AB14" s="217" t="s">
        <v>5</v>
      </c>
      <c r="AC14" s="217"/>
      <c r="AD14" s="217" t="s">
        <v>22</v>
      </c>
      <c r="AE14" s="220">
        <f>SUM(AE16:AE21)</f>
        <v>454466.4</v>
      </c>
      <c r="AF14" s="222" t="s">
        <v>23</v>
      </c>
      <c r="AG14" s="222">
        <f>SUM(AE19:AE20)</f>
        <v>404880</v>
      </c>
      <c r="AH14" s="222"/>
      <c r="AM14" s="158" t="s">
        <v>314</v>
      </c>
      <c r="AN14" s="81" t="s">
        <v>315</v>
      </c>
      <c r="AO14" s="81" t="s">
        <v>326</v>
      </c>
      <c r="AP14" s="81">
        <f>AP4*0.3</f>
        <v>8.823106152521229E-2</v>
      </c>
      <c r="AQ14" s="81" t="s">
        <v>317</v>
      </c>
      <c r="AR14" s="166">
        <v>6.5890790000000005E-2</v>
      </c>
      <c r="AV14" s="167" t="s">
        <v>314</v>
      </c>
      <c r="AW14" s="167" t="s">
        <v>315</v>
      </c>
      <c r="AX14" s="167" t="s">
        <v>326</v>
      </c>
      <c r="AY14" s="168" t="s">
        <v>318</v>
      </c>
      <c r="AZ14" s="161">
        <f>AZ4*0.3</f>
        <v>8.823106152521229E-2</v>
      </c>
      <c r="BA14" s="167" t="s">
        <v>317</v>
      </c>
      <c r="BC14" s="81" t="s">
        <v>373</v>
      </c>
      <c r="BD14" s="81" t="s">
        <v>393</v>
      </c>
      <c r="BE14" s="166">
        <v>0.10299999999999999</v>
      </c>
      <c r="BF14" s="166">
        <v>2.4099999999999998E-3</v>
      </c>
      <c r="BG14" s="81">
        <v>42.8</v>
      </c>
      <c r="BH14" s="81" t="s">
        <v>384</v>
      </c>
      <c r="BI14" s="81" t="s">
        <v>385</v>
      </c>
      <c r="BL14" s="167" t="s">
        <v>314</v>
      </c>
      <c r="BM14" s="167" t="s">
        <v>315</v>
      </c>
      <c r="BN14" s="167" t="s">
        <v>326</v>
      </c>
      <c r="BO14" s="168" t="s">
        <v>318</v>
      </c>
      <c r="BP14" s="161">
        <f>BE26</f>
        <v>0.128</v>
      </c>
      <c r="BQ14" s="167" t="s">
        <v>317</v>
      </c>
      <c r="BS14" s="81" t="s">
        <v>373</v>
      </c>
      <c r="BT14" s="81" t="s">
        <v>393</v>
      </c>
      <c r="BU14" s="166">
        <v>0.152</v>
      </c>
      <c r="BV14" s="166">
        <v>3.9300000000000001E-4</v>
      </c>
      <c r="BW14" s="81">
        <v>386.97</v>
      </c>
      <c r="BX14" s="81" t="s">
        <v>384</v>
      </c>
      <c r="BY14" s="81" t="s">
        <v>385</v>
      </c>
      <c r="CA14" s="167" t="s">
        <v>314</v>
      </c>
      <c r="CB14" s="167" t="s">
        <v>315</v>
      </c>
      <c r="CC14" s="167" t="s">
        <v>327</v>
      </c>
      <c r="CD14" s="168" t="s">
        <v>318</v>
      </c>
      <c r="CE14" s="161">
        <f t="shared" ref="CE14:CE16" si="16">BU28</f>
        <v>0.16500000000000001</v>
      </c>
      <c r="CF14" s="167" t="s">
        <v>317</v>
      </c>
      <c r="CI14" s="81" t="s">
        <v>327</v>
      </c>
      <c r="CJ14" s="239">
        <f t="shared" si="1"/>
        <v>8.823106152521229E-2</v>
      </c>
      <c r="CK14" s="239">
        <f t="shared" si="2"/>
        <v>0.23499999999999999</v>
      </c>
      <c r="CL14" s="239">
        <f t="shared" si="3"/>
        <v>0.16500000000000001</v>
      </c>
      <c r="CO14" s="243" t="s">
        <v>373</v>
      </c>
      <c r="CP14" s="243" t="s">
        <v>444</v>
      </c>
      <c r="CQ14" s="244">
        <v>0.89100000000000001</v>
      </c>
      <c r="CR14" s="244">
        <v>1.9800000000000002E-2</v>
      </c>
      <c r="CS14" s="243">
        <v>44.94</v>
      </c>
      <c r="CT14" s="243" t="s">
        <v>420</v>
      </c>
      <c r="CU14" s="244">
        <v>2E-16</v>
      </c>
      <c r="CV14" s="81" t="s">
        <v>385</v>
      </c>
      <c r="CW14" s="245" t="s">
        <v>460</v>
      </c>
      <c r="CX14" s="250" t="s">
        <v>470</v>
      </c>
      <c r="CY14" s="246" t="s">
        <v>318</v>
      </c>
      <c r="CZ14" s="247">
        <f t="shared" si="12"/>
        <v>4.0099999999999997E-6</v>
      </c>
      <c r="DA14" s="245" t="s">
        <v>317</v>
      </c>
    </row>
    <row r="15" spans="2:105" ht="15" customHeight="1" thickTop="1" thickBot="1" x14ac:dyDescent="0.3">
      <c r="B15" s="175"/>
      <c r="C15" s="176"/>
      <c r="D15" s="176"/>
      <c r="E15" s="186"/>
      <c r="F15" s="176"/>
      <c r="G15" s="176"/>
      <c r="H15" s="176"/>
      <c r="I15" s="177"/>
      <c r="K15" s="81" t="s">
        <v>66</v>
      </c>
      <c r="L15" s="208">
        <v>0</v>
      </c>
      <c r="M15" s="209">
        <v>1</v>
      </c>
      <c r="N15" s="209" t="s">
        <v>20</v>
      </c>
      <c r="O15" s="212">
        <v>0</v>
      </c>
      <c r="P15" s="211"/>
      <c r="Q15" s="30">
        <f t="shared" si="7"/>
        <v>0.14117683417924493</v>
      </c>
      <c r="R15" s="30">
        <f t="shared" si="8"/>
        <v>0</v>
      </c>
      <c r="S15" s="30">
        <f>VLOOKUP(N15,$X$5:$AE$393,8,0)*O25</f>
        <v>15111676.800000001</v>
      </c>
      <c r="T15" s="30">
        <f>S15/O25</f>
        <v>95402</v>
      </c>
      <c r="U15" s="30">
        <f>VLOOKUP(N15,$X$5:$AG$392,10,0)*O25</f>
        <v>6689232</v>
      </c>
      <c r="V15" s="31"/>
      <c r="W15" s="223"/>
      <c r="X15" s="224"/>
      <c r="Y15" s="225" t="s">
        <v>27</v>
      </c>
      <c r="Z15" s="225" t="s">
        <v>28</v>
      </c>
      <c r="AA15" s="225" t="s">
        <v>29</v>
      </c>
      <c r="AB15" s="225" t="s">
        <v>30</v>
      </c>
      <c r="AC15" s="225" t="s">
        <v>31</v>
      </c>
      <c r="AD15" s="225" t="s">
        <v>32</v>
      </c>
      <c r="AE15" s="226" t="s">
        <v>33</v>
      </c>
      <c r="AF15" s="222"/>
      <c r="AG15" s="222"/>
      <c r="AH15" s="222"/>
      <c r="AM15" s="158" t="s">
        <v>314</v>
      </c>
      <c r="AN15" s="81" t="s">
        <v>315</v>
      </c>
      <c r="AO15" s="81" t="s">
        <v>327</v>
      </c>
      <c r="AP15" s="81">
        <f>AP5*0.3</f>
        <v>8.823106152521229E-2</v>
      </c>
      <c r="AQ15" s="81" t="s">
        <v>317</v>
      </c>
      <c r="AR15" s="166">
        <v>0.1612856</v>
      </c>
      <c r="AV15" s="167" t="s">
        <v>314</v>
      </c>
      <c r="AW15" s="167" t="s">
        <v>315</v>
      </c>
      <c r="AX15" s="167" t="s">
        <v>327</v>
      </c>
      <c r="AY15" s="168" t="s">
        <v>318</v>
      </c>
      <c r="AZ15" s="161">
        <f>AZ5*0.3</f>
        <v>8.823106152521229E-2</v>
      </c>
      <c r="BA15" s="167" t="s">
        <v>317</v>
      </c>
      <c r="BC15" s="81" t="s">
        <v>373</v>
      </c>
      <c r="BD15" s="81" t="s">
        <v>394</v>
      </c>
      <c r="BE15" s="166">
        <v>2.8899999999999999E-2</v>
      </c>
      <c r="BF15" s="166">
        <v>2.8500000000000001E-3</v>
      </c>
      <c r="BG15" s="81">
        <v>10.15</v>
      </c>
      <c r="BH15" s="81" t="s">
        <v>384</v>
      </c>
      <c r="BI15" s="81" t="s">
        <v>385</v>
      </c>
      <c r="BL15" s="167" t="s">
        <v>314</v>
      </c>
      <c r="BM15" s="167" t="s">
        <v>315</v>
      </c>
      <c r="BN15" s="167" t="s">
        <v>327</v>
      </c>
      <c r="BO15" s="168" t="s">
        <v>318</v>
      </c>
      <c r="BP15" s="161">
        <f t="shared" ref="BP15:BP17" si="17">BE27</f>
        <v>0.23499999999999999</v>
      </c>
      <c r="BQ15" s="167" t="s">
        <v>317</v>
      </c>
      <c r="BS15" s="81" t="s">
        <v>373</v>
      </c>
      <c r="BT15" s="81" t="s">
        <v>394</v>
      </c>
      <c r="BU15" s="166">
        <v>7.9000000000000001E-2</v>
      </c>
      <c r="BV15" s="166">
        <v>5.5000000000000003E-4</v>
      </c>
      <c r="BW15" s="81">
        <v>143.72</v>
      </c>
      <c r="BX15" s="81" t="s">
        <v>384</v>
      </c>
      <c r="BY15" s="81" t="s">
        <v>385</v>
      </c>
      <c r="CA15" s="167" t="s">
        <v>314</v>
      </c>
      <c r="CB15" s="167" t="s">
        <v>315</v>
      </c>
      <c r="CC15" s="167" t="s">
        <v>328</v>
      </c>
      <c r="CD15" s="168" t="s">
        <v>318</v>
      </c>
      <c r="CE15" s="161">
        <f t="shared" si="16"/>
        <v>0.71599999999999997</v>
      </c>
      <c r="CF15" s="167" t="s">
        <v>317</v>
      </c>
      <c r="CI15" s="81" t="s">
        <v>328</v>
      </c>
      <c r="CJ15" s="239">
        <f t="shared" si="1"/>
        <v>0.71157364985455351</v>
      </c>
      <c r="CK15" s="239">
        <f t="shared" si="2"/>
        <v>0.53700000000000003</v>
      </c>
      <c r="CL15" s="239">
        <f t="shared" si="3"/>
        <v>0.71599999999999997</v>
      </c>
      <c r="CO15" s="243" t="s">
        <v>373</v>
      </c>
      <c r="CP15" s="243" t="s">
        <v>445</v>
      </c>
      <c r="CQ15" s="244">
        <v>2.1</v>
      </c>
      <c r="CR15" s="244">
        <v>4.2999999999999997E-2</v>
      </c>
      <c r="CS15" s="243">
        <v>48.9</v>
      </c>
      <c r="CT15" s="243" t="s">
        <v>420</v>
      </c>
      <c r="CU15" s="244">
        <v>2E-16</v>
      </c>
      <c r="CV15" s="81" t="s">
        <v>385</v>
      </c>
      <c r="CW15" s="245" t="s">
        <v>460</v>
      </c>
      <c r="CX15" s="250" t="s">
        <v>471</v>
      </c>
      <c r="CY15" s="246" t="s">
        <v>318</v>
      </c>
      <c r="CZ15" s="247">
        <f t="shared" si="12"/>
        <v>3.0199999999999999E-5</v>
      </c>
      <c r="DA15" s="245" t="s">
        <v>317</v>
      </c>
    </row>
    <row r="16" spans="2:105" ht="15" customHeight="1" thickTop="1" thickBot="1" x14ac:dyDescent="0.3">
      <c r="B16" s="187"/>
      <c r="C16" s="174"/>
      <c r="D16" s="174"/>
      <c r="E16" s="178" t="s">
        <v>69</v>
      </c>
      <c r="F16" s="176"/>
      <c r="G16" s="188">
        <f>C4/C26</f>
        <v>1.2783711615487316</v>
      </c>
      <c r="H16" s="184" t="s">
        <v>70</v>
      </c>
      <c r="I16" s="177"/>
      <c r="K16" s="81" t="s">
        <v>67</v>
      </c>
      <c r="L16" s="208">
        <v>0</v>
      </c>
      <c r="M16" s="209">
        <v>1</v>
      </c>
      <c r="N16" s="209" t="s">
        <v>68</v>
      </c>
      <c r="O16" s="210">
        <f>'Tabula data'!B15</f>
        <v>9.5</v>
      </c>
      <c r="P16" s="211"/>
      <c r="Q16" s="30">
        <f t="shared" si="7"/>
        <v>4</v>
      </c>
      <c r="R16" s="30">
        <f t="shared" si="8"/>
        <v>38</v>
      </c>
      <c r="S16" s="30">
        <f t="shared" ref="S16:S28" si="18">VLOOKUP(N16,$X$5:$AE$393,8,0)*O16</f>
        <v>346940</v>
      </c>
      <c r="T16" s="30">
        <f t="shared" ref="T16:T28" si="19">S16/O16</f>
        <v>36520</v>
      </c>
      <c r="U16" s="30">
        <f t="shared" ref="U16:U28" si="20">VLOOKUP(N16,$X$5:$AG$392,10,0)*O16</f>
        <v>0</v>
      </c>
      <c r="V16" s="31"/>
      <c r="W16" s="223"/>
      <c r="X16" s="175"/>
      <c r="Y16" s="176"/>
      <c r="Z16" s="176"/>
      <c r="AA16" s="176"/>
      <c r="AB16" s="176"/>
      <c r="AC16" s="184"/>
      <c r="AD16" s="227"/>
      <c r="AE16" s="177"/>
      <c r="AF16" s="222"/>
      <c r="AG16" s="222"/>
      <c r="AH16" s="222"/>
      <c r="AM16" s="158" t="s">
        <v>314</v>
      </c>
      <c r="AN16" s="81" t="s">
        <v>315</v>
      </c>
      <c r="AO16" s="81" t="s">
        <v>328</v>
      </c>
      <c r="AP16" s="81">
        <f>AP6*0.3+0.7</f>
        <v>0.71157364985455351</v>
      </c>
      <c r="AQ16" s="81" t="s">
        <v>317</v>
      </c>
      <c r="AR16" s="166">
        <v>0.64236059999999995</v>
      </c>
      <c r="AV16" s="167" t="s">
        <v>314</v>
      </c>
      <c r="AW16" s="167" t="s">
        <v>315</v>
      </c>
      <c r="AX16" s="167" t="s">
        <v>328</v>
      </c>
      <c r="AY16" s="168" t="s">
        <v>318</v>
      </c>
      <c r="AZ16" s="161">
        <f>AZ6*0.3+0.7</f>
        <v>0.71157364985455351</v>
      </c>
      <c r="BA16" s="167" t="s">
        <v>317</v>
      </c>
      <c r="BC16" s="81" t="s">
        <v>373</v>
      </c>
      <c r="BD16" s="81" t="s">
        <v>303</v>
      </c>
      <c r="BE16" s="166">
        <v>5570000</v>
      </c>
      <c r="BF16" s="166">
        <v>58300</v>
      </c>
      <c r="BG16" s="81">
        <v>95.57</v>
      </c>
      <c r="BH16" s="81" t="s">
        <v>384</v>
      </c>
      <c r="BI16" s="81" t="s">
        <v>385</v>
      </c>
      <c r="BL16" s="167" t="s">
        <v>314</v>
      </c>
      <c r="BM16" s="167" t="s">
        <v>315</v>
      </c>
      <c r="BN16" s="167" t="s">
        <v>328</v>
      </c>
      <c r="BO16" s="168" t="s">
        <v>318</v>
      </c>
      <c r="BP16" s="161">
        <f t="shared" si="17"/>
        <v>0.53700000000000003</v>
      </c>
      <c r="BQ16" s="167" t="s">
        <v>317</v>
      </c>
      <c r="BS16" s="81" t="s">
        <v>373</v>
      </c>
      <c r="BT16" s="81" t="s">
        <v>303</v>
      </c>
      <c r="BU16" s="166">
        <v>537000000</v>
      </c>
      <c r="BV16" s="166">
        <v>49100000</v>
      </c>
      <c r="BW16" s="81">
        <v>10.92</v>
      </c>
      <c r="BX16" s="81" t="s">
        <v>384</v>
      </c>
      <c r="BY16" s="81" t="s">
        <v>385</v>
      </c>
      <c r="CA16" s="167" t="s">
        <v>314</v>
      </c>
      <c r="CB16" s="167" t="s">
        <v>315</v>
      </c>
      <c r="CC16" s="167" t="s">
        <v>329</v>
      </c>
      <c r="CD16" s="168" t="s">
        <v>318</v>
      </c>
      <c r="CE16" s="161">
        <f t="shared" si="16"/>
        <v>5.5E-2</v>
      </c>
      <c r="CF16" s="167" t="s">
        <v>317</v>
      </c>
      <c r="CI16" s="81" t="s">
        <v>329</v>
      </c>
      <c r="CJ16" s="239">
        <f t="shared" si="1"/>
        <v>5.3895325085524901E-2</v>
      </c>
      <c r="CK16" s="239">
        <f t="shared" si="2"/>
        <v>7.7399999999999997E-2</v>
      </c>
      <c r="CL16" s="239">
        <f t="shared" si="3"/>
        <v>5.5E-2</v>
      </c>
      <c r="CO16" s="243" t="s">
        <v>373</v>
      </c>
      <c r="CP16" s="243" t="s">
        <v>337</v>
      </c>
      <c r="CQ16" s="244">
        <v>1.24</v>
      </c>
      <c r="CR16" s="244">
        <v>0.154</v>
      </c>
      <c r="CS16" s="243">
        <v>8.08</v>
      </c>
      <c r="CT16" s="244">
        <v>6.7000000000000004E-16</v>
      </c>
      <c r="CU16" s="243" t="s">
        <v>385</v>
      </c>
      <c r="CW16" s="245" t="s">
        <v>460</v>
      </c>
      <c r="CX16" s="250" t="s">
        <v>472</v>
      </c>
      <c r="CY16" s="246" t="s">
        <v>318</v>
      </c>
      <c r="CZ16" s="247">
        <f t="shared" si="12"/>
        <v>0.434</v>
      </c>
      <c r="DA16" s="245" t="s">
        <v>317</v>
      </c>
    </row>
    <row r="17" spans="2:105" ht="15" customHeight="1" thickTop="1" thickBot="1" x14ac:dyDescent="0.3">
      <c r="B17" s="193" t="s">
        <v>73</v>
      </c>
      <c r="C17" s="195">
        <v>0</v>
      </c>
      <c r="D17" s="194" t="s">
        <v>9</v>
      </c>
      <c r="E17" s="178" t="s">
        <v>74</v>
      </c>
      <c r="F17" s="176"/>
      <c r="G17" s="188">
        <f>C26/C23</f>
        <v>2.1476702508960575</v>
      </c>
      <c r="H17" s="184"/>
      <c r="I17" s="177"/>
      <c r="K17" s="81" t="s">
        <v>71</v>
      </c>
      <c r="L17" s="208">
        <v>0</v>
      </c>
      <c r="M17" s="209">
        <v>2</v>
      </c>
      <c r="N17" s="209" t="s">
        <v>25</v>
      </c>
      <c r="O17" s="210">
        <f>'Tabula data'!B10*'Tabula 2zone Ref 2 (LE)'!D42/2*(1-'Tabula 2zone Ref 2 (LE)'!D43)</f>
        <v>0.7034500000000008</v>
      </c>
      <c r="P17" s="211" t="s">
        <v>26</v>
      </c>
      <c r="Q17" s="30">
        <f t="shared" si="7"/>
        <v>0.18334883383860953</v>
      </c>
      <c r="R17" s="30">
        <f t="shared" si="8"/>
        <v>0.12897673716377003</v>
      </c>
      <c r="S17" s="30">
        <f t="shared" si="18"/>
        <v>319694.3890800004</v>
      </c>
      <c r="T17" s="30">
        <f t="shared" si="19"/>
        <v>454466.40000000008</v>
      </c>
      <c r="U17" s="30">
        <f t="shared" si="20"/>
        <v>284812.8360000003</v>
      </c>
      <c r="V17" s="31"/>
      <c r="W17" s="223"/>
      <c r="X17" s="175"/>
      <c r="Y17" s="176" t="s">
        <v>72</v>
      </c>
      <c r="Z17" s="176">
        <v>2.5000000000000001E-2</v>
      </c>
      <c r="AA17" s="176">
        <v>1</v>
      </c>
      <c r="AB17" s="176">
        <v>1800</v>
      </c>
      <c r="AC17" s="176">
        <v>1000</v>
      </c>
      <c r="AD17" s="227">
        <f>Z17/AA17</f>
        <v>2.5000000000000001E-2</v>
      </c>
      <c r="AE17" s="177">
        <f>Z17*AB17*AC17</f>
        <v>45000</v>
      </c>
      <c r="AF17" s="222"/>
      <c r="AG17" s="222"/>
      <c r="AH17" s="222"/>
      <c r="AM17" s="158" t="s">
        <v>314</v>
      </c>
      <c r="AN17" s="81" t="s">
        <v>315</v>
      </c>
      <c r="AO17" s="81" t="s">
        <v>329</v>
      </c>
      <c r="AP17" s="81">
        <f>AP7*0.3</f>
        <v>5.3895325085524901E-2</v>
      </c>
      <c r="AQ17" s="81" t="s">
        <v>317</v>
      </c>
      <c r="AR17" s="166">
        <v>6.4977720000000003E-2</v>
      </c>
      <c r="AV17" s="167" t="s">
        <v>314</v>
      </c>
      <c r="AW17" s="167" t="s">
        <v>315</v>
      </c>
      <c r="AX17" s="167" t="s">
        <v>329</v>
      </c>
      <c r="AY17" s="168" t="s">
        <v>318</v>
      </c>
      <c r="AZ17" s="161">
        <f>AZ7*0.3</f>
        <v>5.3895325085524901E-2</v>
      </c>
      <c r="BA17" s="167" t="s">
        <v>317</v>
      </c>
      <c r="BC17" s="81" t="s">
        <v>373</v>
      </c>
      <c r="BD17" s="81" t="s">
        <v>299</v>
      </c>
      <c r="BE17" s="166">
        <v>14000000</v>
      </c>
      <c r="BF17" s="166">
        <v>170000</v>
      </c>
      <c r="BG17" s="81">
        <v>82.34</v>
      </c>
      <c r="BH17" s="81" t="s">
        <v>384</v>
      </c>
      <c r="BI17" s="81" t="s">
        <v>385</v>
      </c>
      <c r="BL17" s="167" t="s">
        <v>314</v>
      </c>
      <c r="BM17" s="167" t="s">
        <v>315</v>
      </c>
      <c r="BN17" s="167" t="s">
        <v>329</v>
      </c>
      <c r="BO17" s="168" t="s">
        <v>318</v>
      </c>
      <c r="BP17" s="161">
        <f t="shared" si="17"/>
        <v>7.7399999999999997E-2</v>
      </c>
      <c r="BQ17" s="167" t="s">
        <v>317</v>
      </c>
      <c r="BS17" s="81" t="s">
        <v>373</v>
      </c>
      <c r="BT17" s="81" t="s">
        <v>299</v>
      </c>
      <c r="BU17" s="166">
        <v>995000000</v>
      </c>
      <c r="BV17" s="166">
        <v>18600000</v>
      </c>
      <c r="BW17" s="81">
        <v>53.42</v>
      </c>
      <c r="BX17" s="81" t="s">
        <v>384</v>
      </c>
      <c r="BY17" s="81" t="s">
        <v>385</v>
      </c>
      <c r="CA17" s="167"/>
      <c r="CB17" s="167"/>
      <c r="CC17" s="167"/>
      <c r="CD17" s="168"/>
      <c r="CE17" s="161"/>
      <c r="CF17" s="167"/>
      <c r="CJ17" s="240"/>
      <c r="CK17" s="240"/>
      <c r="CL17" s="240"/>
      <c r="CO17" s="243" t="s">
        <v>373</v>
      </c>
      <c r="CP17" s="243" t="s">
        <v>446</v>
      </c>
      <c r="CQ17" s="244">
        <v>2.57</v>
      </c>
      <c r="CR17" s="244">
        <v>2.3699999999999999E-2</v>
      </c>
      <c r="CS17" s="243">
        <v>108.65</v>
      </c>
      <c r="CT17" s="243" t="s">
        <v>420</v>
      </c>
      <c r="CU17" s="244">
        <v>2E-16</v>
      </c>
      <c r="CV17" s="81" t="s">
        <v>385</v>
      </c>
      <c r="CW17" s="245" t="s">
        <v>460</v>
      </c>
      <c r="CX17" s="250" t="s">
        <v>473</v>
      </c>
      <c r="CY17" s="246" t="s">
        <v>318</v>
      </c>
      <c r="CZ17" s="247">
        <f t="shared" si="12"/>
        <v>0.72799999999999998</v>
      </c>
      <c r="DA17" s="245" t="s">
        <v>317</v>
      </c>
    </row>
    <row r="18" spans="2:105" ht="15" customHeight="1" thickTop="1" thickBot="1" x14ac:dyDescent="0.3">
      <c r="B18" s="175" t="s">
        <v>77</v>
      </c>
      <c r="C18" s="176">
        <v>0</v>
      </c>
      <c r="D18" s="176" t="s">
        <v>9</v>
      </c>
      <c r="E18" s="178" t="s">
        <v>78</v>
      </c>
      <c r="F18" s="176"/>
      <c r="G18" s="188">
        <f>C26/C6</f>
        <v>2.1476702508960575</v>
      </c>
      <c r="H18" s="184"/>
      <c r="I18" s="177"/>
      <c r="K18" s="81" t="s">
        <v>75</v>
      </c>
      <c r="L18" s="208">
        <v>0</v>
      </c>
      <c r="M18" s="209">
        <v>2</v>
      </c>
      <c r="N18" s="209" t="s">
        <v>25</v>
      </c>
      <c r="O18" s="210">
        <f>'Tabula data'!B10*(1-'Tabula 2zone Ref 2 (LE)'!D42)/2*(1-'Tabula 2zone Ref 2 (LE)'!D44)</f>
        <v>17.266500000000004</v>
      </c>
      <c r="P18" s="211" t="s">
        <v>39</v>
      </c>
      <c r="Q18" s="30">
        <f t="shared" si="7"/>
        <v>0.18334883383860953</v>
      </c>
      <c r="R18" s="30">
        <f t="shared" si="8"/>
        <v>3.1657926394743523</v>
      </c>
      <c r="S18" s="30">
        <f t="shared" si="18"/>
        <v>7847044.0956000024</v>
      </c>
      <c r="T18" s="30">
        <f t="shared" si="19"/>
        <v>454466.4</v>
      </c>
      <c r="U18" s="30">
        <f t="shared" si="20"/>
        <v>6990860.5200000014</v>
      </c>
      <c r="V18" s="31"/>
      <c r="W18" s="223"/>
      <c r="X18" s="175"/>
      <c r="Y18" s="172" t="s">
        <v>280</v>
      </c>
      <c r="Z18" s="243">
        <v>0.12</v>
      </c>
      <c r="AA18" s="172">
        <v>2.4E-2</v>
      </c>
      <c r="AB18" s="172">
        <v>26</v>
      </c>
      <c r="AC18" s="172">
        <v>1470</v>
      </c>
      <c r="AD18" s="227">
        <f>Z18/AA18</f>
        <v>5</v>
      </c>
      <c r="AE18" s="177">
        <f>Z18*AB18*AC18</f>
        <v>4586.4000000000005</v>
      </c>
      <c r="AF18" s="228" t="s">
        <v>271</v>
      </c>
      <c r="AG18" s="222"/>
      <c r="AH18" s="222"/>
      <c r="AQ18" s="81" t="s">
        <v>317</v>
      </c>
      <c r="AR18" s="166"/>
      <c r="AV18" s="167"/>
      <c r="AW18" s="167"/>
      <c r="AX18" s="167"/>
      <c r="AY18" s="168"/>
      <c r="BA18" s="167"/>
      <c r="BC18" s="81" t="s">
        <v>373</v>
      </c>
      <c r="BD18" s="81" t="s">
        <v>395</v>
      </c>
      <c r="BE18" s="166">
        <v>2900000</v>
      </c>
      <c r="BF18" s="166">
        <v>35800</v>
      </c>
      <c r="BG18" s="81">
        <v>81.02</v>
      </c>
      <c r="BH18" s="81" t="s">
        <v>384</v>
      </c>
      <c r="BI18" s="81" t="s">
        <v>385</v>
      </c>
      <c r="BL18" s="167"/>
      <c r="BM18" s="167"/>
      <c r="BN18" s="167"/>
      <c r="BO18" s="168"/>
      <c r="BP18" s="161"/>
      <c r="BQ18" s="167"/>
      <c r="BS18" s="81">
        <v>21</v>
      </c>
      <c r="CA18" s="167" t="s">
        <v>314</v>
      </c>
      <c r="CB18" s="167" t="s">
        <v>315</v>
      </c>
      <c r="CC18" s="167" t="s">
        <v>330</v>
      </c>
      <c r="CD18" s="168" t="s">
        <v>318</v>
      </c>
      <c r="CE18" s="161">
        <f>BU32</f>
        <v>505</v>
      </c>
      <c r="CF18" s="167" t="s">
        <v>317</v>
      </c>
      <c r="CI18" s="81" t="s">
        <v>330</v>
      </c>
      <c r="CJ18" s="242">
        <f t="shared" si="1"/>
        <v>861.17309198813064</v>
      </c>
      <c r="CK18" s="242">
        <f t="shared" si="2"/>
        <v>958</v>
      </c>
      <c r="CL18" s="242">
        <f t="shared" si="3"/>
        <v>505</v>
      </c>
      <c r="CO18" s="243" t="s">
        <v>373</v>
      </c>
      <c r="CP18" s="243" t="s">
        <v>447</v>
      </c>
      <c r="CQ18" s="244">
        <v>2.04</v>
      </c>
      <c r="CR18" s="244">
        <v>4.7500000000000001E-2</v>
      </c>
      <c r="CS18" s="243">
        <v>42.91</v>
      </c>
      <c r="CT18" s="243" t="s">
        <v>420</v>
      </c>
      <c r="CU18" s="244">
        <v>2E-16</v>
      </c>
      <c r="CV18" s="81" t="s">
        <v>385</v>
      </c>
      <c r="CW18" s="245" t="s">
        <v>460</v>
      </c>
      <c r="CX18" s="250" t="s">
        <v>474</v>
      </c>
      <c r="CY18" s="246" t="s">
        <v>318</v>
      </c>
      <c r="CZ18" s="247">
        <f t="shared" si="12"/>
        <v>5.7500000000000002E-5</v>
      </c>
      <c r="DA18" s="245" t="s">
        <v>317</v>
      </c>
    </row>
    <row r="19" spans="2:105" ht="15" customHeight="1" thickTop="1" thickBot="1" x14ac:dyDescent="0.3">
      <c r="B19" s="175" t="s">
        <v>81</v>
      </c>
      <c r="C19" s="183">
        <f>C17-C18</f>
        <v>0</v>
      </c>
      <c r="D19" s="176" t="s">
        <v>9</v>
      </c>
      <c r="E19" s="186"/>
      <c r="F19" s="184"/>
      <c r="G19" s="184"/>
      <c r="H19" s="184"/>
      <c r="I19" s="189"/>
      <c r="K19" s="81" t="s">
        <v>79</v>
      </c>
      <c r="L19" s="208">
        <v>0</v>
      </c>
      <c r="M19" s="209">
        <v>2</v>
      </c>
      <c r="N19" s="209" t="s">
        <v>25</v>
      </c>
      <c r="O19" s="210">
        <f>'Tabula data'!B10*'Tabula 2zone Ref 2 (LE)'!D42/2*(1-'Tabula 2zone Ref 2 (LE)'!D43)</f>
        <v>0.7034500000000008</v>
      </c>
      <c r="P19" s="211" t="s">
        <v>45</v>
      </c>
      <c r="Q19" s="30">
        <f t="shared" si="7"/>
        <v>0.18334883383860953</v>
      </c>
      <c r="R19" s="30">
        <f t="shared" si="8"/>
        <v>0.12897673716377003</v>
      </c>
      <c r="S19" s="30">
        <f t="shared" si="18"/>
        <v>319694.3890800004</v>
      </c>
      <c r="T19" s="30">
        <f t="shared" si="19"/>
        <v>454466.40000000008</v>
      </c>
      <c r="U19" s="30">
        <f t="shared" si="20"/>
        <v>284812.8360000003</v>
      </c>
      <c r="V19" s="31"/>
      <c r="W19" s="223"/>
      <c r="X19" s="175"/>
      <c r="Y19" s="184" t="s">
        <v>76</v>
      </c>
      <c r="Z19" s="176">
        <v>0.25</v>
      </c>
      <c r="AA19" s="176">
        <v>1.1000000000000001</v>
      </c>
      <c r="AB19" s="176">
        <v>1850</v>
      </c>
      <c r="AC19" s="184">
        <v>840</v>
      </c>
      <c r="AD19" s="227">
        <f>Z19/AA19</f>
        <v>0.22727272727272727</v>
      </c>
      <c r="AE19" s="177">
        <f>Z19*AB19*AC19</f>
        <v>388500</v>
      </c>
      <c r="AF19" s="222" t="s">
        <v>272</v>
      </c>
      <c r="AG19" s="222"/>
      <c r="AH19" s="222"/>
      <c r="AM19" s="158" t="s">
        <v>314</v>
      </c>
      <c r="AN19" s="81" t="s">
        <v>315</v>
      </c>
      <c r="AO19" s="81" t="s">
        <v>330</v>
      </c>
      <c r="AP19" s="81">
        <f>SUM(O6:O9)*(1/(SUM(AD19:AD20)*0.5+1/8))</f>
        <v>861.17309198813064</v>
      </c>
      <c r="AQ19" s="81" t="s">
        <v>317</v>
      </c>
      <c r="AR19" s="166">
        <v>298.59179999999998</v>
      </c>
      <c r="AV19" s="167" t="s">
        <v>314</v>
      </c>
      <c r="AW19" s="167" t="s">
        <v>315</v>
      </c>
      <c r="AX19" s="167" t="s">
        <v>330</v>
      </c>
      <c r="AY19" s="168" t="s">
        <v>318</v>
      </c>
      <c r="AZ19" s="161">
        <f>AP19</f>
        <v>861.17309198813064</v>
      </c>
      <c r="BA19" s="167" t="s">
        <v>317</v>
      </c>
      <c r="BC19" s="81" t="s">
        <v>373</v>
      </c>
      <c r="BD19" s="81" t="s">
        <v>296</v>
      </c>
      <c r="BE19" s="166">
        <v>50500000</v>
      </c>
      <c r="BF19" s="166">
        <v>737000</v>
      </c>
      <c r="BG19" s="81">
        <v>68.5</v>
      </c>
      <c r="BH19" s="81" t="s">
        <v>384</v>
      </c>
      <c r="BI19" s="81" t="s">
        <v>385</v>
      </c>
      <c r="BL19" s="167" t="s">
        <v>314</v>
      </c>
      <c r="BM19" s="167" t="s">
        <v>315</v>
      </c>
      <c r="BN19" s="167" t="s">
        <v>330</v>
      </c>
      <c r="BO19" s="168" t="s">
        <v>318</v>
      </c>
      <c r="BP19" s="161">
        <f>BE31</f>
        <v>958</v>
      </c>
      <c r="BQ19" s="167" t="s">
        <v>317</v>
      </c>
      <c r="BS19" s="81" t="s">
        <v>373</v>
      </c>
      <c r="BT19" s="81" t="s">
        <v>395</v>
      </c>
      <c r="BU19" s="166">
        <v>2910000</v>
      </c>
      <c r="BV19" s="166">
        <v>32100</v>
      </c>
      <c r="BW19" s="81">
        <v>90.66</v>
      </c>
      <c r="BX19" s="81" t="s">
        <v>384</v>
      </c>
      <c r="BY19" s="81" t="s">
        <v>385</v>
      </c>
      <c r="CA19" s="167" t="s">
        <v>314</v>
      </c>
      <c r="CB19" s="167" t="s">
        <v>315</v>
      </c>
      <c r="CC19" s="167" t="s">
        <v>331</v>
      </c>
      <c r="CD19" s="168" t="s">
        <v>318</v>
      </c>
      <c r="CE19" s="161">
        <f t="shared" ref="CE19:CE21" si="21">BU33</f>
        <v>194</v>
      </c>
      <c r="CF19" s="167" t="s">
        <v>317</v>
      </c>
      <c r="CI19" s="81" t="s">
        <v>331</v>
      </c>
      <c r="CJ19" s="242">
        <f t="shared" si="1"/>
        <v>558.4752475247526</v>
      </c>
      <c r="CK19" s="242">
        <f t="shared" si="2"/>
        <v>737</v>
      </c>
      <c r="CL19" s="242">
        <f t="shared" si="3"/>
        <v>194</v>
      </c>
      <c r="CO19" s="243" t="s">
        <v>373</v>
      </c>
      <c r="CP19" s="243" t="s">
        <v>448</v>
      </c>
      <c r="CQ19" s="244">
        <v>1.1100000000000001</v>
      </c>
      <c r="CR19" s="244">
        <v>0.14199999999999999</v>
      </c>
      <c r="CS19" s="243">
        <v>7.79</v>
      </c>
      <c r="CT19" s="244">
        <v>7.1000000000000002E-15</v>
      </c>
      <c r="CU19" s="243" t="s">
        <v>385</v>
      </c>
      <c r="CW19" s="245" t="s">
        <v>460</v>
      </c>
      <c r="CX19" s="248" t="s">
        <v>475</v>
      </c>
      <c r="CY19" s="246" t="s">
        <v>318</v>
      </c>
      <c r="CZ19" s="247">
        <f t="shared" si="12"/>
        <v>0.86599999999999999</v>
      </c>
      <c r="DA19" s="245" t="s">
        <v>317</v>
      </c>
    </row>
    <row r="20" spans="2:105" ht="15" customHeight="1" thickTop="1" thickBot="1" x14ac:dyDescent="0.3">
      <c r="B20" s="175"/>
      <c r="C20" s="176"/>
      <c r="D20" s="176"/>
      <c r="E20" s="178" t="s">
        <v>83</v>
      </c>
      <c r="F20" s="184"/>
      <c r="G20" s="190">
        <f>H4/C23</f>
        <v>0.14767025089605737</v>
      </c>
      <c r="H20" s="184"/>
      <c r="I20" s="177"/>
      <c r="K20" s="81" t="s">
        <v>82</v>
      </c>
      <c r="L20" s="208">
        <v>0</v>
      </c>
      <c r="M20" s="209">
        <v>2</v>
      </c>
      <c r="N20" s="209" t="s">
        <v>25</v>
      </c>
      <c r="O20" s="210">
        <f>'Tabula data'!B10*(1-'Tabula 2zone Ref 2 (LE)'!D42)/2*(1-'Tabula 2zone Ref 2 (LE)'!D44)</f>
        <v>17.266500000000004</v>
      </c>
      <c r="P20" s="211" t="s">
        <v>50</v>
      </c>
      <c r="Q20" s="30">
        <f t="shared" si="7"/>
        <v>0.18334883383860953</v>
      </c>
      <c r="R20" s="30">
        <f t="shared" si="8"/>
        <v>3.1657926394743523</v>
      </c>
      <c r="S20" s="30">
        <f t="shared" si="18"/>
        <v>7847044.0956000024</v>
      </c>
      <c r="T20" s="30">
        <f t="shared" si="19"/>
        <v>454466.4</v>
      </c>
      <c r="U20" s="30">
        <f t="shared" si="20"/>
        <v>6990860.5200000014</v>
      </c>
      <c r="V20" s="31"/>
      <c r="W20" s="223"/>
      <c r="X20" s="187"/>
      <c r="Y20" s="174" t="s">
        <v>273</v>
      </c>
      <c r="Z20" s="174">
        <v>0.02</v>
      </c>
      <c r="AA20" s="174">
        <v>0.6</v>
      </c>
      <c r="AB20" s="174">
        <v>975</v>
      </c>
      <c r="AC20" s="174">
        <v>840</v>
      </c>
      <c r="AD20" s="229">
        <f>Z20/AA20</f>
        <v>3.3333333333333333E-2</v>
      </c>
      <c r="AE20" s="192">
        <f>Z20*AB20*AC20</f>
        <v>16380</v>
      </c>
      <c r="AF20" s="222"/>
      <c r="AG20" s="222"/>
      <c r="AH20" s="222"/>
      <c r="AM20" s="158" t="s">
        <v>314</v>
      </c>
      <c r="AN20" s="81" t="s">
        <v>315</v>
      </c>
      <c r="AO20" s="81" t="s">
        <v>331</v>
      </c>
      <c r="AP20" s="81">
        <f>SUM(O14)*1/(0.5*SUM(AD43:AD44)+1/6)</f>
        <v>558.4752475247526</v>
      </c>
      <c r="AQ20" s="81" t="s">
        <v>317</v>
      </c>
      <c r="AR20" s="166">
        <v>278.86439999999999</v>
      </c>
      <c r="AV20" s="167" t="s">
        <v>314</v>
      </c>
      <c r="AW20" s="167" t="s">
        <v>315</v>
      </c>
      <c r="AX20" s="167" t="s">
        <v>331</v>
      </c>
      <c r="AY20" s="168" t="s">
        <v>318</v>
      </c>
      <c r="AZ20" s="161">
        <f t="shared" ref="AZ20:AZ24" si="22">AP20</f>
        <v>558.4752475247526</v>
      </c>
      <c r="BA20" s="167" t="s">
        <v>317</v>
      </c>
      <c r="BC20" s="81" t="s">
        <v>373</v>
      </c>
      <c r="BD20" s="81" t="s">
        <v>298</v>
      </c>
      <c r="BE20" s="166">
        <v>32700000</v>
      </c>
      <c r="BF20" s="166">
        <v>53200</v>
      </c>
      <c r="BG20" s="81">
        <v>614.4</v>
      </c>
      <c r="BH20" s="81" t="s">
        <v>384</v>
      </c>
      <c r="BI20" s="81" t="s">
        <v>385</v>
      </c>
      <c r="BL20" s="167" t="s">
        <v>314</v>
      </c>
      <c r="BM20" s="167" t="s">
        <v>315</v>
      </c>
      <c r="BN20" s="167" t="s">
        <v>331</v>
      </c>
      <c r="BO20" s="168" t="s">
        <v>318</v>
      </c>
      <c r="BP20" s="161">
        <f t="shared" ref="BP20:BP22" si="23">BE32</f>
        <v>737</v>
      </c>
      <c r="BQ20" s="167" t="s">
        <v>317</v>
      </c>
      <c r="BS20" s="81" t="s">
        <v>373</v>
      </c>
      <c r="BT20" s="81" t="s">
        <v>296</v>
      </c>
      <c r="BU20" s="166">
        <v>95200000</v>
      </c>
      <c r="BV20" s="166">
        <v>2180000</v>
      </c>
      <c r="BW20" s="81">
        <v>43.68</v>
      </c>
      <c r="BX20" s="81" t="s">
        <v>384</v>
      </c>
      <c r="BY20" s="81" t="s">
        <v>385</v>
      </c>
      <c r="CA20" s="167" t="s">
        <v>314</v>
      </c>
      <c r="CB20" s="167" t="s">
        <v>315</v>
      </c>
      <c r="CC20" s="167" t="s">
        <v>332</v>
      </c>
      <c r="CD20" s="168" t="s">
        <v>318</v>
      </c>
      <c r="CE20" s="161">
        <f t="shared" si="21"/>
        <v>644</v>
      </c>
      <c r="CF20" s="167" t="s">
        <v>317</v>
      </c>
      <c r="CI20" s="81" t="s">
        <v>332</v>
      </c>
      <c r="CJ20" s="242">
        <f t="shared" si="1"/>
        <v>1752.3904649446499</v>
      </c>
      <c r="CK20" s="242">
        <f t="shared" si="2"/>
        <v>2190</v>
      </c>
      <c r="CL20" s="242">
        <f t="shared" si="3"/>
        <v>644</v>
      </c>
      <c r="CO20" s="243" t="s">
        <v>373</v>
      </c>
      <c r="CP20" s="243" t="s">
        <v>338</v>
      </c>
      <c r="CQ20" s="244">
        <v>4.0099999999999997E-6</v>
      </c>
      <c r="CR20" s="244">
        <v>3.9900000000000001E-5</v>
      </c>
      <c r="CS20" s="243">
        <v>0.1</v>
      </c>
      <c r="CT20" s="243">
        <v>0.91996999999999995</v>
      </c>
      <c r="CW20" s="245" t="s">
        <v>460</v>
      </c>
      <c r="CX20" s="249" t="s">
        <v>476</v>
      </c>
      <c r="CY20" s="246" t="s">
        <v>318</v>
      </c>
      <c r="CZ20" s="247">
        <f t="shared" si="12"/>
        <v>0.67800000000000005</v>
      </c>
      <c r="DA20" s="245" t="s">
        <v>317</v>
      </c>
    </row>
    <row r="21" spans="2:105" ht="15" customHeight="1" thickTop="1" thickBot="1" x14ac:dyDescent="0.3">
      <c r="B21" s="175"/>
      <c r="C21" s="176"/>
      <c r="D21" s="176"/>
      <c r="E21" s="178" t="s">
        <v>86</v>
      </c>
      <c r="F21" s="184"/>
      <c r="G21" s="190">
        <f>H4/C6</f>
        <v>0.14767025089605737</v>
      </c>
      <c r="H21" s="184"/>
      <c r="I21" s="177"/>
      <c r="K21" s="81" t="s">
        <v>84</v>
      </c>
      <c r="L21" s="208">
        <v>0</v>
      </c>
      <c r="M21" s="209">
        <v>2</v>
      </c>
      <c r="N21" s="209" t="s">
        <v>54</v>
      </c>
      <c r="O21" s="210">
        <f>I10</f>
        <v>3.2400000000000007</v>
      </c>
      <c r="P21" s="211" t="s">
        <v>26</v>
      </c>
      <c r="Q21" s="30">
        <f t="shared" si="7"/>
        <v>1.1000000000000001</v>
      </c>
      <c r="R21" s="30">
        <f t="shared" si="8"/>
        <v>3.5640000000000009</v>
      </c>
      <c r="S21" s="30">
        <f t="shared" si="18"/>
        <v>0</v>
      </c>
      <c r="T21" s="30">
        <f t="shared" si="19"/>
        <v>0</v>
      </c>
      <c r="U21" s="30">
        <f t="shared" si="20"/>
        <v>0</v>
      </c>
      <c r="V21" s="31"/>
      <c r="W21" s="223"/>
      <c r="AF21" s="222"/>
      <c r="AG21" s="222"/>
      <c r="AH21" s="222"/>
      <c r="AM21" s="158" t="s">
        <v>314</v>
      </c>
      <c r="AN21" s="81" t="s">
        <v>315</v>
      </c>
      <c r="AO21" s="81" t="s">
        <v>332</v>
      </c>
      <c r="AP21" s="81">
        <f>4*AA22*O27</f>
        <v>1752.3904649446499</v>
      </c>
      <c r="AQ21" s="81" t="s">
        <v>317</v>
      </c>
      <c r="AR21" s="166">
        <v>721.00049999999999</v>
      </c>
      <c r="AV21" s="167" t="s">
        <v>314</v>
      </c>
      <c r="AW21" s="167" t="s">
        <v>315</v>
      </c>
      <c r="AX21" s="167" t="s">
        <v>332</v>
      </c>
      <c r="AY21" s="168" t="s">
        <v>318</v>
      </c>
      <c r="AZ21" s="161">
        <f t="shared" si="22"/>
        <v>1752.3904649446499</v>
      </c>
      <c r="BA21" s="167" t="s">
        <v>317</v>
      </c>
      <c r="BC21" s="81" t="s">
        <v>373</v>
      </c>
      <c r="BD21" s="81" t="s">
        <v>396</v>
      </c>
      <c r="BE21" s="166">
        <v>-6.77</v>
      </c>
      <c r="BF21" s="166">
        <v>5.1499999999999997E-2</v>
      </c>
      <c r="BG21" s="81">
        <v>-131.33000000000001</v>
      </c>
      <c r="BH21" s="81" t="s">
        <v>384</v>
      </c>
      <c r="BI21" s="81" t="s">
        <v>385</v>
      </c>
      <c r="BL21" s="167" t="s">
        <v>314</v>
      </c>
      <c r="BM21" s="167" t="s">
        <v>315</v>
      </c>
      <c r="BN21" s="167" t="s">
        <v>332</v>
      </c>
      <c r="BO21" s="168" t="s">
        <v>318</v>
      </c>
      <c r="BP21" s="161">
        <f t="shared" si="23"/>
        <v>2190</v>
      </c>
      <c r="BQ21" s="167" t="s">
        <v>317</v>
      </c>
      <c r="BS21" s="81" t="s">
        <v>373</v>
      </c>
      <c r="BT21" s="81" t="s">
        <v>298</v>
      </c>
      <c r="BU21" s="166">
        <v>22100000</v>
      </c>
      <c r="BV21" s="166">
        <v>378000</v>
      </c>
      <c r="BW21" s="81">
        <v>58.53</v>
      </c>
      <c r="BX21" s="81" t="s">
        <v>384</v>
      </c>
      <c r="BY21" s="81" t="s">
        <v>385</v>
      </c>
      <c r="CA21" s="167" t="s">
        <v>314</v>
      </c>
      <c r="CB21" s="167" t="s">
        <v>315</v>
      </c>
      <c r="CC21" s="167" t="s">
        <v>333</v>
      </c>
      <c r="CD21" s="168" t="s">
        <v>318</v>
      </c>
      <c r="CE21" s="161">
        <f t="shared" si="21"/>
        <v>260</v>
      </c>
      <c r="CF21" s="167" t="s">
        <v>317</v>
      </c>
      <c r="CI21" s="81" t="s">
        <v>333</v>
      </c>
      <c r="CJ21" s="242">
        <f t="shared" si="1"/>
        <v>119.98422709677421</v>
      </c>
      <c r="CK21" s="242">
        <f t="shared" si="2"/>
        <v>251</v>
      </c>
      <c r="CL21" s="242">
        <f t="shared" si="3"/>
        <v>260</v>
      </c>
      <c r="CO21" s="243" t="s">
        <v>373</v>
      </c>
      <c r="CP21" s="243" t="s">
        <v>449</v>
      </c>
      <c r="CQ21" s="244">
        <v>3.0199999999999999E-5</v>
      </c>
      <c r="CR21" s="244">
        <v>3.1399999999999999E-4</v>
      </c>
      <c r="CS21" s="243">
        <v>0.1</v>
      </c>
      <c r="CT21" s="243">
        <v>0.92342000000000002</v>
      </c>
      <c r="CW21" s="245" t="s">
        <v>460</v>
      </c>
      <c r="CX21" s="249" t="s">
        <v>477</v>
      </c>
      <c r="CY21" s="246" t="s">
        <v>318</v>
      </c>
      <c r="CZ21" s="247">
        <f t="shared" si="12"/>
        <v>0.34599999999999997</v>
      </c>
      <c r="DA21" s="245" t="s">
        <v>317</v>
      </c>
    </row>
    <row r="22" spans="2:105" ht="15" customHeight="1" thickTop="1" thickBot="1" x14ac:dyDescent="0.3">
      <c r="B22" s="187"/>
      <c r="C22" s="174"/>
      <c r="D22" s="174"/>
      <c r="E22" s="175" t="s">
        <v>88</v>
      </c>
      <c r="F22" s="176"/>
      <c r="G22" s="179">
        <f>H4/C26</f>
        <v>6.8758344459279044E-2</v>
      </c>
      <c r="H22" s="176"/>
      <c r="I22" s="177"/>
      <c r="K22" s="81" t="s">
        <v>87</v>
      </c>
      <c r="L22" s="208">
        <v>0</v>
      </c>
      <c r="M22" s="209">
        <v>2</v>
      </c>
      <c r="N22" s="209" t="s">
        <v>54</v>
      </c>
      <c r="O22" s="210">
        <f>I11</f>
        <v>2.7900000000000005</v>
      </c>
      <c r="P22" s="211" t="s">
        <v>39</v>
      </c>
      <c r="Q22" s="30">
        <f t="shared" si="7"/>
        <v>1.1000000000000001</v>
      </c>
      <c r="R22" s="30">
        <f t="shared" si="8"/>
        <v>3.0690000000000008</v>
      </c>
      <c r="S22" s="30">
        <f t="shared" si="18"/>
        <v>0</v>
      </c>
      <c r="T22" s="30">
        <f t="shared" si="19"/>
        <v>0</v>
      </c>
      <c r="U22" s="30">
        <f t="shared" si="20"/>
        <v>0</v>
      </c>
      <c r="V22" s="31"/>
      <c r="W22" s="223"/>
      <c r="X22" s="216" t="s">
        <v>85</v>
      </c>
      <c r="Y22" s="217"/>
      <c r="Z22" s="218" t="s">
        <v>21</v>
      </c>
      <c r="AA22" s="219">
        <f>(1/(1/8+SUM(AD24:AD26)+1/8))</f>
        <v>1.9926199261992623</v>
      </c>
      <c r="AB22" s="217" t="s">
        <v>5</v>
      </c>
      <c r="AC22" s="217"/>
      <c r="AD22" s="217" t="s">
        <v>22</v>
      </c>
      <c r="AE22" s="220">
        <f>SUM(AE24:AE27)</f>
        <v>150360</v>
      </c>
      <c r="AF22" s="222" t="s">
        <v>23</v>
      </c>
      <c r="AG22" s="222">
        <f>SUM(AE24:AE26)</f>
        <v>150360</v>
      </c>
      <c r="AH22" s="222"/>
      <c r="AM22" s="158" t="s">
        <v>314</v>
      </c>
      <c r="AN22" s="81" t="s">
        <v>315</v>
      </c>
      <c r="AO22" s="81" t="s">
        <v>333</v>
      </c>
      <c r="AP22" s="152">
        <f>'Verwarming Tabula 2zone'!B60+SUM(R10:R13)</f>
        <v>119.98422709677421</v>
      </c>
      <c r="AQ22" s="81" t="s">
        <v>317</v>
      </c>
      <c r="AR22" s="166">
        <v>110.5333</v>
      </c>
      <c r="AV22" s="167" t="s">
        <v>314</v>
      </c>
      <c r="AW22" s="167" t="s">
        <v>315</v>
      </c>
      <c r="AX22" s="167" t="s">
        <v>333</v>
      </c>
      <c r="AY22" s="168" t="s">
        <v>318</v>
      </c>
      <c r="AZ22" s="161">
        <f t="shared" si="22"/>
        <v>119.98422709677421</v>
      </c>
      <c r="BA22" s="167" t="s">
        <v>317</v>
      </c>
      <c r="BC22" s="81" t="s">
        <v>373</v>
      </c>
      <c r="BD22" s="81" t="s">
        <v>397</v>
      </c>
      <c r="BE22" s="166">
        <v>-15.3</v>
      </c>
      <c r="BF22" s="166">
        <v>295</v>
      </c>
      <c r="BG22" s="81">
        <v>-0.05</v>
      </c>
      <c r="BH22" s="81">
        <v>0.96</v>
      </c>
      <c r="BL22" s="167" t="s">
        <v>314</v>
      </c>
      <c r="BM22" s="167" t="s">
        <v>315</v>
      </c>
      <c r="BN22" s="167" t="s">
        <v>333</v>
      </c>
      <c r="BO22" s="168" t="s">
        <v>318</v>
      </c>
      <c r="BP22" s="161">
        <f t="shared" si="23"/>
        <v>251</v>
      </c>
      <c r="BQ22" s="167" t="s">
        <v>317</v>
      </c>
      <c r="BS22" s="81" t="s">
        <v>373</v>
      </c>
      <c r="BT22" s="81" t="s">
        <v>396</v>
      </c>
      <c r="BU22" s="166">
        <v>-8.51</v>
      </c>
      <c r="BV22" s="166">
        <v>0.16800000000000001</v>
      </c>
      <c r="BW22" s="81">
        <v>-50.8</v>
      </c>
      <c r="BX22" s="81" t="s">
        <v>384</v>
      </c>
      <c r="BY22" s="81" t="s">
        <v>385</v>
      </c>
      <c r="CA22" s="167" t="s">
        <v>314</v>
      </c>
      <c r="CB22" s="167" t="s">
        <v>315</v>
      </c>
      <c r="CC22" s="167" t="s">
        <v>334</v>
      </c>
      <c r="CD22" s="168" t="s">
        <v>318</v>
      </c>
      <c r="CE22" s="161">
        <f>1/BU41</f>
        <v>1992.0318725099603</v>
      </c>
      <c r="CF22" s="167" t="s">
        <v>317</v>
      </c>
      <c r="CI22" s="81" t="s">
        <v>334</v>
      </c>
      <c r="CJ22" s="242">
        <f t="shared" si="1"/>
        <v>1106.0402048053024</v>
      </c>
      <c r="CK22" s="242">
        <f t="shared" si="2"/>
        <v>884.95575221238948</v>
      </c>
      <c r="CL22" s="242">
        <f t="shared" si="3"/>
        <v>1992.0318725099603</v>
      </c>
      <c r="CO22" s="243" t="s">
        <v>373</v>
      </c>
      <c r="CP22" s="243" t="s">
        <v>450</v>
      </c>
      <c r="CQ22" s="244">
        <v>0.434</v>
      </c>
      <c r="CR22" s="244">
        <v>0.153</v>
      </c>
      <c r="CS22" s="243">
        <v>2.83</v>
      </c>
      <c r="CT22" s="243">
        <v>4.64E-3</v>
      </c>
      <c r="CU22" s="243" t="s">
        <v>398</v>
      </c>
      <c r="CW22" s="245" t="s">
        <v>460</v>
      </c>
      <c r="CX22" s="249" t="s">
        <v>478</v>
      </c>
      <c r="CY22" s="246" t="s">
        <v>318</v>
      </c>
      <c r="CZ22" s="247">
        <f t="shared" si="12"/>
        <v>0.17599999999999999</v>
      </c>
      <c r="DA22" s="245" t="s">
        <v>317</v>
      </c>
    </row>
    <row r="23" spans="2:105" ht="15" customHeight="1" thickTop="1" thickBot="1" x14ac:dyDescent="0.3">
      <c r="B23" s="193" t="s">
        <v>91</v>
      </c>
      <c r="C23" s="195">
        <f>C17+C6</f>
        <v>279</v>
      </c>
      <c r="D23" s="194" t="s">
        <v>9</v>
      </c>
      <c r="E23" s="175"/>
      <c r="F23" s="176"/>
      <c r="G23" s="176"/>
      <c r="H23" s="176"/>
      <c r="I23" s="177"/>
      <c r="K23" s="81" t="s">
        <v>89</v>
      </c>
      <c r="L23" s="208">
        <v>0</v>
      </c>
      <c r="M23" s="209">
        <v>2</v>
      </c>
      <c r="N23" s="209" t="s">
        <v>54</v>
      </c>
      <c r="O23" s="210">
        <f>I12</f>
        <v>3.66</v>
      </c>
      <c r="P23" s="211" t="s">
        <v>45</v>
      </c>
      <c r="Q23" s="30">
        <f t="shared" si="7"/>
        <v>1.1000000000000001</v>
      </c>
      <c r="R23" s="30">
        <f t="shared" si="8"/>
        <v>4.0260000000000007</v>
      </c>
      <c r="S23" s="30">
        <f t="shared" si="18"/>
        <v>0</v>
      </c>
      <c r="T23" s="30">
        <f t="shared" si="19"/>
        <v>0</v>
      </c>
      <c r="U23" s="30">
        <f t="shared" si="20"/>
        <v>0</v>
      </c>
      <c r="V23" s="31"/>
      <c r="W23" s="223"/>
      <c r="X23" s="224"/>
      <c r="Y23" s="225" t="s">
        <v>27</v>
      </c>
      <c r="Z23" s="225" t="s">
        <v>28</v>
      </c>
      <c r="AA23" s="225" t="s">
        <v>29</v>
      </c>
      <c r="AB23" s="225" t="s">
        <v>30</v>
      </c>
      <c r="AC23" s="225" t="s">
        <v>31</v>
      </c>
      <c r="AD23" s="225" t="s">
        <v>32</v>
      </c>
      <c r="AE23" s="226" t="s">
        <v>33</v>
      </c>
      <c r="AF23" s="222"/>
      <c r="AG23" s="222"/>
      <c r="AH23" s="222"/>
      <c r="AM23" s="158" t="s">
        <v>314</v>
      </c>
      <c r="AN23" s="81" t="s">
        <v>315</v>
      </c>
      <c r="AO23" s="81" t="s">
        <v>334</v>
      </c>
      <c r="AP23" s="81">
        <f>SUM(O6:O9)*1/(SUM(AD16:AD17)+0.5*SUM(AD19:AD20)+1/23)</f>
        <v>1106.0402048053024</v>
      </c>
      <c r="AQ23" s="81" t="s">
        <v>317</v>
      </c>
      <c r="AR23" s="81">
        <f>1/0.01496205</f>
        <v>66.83576114235683</v>
      </c>
      <c r="AV23" s="167" t="s">
        <v>314</v>
      </c>
      <c r="AW23" s="167" t="s">
        <v>315</v>
      </c>
      <c r="AX23" s="167" t="s">
        <v>334</v>
      </c>
      <c r="AY23" s="168" t="s">
        <v>318</v>
      </c>
      <c r="AZ23" s="161">
        <f t="shared" si="22"/>
        <v>1106.0402048053024</v>
      </c>
      <c r="BA23" s="167" t="s">
        <v>317</v>
      </c>
      <c r="BC23" s="81" t="s">
        <v>373</v>
      </c>
      <c r="BD23" s="81" t="s">
        <v>399</v>
      </c>
      <c r="BE23" s="166">
        <v>-14.3</v>
      </c>
      <c r="BF23" s="166">
        <v>275</v>
      </c>
      <c r="BG23" s="81">
        <v>-0.05</v>
      </c>
      <c r="BH23" s="81">
        <v>0.96</v>
      </c>
      <c r="BL23" s="167" t="s">
        <v>314</v>
      </c>
      <c r="BM23" s="167" t="s">
        <v>315</v>
      </c>
      <c r="BN23" s="167" t="s">
        <v>334</v>
      </c>
      <c r="BO23" s="168" t="s">
        <v>318</v>
      </c>
      <c r="BP23" s="161">
        <f>1/BE40</f>
        <v>884.95575221238948</v>
      </c>
      <c r="BQ23" s="167" t="s">
        <v>317</v>
      </c>
      <c r="BS23" s="81" t="s">
        <v>373</v>
      </c>
      <c r="BT23" s="81" t="s">
        <v>397</v>
      </c>
      <c r="BU23" s="166">
        <v>-16.7</v>
      </c>
      <c r="BV23" s="166">
        <v>5.94</v>
      </c>
      <c r="BW23" s="81">
        <v>-2.81</v>
      </c>
      <c r="BX23" s="81">
        <v>4.8999999999999998E-3</v>
      </c>
      <c r="BY23" s="81" t="s">
        <v>398</v>
      </c>
      <c r="CA23" s="167" t="s">
        <v>314</v>
      </c>
      <c r="CB23" s="167" t="s">
        <v>315</v>
      </c>
      <c r="CC23" s="167" t="s">
        <v>335</v>
      </c>
      <c r="CD23" s="168" t="s">
        <v>318</v>
      </c>
      <c r="CE23" s="161">
        <f>BU44</f>
        <v>530</v>
      </c>
      <c r="CF23" s="167" t="s">
        <v>317</v>
      </c>
      <c r="CI23" s="81" t="s">
        <v>335</v>
      </c>
      <c r="CJ23" s="242">
        <f t="shared" si="1"/>
        <v>24.919814446653419</v>
      </c>
      <c r="CK23" s="242">
        <f t="shared" si="2"/>
        <v>301</v>
      </c>
      <c r="CL23" s="242">
        <f t="shared" si="3"/>
        <v>530</v>
      </c>
      <c r="CO23" s="243" t="s">
        <v>373</v>
      </c>
      <c r="CP23" s="243" t="s">
        <v>451</v>
      </c>
      <c r="CQ23" s="244">
        <v>0.72799999999999998</v>
      </c>
      <c r="CR23" s="244">
        <v>1.06E-2</v>
      </c>
      <c r="CS23" s="243">
        <v>68.58</v>
      </c>
      <c r="CT23" s="243" t="s">
        <v>420</v>
      </c>
      <c r="CU23" s="244">
        <v>2E-16</v>
      </c>
      <c r="CV23" s="81" t="s">
        <v>385</v>
      </c>
      <c r="CW23" s="245" t="s">
        <v>460</v>
      </c>
      <c r="CX23" s="248" t="s">
        <v>479</v>
      </c>
      <c r="CY23" s="246" t="s">
        <v>318</v>
      </c>
      <c r="CZ23" s="247">
        <f t="shared" si="12"/>
        <v>0.46800000000000003</v>
      </c>
      <c r="DA23" s="245" t="s">
        <v>317</v>
      </c>
    </row>
    <row r="24" spans="2:105" ht="15" customHeight="1" thickTop="1" thickBot="1" x14ac:dyDescent="0.3">
      <c r="B24" s="175" t="s">
        <v>94</v>
      </c>
      <c r="C24" s="191">
        <f>C23/C6</f>
        <v>1</v>
      </c>
      <c r="D24" s="176" t="s">
        <v>9</v>
      </c>
      <c r="E24" s="175" t="s">
        <v>95</v>
      </c>
      <c r="F24" s="176"/>
      <c r="G24" s="191">
        <f>C8/C6</f>
        <v>0.51863799283154122</v>
      </c>
      <c r="H24" s="176"/>
      <c r="I24" s="177"/>
      <c r="K24" s="81" t="s">
        <v>92</v>
      </c>
      <c r="L24" s="208">
        <v>0</v>
      </c>
      <c r="M24" s="209">
        <v>2</v>
      </c>
      <c r="N24" s="209" t="s">
        <v>54</v>
      </c>
      <c r="O24" s="210">
        <f>I13</f>
        <v>2.6700000000000004</v>
      </c>
      <c r="P24" s="211" t="s">
        <v>50</v>
      </c>
      <c r="Q24" s="30">
        <f t="shared" si="7"/>
        <v>1.1000000000000001</v>
      </c>
      <c r="R24" s="30">
        <f t="shared" si="8"/>
        <v>2.9370000000000007</v>
      </c>
      <c r="S24" s="30">
        <f t="shared" si="18"/>
        <v>0</v>
      </c>
      <c r="T24" s="30">
        <f t="shared" si="19"/>
        <v>0</v>
      </c>
      <c r="U24" s="30">
        <f t="shared" si="20"/>
        <v>0</v>
      </c>
      <c r="V24" s="31"/>
      <c r="W24" s="223"/>
      <c r="X24" s="175"/>
      <c r="Y24" s="176" t="s">
        <v>433</v>
      </c>
      <c r="Z24" s="176">
        <v>0.02</v>
      </c>
      <c r="AA24" s="176">
        <v>0.6</v>
      </c>
      <c r="AB24" s="176">
        <v>975</v>
      </c>
      <c r="AC24" s="176">
        <v>840</v>
      </c>
      <c r="AD24" s="227">
        <f>Z24/AA24</f>
        <v>3.3333333333333333E-2</v>
      </c>
      <c r="AE24" s="177">
        <f>Z24*AB24*AC24</f>
        <v>16380</v>
      </c>
      <c r="AF24" s="222"/>
      <c r="AG24" s="222"/>
      <c r="AH24" s="222"/>
      <c r="AM24" s="158" t="s">
        <v>314</v>
      </c>
      <c r="AN24" s="81" t="s">
        <v>315</v>
      </c>
      <c r="AO24" s="81" t="s">
        <v>335</v>
      </c>
      <c r="AP24" s="81">
        <f>SUM(O14)*1/(SUM(AD45:AD47)+0.5*SUM(AD43:AD44))</f>
        <v>24.919814446653419</v>
      </c>
      <c r="AQ24" s="81" t="s">
        <v>317</v>
      </c>
      <c r="AR24" s="166">
        <v>43.800190000000001</v>
      </c>
      <c r="AV24" s="167" t="s">
        <v>314</v>
      </c>
      <c r="AW24" s="167" t="s">
        <v>315</v>
      </c>
      <c r="AX24" s="167" t="s">
        <v>335</v>
      </c>
      <c r="AY24" s="168" t="s">
        <v>318</v>
      </c>
      <c r="AZ24" s="161">
        <f t="shared" si="22"/>
        <v>24.919814446653419</v>
      </c>
      <c r="BA24" s="167" t="s">
        <v>317</v>
      </c>
      <c r="BC24" s="81" t="s">
        <v>373</v>
      </c>
      <c r="BD24" s="81" t="s">
        <v>400</v>
      </c>
      <c r="BE24" s="166">
        <v>-9.5399999999999991</v>
      </c>
      <c r="BF24" s="166">
        <v>148</v>
      </c>
      <c r="BG24" s="81">
        <v>-0.06</v>
      </c>
      <c r="BH24" s="81">
        <v>0.95</v>
      </c>
      <c r="BL24" s="167" t="s">
        <v>314</v>
      </c>
      <c r="BM24" s="167" t="s">
        <v>315</v>
      </c>
      <c r="BN24" s="167" t="s">
        <v>335</v>
      </c>
      <c r="BO24" s="168" t="s">
        <v>318</v>
      </c>
      <c r="BP24" s="161">
        <f>BE43</f>
        <v>301</v>
      </c>
      <c r="BQ24" s="167" t="s">
        <v>317</v>
      </c>
      <c r="BS24" s="81" t="s">
        <v>373</v>
      </c>
      <c r="BT24" s="81" t="s">
        <v>399</v>
      </c>
      <c r="BU24" s="166">
        <v>-12.4</v>
      </c>
      <c r="BV24" s="166">
        <v>4.4400000000000004</v>
      </c>
      <c r="BW24" s="81">
        <v>-2.8</v>
      </c>
      <c r="BX24" s="81">
        <v>5.1000000000000004E-3</v>
      </c>
      <c r="BY24" s="81" t="s">
        <v>398</v>
      </c>
      <c r="CA24" s="167"/>
      <c r="CB24" s="167"/>
      <c r="CC24" s="167"/>
      <c r="CD24" s="168"/>
      <c r="CE24" s="161"/>
      <c r="CF24" s="167"/>
      <c r="CJ24" s="240">
        <f t="shared" si="1"/>
        <v>0</v>
      </c>
      <c r="CK24" s="240">
        <f t="shared" si="2"/>
        <v>0</v>
      </c>
      <c r="CL24" s="240">
        <f t="shared" si="3"/>
        <v>0</v>
      </c>
      <c r="CO24" s="243" t="s">
        <v>373</v>
      </c>
      <c r="CP24" s="243" t="s">
        <v>452</v>
      </c>
      <c r="CQ24" s="244">
        <v>5.7500000000000002E-5</v>
      </c>
      <c r="CR24" s="244">
        <v>2.0100000000000001E-4</v>
      </c>
      <c r="CS24" s="243">
        <v>0.28999999999999998</v>
      </c>
      <c r="CT24" s="243">
        <v>0.77483000000000002</v>
      </c>
      <c r="CW24" s="245" t="s">
        <v>460</v>
      </c>
      <c r="CX24" s="246" t="s">
        <v>480</v>
      </c>
      <c r="CY24" s="246" t="s">
        <v>318</v>
      </c>
      <c r="CZ24" s="247">
        <f t="shared" si="12"/>
        <v>0.314</v>
      </c>
      <c r="DA24" s="245" t="s">
        <v>317</v>
      </c>
    </row>
    <row r="25" spans="2:105" ht="15" customHeight="1" thickTop="1" thickBot="1" x14ac:dyDescent="0.3">
      <c r="B25" s="187"/>
      <c r="C25" s="174"/>
      <c r="D25" s="174"/>
      <c r="E25" s="175"/>
      <c r="F25" s="176"/>
      <c r="G25" s="176"/>
      <c r="H25" s="176"/>
      <c r="I25" s="177"/>
      <c r="K25" s="81" t="s">
        <v>96</v>
      </c>
      <c r="L25" s="208">
        <v>0</v>
      </c>
      <c r="M25" s="209">
        <v>2</v>
      </c>
      <c r="N25" s="209" t="s">
        <v>20</v>
      </c>
      <c r="O25" s="210">
        <f>'Tabula data'!B7</f>
        <v>158.4</v>
      </c>
      <c r="P25" s="211" t="s">
        <v>97</v>
      </c>
      <c r="Q25" s="30">
        <f t="shared" si="7"/>
        <v>0.14117683417924493</v>
      </c>
      <c r="R25" s="30">
        <f t="shared" si="8"/>
        <v>22.362410533992396</v>
      </c>
      <c r="S25" s="30">
        <f t="shared" si="18"/>
        <v>15111676.800000001</v>
      </c>
      <c r="T25" s="30">
        <f t="shared" si="19"/>
        <v>95402</v>
      </c>
      <c r="U25" s="30">
        <f t="shared" si="20"/>
        <v>6689232</v>
      </c>
      <c r="V25" s="31"/>
      <c r="W25" s="223"/>
      <c r="X25" s="175"/>
      <c r="Y25" s="176" t="s">
        <v>434</v>
      </c>
      <c r="Z25" s="176">
        <v>0.1</v>
      </c>
      <c r="AA25" s="176">
        <v>0.54</v>
      </c>
      <c r="AB25" s="176">
        <v>1400</v>
      </c>
      <c r="AC25" s="176">
        <v>840</v>
      </c>
      <c r="AD25" s="227">
        <f>Z25/AA25</f>
        <v>0.18518518518518517</v>
      </c>
      <c r="AE25" s="177">
        <f>Z25*AB25*AC25</f>
        <v>117600</v>
      </c>
      <c r="AF25" s="222"/>
      <c r="AG25" s="222"/>
      <c r="AH25" s="222"/>
      <c r="AQ25" s="81" t="s">
        <v>317</v>
      </c>
      <c r="AV25" s="167"/>
      <c r="AW25" s="167"/>
      <c r="AX25" s="167"/>
      <c r="AY25" s="168"/>
      <c r="BA25" s="167"/>
      <c r="BC25" s="81" t="s">
        <v>373</v>
      </c>
      <c r="BD25" s="81" t="s">
        <v>401</v>
      </c>
      <c r="BE25" s="166">
        <v>-13</v>
      </c>
      <c r="BF25" s="166">
        <v>221</v>
      </c>
      <c r="BG25" s="81">
        <v>-0.06</v>
      </c>
      <c r="BH25" s="81">
        <v>0.95</v>
      </c>
      <c r="BL25" s="167"/>
      <c r="BM25" s="167"/>
      <c r="BN25" s="167"/>
      <c r="BO25" s="168"/>
      <c r="BP25" s="161"/>
      <c r="BQ25" s="167"/>
      <c r="BS25" s="81" t="s">
        <v>373</v>
      </c>
      <c r="BT25" s="81" t="s">
        <v>400</v>
      </c>
      <c r="BU25" s="166">
        <v>-17.8</v>
      </c>
      <c r="BV25" s="166">
        <v>5.5</v>
      </c>
      <c r="BW25" s="81">
        <v>-3.24</v>
      </c>
      <c r="BX25" s="81">
        <v>1.1999999999999999E-3</v>
      </c>
      <c r="BY25" s="81" t="s">
        <v>398</v>
      </c>
      <c r="CA25" s="167" t="s">
        <v>314</v>
      </c>
      <c r="CB25" s="167" t="s">
        <v>315</v>
      </c>
      <c r="CC25" s="167" t="s">
        <v>336</v>
      </c>
      <c r="CD25" s="168" t="s">
        <v>318</v>
      </c>
      <c r="CE25" s="161">
        <f>BU53</f>
        <v>0.42799999999999999</v>
      </c>
      <c r="CF25" s="167" t="s">
        <v>317</v>
      </c>
      <c r="CI25" s="81" t="s">
        <v>336</v>
      </c>
      <c r="CJ25" s="239">
        <f t="shared" si="1"/>
        <v>0.50172974736910581</v>
      </c>
      <c r="CK25" s="239">
        <f t="shared" si="2"/>
        <v>0.01</v>
      </c>
      <c r="CL25" s="239">
        <f t="shared" si="3"/>
        <v>0.42799999999999999</v>
      </c>
      <c r="CO25" s="243" t="s">
        <v>373</v>
      </c>
      <c r="CP25" s="243" t="s">
        <v>453</v>
      </c>
      <c r="CQ25" s="244">
        <v>0.86599999999999999</v>
      </c>
      <c r="CR25" s="244">
        <v>5.5900000000000004E-3</v>
      </c>
      <c r="CS25" s="243">
        <v>155.02000000000001</v>
      </c>
      <c r="CT25" s="243" t="s">
        <v>420</v>
      </c>
      <c r="CU25" s="244">
        <v>2E-16</v>
      </c>
      <c r="CV25" s="81" t="s">
        <v>385</v>
      </c>
      <c r="CY25" s="246"/>
    </row>
    <row r="26" spans="2:105" ht="15" customHeight="1" thickTop="1" thickBot="1" x14ac:dyDescent="0.3">
      <c r="B26" s="193" t="s">
        <v>100</v>
      </c>
      <c r="C26" s="199">
        <f>'Tabula data'!B6</f>
        <v>599.20000000000005</v>
      </c>
      <c r="D26" s="198" t="s">
        <v>9</v>
      </c>
      <c r="E26" s="175"/>
      <c r="F26" s="176"/>
      <c r="G26" s="176"/>
      <c r="H26" s="176"/>
      <c r="I26" s="177"/>
      <c r="K26" s="81" t="s">
        <v>98</v>
      </c>
      <c r="L26" s="208">
        <v>1</v>
      </c>
      <c r="M26" s="209">
        <v>2</v>
      </c>
      <c r="N26" s="209" t="s">
        <v>99</v>
      </c>
      <c r="O26" s="210">
        <f>'Tabula data'!B4-'Tabula data'!B14</f>
        <v>144.69999999999999</v>
      </c>
      <c r="P26" s="211"/>
      <c r="Q26" s="30">
        <f t="shared" si="7"/>
        <v>1.2141280353200883</v>
      </c>
      <c r="R26" s="30">
        <f t="shared" si="8"/>
        <v>175.68432671081675</v>
      </c>
      <c r="S26" s="30">
        <f t="shared" si="18"/>
        <v>8354977.9999999991</v>
      </c>
      <c r="T26" s="30">
        <f t="shared" si="19"/>
        <v>57740</v>
      </c>
      <c r="U26" s="30">
        <f t="shared" si="20"/>
        <v>8354977.9999999991</v>
      </c>
      <c r="V26" s="31"/>
      <c r="W26" s="223"/>
      <c r="X26" s="187"/>
      <c r="Y26" s="174" t="s">
        <v>433</v>
      </c>
      <c r="Z26" s="174">
        <v>0.02</v>
      </c>
      <c r="AA26" s="174">
        <v>0.6</v>
      </c>
      <c r="AB26" s="174">
        <v>975</v>
      </c>
      <c r="AC26" s="174">
        <v>840</v>
      </c>
      <c r="AD26" s="229">
        <f>Z26/AA26</f>
        <v>3.3333333333333333E-2</v>
      </c>
      <c r="AE26" s="192">
        <f>Z26*AB26*AC26</f>
        <v>16380</v>
      </c>
      <c r="AF26" s="222"/>
      <c r="AG26" s="222"/>
      <c r="AH26" s="222"/>
      <c r="AM26" s="158" t="s">
        <v>314</v>
      </c>
      <c r="AN26" s="81" t="s">
        <v>315</v>
      </c>
      <c r="AO26" s="81" t="s">
        <v>336</v>
      </c>
      <c r="AP26" s="81">
        <f>SUM(O17:O20,O25)/SUM(O$17:O$25,O$28,O$26)</f>
        <v>0.50172974736910581</v>
      </c>
      <c r="AQ26" s="81" t="s">
        <v>317</v>
      </c>
      <c r="AR26" s="166">
        <v>0.44339849999999997</v>
      </c>
      <c r="AV26" s="167" t="s">
        <v>314</v>
      </c>
      <c r="AW26" s="167" t="s">
        <v>315</v>
      </c>
      <c r="AX26" s="167" t="s">
        <v>336</v>
      </c>
      <c r="AY26" s="168" t="s">
        <v>318</v>
      </c>
      <c r="AZ26" s="161">
        <f>AP26</f>
        <v>0.50172974736910581</v>
      </c>
      <c r="BA26" s="167" t="s">
        <v>317</v>
      </c>
      <c r="BC26" s="81" t="s">
        <v>373</v>
      </c>
      <c r="BD26" s="81" t="s">
        <v>402</v>
      </c>
      <c r="BE26" s="166">
        <v>0.128</v>
      </c>
      <c r="BF26" s="166">
        <v>7.7800000000000005E-4</v>
      </c>
      <c r="BG26" s="81">
        <v>164.49</v>
      </c>
      <c r="BH26" s="81" t="s">
        <v>384</v>
      </c>
      <c r="BI26" s="81" t="s">
        <v>385</v>
      </c>
      <c r="BL26" s="167" t="s">
        <v>314</v>
      </c>
      <c r="BM26" s="167" t="s">
        <v>315</v>
      </c>
      <c r="BN26" s="167" t="s">
        <v>336</v>
      </c>
      <c r="BO26" s="168" t="s">
        <v>318</v>
      </c>
      <c r="BP26" s="161">
        <f>BE52</f>
        <v>0.01</v>
      </c>
      <c r="BQ26" s="167" t="s">
        <v>317</v>
      </c>
      <c r="BS26" s="81" t="s">
        <v>373</v>
      </c>
      <c r="BT26" s="81" t="s">
        <v>401</v>
      </c>
      <c r="BU26" s="166">
        <v>-18.8</v>
      </c>
      <c r="BV26" s="166">
        <v>6.12</v>
      </c>
      <c r="BW26" s="81">
        <v>-3.06</v>
      </c>
      <c r="BX26" s="81">
        <v>2.2000000000000001E-3</v>
      </c>
      <c r="BY26" s="81" t="s">
        <v>398</v>
      </c>
      <c r="CA26" s="167" t="s">
        <v>314</v>
      </c>
      <c r="CB26" s="167" t="s">
        <v>315</v>
      </c>
      <c r="CC26" s="167" t="s">
        <v>337</v>
      </c>
      <c r="CD26" s="168" t="s">
        <v>318</v>
      </c>
      <c r="CE26" s="161">
        <f t="shared" ref="CE26:CE27" si="24">BU54</f>
        <v>0.161</v>
      </c>
      <c r="CF26" s="167" t="s">
        <v>317</v>
      </c>
      <c r="CI26" s="81" t="s">
        <v>337</v>
      </c>
      <c r="CJ26" s="239">
        <f t="shared" si="1"/>
        <v>9.2786488762580055E-2</v>
      </c>
      <c r="CK26" s="239">
        <f t="shared" si="2"/>
        <v>1.0200000000000001E-2</v>
      </c>
      <c r="CL26" s="239">
        <f t="shared" si="3"/>
        <v>0.161</v>
      </c>
      <c r="CO26" s="243" t="s">
        <v>373</v>
      </c>
      <c r="CP26" s="243" t="s">
        <v>454</v>
      </c>
      <c r="CQ26" s="244">
        <v>0.67800000000000005</v>
      </c>
      <c r="CR26" s="244">
        <v>9.7000000000000003E-3</v>
      </c>
      <c r="CS26" s="243">
        <v>69.86</v>
      </c>
      <c r="CT26" s="243" t="s">
        <v>420</v>
      </c>
      <c r="CU26" s="244">
        <v>2E-16</v>
      </c>
      <c r="CV26" s="81" t="s">
        <v>385</v>
      </c>
      <c r="CX26" s="246"/>
      <c r="CY26" s="246"/>
      <c r="CZ26" s="247"/>
    </row>
    <row r="27" spans="2:105" ht="15" customHeight="1" thickTop="1" thickBot="1" x14ac:dyDescent="0.3">
      <c r="B27" s="175"/>
      <c r="C27" s="191">
        <f>SUM(O6:O25)</f>
        <v>599.20000000000005</v>
      </c>
      <c r="D27" s="177" t="s">
        <v>70</v>
      </c>
      <c r="E27" s="175"/>
      <c r="F27" s="176"/>
      <c r="G27" s="176"/>
      <c r="H27" s="176"/>
      <c r="I27" s="177"/>
      <c r="K27" s="81" t="s">
        <v>101</v>
      </c>
      <c r="L27" s="208">
        <v>1</v>
      </c>
      <c r="M27" s="209">
        <v>1</v>
      </c>
      <c r="N27" s="209" t="s">
        <v>85</v>
      </c>
      <c r="O27" s="210">
        <f>SUM(O6:O9)</f>
        <v>219.86010000000002</v>
      </c>
      <c r="P27" s="211"/>
      <c r="Q27" s="30">
        <f t="shared" si="7"/>
        <v>1.9926199261992623</v>
      </c>
      <c r="R27" s="30">
        <f t="shared" si="8"/>
        <v>438.09761623616248</v>
      </c>
      <c r="S27" s="30">
        <f t="shared" si="18"/>
        <v>33058164.636000004</v>
      </c>
      <c r="T27" s="30">
        <f t="shared" si="19"/>
        <v>150360</v>
      </c>
      <c r="U27" s="30">
        <f t="shared" si="20"/>
        <v>33058164.636000004</v>
      </c>
      <c r="V27" s="31"/>
      <c r="W27" s="223"/>
      <c r="AF27" s="222"/>
      <c r="AG27" s="222"/>
      <c r="AH27" s="222"/>
      <c r="AM27" s="158" t="s">
        <v>314</v>
      </c>
      <c r="AN27" s="81" t="s">
        <v>315</v>
      </c>
      <c r="AO27" s="81" t="s">
        <v>337</v>
      </c>
      <c r="AP27" s="81">
        <f>SUM(O28)/SUM(O$17:O$25,O$28,O$26)</f>
        <v>9.2786488762580055E-2</v>
      </c>
      <c r="AQ27" s="81" t="s">
        <v>317</v>
      </c>
      <c r="AR27" s="166">
        <v>0.14522370000000001</v>
      </c>
      <c r="AV27" s="167" t="s">
        <v>314</v>
      </c>
      <c r="AW27" s="167" t="s">
        <v>315</v>
      </c>
      <c r="AX27" s="167" t="s">
        <v>337</v>
      </c>
      <c r="AY27" s="168" t="s">
        <v>318</v>
      </c>
      <c r="AZ27" s="161">
        <f t="shared" ref="AZ27:AZ28" si="25">AP27</f>
        <v>9.2786488762580055E-2</v>
      </c>
      <c r="BA27" s="167" t="s">
        <v>317</v>
      </c>
      <c r="BC27" s="81" t="s">
        <v>373</v>
      </c>
      <c r="BD27" s="81" t="s">
        <v>403</v>
      </c>
      <c r="BE27" s="166">
        <v>0.23499999999999999</v>
      </c>
      <c r="BF27" s="166">
        <v>1.1199999999999999E-3</v>
      </c>
      <c r="BG27" s="81">
        <v>210.07</v>
      </c>
      <c r="BH27" s="81" t="s">
        <v>384</v>
      </c>
      <c r="BI27" s="81" t="s">
        <v>385</v>
      </c>
      <c r="BL27" s="167" t="s">
        <v>314</v>
      </c>
      <c r="BM27" s="167" t="s">
        <v>315</v>
      </c>
      <c r="BN27" s="167" t="s">
        <v>337</v>
      </c>
      <c r="BO27" s="168" t="s">
        <v>318</v>
      </c>
      <c r="BP27" s="161">
        <f t="shared" ref="BP27:BP28" si="26">BE53</f>
        <v>1.0200000000000001E-2</v>
      </c>
      <c r="BQ27" s="167" t="s">
        <v>317</v>
      </c>
      <c r="BS27" s="81" t="s">
        <v>373</v>
      </c>
      <c r="BT27" s="81" t="s">
        <v>402</v>
      </c>
      <c r="BU27" s="166">
        <v>8.2900000000000001E-2</v>
      </c>
      <c r="BV27" s="166">
        <v>2.0799999999999999E-4</v>
      </c>
      <c r="BW27" s="81">
        <v>398.4</v>
      </c>
      <c r="BX27" s="81" t="s">
        <v>384</v>
      </c>
      <c r="BY27" s="81" t="s">
        <v>385</v>
      </c>
      <c r="CA27" s="167" t="s">
        <v>314</v>
      </c>
      <c r="CB27" s="167" t="s">
        <v>315</v>
      </c>
      <c r="CC27" s="167" t="s">
        <v>338</v>
      </c>
      <c r="CD27" s="168" t="s">
        <v>318</v>
      </c>
      <c r="CE27" s="161">
        <f t="shared" si="24"/>
        <v>8.0100000000000005E-2</v>
      </c>
      <c r="CF27" s="167" t="s">
        <v>317</v>
      </c>
      <c r="CI27" s="81" t="s">
        <v>338</v>
      </c>
      <c r="CJ27" s="239">
        <f t="shared" si="1"/>
        <v>3.1909966391266788E-2</v>
      </c>
      <c r="CK27" s="239">
        <f t="shared" si="2"/>
        <v>0.69799999999999995</v>
      </c>
      <c r="CL27" s="239">
        <f t="shared" si="3"/>
        <v>8.0100000000000005E-2</v>
      </c>
      <c r="CO27" s="243" t="s">
        <v>373</v>
      </c>
      <c r="CP27" s="243" t="s">
        <v>455</v>
      </c>
      <c r="CQ27" s="244">
        <v>0.34599999999999997</v>
      </c>
      <c r="CR27" s="244">
        <v>1.5299999999999999E-2</v>
      </c>
      <c r="CS27" s="243">
        <v>22.61</v>
      </c>
      <c r="CT27" s="243" t="s">
        <v>420</v>
      </c>
      <c r="CU27" s="244">
        <v>2E-16</v>
      </c>
      <c r="CV27" s="81" t="s">
        <v>385</v>
      </c>
      <c r="CW27" s="245" t="s">
        <v>460</v>
      </c>
      <c r="CX27" s="246" t="s">
        <v>325</v>
      </c>
      <c r="CY27" s="246" t="s">
        <v>318</v>
      </c>
      <c r="CZ27" s="247">
        <f>CQ32</f>
        <v>980000000</v>
      </c>
      <c r="DA27" s="245" t="s">
        <v>317</v>
      </c>
    </row>
    <row r="28" spans="2:105" ht="15" customHeight="1" thickTop="1" thickBot="1" x14ac:dyDescent="0.3">
      <c r="B28" s="175"/>
      <c r="C28" s="176"/>
      <c r="D28" s="177"/>
      <c r="E28" s="175"/>
      <c r="F28" s="176"/>
      <c r="G28" s="176"/>
      <c r="H28" s="176"/>
      <c r="I28" s="177"/>
      <c r="K28" s="81" t="s">
        <v>102</v>
      </c>
      <c r="L28" s="208">
        <v>2</v>
      </c>
      <c r="M28" s="209">
        <v>2</v>
      </c>
      <c r="N28" s="209" t="s">
        <v>85</v>
      </c>
      <c r="O28" s="210">
        <f>SUM(O17:O20)</f>
        <v>35.939900000000009</v>
      </c>
      <c r="P28" s="211"/>
      <c r="Q28" s="30">
        <f t="shared" si="7"/>
        <v>1.9926199261992623</v>
      </c>
      <c r="R28" s="30">
        <f t="shared" si="8"/>
        <v>71.614560885608881</v>
      </c>
      <c r="S28" s="30">
        <f t="shared" si="18"/>
        <v>5403923.364000001</v>
      </c>
      <c r="T28" s="30">
        <f t="shared" si="19"/>
        <v>150360</v>
      </c>
      <c r="U28" s="30">
        <f t="shared" si="20"/>
        <v>5403923.364000001</v>
      </c>
      <c r="V28" s="31"/>
      <c r="W28" s="223"/>
      <c r="X28" s="216" t="s">
        <v>99</v>
      </c>
      <c r="Y28" s="217"/>
      <c r="Z28" s="218" t="s">
        <v>21</v>
      </c>
      <c r="AA28" s="219">
        <f>1/(1/10+SUM(AD30:AD33)+1/6)</f>
        <v>1.2141280353200883</v>
      </c>
      <c r="AB28" s="217" t="s">
        <v>5</v>
      </c>
      <c r="AC28" s="217"/>
      <c r="AD28" s="217" t="s">
        <v>22</v>
      </c>
      <c r="AE28" s="220">
        <f>SUM(AE30:AE34)</f>
        <v>57740</v>
      </c>
      <c r="AF28" s="222" t="s">
        <v>23</v>
      </c>
      <c r="AG28" s="222">
        <f>SUM(AE30:AE33)</f>
        <v>57740</v>
      </c>
      <c r="AH28" s="222"/>
      <c r="AM28" s="158" t="s">
        <v>314</v>
      </c>
      <c r="AN28" s="81" t="s">
        <v>315</v>
      </c>
      <c r="AO28" s="81" t="s">
        <v>338</v>
      </c>
      <c r="AP28" s="81">
        <f>SUM(O21:O24)/SUM(O$17:O$25,O$28,O$26)</f>
        <v>3.1909966391266788E-2</v>
      </c>
      <c r="AQ28" s="81" t="s">
        <v>317</v>
      </c>
      <c r="AR28" s="166">
        <v>0.13569049999999999</v>
      </c>
      <c r="AV28" s="167" t="s">
        <v>314</v>
      </c>
      <c r="AW28" s="167" t="s">
        <v>315</v>
      </c>
      <c r="AX28" s="167" t="s">
        <v>338</v>
      </c>
      <c r="AY28" s="168" t="s">
        <v>318</v>
      </c>
      <c r="AZ28" s="161">
        <f t="shared" si="25"/>
        <v>3.1909966391266788E-2</v>
      </c>
      <c r="BA28" s="167" t="s">
        <v>317</v>
      </c>
      <c r="BC28" s="81" t="s">
        <v>373</v>
      </c>
      <c r="BD28" s="81" t="s">
        <v>404</v>
      </c>
      <c r="BE28" s="166">
        <v>0.53700000000000003</v>
      </c>
      <c r="BF28" s="166">
        <v>2.6900000000000001E-3</v>
      </c>
      <c r="BG28" s="81">
        <v>199.49</v>
      </c>
      <c r="BH28" s="81" t="s">
        <v>384</v>
      </c>
      <c r="BI28" s="81" t="s">
        <v>385</v>
      </c>
      <c r="BL28" s="167" t="s">
        <v>314</v>
      </c>
      <c r="BM28" s="167" t="s">
        <v>315</v>
      </c>
      <c r="BN28" s="167" t="s">
        <v>338</v>
      </c>
      <c r="BO28" s="168" t="s">
        <v>318</v>
      </c>
      <c r="BP28" s="161">
        <f t="shared" si="26"/>
        <v>0.69799999999999995</v>
      </c>
      <c r="BQ28" s="167" t="s">
        <v>317</v>
      </c>
      <c r="BS28" s="81" t="s">
        <v>373</v>
      </c>
      <c r="BT28" s="81" t="s">
        <v>403</v>
      </c>
      <c r="BU28" s="166">
        <v>0.16500000000000001</v>
      </c>
      <c r="BV28" s="166">
        <v>4.26E-4</v>
      </c>
      <c r="BW28" s="81">
        <v>388.6</v>
      </c>
      <c r="BX28" s="81" t="s">
        <v>384</v>
      </c>
      <c r="BY28" s="81" t="s">
        <v>385</v>
      </c>
      <c r="CA28" s="167"/>
      <c r="CB28" s="167"/>
      <c r="CC28" s="167"/>
      <c r="CD28" s="168"/>
      <c r="CE28" s="161"/>
      <c r="CF28" s="167"/>
      <c r="CJ28" s="240"/>
      <c r="CK28" s="240"/>
      <c r="CL28" s="240"/>
      <c r="CO28" s="243" t="s">
        <v>373</v>
      </c>
      <c r="CP28" s="243" t="s">
        <v>355</v>
      </c>
      <c r="CQ28" s="244">
        <v>0.17599999999999999</v>
      </c>
      <c r="CR28" s="244">
        <v>4.9799999999999997E-2</v>
      </c>
      <c r="CS28" s="243">
        <v>3.55</v>
      </c>
      <c r="CT28" s="243">
        <v>3.8999999999999999E-4</v>
      </c>
      <c r="CU28" s="243" t="s">
        <v>385</v>
      </c>
      <c r="CW28" s="245" t="s">
        <v>460</v>
      </c>
      <c r="CX28" s="249" t="s">
        <v>322</v>
      </c>
      <c r="CY28" s="246" t="s">
        <v>318</v>
      </c>
      <c r="CZ28" s="247">
        <f t="shared" ref="CZ28:CZ30" si="27">CQ33</f>
        <v>2910000</v>
      </c>
      <c r="DA28" s="245" t="s">
        <v>317</v>
      </c>
    </row>
    <row r="29" spans="2:105" ht="15" customHeight="1" thickTop="1" thickBot="1" x14ac:dyDescent="0.3">
      <c r="B29" s="175"/>
      <c r="C29" s="176"/>
      <c r="D29" s="177"/>
      <c r="E29" s="175"/>
      <c r="F29" s="176"/>
      <c r="G29" s="176"/>
      <c r="H29" s="176"/>
      <c r="I29" s="177"/>
      <c r="L29" s="213"/>
      <c r="M29" s="214"/>
      <c r="N29" s="214"/>
      <c r="O29" s="214"/>
      <c r="P29" s="215"/>
      <c r="X29" s="224"/>
      <c r="Y29" s="225" t="s">
        <v>27</v>
      </c>
      <c r="Z29" s="225" t="s">
        <v>28</v>
      </c>
      <c r="AA29" s="225" t="s">
        <v>29</v>
      </c>
      <c r="AB29" s="225" t="s">
        <v>30</v>
      </c>
      <c r="AC29" s="225" t="s">
        <v>31</v>
      </c>
      <c r="AD29" s="225" t="s">
        <v>32</v>
      </c>
      <c r="AE29" s="226" t="s">
        <v>33</v>
      </c>
      <c r="AF29" s="222"/>
      <c r="AG29" s="222"/>
      <c r="AH29" s="222"/>
      <c r="AQ29" s="81" t="s">
        <v>317</v>
      </c>
      <c r="AV29" s="167"/>
      <c r="AW29" s="167"/>
      <c r="AX29" s="167"/>
      <c r="AY29" s="168"/>
      <c r="BA29" s="167"/>
      <c r="BC29" s="81" t="s">
        <v>373</v>
      </c>
      <c r="BD29" s="81" t="s">
        <v>405</v>
      </c>
      <c r="BE29" s="166">
        <v>7.7399999999999997E-2</v>
      </c>
      <c r="BF29" s="166">
        <v>7.9799999999999999E-4</v>
      </c>
      <c r="BG29" s="81">
        <v>97</v>
      </c>
      <c r="BH29" s="81" t="s">
        <v>384</v>
      </c>
      <c r="BI29" s="81" t="s">
        <v>385</v>
      </c>
      <c r="BL29" s="167"/>
      <c r="BM29" s="167"/>
      <c r="BN29" s="167"/>
      <c r="BO29" s="168"/>
      <c r="BP29" s="161"/>
      <c r="BQ29" s="167"/>
      <c r="BS29" s="81" t="s">
        <v>373</v>
      </c>
      <c r="BT29" s="81" t="s">
        <v>404</v>
      </c>
      <c r="BU29" s="166">
        <v>0.71599999999999997</v>
      </c>
      <c r="BV29" s="166">
        <v>3.2699999999999999E-3</v>
      </c>
      <c r="BW29" s="81">
        <v>219.17</v>
      </c>
      <c r="BX29" s="81" t="s">
        <v>384</v>
      </c>
      <c r="BY29" s="81" t="s">
        <v>385</v>
      </c>
      <c r="CA29" s="167" t="s">
        <v>314</v>
      </c>
      <c r="CB29" s="167" t="s">
        <v>315</v>
      </c>
      <c r="CC29" s="167" t="s">
        <v>339</v>
      </c>
      <c r="CD29" s="168" t="s">
        <v>318</v>
      </c>
      <c r="CE29" s="161">
        <f>BU58</f>
        <v>1470000</v>
      </c>
      <c r="CF29" s="167" t="s">
        <v>317</v>
      </c>
      <c r="CI29" s="81" t="s">
        <v>339</v>
      </c>
      <c r="CJ29" s="241">
        <f t="shared" si="1"/>
        <v>2090628.9192831542</v>
      </c>
      <c r="CK29" s="241">
        <f t="shared" si="2"/>
        <v>3800000</v>
      </c>
      <c r="CL29" s="241">
        <f t="shared" si="3"/>
        <v>1470000</v>
      </c>
      <c r="CO29" s="243" t="s">
        <v>373</v>
      </c>
      <c r="CP29" s="243" t="s">
        <v>456</v>
      </c>
      <c r="CQ29" s="244">
        <v>0.46800000000000003</v>
      </c>
      <c r="CR29" s="244">
        <v>6.2899999999999996E-3</v>
      </c>
      <c r="CS29" s="243">
        <v>74.44</v>
      </c>
      <c r="CT29" s="243" t="s">
        <v>420</v>
      </c>
      <c r="CU29" s="244">
        <v>2E-16</v>
      </c>
      <c r="CV29" s="81" t="s">
        <v>385</v>
      </c>
      <c r="CW29" s="245" t="s">
        <v>460</v>
      </c>
      <c r="CX29" s="249" t="s">
        <v>323</v>
      </c>
      <c r="CY29" s="246" t="s">
        <v>318</v>
      </c>
      <c r="CZ29" s="247">
        <f t="shared" si="27"/>
        <v>93800000</v>
      </c>
      <c r="DA29" s="245" t="s">
        <v>317</v>
      </c>
    </row>
    <row r="30" spans="2:105" ht="15" customHeight="1" thickTop="1" thickBot="1" x14ac:dyDescent="0.3">
      <c r="B30" s="187"/>
      <c r="C30" s="174"/>
      <c r="D30" s="192"/>
      <c r="E30" s="187"/>
      <c r="F30" s="174"/>
      <c r="G30" s="174"/>
      <c r="H30" s="174"/>
      <c r="I30" s="192"/>
      <c r="L30" s="81"/>
      <c r="M30" s="81"/>
      <c r="N30" s="81"/>
      <c r="Q30" s="81"/>
      <c r="R30" s="81"/>
      <c r="X30" s="181"/>
      <c r="Y30" s="182" t="s">
        <v>103</v>
      </c>
      <c r="Z30" s="182">
        <v>0.02</v>
      </c>
      <c r="AA30" s="182">
        <v>0.11</v>
      </c>
      <c r="AB30" s="182">
        <v>550</v>
      </c>
      <c r="AC30" s="182">
        <v>1880</v>
      </c>
      <c r="AD30" s="231">
        <f>Z30/AA30</f>
        <v>0.18181818181818182</v>
      </c>
      <c r="AE30" s="232">
        <f>Z30*AB30*AC30</f>
        <v>20680</v>
      </c>
      <c r="AF30" s="222" t="s">
        <v>104</v>
      </c>
      <c r="AG30" s="222"/>
      <c r="AH30" s="222"/>
      <c r="AM30" s="158" t="s">
        <v>314</v>
      </c>
      <c r="AN30" s="81" t="s">
        <v>315</v>
      </c>
      <c r="AO30" s="81" t="s">
        <v>339</v>
      </c>
      <c r="AP30" s="166">
        <f>C35*1.04*1012*5</f>
        <v>2090628.9192831542</v>
      </c>
      <c r="AQ30" s="81" t="s">
        <v>317</v>
      </c>
      <c r="AR30" s="166">
        <v>1612741</v>
      </c>
      <c r="AV30" s="167" t="s">
        <v>314</v>
      </c>
      <c r="AW30" s="167" t="s">
        <v>315</v>
      </c>
      <c r="AX30" s="167" t="s">
        <v>339</v>
      </c>
      <c r="AY30" s="168" t="s">
        <v>318</v>
      </c>
      <c r="AZ30" s="161">
        <f>AP30</f>
        <v>2090628.9192831542</v>
      </c>
      <c r="BA30" s="167" t="s">
        <v>317</v>
      </c>
      <c r="BC30" s="81" t="s">
        <v>373</v>
      </c>
      <c r="BD30" s="81" t="s">
        <v>406</v>
      </c>
      <c r="BE30" s="166">
        <v>1.9E-2</v>
      </c>
      <c r="BF30" s="166">
        <v>6.78E-4</v>
      </c>
      <c r="BG30" s="81">
        <v>27.98</v>
      </c>
      <c r="BH30" s="81" t="s">
        <v>384</v>
      </c>
      <c r="BI30" s="81" t="s">
        <v>385</v>
      </c>
      <c r="BL30" s="167" t="s">
        <v>314</v>
      </c>
      <c r="BM30" s="167" t="s">
        <v>315</v>
      </c>
      <c r="BN30" s="167" t="s">
        <v>339</v>
      </c>
      <c r="BO30" s="168" t="s">
        <v>318</v>
      </c>
      <c r="BP30" s="161">
        <f>BE57</f>
        <v>3800000</v>
      </c>
      <c r="BQ30" s="167" t="s">
        <v>317</v>
      </c>
      <c r="BS30" s="81" t="s">
        <v>373</v>
      </c>
      <c r="BT30" s="81" t="s">
        <v>405</v>
      </c>
      <c r="BU30" s="166">
        <v>5.5E-2</v>
      </c>
      <c r="BV30" s="166">
        <v>1.06E-4</v>
      </c>
      <c r="BW30" s="81">
        <v>518.19000000000005</v>
      </c>
      <c r="BX30" s="81" t="s">
        <v>384</v>
      </c>
      <c r="BY30" s="81" t="s">
        <v>385</v>
      </c>
      <c r="CA30" s="167" t="s">
        <v>314</v>
      </c>
      <c r="CB30" s="167" t="s">
        <v>315</v>
      </c>
      <c r="CC30" s="167" t="s">
        <v>340</v>
      </c>
      <c r="CD30" s="168" t="s">
        <v>318</v>
      </c>
      <c r="CE30" s="161">
        <f t="shared" ref="CE30:CE31" si="28">BU59</f>
        <v>219000000</v>
      </c>
      <c r="CF30" s="167" t="s">
        <v>317</v>
      </c>
      <c r="CI30" s="81" t="s">
        <v>340</v>
      </c>
      <c r="CJ30" s="241">
        <f t="shared" si="1"/>
        <v>21240578.712000005</v>
      </c>
      <c r="CK30" s="241">
        <f t="shared" si="2"/>
        <v>78400000</v>
      </c>
      <c r="CL30" s="241">
        <f t="shared" si="3"/>
        <v>219000000</v>
      </c>
      <c r="CO30" s="243" t="s">
        <v>373</v>
      </c>
      <c r="CP30" s="243" t="s">
        <v>457</v>
      </c>
      <c r="CQ30" s="244">
        <v>0.314</v>
      </c>
      <c r="CR30" s="244">
        <v>1.2800000000000001E-2</v>
      </c>
      <c r="CS30" s="243">
        <v>24.63</v>
      </c>
      <c r="CT30" s="243" t="s">
        <v>420</v>
      </c>
      <c r="CU30" s="244">
        <v>2E-16</v>
      </c>
      <c r="CV30" s="81" t="s">
        <v>385</v>
      </c>
      <c r="CW30" s="245" t="s">
        <v>460</v>
      </c>
      <c r="CX30" s="249" t="s">
        <v>324</v>
      </c>
      <c r="CY30" s="246" t="s">
        <v>318</v>
      </c>
      <c r="CZ30" s="247">
        <f t="shared" si="27"/>
        <v>22300000</v>
      </c>
      <c r="DA30" s="245" t="s">
        <v>317</v>
      </c>
    </row>
    <row r="31" spans="2:105" ht="15" customHeight="1" thickTop="1" thickBot="1" x14ac:dyDescent="0.3">
      <c r="L31" s="81"/>
      <c r="M31" s="81"/>
      <c r="N31" s="81"/>
      <c r="Q31" s="69" t="s">
        <v>106</v>
      </c>
      <c r="R31" s="70">
        <f>SUM(R4:R13)+R14*0.5+SUM(R17:R25)+R16</f>
        <v>164.65366067630291</v>
      </c>
      <c r="S31" s="69" t="s">
        <v>107</v>
      </c>
      <c r="X31" s="175"/>
      <c r="Y31" s="176" t="s">
        <v>105</v>
      </c>
      <c r="Z31" s="176">
        <v>0.1</v>
      </c>
      <c r="AA31" s="176"/>
      <c r="AB31" s="176"/>
      <c r="AC31" s="176"/>
      <c r="AD31" s="227">
        <v>0.16</v>
      </c>
      <c r="AE31" s="177">
        <f>Z31*AB31*AC31</f>
        <v>0</v>
      </c>
      <c r="AF31" s="222"/>
      <c r="AG31" s="222"/>
      <c r="AH31" s="222"/>
      <c r="AM31" s="158" t="s">
        <v>314</v>
      </c>
      <c r="AN31" s="81" t="s">
        <v>315</v>
      </c>
      <c r="AO31" s="81" t="s">
        <v>340</v>
      </c>
      <c r="AP31" s="166">
        <f>U25+SUM(U17:U20)</f>
        <v>21240578.712000005</v>
      </c>
      <c r="AQ31" s="81" t="s">
        <v>317</v>
      </c>
      <c r="AR31" s="166">
        <v>6867267</v>
      </c>
      <c r="AV31" s="167" t="s">
        <v>314</v>
      </c>
      <c r="AW31" s="167" t="s">
        <v>315</v>
      </c>
      <c r="AX31" s="167" t="s">
        <v>340</v>
      </c>
      <c r="AY31" s="168" t="s">
        <v>318</v>
      </c>
      <c r="AZ31" s="161">
        <f t="shared" ref="AZ31:AZ35" si="29">AP31</f>
        <v>21240578.712000005</v>
      </c>
      <c r="BA31" s="167" t="s">
        <v>317</v>
      </c>
      <c r="BC31" s="81" t="s">
        <v>373</v>
      </c>
      <c r="BD31" s="81" t="s">
        <v>407</v>
      </c>
      <c r="BE31" s="166">
        <v>958</v>
      </c>
      <c r="BF31" s="166">
        <v>7.5</v>
      </c>
      <c r="BG31" s="81">
        <v>127.81</v>
      </c>
      <c r="BH31" s="81" t="s">
        <v>384</v>
      </c>
      <c r="BI31" s="81" t="s">
        <v>385</v>
      </c>
      <c r="BL31" s="167" t="s">
        <v>314</v>
      </c>
      <c r="BM31" s="167" t="s">
        <v>315</v>
      </c>
      <c r="BN31" s="167" t="s">
        <v>340</v>
      </c>
      <c r="BO31" s="168" t="s">
        <v>318</v>
      </c>
      <c r="BP31" s="161">
        <f t="shared" ref="BP31:BP32" si="30">BE58</f>
        <v>78400000</v>
      </c>
      <c r="BQ31" s="167" t="s">
        <v>317</v>
      </c>
      <c r="BS31" s="81" t="s">
        <v>373</v>
      </c>
      <c r="BT31" s="81" t="s">
        <v>406</v>
      </c>
      <c r="BU31" s="166">
        <v>2.8899999999999999E-2</v>
      </c>
      <c r="BV31" s="166">
        <v>1.4300000000000001E-4</v>
      </c>
      <c r="BW31" s="81">
        <v>201.71</v>
      </c>
      <c r="BX31" s="81" t="s">
        <v>384</v>
      </c>
      <c r="BY31" s="81" t="s">
        <v>385</v>
      </c>
      <c r="CA31" s="167" t="s">
        <v>314</v>
      </c>
      <c r="CB31" s="167" t="s">
        <v>315</v>
      </c>
      <c r="CC31" s="167" t="s">
        <v>341</v>
      </c>
      <c r="CD31" s="168" t="s">
        <v>318</v>
      </c>
      <c r="CE31" s="161">
        <f t="shared" si="28"/>
        <v>40000000</v>
      </c>
      <c r="CF31" s="167" t="s">
        <v>317</v>
      </c>
      <c r="CI31" s="81" t="s">
        <v>341</v>
      </c>
      <c r="CJ31" s="241">
        <f t="shared" si="1"/>
        <v>5403923.364000001</v>
      </c>
      <c r="CK31" s="241">
        <f t="shared" si="2"/>
        <v>12500000</v>
      </c>
      <c r="CL31" s="241">
        <f t="shared" si="3"/>
        <v>40000000</v>
      </c>
      <c r="CO31" s="243" t="s">
        <v>373</v>
      </c>
      <c r="CP31" s="243" t="s">
        <v>303</v>
      </c>
      <c r="CQ31" s="244">
        <v>538000000</v>
      </c>
      <c r="CR31" s="244">
        <v>69600000</v>
      </c>
      <c r="CS31" s="243">
        <v>7.73</v>
      </c>
      <c r="CT31" s="244">
        <v>1.1999999999999999E-14</v>
      </c>
      <c r="CU31" s="243" t="s">
        <v>385</v>
      </c>
      <c r="CY31" s="246"/>
    </row>
    <row r="32" spans="2:105" ht="15" customHeight="1" thickTop="1" thickBot="1" x14ac:dyDescent="0.3">
      <c r="C32" s="81">
        <f>C4/C6</f>
        <v>2.7455197132616487</v>
      </c>
      <c r="L32" s="81"/>
      <c r="M32" s="81"/>
      <c r="N32" s="81"/>
      <c r="Q32" s="81"/>
      <c r="R32" s="81">
        <f>H4*Z38</f>
        <v>12.360000000000001</v>
      </c>
      <c r="X32" s="175"/>
      <c r="Y32" s="176" t="s">
        <v>108</v>
      </c>
      <c r="Z32" s="176">
        <v>0.02</v>
      </c>
      <c r="AA32" s="176">
        <v>0.11</v>
      </c>
      <c r="AB32" s="176">
        <v>550</v>
      </c>
      <c r="AC32" s="176">
        <v>1880</v>
      </c>
      <c r="AD32" s="227">
        <f>Z32/AA32</f>
        <v>0.18181818181818182</v>
      </c>
      <c r="AE32" s="177">
        <f>Z32*AB32*AC32</f>
        <v>20680</v>
      </c>
      <c r="AF32" s="222"/>
      <c r="AG32" s="222"/>
      <c r="AH32" s="222"/>
      <c r="AM32" s="158" t="s">
        <v>314</v>
      </c>
      <c r="AN32" s="81" t="s">
        <v>315</v>
      </c>
      <c r="AO32" s="81" t="s">
        <v>341</v>
      </c>
      <c r="AP32" s="166">
        <f>SUM(U28)</f>
        <v>5403923.364000001</v>
      </c>
      <c r="AQ32" s="81" t="s">
        <v>317</v>
      </c>
      <c r="AR32" s="166">
        <v>4590824</v>
      </c>
      <c r="AV32" s="167" t="s">
        <v>314</v>
      </c>
      <c r="AW32" s="167" t="s">
        <v>315</v>
      </c>
      <c r="AX32" s="167" t="s">
        <v>341</v>
      </c>
      <c r="AY32" s="168" t="s">
        <v>318</v>
      </c>
      <c r="AZ32" s="161">
        <f t="shared" si="29"/>
        <v>5403923.364000001</v>
      </c>
      <c r="BA32" s="167" t="s">
        <v>317</v>
      </c>
      <c r="BC32" s="81" t="s">
        <v>373</v>
      </c>
      <c r="BD32" s="81" t="s">
        <v>408</v>
      </c>
      <c r="BE32" s="166">
        <v>737</v>
      </c>
      <c r="BF32" s="166">
        <v>8.3800000000000008</v>
      </c>
      <c r="BG32" s="81">
        <v>87.98</v>
      </c>
      <c r="BH32" s="81" t="s">
        <v>384</v>
      </c>
      <c r="BI32" s="81" t="s">
        <v>385</v>
      </c>
      <c r="BL32" s="167" t="s">
        <v>314</v>
      </c>
      <c r="BM32" s="167" t="s">
        <v>315</v>
      </c>
      <c r="BN32" s="167" t="s">
        <v>341</v>
      </c>
      <c r="BO32" s="168" t="s">
        <v>318</v>
      </c>
      <c r="BP32" s="161">
        <f t="shared" si="30"/>
        <v>12500000</v>
      </c>
      <c r="BQ32" s="167" t="s">
        <v>317</v>
      </c>
      <c r="BS32" s="81" t="s">
        <v>373</v>
      </c>
      <c r="BT32" s="81" t="s">
        <v>407</v>
      </c>
      <c r="BU32" s="166">
        <v>505</v>
      </c>
      <c r="BV32" s="166">
        <v>1.79</v>
      </c>
      <c r="BW32" s="81">
        <v>282.55</v>
      </c>
      <c r="BX32" s="81" t="s">
        <v>384</v>
      </c>
      <c r="BY32" s="81" t="s">
        <v>385</v>
      </c>
      <c r="CA32" s="167" t="s">
        <v>314</v>
      </c>
      <c r="CB32" s="167" t="s">
        <v>315</v>
      </c>
      <c r="CC32" s="167" t="s">
        <v>342</v>
      </c>
      <c r="CD32" s="168" t="s">
        <v>318</v>
      </c>
      <c r="CE32" s="161">
        <f>BU65</f>
        <v>0.16500000000000001</v>
      </c>
      <c r="CF32" s="167" t="s">
        <v>317</v>
      </c>
      <c r="CI32" s="81" t="s">
        <v>342</v>
      </c>
      <c r="CJ32" s="239">
        <f t="shared" si="1"/>
        <v>0.15051892421073174</v>
      </c>
      <c r="CK32" s="239">
        <f t="shared" si="2"/>
        <v>1.6E-2</v>
      </c>
      <c r="CL32" s="239">
        <f t="shared" si="3"/>
        <v>0.16500000000000001</v>
      </c>
      <c r="CO32" s="243" t="s">
        <v>373</v>
      </c>
      <c r="CP32" s="243" t="s">
        <v>299</v>
      </c>
      <c r="CQ32" s="244">
        <v>980000000</v>
      </c>
      <c r="CR32" s="244">
        <v>148000000</v>
      </c>
      <c r="CS32" s="243">
        <v>6.61</v>
      </c>
      <c r="CT32" s="244">
        <v>4.1000000000000001E-11</v>
      </c>
      <c r="CU32" s="243" t="s">
        <v>385</v>
      </c>
      <c r="CW32" s="245" t="s">
        <v>460</v>
      </c>
      <c r="CX32" s="249" t="s">
        <v>481</v>
      </c>
      <c r="CY32" s="246" t="s">
        <v>318</v>
      </c>
      <c r="CZ32" s="247">
        <f>CQ46</f>
        <v>507</v>
      </c>
      <c r="DA32" s="245" t="s">
        <v>317</v>
      </c>
    </row>
    <row r="33" spans="2:107" ht="15" customHeight="1" thickTop="1" thickBot="1" x14ac:dyDescent="0.3">
      <c r="B33" s="72" t="s">
        <v>109</v>
      </c>
      <c r="C33" s="72" t="s">
        <v>110</v>
      </c>
      <c r="D33" s="72"/>
      <c r="E33" s="72" t="s">
        <v>111</v>
      </c>
      <c r="F33" s="274" t="s">
        <v>112</v>
      </c>
      <c r="G33" s="274"/>
      <c r="H33" s="72" t="s">
        <v>113</v>
      </c>
      <c r="L33" s="81"/>
      <c r="M33" s="81"/>
      <c r="N33" s="81"/>
      <c r="Q33" s="81"/>
      <c r="R33" s="81"/>
      <c r="X33" s="187"/>
      <c r="Y33" s="174" t="s">
        <v>80</v>
      </c>
      <c r="Z33" s="174">
        <v>0.02</v>
      </c>
      <c r="AA33" s="174">
        <v>0.6</v>
      </c>
      <c r="AB33" s="174">
        <v>975</v>
      </c>
      <c r="AC33" s="174">
        <v>840</v>
      </c>
      <c r="AD33" s="229">
        <f>Z33/AA33</f>
        <v>3.3333333333333333E-2</v>
      </c>
      <c r="AE33" s="192">
        <f>Z33*AB33*AC33</f>
        <v>16380</v>
      </c>
      <c r="AF33" s="222"/>
      <c r="AG33" s="222"/>
      <c r="AH33" s="222"/>
      <c r="AM33" s="158" t="s">
        <v>314</v>
      </c>
      <c r="AN33" s="81" t="s">
        <v>315</v>
      </c>
      <c r="AO33" s="81" t="s">
        <v>342</v>
      </c>
      <c r="AP33" s="81">
        <f>AP26*0.3</f>
        <v>0.15051892421073174</v>
      </c>
      <c r="AQ33" s="81" t="s">
        <v>317</v>
      </c>
      <c r="AR33" s="166">
        <v>0.1616958</v>
      </c>
      <c r="AV33" s="167" t="s">
        <v>314</v>
      </c>
      <c r="AW33" s="167" t="s">
        <v>315</v>
      </c>
      <c r="AX33" s="167" t="s">
        <v>342</v>
      </c>
      <c r="AY33" s="168" t="s">
        <v>318</v>
      </c>
      <c r="AZ33" s="161">
        <f t="shared" si="29"/>
        <v>0.15051892421073174</v>
      </c>
      <c r="BA33" s="167" t="s">
        <v>317</v>
      </c>
      <c r="BC33" s="81" t="s">
        <v>373</v>
      </c>
      <c r="BD33" s="81" t="s">
        <v>290</v>
      </c>
      <c r="BE33" s="166">
        <v>2190</v>
      </c>
      <c r="BF33" s="166">
        <v>10.6</v>
      </c>
      <c r="BG33" s="81">
        <v>207.31</v>
      </c>
      <c r="BH33" s="81" t="s">
        <v>384</v>
      </c>
      <c r="BI33" s="81" t="s">
        <v>385</v>
      </c>
      <c r="BL33" s="167" t="s">
        <v>314</v>
      </c>
      <c r="BM33" s="167" t="s">
        <v>315</v>
      </c>
      <c r="BN33" s="167" t="s">
        <v>342</v>
      </c>
      <c r="BO33" s="168" t="s">
        <v>318</v>
      </c>
      <c r="BP33" s="161">
        <f>BE64</f>
        <v>1.6E-2</v>
      </c>
      <c r="BQ33" s="167" t="s">
        <v>317</v>
      </c>
      <c r="BS33" s="81" t="s">
        <v>373</v>
      </c>
      <c r="BT33" s="81" t="s">
        <v>408</v>
      </c>
      <c r="BU33" s="166">
        <v>194</v>
      </c>
      <c r="BV33" s="166">
        <v>0.9</v>
      </c>
      <c r="BW33" s="81">
        <v>216.08</v>
      </c>
      <c r="BX33" s="81" t="s">
        <v>384</v>
      </c>
      <c r="BY33" s="81" t="s">
        <v>385</v>
      </c>
      <c r="CA33" s="167" t="s">
        <v>314</v>
      </c>
      <c r="CB33" s="167" t="s">
        <v>315</v>
      </c>
      <c r="CC33" s="167" t="s">
        <v>343</v>
      </c>
      <c r="CD33" s="168" t="s">
        <v>318</v>
      </c>
      <c r="CE33" s="161">
        <f t="shared" ref="CE33:CE34" si="31">BU66</f>
        <v>5.8500000000000003E-2</v>
      </c>
      <c r="CF33" s="167" t="s">
        <v>317</v>
      </c>
      <c r="CI33" s="81" t="s">
        <v>343</v>
      </c>
      <c r="CJ33" s="239">
        <f t="shared" si="1"/>
        <v>2.7835946628774016E-2</v>
      </c>
      <c r="CK33" s="239">
        <f t="shared" si="2"/>
        <v>4.2999999999999997E-2</v>
      </c>
      <c r="CL33" s="239">
        <f t="shared" si="3"/>
        <v>5.8500000000000003E-2</v>
      </c>
      <c r="CO33" s="243" t="s">
        <v>373</v>
      </c>
      <c r="CP33" s="243" t="s">
        <v>395</v>
      </c>
      <c r="CQ33" s="244">
        <v>2910000</v>
      </c>
      <c r="CR33" s="244">
        <v>35600</v>
      </c>
      <c r="CS33" s="243">
        <v>81.96</v>
      </c>
      <c r="CT33" s="243" t="s">
        <v>420</v>
      </c>
      <c r="CU33" s="244">
        <v>2E-16</v>
      </c>
      <c r="CV33" s="81" t="s">
        <v>385</v>
      </c>
      <c r="CW33" s="245" t="s">
        <v>460</v>
      </c>
      <c r="CX33" s="249" t="s">
        <v>331</v>
      </c>
      <c r="CY33" s="246" t="s">
        <v>318</v>
      </c>
      <c r="CZ33" s="247">
        <f t="shared" ref="CZ33:CZ35" si="32">CQ47</f>
        <v>196</v>
      </c>
      <c r="DA33" s="245" t="s">
        <v>317</v>
      </c>
    </row>
    <row r="34" spans="2:107" ht="15" customHeight="1" thickTop="1" thickBot="1" x14ac:dyDescent="0.3">
      <c r="B34" s="73">
        <v>1</v>
      </c>
      <c r="C34" s="74">
        <f>C7*C32</f>
        <v>368.72329749103943</v>
      </c>
      <c r="D34" s="73"/>
      <c r="E34" s="73" t="s">
        <v>42</v>
      </c>
      <c r="F34" s="275">
        <v>21</v>
      </c>
      <c r="G34" s="275"/>
      <c r="H34" s="76">
        <f>VLOOKUP(E34,B6:C22,2,0)</f>
        <v>134.30000000000001</v>
      </c>
      <c r="L34" s="81"/>
      <c r="M34" s="81"/>
      <c r="N34" s="81"/>
      <c r="Q34" s="81"/>
      <c r="R34" s="81"/>
      <c r="X34" s="176"/>
      <c r="Y34" s="176"/>
      <c r="Z34" s="176"/>
      <c r="AA34" s="176"/>
      <c r="AB34" s="176"/>
      <c r="AC34" s="176"/>
      <c r="AD34" s="227"/>
      <c r="AE34" s="176"/>
      <c r="AF34" s="222"/>
      <c r="AG34" s="222"/>
      <c r="AH34" s="222"/>
      <c r="AM34" s="158" t="s">
        <v>314</v>
      </c>
      <c r="AN34" s="81" t="s">
        <v>315</v>
      </c>
      <c r="AO34" s="81" t="s">
        <v>343</v>
      </c>
      <c r="AP34" s="81">
        <f>AP27*0.3</f>
        <v>2.7835946628774016E-2</v>
      </c>
      <c r="AQ34" s="81" t="s">
        <v>317</v>
      </c>
      <c r="AR34" s="81" t="s">
        <v>344</v>
      </c>
      <c r="AV34" s="167" t="s">
        <v>314</v>
      </c>
      <c r="AW34" s="167" t="s">
        <v>315</v>
      </c>
      <c r="AX34" s="167" t="s">
        <v>343</v>
      </c>
      <c r="AY34" s="168" t="s">
        <v>318</v>
      </c>
      <c r="AZ34" s="161">
        <f t="shared" si="29"/>
        <v>2.7835946628774016E-2</v>
      </c>
      <c r="BA34" s="167" t="s">
        <v>317</v>
      </c>
      <c r="BC34" s="81" t="s">
        <v>373</v>
      </c>
      <c r="BD34" s="81" t="s">
        <v>120</v>
      </c>
      <c r="BE34" s="166">
        <v>251</v>
      </c>
      <c r="BF34" s="166">
        <v>1.35</v>
      </c>
      <c r="BG34" s="81">
        <v>186.02</v>
      </c>
      <c r="BH34" s="81" t="s">
        <v>384</v>
      </c>
      <c r="BI34" s="81" t="s">
        <v>385</v>
      </c>
      <c r="BL34" s="167" t="s">
        <v>314</v>
      </c>
      <c r="BM34" s="167" t="s">
        <v>315</v>
      </c>
      <c r="BN34" s="167" t="s">
        <v>343</v>
      </c>
      <c r="BO34" s="168" t="s">
        <v>318</v>
      </c>
      <c r="BP34" s="161">
        <f t="shared" ref="BP34:BP35" si="33">BE65</f>
        <v>4.2999999999999997E-2</v>
      </c>
      <c r="BQ34" s="167" t="s">
        <v>317</v>
      </c>
      <c r="BS34" s="81" t="s">
        <v>373</v>
      </c>
      <c r="BT34" s="81" t="s">
        <v>290</v>
      </c>
      <c r="BU34" s="166">
        <v>644</v>
      </c>
      <c r="BV34" s="166">
        <v>4.09</v>
      </c>
      <c r="BW34" s="81">
        <v>157.52000000000001</v>
      </c>
      <c r="BX34" s="81" t="s">
        <v>384</v>
      </c>
      <c r="BY34" s="81" t="s">
        <v>385</v>
      </c>
      <c r="CA34" s="167" t="s">
        <v>314</v>
      </c>
      <c r="CB34" s="167" t="s">
        <v>315</v>
      </c>
      <c r="CC34" s="167" t="s">
        <v>345</v>
      </c>
      <c r="CD34" s="168" t="s">
        <v>318</v>
      </c>
      <c r="CE34" s="161">
        <f t="shared" si="31"/>
        <v>0.61199999999999999</v>
      </c>
      <c r="CF34" s="167" t="s">
        <v>317</v>
      </c>
      <c r="CI34" s="81" t="s">
        <v>345</v>
      </c>
      <c r="CJ34" s="239">
        <f t="shared" si="1"/>
        <v>0.70957298991737994</v>
      </c>
      <c r="CK34" s="239">
        <f t="shared" si="2"/>
        <v>0.73</v>
      </c>
      <c r="CL34" s="239">
        <f t="shared" si="3"/>
        <v>0.61199999999999999</v>
      </c>
      <c r="CO34" s="243" t="s">
        <v>373</v>
      </c>
      <c r="CP34" s="243" t="s">
        <v>296</v>
      </c>
      <c r="CQ34" s="244">
        <v>93800000</v>
      </c>
      <c r="CR34" s="244">
        <v>2240000</v>
      </c>
      <c r="CS34" s="243">
        <v>41.95</v>
      </c>
      <c r="CT34" s="243" t="s">
        <v>420</v>
      </c>
      <c r="CU34" s="244">
        <v>2E-16</v>
      </c>
      <c r="CV34" s="81" t="s">
        <v>385</v>
      </c>
      <c r="CW34" s="245" t="s">
        <v>460</v>
      </c>
      <c r="CX34" s="250" t="s">
        <v>332</v>
      </c>
      <c r="CY34" s="246" t="s">
        <v>318</v>
      </c>
      <c r="CZ34" s="247">
        <f t="shared" si="32"/>
        <v>650</v>
      </c>
      <c r="DA34" s="245" t="s">
        <v>317</v>
      </c>
    </row>
    <row r="35" spans="2:107" ht="15" customHeight="1" thickTop="1" thickBot="1" x14ac:dyDescent="0.3">
      <c r="B35" s="73">
        <v>2</v>
      </c>
      <c r="C35" s="74">
        <f>C4-C34</f>
        <v>397.27670250896057</v>
      </c>
      <c r="D35" s="73"/>
      <c r="E35" s="73" t="s">
        <v>116</v>
      </c>
      <c r="F35" s="77">
        <v>18</v>
      </c>
      <c r="G35" s="77"/>
      <c r="H35" s="76">
        <f>VLOOKUP(E35,B7:C23,2,0)</f>
        <v>144.69999999999999</v>
      </c>
      <c r="L35" s="81"/>
      <c r="M35" s="81"/>
      <c r="N35" s="81" t="s">
        <v>114</v>
      </c>
      <c r="O35" s="152">
        <f>SUM(R6:R9,R15,R17:R20,R25)</f>
        <v>69.26304222990872</v>
      </c>
      <c r="P35" s="152"/>
      <c r="Q35" s="81"/>
      <c r="R35" s="81"/>
      <c r="Z35" s="221" t="s">
        <v>4</v>
      </c>
      <c r="AA35" s="221">
        <v>5</v>
      </c>
      <c r="AB35" s="221" t="s">
        <v>5</v>
      </c>
      <c r="AF35" s="222"/>
      <c r="AG35" s="222"/>
      <c r="AH35" s="222"/>
      <c r="AM35" s="158" t="s">
        <v>314</v>
      </c>
      <c r="AN35" s="81" t="s">
        <v>315</v>
      </c>
      <c r="AO35" s="81" t="s">
        <v>345</v>
      </c>
      <c r="AP35" s="81">
        <f>AP28*0.3+0.7</f>
        <v>0.70957298991737994</v>
      </c>
      <c r="AQ35" s="81" t="s">
        <v>317</v>
      </c>
      <c r="AR35" s="81" t="s">
        <v>346</v>
      </c>
      <c r="AV35" s="167" t="s">
        <v>314</v>
      </c>
      <c r="AW35" s="167" t="s">
        <v>315</v>
      </c>
      <c r="AX35" s="167" t="s">
        <v>345</v>
      </c>
      <c r="AY35" s="168" t="s">
        <v>318</v>
      </c>
      <c r="AZ35" s="161">
        <f t="shared" si="29"/>
        <v>0.70957298991737994</v>
      </c>
      <c r="BA35" s="167" t="s">
        <v>317</v>
      </c>
      <c r="BC35" s="81" t="s">
        <v>373</v>
      </c>
      <c r="BD35" s="81" t="s">
        <v>409</v>
      </c>
      <c r="BE35" s="166">
        <v>-5.48</v>
      </c>
      <c r="BF35" s="166">
        <v>2.2200000000000001E-2</v>
      </c>
      <c r="BG35" s="81">
        <v>-247.15</v>
      </c>
      <c r="BH35" s="81" t="s">
        <v>384</v>
      </c>
      <c r="BI35" s="81" t="s">
        <v>385</v>
      </c>
      <c r="BL35" s="167" t="s">
        <v>314</v>
      </c>
      <c r="BM35" s="167" t="s">
        <v>315</v>
      </c>
      <c r="BN35" s="167" t="s">
        <v>345</v>
      </c>
      <c r="BO35" s="168" t="s">
        <v>318</v>
      </c>
      <c r="BP35" s="161">
        <f t="shared" si="33"/>
        <v>0.73</v>
      </c>
      <c r="BQ35" s="167" t="s">
        <v>317</v>
      </c>
      <c r="BS35" s="81" t="s">
        <v>373</v>
      </c>
      <c r="BT35" s="81" t="s">
        <v>120</v>
      </c>
      <c r="BU35" s="166">
        <v>260</v>
      </c>
      <c r="BV35" s="166">
        <v>2.52</v>
      </c>
      <c r="BW35" s="81">
        <v>103.2</v>
      </c>
      <c r="BX35" s="81" t="s">
        <v>384</v>
      </c>
      <c r="BY35" s="81" t="s">
        <v>385</v>
      </c>
      <c r="CA35" s="167"/>
      <c r="CB35" s="167"/>
      <c r="CC35" s="167"/>
      <c r="CD35" s="168"/>
      <c r="CE35" s="161"/>
      <c r="CF35" s="167"/>
      <c r="CJ35" s="240"/>
      <c r="CK35" s="240"/>
      <c r="CL35" s="240"/>
      <c r="CO35" s="243" t="s">
        <v>373</v>
      </c>
      <c r="CP35" s="243" t="s">
        <v>298</v>
      </c>
      <c r="CQ35" s="244">
        <v>22300000</v>
      </c>
      <c r="CR35" s="244">
        <v>341000</v>
      </c>
      <c r="CS35" s="243">
        <v>65.39</v>
      </c>
      <c r="CT35" s="243" t="s">
        <v>420</v>
      </c>
      <c r="CU35" s="244">
        <v>2E-16</v>
      </c>
      <c r="CV35" s="81" t="s">
        <v>385</v>
      </c>
      <c r="CW35" s="245" t="s">
        <v>460</v>
      </c>
      <c r="CX35" s="250" t="s">
        <v>333</v>
      </c>
      <c r="CY35" s="246" t="s">
        <v>318</v>
      </c>
      <c r="CZ35" s="247">
        <f t="shared" si="32"/>
        <v>260</v>
      </c>
      <c r="DA35" s="245" t="s">
        <v>317</v>
      </c>
    </row>
    <row r="36" spans="2:107" ht="15" customHeight="1" thickTop="1" thickBot="1" x14ac:dyDescent="0.3">
      <c r="B36" s="73">
        <v>3</v>
      </c>
      <c r="C36" s="74">
        <f>H36*2</f>
        <v>0</v>
      </c>
      <c r="D36" s="73"/>
      <c r="E36" s="73" t="s">
        <v>118</v>
      </c>
      <c r="F36" s="276" t="s">
        <v>119</v>
      </c>
      <c r="G36" s="276"/>
      <c r="H36" s="76">
        <f>C17</f>
        <v>0</v>
      </c>
      <c r="L36" s="81"/>
      <c r="M36" s="81"/>
      <c r="N36" s="81" t="s">
        <v>117</v>
      </c>
      <c r="O36" s="152">
        <f>SUM(R10:R13,R21:R24)</f>
        <v>45.320000000000007</v>
      </c>
      <c r="Q36" s="81"/>
      <c r="R36" s="81"/>
      <c r="X36" s="216" t="s">
        <v>115</v>
      </c>
      <c r="Y36" s="217"/>
      <c r="Z36" s="218" t="s">
        <v>21</v>
      </c>
      <c r="AA36" s="200">
        <v>1.1000000000000001</v>
      </c>
      <c r="AB36" s="217" t="s">
        <v>5</v>
      </c>
      <c r="AC36" s="217"/>
      <c r="AD36" s="217" t="s">
        <v>22</v>
      </c>
      <c r="AE36" s="220">
        <f>SUM(AE37:AE38)</f>
        <v>0</v>
      </c>
      <c r="AF36" s="222" t="s">
        <v>23</v>
      </c>
      <c r="AG36" s="222">
        <f>SUM(AE38:AE39)</f>
        <v>0</v>
      </c>
      <c r="AH36" s="222"/>
      <c r="AQ36" s="81" t="s">
        <v>317</v>
      </c>
      <c r="AV36" s="167"/>
      <c r="AW36" s="167"/>
      <c r="AX36" s="167"/>
      <c r="AY36" s="168"/>
      <c r="BA36" s="167"/>
      <c r="BC36" s="81" t="s">
        <v>373</v>
      </c>
      <c r="BD36" s="81" t="s">
        <v>410</v>
      </c>
      <c r="BE36" s="166">
        <v>-6.58</v>
      </c>
      <c r="BF36" s="166">
        <v>2.1499999999999998E-2</v>
      </c>
      <c r="BG36" s="81">
        <v>-306.32</v>
      </c>
      <c r="BH36" s="81" t="s">
        <v>384</v>
      </c>
      <c r="BI36" s="81" t="s">
        <v>385</v>
      </c>
      <c r="BL36" s="167"/>
      <c r="BM36" s="167"/>
      <c r="BN36" s="167"/>
      <c r="BO36" s="168"/>
      <c r="BP36" s="161"/>
      <c r="BQ36" s="167"/>
      <c r="BS36" s="81" t="s">
        <v>373</v>
      </c>
      <c r="BT36" s="81" t="s">
        <v>409</v>
      </c>
      <c r="BU36" s="166">
        <v>-5.4</v>
      </c>
      <c r="BV36" s="166">
        <v>1.5699999999999999E-2</v>
      </c>
      <c r="BW36" s="81">
        <v>-344.27</v>
      </c>
      <c r="BX36" s="81" t="s">
        <v>384</v>
      </c>
      <c r="BY36" s="81" t="s">
        <v>385</v>
      </c>
      <c r="CA36" s="167" t="s">
        <v>314</v>
      </c>
      <c r="CB36" s="167" t="s">
        <v>315</v>
      </c>
      <c r="CC36" s="167" t="s">
        <v>347</v>
      </c>
      <c r="CD36" s="168" t="s">
        <v>318</v>
      </c>
      <c r="CE36" s="161">
        <f>BU69</f>
        <v>298</v>
      </c>
      <c r="CF36" s="167" t="s">
        <v>317</v>
      </c>
      <c r="CI36" s="81" t="s">
        <v>347</v>
      </c>
      <c r="CJ36" s="242">
        <f t="shared" si="1"/>
        <v>761.21266468842737</v>
      </c>
      <c r="CK36" s="242">
        <f t="shared" si="2"/>
        <v>1350</v>
      </c>
      <c r="CL36" s="242">
        <f t="shared" si="3"/>
        <v>298</v>
      </c>
      <c r="CO36" s="243" t="s">
        <v>373</v>
      </c>
      <c r="CP36" s="243" t="s">
        <v>396</v>
      </c>
      <c r="CQ36" s="244">
        <v>-7.96</v>
      </c>
      <c r="CR36" s="244">
        <v>0.20300000000000001</v>
      </c>
      <c r="CS36" s="243">
        <v>-39.18</v>
      </c>
      <c r="CT36" s="243" t="s">
        <v>420</v>
      </c>
      <c r="CU36" s="244">
        <v>2E-16</v>
      </c>
      <c r="CV36" s="81" t="s">
        <v>385</v>
      </c>
      <c r="CW36" s="245" t="s">
        <v>460</v>
      </c>
      <c r="CX36" s="251" t="s">
        <v>335</v>
      </c>
      <c r="CY36" s="246" t="s">
        <v>318</v>
      </c>
      <c r="CZ36" s="247">
        <f>CQ58</f>
        <v>477</v>
      </c>
      <c r="DA36" s="245" t="s">
        <v>317</v>
      </c>
    </row>
    <row r="37" spans="2:107" ht="15" customHeight="1" thickTop="1" thickBot="1" x14ac:dyDescent="0.3">
      <c r="L37" s="81"/>
      <c r="M37" s="81"/>
      <c r="N37" s="81" t="s">
        <v>120</v>
      </c>
      <c r="O37" s="152">
        <f>'Verwarming Tabula'!B60</f>
        <v>138.03320000000002</v>
      </c>
      <c r="Q37" s="81"/>
      <c r="R37" s="81"/>
      <c r="X37" s="181"/>
      <c r="Y37" s="182" t="s">
        <v>435</v>
      </c>
      <c r="Z37" s="182">
        <v>0.7</v>
      </c>
      <c r="AA37" s="182" t="s">
        <v>5</v>
      </c>
      <c r="AB37" s="182"/>
      <c r="AC37" s="182"/>
      <c r="AD37" s="182">
        <f>(AA36-(1-AD38)*Z37)/AD38</f>
        <v>2.3000000000000007</v>
      </c>
      <c r="AE37" s="233"/>
      <c r="AF37" s="222"/>
      <c r="AG37" s="222"/>
      <c r="AH37" s="222"/>
      <c r="AM37" s="158" t="s">
        <v>314</v>
      </c>
      <c r="AN37" s="81" t="s">
        <v>315</v>
      </c>
      <c r="AO37" s="81" t="s">
        <v>347</v>
      </c>
      <c r="AP37" s="81">
        <f>SUM(O17:O20)*(1/(SUM(AD19:AD20)*0.5+1/8))+O25*(1/(SUM(AD10:AD11)*0.5+1/8))</f>
        <v>761.21266468842737</v>
      </c>
      <c r="AQ37" s="81" t="s">
        <v>317</v>
      </c>
      <c r="AR37" s="81" t="s">
        <v>348</v>
      </c>
      <c r="AV37" s="167" t="s">
        <v>314</v>
      </c>
      <c r="AW37" s="167" t="s">
        <v>315</v>
      </c>
      <c r="AX37" s="167" t="s">
        <v>347</v>
      </c>
      <c r="AY37" s="168" t="s">
        <v>318</v>
      </c>
      <c r="AZ37" s="161">
        <f>AP37</f>
        <v>761.21266468842737</v>
      </c>
      <c r="BA37" s="167" t="s">
        <v>317</v>
      </c>
      <c r="BC37" s="81" t="s">
        <v>373</v>
      </c>
      <c r="BD37" s="81" t="s">
        <v>411</v>
      </c>
      <c r="BE37" s="166">
        <v>-9.25</v>
      </c>
      <c r="BF37" s="166">
        <v>0.191</v>
      </c>
      <c r="BG37" s="81">
        <v>-48.52</v>
      </c>
      <c r="BH37" s="81" t="s">
        <v>384</v>
      </c>
      <c r="BI37" s="81" t="s">
        <v>385</v>
      </c>
      <c r="BL37" s="167" t="s">
        <v>314</v>
      </c>
      <c r="BM37" s="167" t="s">
        <v>315</v>
      </c>
      <c r="BN37" s="167" t="s">
        <v>347</v>
      </c>
      <c r="BO37" s="168" t="s">
        <v>318</v>
      </c>
      <c r="BP37" s="161">
        <f>BE68</f>
        <v>1350</v>
      </c>
      <c r="BQ37" s="167" t="s">
        <v>317</v>
      </c>
      <c r="BS37" s="81" t="s">
        <v>373</v>
      </c>
      <c r="BT37" s="81" t="s">
        <v>410</v>
      </c>
      <c r="BU37" s="166">
        <v>-6.41</v>
      </c>
      <c r="BV37" s="166">
        <v>1.4999999999999999E-2</v>
      </c>
      <c r="BW37" s="81">
        <v>-427.68</v>
      </c>
      <c r="BX37" s="81" t="s">
        <v>384</v>
      </c>
      <c r="BY37" s="81" t="s">
        <v>385</v>
      </c>
      <c r="CA37" s="167" t="s">
        <v>314</v>
      </c>
      <c r="CB37" s="167" t="s">
        <v>315</v>
      </c>
      <c r="CC37" s="167" t="s">
        <v>349</v>
      </c>
      <c r="CD37" s="168" t="s">
        <v>318</v>
      </c>
      <c r="CE37" s="161">
        <f t="shared" ref="CE37:CE38" si="34">BU70</f>
        <v>120</v>
      </c>
      <c r="CF37" s="167" t="s">
        <v>317</v>
      </c>
      <c r="CI37" s="81" t="s">
        <v>349</v>
      </c>
      <c r="CJ37" s="242">
        <f t="shared" si="1"/>
        <v>286.45824354243553</v>
      </c>
      <c r="CK37" s="242">
        <f t="shared" si="2"/>
        <v>372</v>
      </c>
      <c r="CL37" s="242">
        <f t="shared" si="3"/>
        <v>120</v>
      </c>
      <c r="CO37" s="243" t="s">
        <v>373</v>
      </c>
      <c r="CP37" s="243" t="s">
        <v>397</v>
      </c>
      <c r="CQ37" s="244">
        <v>-35.799999999999997</v>
      </c>
      <c r="CR37" s="244">
        <v>10.4</v>
      </c>
      <c r="CS37" s="243">
        <v>-3.43</v>
      </c>
      <c r="CT37" s="243">
        <v>5.9999999999999995E-4</v>
      </c>
      <c r="CU37" s="243" t="s">
        <v>385</v>
      </c>
      <c r="CW37" s="245" t="s">
        <v>460</v>
      </c>
      <c r="CX37" s="251" t="s">
        <v>334</v>
      </c>
      <c r="CY37" s="246" t="s">
        <v>318</v>
      </c>
      <c r="CZ37" s="247">
        <v>85.237835423998362</v>
      </c>
      <c r="DA37" s="245" t="s">
        <v>317</v>
      </c>
      <c r="DC37" s="166">
        <f>1/(1/CZ37+1/CZ32)</f>
        <v>72.969979246645096</v>
      </c>
    </row>
    <row r="38" spans="2:107" ht="15" customHeight="1" thickTop="1" thickBot="1" x14ac:dyDescent="0.3">
      <c r="C38" s="152"/>
      <c r="L38" s="81"/>
      <c r="M38" s="81"/>
      <c r="N38" s="81"/>
      <c r="O38" s="152"/>
      <c r="Q38" s="81"/>
      <c r="R38" s="81"/>
      <c r="X38" s="187"/>
      <c r="Y38" s="174" t="s">
        <v>436</v>
      </c>
      <c r="Z38" s="174">
        <v>0.3</v>
      </c>
      <c r="AA38" s="174"/>
      <c r="AB38" s="174"/>
      <c r="AC38" s="174"/>
      <c r="AD38" s="174">
        <v>0.25</v>
      </c>
      <c r="AE38" s="192"/>
      <c r="AF38" s="228" t="s">
        <v>274</v>
      </c>
      <c r="AG38" s="222"/>
      <c r="AH38" s="222"/>
      <c r="AM38" s="158" t="s">
        <v>314</v>
      </c>
      <c r="AN38" s="81" t="s">
        <v>315</v>
      </c>
      <c r="AO38" s="81" t="s">
        <v>349</v>
      </c>
      <c r="AP38" s="81">
        <f>4*AA22*O28</f>
        <v>286.45824354243553</v>
      </c>
      <c r="AQ38" s="81" t="s">
        <v>317</v>
      </c>
      <c r="AR38" s="166">
        <v>85.692350000000005</v>
      </c>
      <c r="AV38" s="167" t="s">
        <v>314</v>
      </c>
      <c r="AW38" s="167" t="s">
        <v>315</v>
      </c>
      <c r="AX38" s="167" t="s">
        <v>349</v>
      </c>
      <c r="AY38" s="168" t="s">
        <v>318</v>
      </c>
      <c r="AZ38" s="161">
        <f t="shared" ref="AZ38:AZ40" si="35">AP38</f>
        <v>286.45824354243553</v>
      </c>
      <c r="BA38" s="167" t="s">
        <v>317</v>
      </c>
      <c r="BC38" s="81" t="s">
        <v>373</v>
      </c>
      <c r="BD38" s="81" t="s">
        <v>412</v>
      </c>
      <c r="BE38" s="166">
        <v>-6.11</v>
      </c>
      <c r="BF38" s="166">
        <v>2.2200000000000001E-2</v>
      </c>
      <c r="BG38" s="81">
        <v>-275.08</v>
      </c>
      <c r="BH38" s="81" t="s">
        <v>384</v>
      </c>
      <c r="BI38" s="81" t="s">
        <v>385</v>
      </c>
      <c r="BL38" s="167" t="s">
        <v>314</v>
      </c>
      <c r="BM38" s="167" t="s">
        <v>315</v>
      </c>
      <c r="BN38" s="167" t="s">
        <v>349</v>
      </c>
      <c r="BO38" s="168" t="s">
        <v>318</v>
      </c>
      <c r="BP38" s="161">
        <f t="shared" ref="BP38:BP39" si="36">BE69</f>
        <v>372</v>
      </c>
      <c r="BQ38" s="167" t="s">
        <v>317</v>
      </c>
      <c r="BS38" s="81" t="s">
        <v>373</v>
      </c>
      <c r="BT38" s="81" t="s">
        <v>411</v>
      </c>
      <c r="BU38" s="166">
        <v>-5.92</v>
      </c>
      <c r="BV38" s="166">
        <v>1.8499999999999999E-2</v>
      </c>
      <c r="BW38" s="81">
        <v>-319.37</v>
      </c>
      <c r="BX38" s="81" t="s">
        <v>384</v>
      </c>
      <c r="BY38" s="81" t="s">
        <v>385</v>
      </c>
      <c r="CA38" s="167" t="s">
        <v>314</v>
      </c>
      <c r="CB38" s="167" t="s">
        <v>315</v>
      </c>
      <c r="CC38" s="167" t="s">
        <v>350</v>
      </c>
      <c r="CD38" s="168" t="s">
        <v>318</v>
      </c>
      <c r="CE38" s="161">
        <f t="shared" si="34"/>
        <v>69.5</v>
      </c>
      <c r="CF38" s="167" t="s">
        <v>317</v>
      </c>
      <c r="CI38" s="81" t="s">
        <v>350</v>
      </c>
      <c r="CJ38" s="242">
        <f t="shared" si="1"/>
        <v>127.70996748387097</v>
      </c>
      <c r="CK38" s="242">
        <f t="shared" si="2"/>
        <v>31.9</v>
      </c>
      <c r="CL38" s="242">
        <f t="shared" si="3"/>
        <v>69.5</v>
      </c>
      <c r="CO38" s="243" t="s">
        <v>373</v>
      </c>
      <c r="CP38" s="243" t="s">
        <v>399</v>
      </c>
      <c r="CQ38" s="244">
        <v>-12.1</v>
      </c>
      <c r="CR38" s="244">
        <v>16.5</v>
      </c>
      <c r="CS38" s="243">
        <v>-0.73</v>
      </c>
      <c r="CT38" s="243">
        <v>0.46393000000000001</v>
      </c>
      <c r="CW38" s="245" t="s">
        <v>460</v>
      </c>
      <c r="CX38" s="248" t="s">
        <v>326</v>
      </c>
      <c r="CY38" s="246" t="s">
        <v>318</v>
      </c>
      <c r="CZ38" s="247">
        <f>CQ41</f>
        <v>8.2900000000000001E-2</v>
      </c>
      <c r="DA38" s="245" t="s">
        <v>317</v>
      </c>
      <c r="DC38" s="152">
        <f>SUM(R6:R9,R16)</f>
        <v>78.311092942640073</v>
      </c>
    </row>
    <row r="39" spans="2:107" ht="15" customHeight="1" thickTop="1" thickBot="1" x14ac:dyDescent="0.3">
      <c r="L39" s="81"/>
      <c r="M39" s="81"/>
      <c r="N39" s="81" t="s">
        <v>122</v>
      </c>
      <c r="O39" s="152">
        <f>C4*1.204*1012*5/1000000</f>
        <v>4.6666558399999998</v>
      </c>
      <c r="P39" s="81" t="s">
        <v>123</v>
      </c>
      <c r="R39" s="81"/>
      <c r="AF39" s="222"/>
      <c r="AG39" s="222"/>
      <c r="AH39" s="222"/>
      <c r="AM39" s="158" t="s">
        <v>314</v>
      </c>
      <c r="AN39" s="81" t="s">
        <v>315</v>
      </c>
      <c r="AO39" s="81" t="s">
        <v>350</v>
      </c>
      <c r="AP39" s="152">
        <f>'Verwarming Tabula 2zone'!B139+SUM(R21:R24)</f>
        <v>127.70996748387097</v>
      </c>
      <c r="AQ39" s="81" t="s">
        <v>317</v>
      </c>
      <c r="AR39" s="81" t="s">
        <v>351</v>
      </c>
      <c r="AV39" s="167" t="s">
        <v>314</v>
      </c>
      <c r="AW39" s="167" t="s">
        <v>315</v>
      </c>
      <c r="AX39" s="167" t="s">
        <v>350</v>
      </c>
      <c r="AY39" s="168" t="s">
        <v>318</v>
      </c>
      <c r="AZ39" s="161">
        <f t="shared" si="35"/>
        <v>127.70996748387097</v>
      </c>
      <c r="BA39" s="167" t="s">
        <v>317</v>
      </c>
      <c r="BC39" s="81" t="s">
        <v>373</v>
      </c>
      <c r="BD39" s="81" t="s">
        <v>413</v>
      </c>
      <c r="BE39" s="166">
        <v>-6.37</v>
      </c>
      <c r="BF39" s="166">
        <v>2.1899999999999999E-2</v>
      </c>
      <c r="BG39" s="81">
        <v>-290.83</v>
      </c>
      <c r="BH39" s="81" t="s">
        <v>384</v>
      </c>
      <c r="BI39" s="81" t="s">
        <v>385</v>
      </c>
      <c r="BL39" s="167" t="s">
        <v>314</v>
      </c>
      <c r="BM39" s="167" t="s">
        <v>315</v>
      </c>
      <c r="BN39" s="167" t="s">
        <v>350</v>
      </c>
      <c r="BO39" s="168" t="s">
        <v>318</v>
      </c>
      <c r="BP39" s="161">
        <f t="shared" si="36"/>
        <v>31.9</v>
      </c>
      <c r="BQ39" s="167" t="s">
        <v>317</v>
      </c>
      <c r="BS39" s="81" t="s">
        <v>373</v>
      </c>
      <c r="BT39" s="81" t="s">
        <v>412</v>
      </c>
      <c r="BU39" s="166">
        <v>-5.28</v>
      </c>
      <c r="BV39" s="166">
        <v>1.7000000000000001E-2</v>
      </c>
      <c r="BW39" s="81">
        <v>-310.54000000000002</v>
      </c>
      <c r="BX39" s="81" t="s">
        <v>384</v>
      </c>
      <c r="BY39" s="81" t="s">
        <v>385</v>
      </c>
      <c r="CA39" s="167" t="s">
        <v>314</v>
      </c>
      <c r="CB39" s="167" t="s">
        <v>315</v>
      </c>
      <c r="CC39" s="167" t="s">
        <v>352</v>
      </c>
      <c r="CD39" s="168" t="s">
        <v>318</v>
      </c>
      <c r="CE39" s="161">
        <f>1/BU76</f>
        <v>9900.9900990099013</v>
      </c>
      <c r="CF39" s="167" t="s">
        <v>317</v>
      </c>
      <c r="CI39" s="81" t="s">
        <v>352</v>
      </c>
      <c r="CJ39" s="242">
        <f t="shared" si="1"/>
        <v>203.53812185858925</v>
      </c>
      <c r="CK39" s="242">
        <f t="shared" si="2"/>
        <v>110.74197120708749</v>
      </c>
      <c r="CL39" s="242">
        <f t="shared" si="3"/>
        <v>9900.9900990099013</v>
      </c>
      <c r="CO39" s="243" t="s">
        <v>373</v>
      </c>
      <c r="CP39" s="243" t="s">
        <v>400</v>
      </c>
      <c r="CQ39" s="244">
        <v>-21.7</v>
      </c>
      <c r="CR39" s="244">
        <v>0.20499999999999999</v>
      </c>
      <c r="CS39" s="243">
        <v>-105.66</v>
      </c>
      <c r="CT39" s="243" t="s">
        <v>420</v>
      </c>
      <c r="CU39" s="244">
        <v>2E-16</v>
      </c>
      <c r="CV39" s="81" t="s">
        <v>385</v>
      </c>
      <c r="CW39" s="245" t="s">
        <v>460</v>
      </c>
      <c r="CX39" s="249" t="s">
        <v>327</v>
      </c>
      <c r="CY39" s="246" t="s">
        <v>318</v>
      </c>
      <c r="CZ39" s="247">
        <f t="shared" ref="CZ39:CZ42" si="37">CQ42</f>
        <v>0.16600000000000001</v>
      </c>
      <c r="DA39" s="245" t="s">
        <v>317</v>
      </c>
    </row>
    <row r="40" spans="2:107" ht="15" customHeight="1" thickTop="1" thickBot="1" x14ac:dyDescent="0.3">
      <c r="B40" s="81" t="s">
        <v>275</v>
      </c>
      <c r="L40" s="81"/>
      <c r="M40" s="81"/>
      <c r="N40" s="81" t="s">
        <v>124</v>
      </c>
      <c r="O40" s="152">
        <f>SUM(S6:S9,S15)/1000000</f>
        <v>115.03070495064001</v>
      </c>
      <c r="P40" s="81" t="s">
        <v>125</v>
      </c>
      <c r="Q40" s="152">
        <f>SUM(U6:U9,U15)/1000000</f>
        <v>95.706189288000004</v>
      </c>
      <c r="R40" s="81"/>
      <c r="Z40" s="221" t="s">
        <v>4</v>
      </c>
      <c r="AA40" s="221">
        <v>0.85</v>
      </c>
      <c r="AB40" s="221" t="s">
        <v>5</v>
      </c>
      <c r="AF40" s="222"/>
      <c r="AG40" s="222"/>
      <c r="AH40" s="222"/>
      <c r="AM40" s="158" t="s">
        <v>314</v>
      </c>
      <c r="AN40" s="81" t="s">
        <v>315</v>
      </c>
      <c r="AO40" s="81" t="s">
        <v>352</v>
      </c>
      <c r="AP40" s="81">
        <f>SUM(O17:O20)*1/(SUM(AD16:AD17)+0.5*SUM(AD19:AD20)+1/23)+O25*1/(SUM(AD7:AD10)+0.5*SUM(AD11)+1/23)</f>
        <v>203.53812185858925</v>
      </c>
      <c r="AQ40" s="81" t="s">
        <v>317</v>
      </c>
      <c r="AR40" s="81">
        <f>1/0.01634389</f>
        <v>61.184944343115376</v>
      </c>
      <c r="AV40" s="167" t="s">
        <v>314</v>
      </c>
      <c r="AW40" s="167" t="s">
        <v>315</v>
      </c>
      <c r="AX40" s="167" t="s">
        <v>352</v>
      </c>
      <c r="AY40" s="168" t="s">
        <v>318</v>
      </c>
      <c r="AZ40" s="161">
        <f t="shared" si="35"/>
        <v>203.53812185858925</v>
      </c>
      <c r="BA40" s="167" t="s">
        <v>317</v>
      </c>
      <c r="BC40" s="81" t="s">
        <v>373</v>
      </c>
      <c r="BD40" s="81" t="s">
        <v>414</v>
      </c>
      <c r="BE40" s="166">
        <v>1.1299999999999999E-3</v>
      </c>
      <c r="BF40" s="166">
        <v>9.9899999999999992E-6</v>
      </c>
      <c r="BG40" s="81">
        <v>113.15</v>
      </c>
      <c r="BH40" s="81" t="s">
        <v>384</v>
      </c>
      <c r="BI40" s="81" t="s">
        <v>385</v>
      </c>
      <c r="BL40" s="167" t="s">
        <v>314</v>
      </c>
      <c r="BM40" s="167" t="s">
        <v>315</v>
      </c>
      <c r="BN40" s="167" t="s">
        <v>352</v>
      </c>
      <c r="BO40" s="168" t="s">
        <v>318</v>
      </c>
      <c r="BP40" s="161">
        <f>1/BE75</f>
        <v>110.74197120708749</v>
      </c>
      <c r="BQ40" s="167" t="s">
        <v>317</v>
      </c>
      <c r="BS40" s="81" t="s">
        <v>373</v>
      </c>
      <c r="BT40" s="81" t="s">
        <v>413</v>
      </c>
      <c r="BU40" s="166">
        <v>-6.14</v>
      </c>
      <c r="BV40" s="166">
        <v>1.67E-2</v>
      </c>
      <c r="BW40" s="81">
        <v>-367.45</v>
      </c>
      <c r="BX40" s="81" t="s">
        <v>384</v>
      </c>
      <c r="BY40" s="81" t="s">
        <v>385</v>
      </c>
      <c r="CA40" s="167"/>
      <c r="CB40" s="167"/>
      <c r="CC40" s="167"/>
      <c r="CD40" s="168"/>
      <c r="CE40" s="161"/>
      <c r="CF40" s="167"/>
      <c r="CJ40" s="240"/>
      <c r="CK40" s="240"/>
      <c r="CL40" s="240"/>
      <c r="CO40" s="243" t="s">
        <v>373</v>
      </c>
      <c r="CP40" s="243" t="s">
        <v>401</v>
      </c>
      <c r="CQ40" s="244">
        <v>-18.600000000000001</v>
      </c>
      <c r="CR40" s="244">
        <v>14.8</v>
      </c>
      <c r="CS40" s="243">
        <v>-1.26</v>
      </c>
      <c r="CT40" s="243">
        <v>0.20687</v>
      </c>
      <c r="CW40" s="245" t="s">
        <v>460</v>
      </c>
      <c r="CX40" s="249" t="s">
        <v>328</v>
      </c>
      <c r="CY40" s="246" t="s">
        <v>318</v>
      </c>
      <c r="CZ40" s="247">
        <f t="shared" si="37"/>
        <v>0.71599999999999997</v>
      </c>
      <c r="DA40" s="245" t="s">
        <v>317</v>
      </c>
    </row>
    <row r="41" spans="2:107" ht="15" customHeight="1" thickTop="1" thickBot="1" x14ac:dyDescent="0.3">
      <c r="B41" s="149" t="s">
        <v>276</v>
      </c>
      <c r="L41" s="81"/>
      <c r="M41" s="81"/>
      <c r="N41" s="81" t="s">
        <v>126</v>
      </c>
      <c r="O41" s="152">
        <f>SUM(S26:S27)/1000000</f>
        <v>41.413142636000003</v>
      </c>
      <c r="P41" s="81" t="s">
        <v>125</v>
      </c>
      <c r="Q41" s="152">
        <f>SUM(U26:U27)/1000000</f>
        <v>41.413142636000003</v>
      </c>
      <c r="R41" s="81"/>
      <c r="X41" s="216" t="s">
        <v>63</v>
      </c>
      <c r="Y41" s="217"/>
      <c r="Z41" s="218" t="s">
        <v>21</v>
      </c>
      <c r="AA41" s="219">
        <f>1/(1/10+SUM(AD43:AD47))</f>
        <v>0.17975604536700196</v>
      </c>
      <c r="AB41" s="217" t="s">
        <v>5</v>
      </c>
      <c r="AC41" s="217"/>
      <c r="AD41" s="217" t="s">
        <v>22</v>
      </c>
      <c r="AE41" s="220">
        <f>SUM(AE43:AE47)</f>
        <v>381072.5</v>
      </c>
      <c r="AF41" s="222" t="s">
        <v>23</v>
      </c>
      <c r="AG41" s="222">
        <f>SUM(AE43:AE44)</f>
        <v>110960</v>
      </c>
      <c r="AH41" s="222"/>
      <c r="AQ41" s="81" t="s">
        <v>317</v>
      </c>
      <c r="AV41" s="167"/>
      <c r="AW41" s="167"/>
      <c r="AX41" s="167"/>
      <c r="AY41" s="168"/>
      <c r="BA41" s="167"/>
      <c r="BC41" s="81" t="s">
        <v>373</v>
      </c>
      <c r="BD41" s="81" t="s">
        <v>415</v>
      </c>
      <c r="BE41" s="166">
        <v>762</v>
      </c>
      <c r="BF41" s="166">
        <v>7.54</v>
      </c>
      <c r="BG41" s="81">
        <v>101.02</v>
      </c>
      <c r="BH41" s="81" t="s">
        <v>384</v>
      </c>
      <c r="BI41" s="81" t="s">
        <v>385</v>
      </c>
      <c r="BL41" s="167"/>
      <c r="BM41" s="167"/>
      <c r="BN41" s="167"/>
      <c r="BO41" s="168"/>
      <c r="BP41" s="161"/>
      <c r="BQ41" s="167"/>
      <c r="BS41" s="81" t="s">
        <v>373</v>
      </c>
      <c r="BT41" s="81" t="s">
        <v>414</v>
      </c>
      <c r="BU41" s="166">
        <v>5.0199999999999995E-4</v>
      </c>
      <c r="BV41" s="166">
        <v>9.6099999999999995E-6</v>
      </c>
      <c r="BW41" s="81">
        <v>52.22</v>
      </c>
      <c r="BX41" s="81" t="s">
        <v>384</v>
      </c>
      <c r="BY41" s="81" t="s">
        <v>385</v>
      </c>
      <c r="CA41" s="167" t="s">
        <v>314</v>
      </c>
      <c r="CB41" s="167" t="s">
        <v>315</v>
      </c>
      <c r="CC41" s="167" t="s">
        <v>353</v>
      </c>
      <c r="CD41" s="168" t="s">
        <v>318</v>
      </c>
      <c r="CE41" s="161">
        <f>BU15</f>
        <v>7.9000000000000001E-2</v>
      </c>
      <c r="CF41" s="167" t="s">
        <v>317</v>
      </c>
      <c r="CI41" s="81" t="s">
        <v>353</v>
      </c>
      <c r="CJ41" s="239">
        <f t="shared" si="1"/>
        <v>0.19356300669832341</v>
      </c>
      <c r="CK41" s="239">
        <f t="shared" si="2"/>
        <v>2.8899999999999999E-2</v>
      </c>
      <c r="CL41" s="239">
        <f t="shared" si="3"/>
        <v>7.9000000000000001E-2</v>
      </c>
      <c r="CO41" s="243" t="s">
        <v>373</v>
      </c>
      <c r="CP41" s="243" t="s">
        <v>402</v>
      </c>
      <c r="CQ41" s="244">
        <v>8.2900000000000001E-2</v>
      </c>
      <c r="CR41" s="244">
        <v>2.63E-4</v>
      </c>
      <c r="CS41" s="243">
        <v>315.56</v>
      </c>
      <c r="CT41" s="243" t="s">
        <v>420</v>
      </c>
      <c r="CU41" s="244">
        <v>2E-16</v>
      </c>
      <c r="CV41" s="81" t="s">
        <v>385</v>
      </c>
      <c r="CW41" s="245" t="s">
        <v>460</v>
      </c>
      <c r="CX41" s="246" t="s">
        <v>329</v>
      </c>
      <c r="CY41" s="246" t="s">
        <v>318</v>
      </c>
      <c r="CZ41" s="247">
        <f t="shared" si="37"/>
        <v>5.5E-2</v>
      </c>
      <c r="DA41" s="245" t="s">
        <v>317</v>
      </c>
    </row>
    <row r="42" spans="2:107" ht="15" customHeight="1" thickTop="1" thickBot="1" x14ac:dyDescent="0.3">
      <c r="B42" s="81" t="s">
        <v>277</v>
      </c>
      <c r="D42" s="81">
        <f>0.55</f>
        <v>0.55000000000000004</v>
      </c>
      <c r="L42" s="81"/>
      <c r="M42" s="81"/>
      <c r="N42" s="81" t="s">
        <v>127</v>
      </c>
      <c r="O42" s="152">
        <f>S14/1000000</f>
        <v>51.178036750000004</v>
      </c>
      <c r="Q42" s="152">
        <f>U14/1000000</f>
        <v>14.901928000000002</v>
      </c>
      <c r="R42" s="81"/>
      <c r="X42" s="224"/>
      <c r="Y42" s="225" t="s">
        <v>27</v>
      </c>
      <c r="Z42" s="225" t="s">
        <v>28</v>
      </c>
      <c r="AA42" s="225" t="s">
        <v>29</v>
      </c>
      <c r="AB42" s="225" t="s">
        <v>30</v>
      </c>
      <c r="AC42" s="225" t="s">
        <v>31</v>
      </c>
      <c r="AD42" s="225" t="s">
        <v>32</v>
      </c>
      <c r="AE42" s="226" t="s">
        <v>33</v>
      </c>
      <c r="AF42" s="222"/>
      <c r="AG42" s="222"/>
      <c r="AH42" s="222"/>
      <c r="AM42" s="158" t="s">
        <v>314</v>
      </c>
      <c r="AN42" s="81" t="s">
        <v>315</v>
      </c>
      <c r="AO42" s="81" t="s">
        <v>353</v>
      </c>
      <c r="AP42" s="81">
        <f>SUM(O26)/SUM(O6:O14,O26:O27)</f>
        <v>0.19356300669832341</v>
      </c>
      <c r="AQ42" s="81" t="s">
        <v>317</v>
      </c>
      <c r="AR42" s="81" t="s">
        <v>354</v>
      </c>
      <c r="AV42" s="167" t="s">
        <v>314</v>
      </c>
      <c r="AW42" s="167" t="s">
        <v>315</v>
      </c>
      <c r="AX42" s="167" t="s">
        <v>353</v>
      </c>
      <c r="AY42" s="168" t="s">
        <v>318</v>
      </c>
      <c r="AZ42" s="161">
        <f>AP42</f>
        <v>0.19356300669832341</v>
      </c>
      <c r="BA42" s="167" t="s">
        <v>317</v>
      </c>
      <c r="BC42" s="81" t="s">
        <v>373</v>
      </c>
      <c r="BD42" s="81" t="s">
        <v>416</v>
      </c>
      <c r="BE42" s="166">
        <v>660</v>
      </c>
      <c r="BF42" s="166">
        <v>5.62</v>
      </c>
      <c r="BG42" s="81">
        <v>117.56</v>
      </c>
      <c r="BH42" s="81" t="s">
        <v>384</v>
      </c>
      <c r="BI42" s="81" t="s">
        <v>385</v>
      </c>
      <c r="BL42" s="167" t="s">
        <v>314</v>
      </c>
      <c r="BM42" s="167" t="s">
        <v>315</v>
      </c>
      <c r="BN42" s="167" t="s">
        <v>353</v>
      </c>
      <c r="BO42" s="168" t="s">
        <v>318</v>
      </c>
      <c r="BP42" s="161">
        <f>BE15</f>
        <v>2.8899999999999999E-2</v>
      </c>
      <c r="BQ42" s="167" t="s">
        <v>317</v>
      </c>
      <c r="BS42" s="81" t="s">
        <v>373</v>
      </c>
      <c r="BT42" s="81" t="s">
        <v>415</v>
      </c>
      <c r="BU42" s="166">
        <v>115</v>
      </c>
      <c r="BV42" s="166">
        <v>1.17</v>
      </c>
      <c r="BW42" s="81">
        <v>98.05</v>
      </c>
      <c r="BX42" s="81" t="s">
        <v>384</v>
      </c>
      <c r="BY42" s="81" t="s">
        <v>385</v>
      </c>
      <c r="CA42" s="167" t="s">
        <v>314</v>
      </c>
      <c r="CB42" s="167" t="s">
        <v>315</v>
      </c>
      <c r="CC42" s="167" t="s">
        <v>355</v>
      </c>
      <c r="CD42" s="168" t="s">
        <v>318</v>
      </c>
      <c r="CE42" s="161">
        <f>BU56</f>
        <v>0.33100000000000002</v>
      </c>
      <c r="CF42" s="167" t="s">
        <v>317</v>
      </c>
      <c r="CI42" s="81" t="s">
        <v>355</v>
      </c>
      <c r="CJ42" s="239">
        <f t="shared" si="1"/>
        <v>0.37357379747704722</v>
      </c>
      <c r="CK42" s="239">
        <f t="shared" si="2"/>
        <v>9.7500000000000003E-2</v>
      </c>
      <c r="CL42" s="239">
        <f t="shared" si="3"/>
        <v>0.33100000000000002</v>
      </c>
      <c r="CO42" s="243" t="s">
        <v>373</v>
      </c>
      <c r="CP42" s="243" t="s">
        <v>403</v>
      </c>
      <c r="CQ42" s="244">
        <v>0.16600000000000001</v>
      </c>
      <c r="CR42" s="244">
        <v>5.2499999999999997E-4</v>
      </c>
      <c r="CS42" s="243">
        <v>315.49</v>
      </c>
      <c r="CT42" s="243" t="s">
        <v>420</v>
      </c>
      <c r="CU42" s="244">
        <v>2E-16</v>
      </c>
      <c r="CV42" s="81" t="s">
        <v>385</v>
      </c>
      <c r="CW42" s="245" t="s">
        <v>460</v>
      </c>
      <c r="CX42" s="246" t="s">
        <v>430</v>
      </c>
      <c r="CY42" s="246" t="s">
        <v>318</v>
      </c>
      <c r="CZ42" s="247">
        <f t="shared" si="37"/>
        <v>2.8899999999999999E-2</v>
      </c>
      <c r="DA42" s="245" t="s">
        <v>317</v>
      </c>
    </row>
    <row r="43" spans="2:107" ht="15" customHeight="1" thickTop="1" thickBot="1" x14ac:dyDescent="0.3">
      <c r="B43" s="81" t="s">
        <v>278</v>
      </c>
      <c r="D43" s="81">
        <v>0.99</v>
      </c>
      <c r="E43" s="81" t="s">
        <v>279</v>
      </c>
      <c r="L43" s="81"/>
      <c r="M43" s="81"/>
      <c r="N43" s="81"/>
      <c r="Q43" s="81"/>
      <c r="R43" s="81"/>
      <c r="X43" s="181"/>
      <c r="Y43" s="182" t="s">
        <v>128</v>
      </c>
      <c r="Z43" s="182">
        <v>0.02</v>
      </c>
      <c r="AA43" s="182">
        <v>1.4</v>
      </c>
      <c r="AB43" s="182">
        <v>2100</v>
      </c>
      <c r="AC43" s="182">
        <v>840</v>
      </c>
      <c r="AD43" s="231">
        <f>Z43/AA43</f>
        <v>1.4285714285714287E-2</v>
      </c>
      <c r="AE43" s="232">
        <f>Z43*AB43*AC43</f>
        <v>35280</v>
      </c>
      <c r="AF43" s="222" t="s">
        <v>104</v>
      </c>
      <c r="AG43" s="222"/>
      <c r="AH43" s="222"/>
      <c r="AM43" s="158" t="s">
        <v>314</v>
      </c>
      <c r="AN43" s="81" t="s">
        <v>315</v>
      </c>
      <c r="AO43" s="81" t="s">
        <v>355</v>
      </c>
      <c r="AP43" s="81">
        <f>SUM(O26)/SUM(O$17:O$25,O$28,O$26)</f>
        <v>0.37357379747704722</v>
      </c>
      <c r="AQ43" s="81" t="s">
        <v>317</v>
      </c>
      <c r="AR43" s="81" t="s">
        <v>356</v>
      </c>
      <c r="AV43" s="167" t="s">
        <v>314</v>
      </c>
      <c r="AW43" s="167" t="s">
        <v>315</v>
      </c>
      <c r="AX43" s="167" t="s">
        <v>355</v>
      </c>
      <c r="AY43" s="168" t="s">
        <v>318</v>
      </c>
      <c r="AZ43" s="161">
        <f t="shared" ref="AZ43:AZ50" si="38">AP43</f>
        <v>0.37357379747704722</v>
      </c>
      <c r="BA43" s="167" t="s">
        <v>317</v>
      </c>
      <c r="BC43" s="81" t="s">
        <v>373</v>
      </c>
      <c r="BD43" s="81" t="s">
        <v>417</v>
      </c>
      <c r="BE43" s="166">
        <v>301</v>
      </c>
      <c r="BF43" s="166">
        <v>3.03</v>
      </c>
      <c r="BG43" s="81">
        <v>99.4</v>
      </c>
      <c r="BH43" s="81" t="s">
        <v>384</v>
      </c>
      <c r="BI43" s="81" t="s">
        <v>385</v>
      </c>
      <c r="BL43" s="167" t="s">
        <v>314</v>
      </c>
      <c r="BM43" s="167" t="s">
        <v>315</v>
      </c>
      <c r="BN43" s="167" t="s">
        <v>355</v>
      </c>
      <c r="BO43" s="168" t="s">
        <v>318</v>
      </c>
      <c r="BP43" s="161">
        <f>BE55</f>
        <v>9.7500000000000003E-2</v>
      </c>
      <c r="BQ43" s="167" t="s">
        <v>317</v>
      </c>
      <c r="BS43" s="81" t="s">
        <v>373</v>
      </c>
      <c r="BT43" s="81" t="s">
        <v>416</v>
      </c>
      <c r="BU43" s="166">
        <v>9960</v>
      </c>
      <c r="BV43" s="166">
        <v>166</v>
      </c>
      <c r="BW43" s="81">
        <v>60.14</v>
      </c>
      <c r="BX43" s="81" t="s">
        <v>384</v>
      </c>
      <c r="BY43" s="81" t="s">
        <v>385</v>
      </c>
      <c r="CA43" s="167" t="s">
        <v>314</v>
      </c>
      <c r="CB43" s="167" t="s">
        <v>315</v>
      </c>
      <c r="CC43" s="167" t="s">
        <v>357</v>
      </c>
      <c r="CD43" s="168" t="s">
        <v>318</v>
      </c>
      <c r="CE43" s="161">
        <f>BU88</f>
        <v>139000000</v>
      </c>
      <c r="CF43" s="167" t="s">
        <v>317</v>
      </c>
      <c r="CI43" s="81" t="s">
        <v>357</v>
      </c>
      <c r="CJ43" s="241">
        <f t="shared" si="1"/>
        <v>4177488.9999999995</v>
      </c>
      <c r="CK43" s="241">
        <f t="shared" si="2"/>
        <v>248000</v>
      </c>
      <c r="CL43" s="241">
        <f t="shared" si="3"/>
        <v>139000000</v>
      </c>
      <c r="CO43" s="243" t="s">
        <v>373</v>
      </c>
      <c r="CP43" s="243" t="s">
        <v>404</v>
      </c>
      <c r="CQ43" s="244">
        <v>0.71599999999999997</v>
      </c>
      <c r="CR43" s="244">
        <v>3.7299999999999998E-3</v>
      </c>
      <c r="CS43" s="243">
        <v>191.96</v>
      </c>
      <c r="CT43" s="243" t="s">
        <v>420</v>
      </c>
      <c r="CU43" s="244">
        <v>2E-16</v>
      </c>
      <c r="CV43" s="81" t="s">
        <v>385</v>
      </c>
      <c r="CY43" s="246"/>
    </row>
    <row r="44" spans="2:107" ht="15" customHeight="1" thickTop="1" thickBot="1" x14ac:dyDescent="0.3">
      <c r="B44" s="81" t="s">
        <v>282</v>
      </c>
      <c r="D44" s="81">
        <v>0.7</v>
      </c>
      <c r="F44" s="79"/>
      <c r="L44" s="81"/>
      <c r="M44" s="81"/>
      <c r="N44" s="81"/>
      <c r="Q44" s="81"/>
      <c r="R44" s="81"/>
      <c r="X44" s="175"/>
      <c r="Y44" s="176" t="s">
        <v>129</v>
      </c>
      <c r="Z44" s="176">
        <v>0.08</v>
      </c>
      <c r="AA44" s="176">
        <v>0.6</v>
      </c>
      <c r="AB44" s="176">
        <v>1100</v>
      </c>
      <c r="AC44" s="176">
        <v>860</v>
      </c>
      <c r="AD44" s="227">
        <f>Z44/AA44</f>
        <v>0.13333333333333333</v>
      </c>
      <c r="AE44" s="177">
        <f>Z44*AB44*AC44</f>
        <v>75680</v>
      </c>
      <c r="AF44" s="222"/>
      <c r="AG44" s="222"/>
      <c r="AH44" s="222"/>
      <c r="AM44" s="158" t="s">
        <v>314</v>
      </c>
      <c r="AN44" s="81" t="s">
        <v>315</v>
      </c>
      <c r="AO44" s="81" t="s">
        <v>357</v>
      </c>
      <c r="AP44" s="81">
        <f>U26/2</f>
        <v>4177488.9999999995</v>
      </c>
      <c r="AQ44" s="81" t="s">
        <v>317</v>
      </c>
      <c r="AR44" s="81" t="s">
        <v>358</v>
      </c>
      <c r="AV44" s="167" t="s">
        <v>314</v>
      </c>
      <c r="AW44" s="167" t="s">
        <v>315</v>
      </c>
      <c r="AX44" s="167" t="s">
        <v>357</v>
      </c>
      <c r="AY44" s="168" t="s">
        <v>318</v>
      </c>
      <c r="AZ44" s="161">
        <f t="shared" si="38"/>
        <v>4177488.9999999995</v>
      </c>
      <c r="BA44" s="167" t="s">
        <v>317</v>
      </c>
      <c r="BL44" s="167" t="s">
        <v>314</v>
      </c>
      <c r="BM44" s="167" t="s">
        <v>315</v>
      </c>
      <c r="BN44" s="167" t="s">
        <v>357</v>
      </c>
      <c r="BO44" s="168" t="s">
        <v>318</v>
      </c>
      <c r="BP44" s="161">
        <f>BE86</f>
        <v>248000</v>
      </c>
      <c r="BQ44" s="167" t="s">
        <v>317</v>
      </c>
      <c r="BS44" s="81" t="s">
        <v>373</v>
      </c>
      <c r="BT44" s="81" t="s">
        <v>417</v>
      </c>
      <c r="BU44" s="166">
        <v>530</v>
      </c>
      <c r="BV44" s="166">
        <v>250</v>
      </c>
      <c r="BW44" s="81">
        <v>2.12</v>
      </c>
      <c r="BX44" s="81">
        <v>3.3700000000000001E-2</v>
      </c>
      <c r="BY44" s="81" t="s">
        <v>418</v>
      </c>
      <c r="CA44" s="167" t="s">
        <v>314</v>
      </c>
      <c r="CB44" s="167" t="s">
        <v>315</v>
      </c>
      <c r="CC44" s="167" t="s">
        <v>359</v>
      </c>
      <c r="CD44" s="168" t="s">
        <v>318</v>
      </c>
      <c r="CE44" s="161">
        <f>BU89</f>
        <v>18800000</v>
      </c>
      <c r="CF44" s="167" t="s">
        <v>317</v>
      </c>
      <c r="CI44" s="81" t="s">
        <v>359</v>
      </c>
      <c r="CJ44" s="241">
        <f t="shared" si="1"/>
        <v>4177488.9999999995</v>
      </c>
      <c r="CK44" s="241">
        <f t="shared" si="2"/>
        <v>6990000</v>
      </c>
      <c r="CL44" s="241">
        <f t="shared" si="3"/>
        <v>18800000</v>
      </c>
      <c r="CO44" s="243" t="s">
        <v>373</v>
      </c>
      <c r="CP44" s="243" t="s">
        <v>405</v>
      </c>
      <c r="CQ44" s="244">
        <v>5.5E-2</v>
      </c>
      <c r="CR44" s="244">
        <v>1.2E-4</v>
      </c>
      <c r="CS44" s="243">
        <v>459.01</v>
      </c>
      <c r="CT44" s="243" t="s">
        <v>420</v>
      </c>
      <c r="CU44" s="244">
        <v>2E-16</v>
      </c>
      <c r="CV44" s="81" t="s">
        <v>385</v>
      </c>
      <c r="CW44" s="245" t="s">
        <v>460</v>
      </c>
      <c r="CX44" s="251" t="s">
        <v>482</v>
      </c>
      <c r="CY44" s="246" t="s">
        <v>318</v>
      </c>
      <c r="CZ44" s="247">
        <f>CQ68</f>
        <v>0.312</v>
      </c>
      <c r="DA44" s="245" t="s">
        <v>317</v>
      </c>
    </row>
    <row r="45" spans="2:107" ht="15" customHeight="1" thickTop="1" thickBot="1" x14ac:dyDescent="0.3">
      <c r="B45" s="81" t="s">
        <v>283</v>
      </c>
      <c r="D45" s="81">
        <v>0.7</v>
      </c>
      <c r="F45" s="79"/>
      <c r="L45" s="81"/>
      <c r="M45" s="81"/>
      <c r="N45" s="81"/>
      <c r="Q45" s="81"/>
      <c r="R45" s="81"/>
      <c r="X45" s="175"/>
      <c r="Y45" s="176" t="s">
        <v>280</v>
      </c>
      <c r="Z45" s="255">
        <v>0.125</v>
      </c>
      <c r="AA45" s="176">
        <v>2.4E-2</v>
      </c>
      <c r="AB45" s="176">
        <v>30</v>
      </c>
      <c r="AC45" s="176">
        <v>1470</v>
      </c>
      <c r="AD45" s="227">
        <f>Z45/AA45</f>
        <v>5.208333333333333</v>
      </c>
      <c r="AE45" s="177">
        <f>Z45*AB45*AC45</f>
        <v>5512.5</v>
      </c>
      <c r="AF45" s="228" t="s">
        <v>281</v>
      </c>
      <c r="AG45" s="222"/>
      <c r="AH45" s="222"/>
      <c r="AM45" s="158" t="s">
        <v>314</v>
      </c>
      <c r="AN45" s="81" t="s">
        <v>315</v>
      </c>
      <c r="AO45" s="81" t="s">
        <v>359</v>
      </c>
      <c r="AP45" s="81">
        <f>U26/2</f>
        <v>4177488.9999999995</v>
      </c>
      <c r="AQ45" s="81" t="s">
        <v>317</v>
      </c>
      <c r="AR45" s="81" t="s">
        <v>360</v>
      </c>
      <c r="AV45" s="167" t="s">
        <v>314</v>
      </c>
      <c r="AW45" s="167" t="s">
        <v>315</v>
      </c>
      <c r="AX45" s="167" t="s">
        <v>359</v>
      </c>
      <c r="AY45" s="168" t="s">
        <v>318</v>
      </c>
      <c r="AZ45" s="161">
        <f t="shared" si="38"/>
        <v>4177488.9999999995</v>
      </c>
      <c r="BA45" s="167" t="s">
        <v>317</v>
      </c>
      <c r="BC45" s="81" t="s">
        <v>373</v>
      </c>
      <c r="BD45" s="81" t="s">
        <v>374</v>
      </c>
      <c r="BE45" s="81" t="s">
        <v>419</v>
      </c>
      <c r="BL45" s="167" t="s">
        <v>314</v>
      </c>
      <c r="BM45" s="167" t="s">
        <v>315</v>
      </c>
      <c r="BN45" s="167" t="s">
        <v>359</v>
      </c>
      <c r="BO45" s="168" t="s">
        <v>318</v>
      </c>
      <c r="BP45" s="161">
        <f>BE87</f>
        <v>6990000</v>
      </c>
      <c r="BQ45" s="167" t="s">
        <v>317</v>
      </c>
      <c r="CA45" s="167" t="s">
        <v>314</v>
      </c>
      <c r="CB45" s="167" t="s">
        <v>315</v>
      </c>
      <c r="CC45" s="167" t="s">
        <v>361</v>
      </c>
      <c r="CD45" s="168" t="s">
        <v>318</v>
      </c>
      <c r="CE45" s="161">
        <f>BU31</f>
        <v>2.8899999999999999E-2</v>
      </c>
      <c r="CF45" s="167" t="s">
        <v>317</v>
      </c>
      <c r="CI45" s="81" t="s">
        <v>361</v>
      </c>
      <c r="CJ45" s="239">
        <f t="shared" si="1"/>
        <v>5.806890200949702E-2</v>
      </c>
      <c r="CK45" s="239">
        <f t="shared" si="2"/>
        <v>1.9E-2</v>
      </c>
      <c r="CL45" s="239">
        <f t="shared" si="3"/>
        <v>2.8899999999999999E-2</v>
      </c>
      <c r="CO45" s="243" t="s">
        <v>373</v>
      </c>
      <c r="CP45" s="243" t="s">
        <v>406</v>
      </c>
      <c r="CQ45" s="244">
        <v>2.8899999999999999E-2</v>
      </c>
      <c r="CR45" s="244">
        <v>2.5000000000000001E-4</v>
      </c>
      <c r="CS45" s="243">
        <v>115.69</v>
      </c>
      <c r="CT45" s="243" t="s">
        <v>420</v>
      </c>
      <c r="CU45" s="244">
        <v>2E-16</v>
      </c>
      <c r="CV45" s="81" t="s">
        <v>385</v>
      </c>
      <c r="CW45" s="245" t="s">
        <v>460</v>
      </c>
      <c r="CX45" s="251" t="s">
        <v>483</v>
      </c>
      <c r="CY45" s="246" t="s">
        <v>318</v>
      </c>
      <c r="CZ45" s="247">
        <f t="shared" ref="CZ45:CZ59" si="39">CQ69</f>
        <v>5.7599999999999999E-6</v>
      </c>
      <c r="DA45" s="245" t="s">
        <v>317</v>
      </c>
    </row>
    <row r="46" spans="2:107" ht="15" customHeight="1" thickTop="1" thickBot="1" x14ac:dyDescent="0.3">
      <c r="L46" s="81"/>
      <c r="M46" s="81"/>
      <c r="N46" s="81"/>
      <c r="Q46" s="81"/>
      <c r="R46" s="81"/>
      <c r="X46" s="175"/>
      <c r="Y46" s="176" t="s">
        <v>131</v>
      </c>
      <c r="Z46" s="176">
        <v>0.15</v>
      </c>
      <c r="AA46" s="176">
        <v>1.4</v>
      </c>
      <c r="AB46" s="176">
        <v>2100</v>
      </c>
      <c r="AC46" s="176">
        <v>840</v>
      </c>
      <c r="AD46" s="227">
        <f>Z46/AA46</f>
        <v>0.10714285714285715</v>
      </c>
      <c r="AE46" s="177">
        <f>Z46*AB46*AC46</f>
        <v>264600</v>
      </c>
      <c r="AF46" s="222"/>
      <c r="AG46" s="222"/>
      <c r="AH46" s="222"/>
      <c r="AM46" s="158" t="s">
        <v>314</v>
      </c>
      <c r="AN46" s="81" t="s">
        <v>315</v>
      </c>
      <c r="AO46" s="81" t="s">
        <v>361</v>
      </c>
      <c r="AP46" s="81">
        <f>AP42*0.3</f>
        <v>5.806890200949702E-2</v>
      </c>
      <c r="AQ46" s="81" t="s">
        <v>317</v>
      </c>
      <c r="AR46" s="81" t="s">
        <v>362</v>
      </c>
      <c r="AV46" s="167" t="s">
        <v>314</v>
      </c>
      <c r="AW46" s="167" t="s">
        <v>315</v>
      </c>
      <c r="AX46" s="167" t="s">
        <v>361</v>
      </c>
      <c r="AY46" s="168" t="s">
        <v>318</v>
      </c>
      <c r="AZ46" s="161">
        <f t="shared" si="38"/>
        <v>5.806890200949702E-2</v>
      </c>
      <c r="BA46" s="167" t="s">
        <v>317</v>
      </c>
      <c r="BC46" s="81" t="s">
        <v>373</v>
      </c>
      <c r="BD46" s="81" t="s">
        <v>376</v>
      </c>
      <c r="BL46" s="167" t="s">
        <v>314</v>
      </c>
      <c r="BM46" s="167" t="s">
        <v>315</v>
      </c>
      <c r="BN46" s="167" t="s">
        <v>361</v>
      </c>
      <c r="BO46" s="168" t="s">
        <v>318</v>
      </c>
      <c r="BP46" s="161">
        <f>BE30</f>
        <v>1.9E-2</v>
      </c>
      <c r="BQ46" s="167" t="s">
        <v>317</v>
      </c>
      <c r="BS46" s="81" t="s">
        <v>373</v>
      </c>
      <c r="BT46" s="81" t="s">
        <v>374</v>
      </c>
      <c r="BU46" s="81" t="s">
        <v>419</v>
      </c>
      <c r="CA46" s="167" t="s">
        <v>314</v>
      </c>
      <c r="CB46" s="167" t="s">
        <v>315</v>
      </c>
      <c r="CC46" s="167" t="s">
        <v>363</v>
      </c>
      <c r="CD46" s="168" t="s">
        <v>318</v>
      </c>
      <c r="CE46" s="161">
        <f>BU68</f>
        <v>0.11700000000000001</v>
      </c>
      <c r="CF46" s="167" t="s">
        <v>317</v>
      </c>
      <c r="CI46" s="81" t="s">
        <v>363</v>
      </c>
      <c r="CJ46" s="239">
        <f t="shared" si="1"/>
        <v>0.11207213924311417</v>
      </c>
      <c r="CK46" s="239">
        <f t="shared" si="2"/>
        <v>0.184</v>
      </c>
      <c r="CL46" s="239">
        <f t="shared" si="3"/>
        <v>0.11700000000000001</v>
      </c>
      <c r="CO46" s="243" t="s">
        <v>373</v>
      </c>
      <c r="CP46" s="243" t="s">
        <v>407</v>
      </c>
      <c r="CQ46" s="244">
        <v>507</v>
      </c>
      <c r="CR46" s="244">
        <v>1.95</v>
      </c>
      <c r="CS46" s="243">
        <v>259.86</v>
      </c>
      <c r="CT46" s="243" t="s">
        <v>420</v>
      </c>
      <c r="CU46" s="244">
        <v>2E-16</v>
      </c>
      <c r="CV46" s="81" t="s">
        <v>385</v>
      </c>
      <c r="CW46" s="245" t="s">
        <v>460</v>
      </c>
      <c r="CX46" s="251" t="s">
        <v>484</v>
      </c>
      <c r="CY46" s="246" t="s">
        <v>318</v>
      </c>
      <c r="CZ46" s="247">
        <f t="shared" si="39"/>
        <v>0.64800000000000002</v>
      </c>
      <c r="DA46" s="245" t="s">
        <v>317</v>
      </c>
    </row>
    <row r="47" spans="2:107" ht="15" customHeight="1" thickTop="1" thickBot="1" x14ac:dyDescent="0.3">
      <c r="C47" s="152"/>
      <c r="L47" s="81"/>
      <c r="M47" s="81"/>
      <c r="N47" s="81"/>
      <c r="Q47" s="81"/>
      <c r="R47" s="81"/>
      <c r="X47" s="187"/>
      <c r="Y47" s="174" t="s">
        <v>132</v>
      </c>
      <c r="Z47" s="174">
        <v>0</v>
      </c>
      <c r="AA47" s="174">
        <v>0.02</v>
      </c>
      <c r="AB47" s="174">
        <v>30</v>
      </c>
      <c r="AC47" s="174">
        <v>1470</v>
      </c>
      <c r="AD47" s="229">
        <f>Z47/AA47</f>
        <v>0</v>
      </c>
      <c r="AE47" s="192">
        <f>Z47*AB47*AC47</f>
        <v>0</v>
      </c>
      <c r="AF47" s="222"/>
      <c r="AG47" s="222"/>
      <c r="AH47" s="222"/>
      <c r="AM47" s="158" t="s">
        <v>314</v>
      </c>
      <c r="AN47" s="81" t="s">
        <v>315</v>
      </c>
      <c r="AO47" s="81" t="s">
        <v>363</v>
      </c>
      <c r="AP47" s="81">
        <f>AP43*0.3</f>
        <v>0.11207213924311417</v>
      </c>
      <c r="AQ47" s="81" t="s">
        <v>317</v>
      </c>
      <c r="AR47" s="81" t="s">
        <v>364</v>
      </c>
      <c r="AV47" s="167" t="s">
        <v>314</v>
      </c>
      <c r="AW47" s="167" t="s">
        <v>315</v>
      </c>
      <c r="AX47" s="167" t="s">
        <v>363</v>
      </c>
      <c r="AY47" s="168" t="s">
        <v>318</v>
      </c>
      <c r="AZ47" s="161">
        <f t="shared" si="38"/>
        <v>0.11207213924311417</v>
      </c>
      <c r="BA47" s="167" t="s">
        <v>317</v>
      </c>
      <c r="BC47" s="81" t="s">
        <v>373</v>
      </c>
      <c r="BD47" s="81" t="s">
        <v>377</v>
      </c>
      <c r="BE47" s="81" t="s">
        <v>378</v>
      </c>
      <c r="BF47" s="81" t="s">
        <v>379</v>
      </c>
      <c r="BG47" s="81" t="s">
        <v>380</v>
      </c>
      <c r="BH47" s="81" t="s">
        <v>381</v>
      </c>
      <c r="BI47" s="81" t="s">
        <v>382</v>
      </c>
      <c r="BL47" s="167" t="s">
        <v>314</v>
      </c>
      <c r="BM47" s="167" t="s">
        <v>315</v>
      </c>
      <c r="BN47" s="167" t="s">
        <v>363</v>
      </c>
      <c r="BO47" s="168" t="s">
        <v>318</v>
      </c>
      <c r="BP47" s="161">
        <f>BE67</f>
        <v>0.184</v>
      </c>
      <c r="BQ47" s="167" t="s">
        <v>317</v>
      </c>
      <c r="BS47" s="81" t="s">
        <v>373</v>
      </c>
      <c r="BT47" s="81" t="s">
        <v>376</v>
      </c>
      <c r="CA47" s="167" t="s">
        <v>314</v>
      </c>
      <c r="CB47" s="167" t="s">
        <v>315</v>
      </c>
      <c r="CC47" s="167" t="s">
        <v>365</v>
      </c>
      <c r="CD47" s="168" t="s">
        <v>318</v>
      </c>
      <c r="CE47" s="161">
        <f>BU94</f>
        <v>192</v>
      </c>
      <c r="CF47" s="167" t="s">
        <v>317</v>
      </c>
      <c r="CI47" s="81" t="s">
        <v>365</v>
      </c>
      <c r="CJ47" s="242">
        <f t="shared" si="1"/>
        <v>702.73730684326699</v>
      </c>
      <c r="CK47" s="242">
        <f t="shared" si="2"/>
        <v>476</v>
      </c>
      <c r="CL47" s="242">
        <f t="shared" si="3"/>
        <v>192</v>
      </c>
      <c r="CO47" s="243" t="s">
        <v>373</v>
      </c>
      <c r="CP47" s="243" t="s">
        <v>408</v>
      </c>
      <c r="CQ47" s="244">
        <v>196</v>
      </c>
      <c r="CR47" s="244">
        <v>1.5</v>
      </c>
      <c r="CS47" s="243">
        <v>130.99</v>
      </c>
      <c r="CT47" s="243" t="s">
        <v>420</v>
      </c>
      <c r="CU47" s="244">
        <v>2E-16</v>
      </c>
      <c r="CV47" s="81" t="s">
        <v>385</v>
      </c>
      <c r="CW47" s="245" t="s">
        <v>460</v>
      </c>
      <c r="CX47" s="251" t="s">
        <v>485</v>
      </c>
      <c r="CY47" s="246" t="s">
        <v>318</v>
      </c>
      <c r="CZ47" s="247">
        <f t="shared" si="39"/>
        <v>0.53200000000000003</v>
      </c>
      <c r="DA47" s="245" t="s">
        <v>317</v>
      </c>
    </row>
    <row r="48" spans="2:107" ht="15" customHeight="1" thickTop="1" thickBot="1" x14ac:dyDescent="0.3">
      <c r="C48" s="152"/>
      <c r="L48" s="81"/>
      <c r="M48" s="81"/>
      <c r="N48" s="81"/>
      <c r="Q48" s="81"/>
      <c r="R48" s="81"/>
      <c r="X48" s="176"/>
      <c r="Y48" s="176"/>
      <c r="Z48" s="176"/>
      <c r="AA48" s="176"/>
      <c r="AB48" s="176"/>
      <c r="AC48" s="176"/>
      <c r="AD48" s="227"/>
      <c r="AE48" s="176"/>
      <c r="AF48" s="222"/>
      <c r="AG48" s="222"/>
      <c r="AH48" s="222"/>
      <c r="AM48" s="158" t="s">
        <v>314</v>
      </c>
      <c r="AN48" s="81" t="s">
        <v>315</v>
      </c>
      <c r="AO48" s="81" t="s">
        <v>365</v>
      </c>
      <c r="AP48" s="81">
        <f>AA28*4*O26</f>
        <v>702.73730684326699</v>
      </c>
      <c r="AQ48" s="81" t="s">
        <v>317</v>
      </c>
      <c r="AR48" s="81" t="s">
        <v>366</v>
      </c>
      <c r="AV48" s="167" t="s">
        <v>314</v>
      </c>
      <c r="AW48" s="167" t="s">
        <v>315</v>
      </c>
      <c r="AX48" s="167" t="s">
        <v>365</v>
      </c>
      <c r="AY48" s="168" t="s">
        <v>318</v>
      </c>
      <c r="AZ48" s="161">
        <f t="shared" si="38"/>
        <v>702.73730684326699</v>
      </c>
      <c r="BA48" s="167" t="s">
        <v>317</v>
      </c>
      <c r="BC48" s="81" t="s">
        <v>373</v>
      </c>
      <c r="BD48" s="81" t="s">
        <v>383</v>
      </c>
      <c r="BE48" s="166">
        <v>288</v>
      </c>
      <c r="BF48" s="166">
        <v>2.2799999999999998</v>
      </c>
      <c r="BG48" s="81">
        <v>126.5</v>
      </c>
      <c r="BH48" s="81" t="s">
        <v>420</v>
      </c>
      <c r="BI48" s="166">
        <v>2E-16</v>
      </c>
      <c r="BJ48" s="81" t="s">
        <v>385</v>
      </c>
      <c r="BL48" s="167" t="s">
        <v>314</v>
      </c>
      <c r="BM48" s="167" t="s">
        <v>315</v>
      </c>
      <c r="BN48" s="167" t="s">
        <v>365</v>
      </c>
      <c r="BO48" s="168" t="s">
        <v>318</v>
      </c>
      <c r="BP48" s="161">
        <f>BE94</f>
        <v>476</v>
      </c>
      <c r="BQ48" s="167" t="s">
        <v>317</v>
      </c>
      <c r="BS48" s="81" t="s">
        <v>373</v>
      </c>
      <c r="BT48" s="81" t="s">
        <v>377</v>
      </c>
      <c r="BU48" s="81" t="s">
        <v>378</v>
      </c>
      <c r="BV48" s="81" t="s">
        <v>379</v>
      </c>
      <c r="BW48" s="81" t="s">
        <v>380</v>
      </c>
      <c r="BX48" s="81" t="s">
        <v>381</v>
      </c>
      <c r="BY48" s="81" t="s">
        <v>382</v>
      </c>
      <c r="CA48" s="167" t="s">
        <v>314</v>
      </c>
      <c r="CB48" s="167" t="s">
        <v>315</v>
      </c>
      <c r="CC48" s="167" t="s">
        <v>367</v>
      </c>
      <c r="CD48" s="168" t="s">
        <v>318</v>
      </c>
      <c r="CE48" s="161">
        <f>BU95</f>
        <v>2.63E-4</v>
      </c>
      <c r="CF48" s="167" t="s">
        <v>317</v>
      </c>
      <c r="CI48" s="81" t="s">
        <v>367</v>
      </c>
      <c r="CJ48" s="242">
        <f t="shared" si="1"/>
        <v>351.3686534216335</v>
      </c>
      <c r="CK48" s="242">
        <f t="shared" si="2"/>
        <v>3410</v>
      </c>
      <c r="CL48" s="242">
        <f t="shared" si="3"/>
        <v>2.63E-4</v>
      </c>
      <c r="CO48" s="243" t="s">
        <v>373</v>
      </c>
      <c r="CP48" s="243" t="s">
        <v>290</v>
      </c>
      <c r="CQ48" s="244">
        <v>650</v>
      </c>
      <c r="CR48" s="244">
        <v>4.8600000000000003</v>
      </c>
      <c r="CS48" s="243">
        <v>133.72</v>
      </c>
      <c r="CT48" s="243" t="s">
        <v>420</v>
      </c>
      <c r="CU48" s="244">
        <v>2E-16</v>
      </c>
      <c r="CV48" s="81" t="s">
        <v>385</v>
      </c>
      <c r="CW48" s="245" t="s">
        <v>460</v>
      </c>
      <c r="CX48" s="251" t="s">
        <v>486</v>
      </c>
      <c r="CY48" s="246" t="s">
        <v>318</v>
      </c>
      <c r="CZ48" s="247">
        <f t="shared" si="39"/>
        <v>0.21299999999999999</v>
      </c>
      <c r="DA48" s="245" t="s">
        <v>317</v>
      </c>
    </row>
    <row r="49" spans="3:105" ht="15" customHeight="1" thickTop="1" thickBot="1" x14ac:dyDescent="0.3">
      <c r="C49" s="152"/>
      <c r="L49" s="81"/>
      <c r="M49" s="81"/>
      <c r="N49" s="81"/>
      <c r="Q49" s="81"/>
      <c r="R49" s="81"/>
      <c r="Z49" s="221" t="s">
        <v>4</v>
      </c>
      <c r="AA49" s="221">
        <v>4</v>
      </c>
      <c r="AB49" s="221" t="s">
        <v>5</v>
      </c>
      <c r="AF49" s="222"/>
      <c r="AG49" s="222"/>
      <c r="AH49" s="222"/>
      <c r="AM49" s="158" t="s">
        <v>314</v>
      </c>
      <c r="AN49" s="81" t="s">
        <v>315</v>
      </c>
      <c r="AO49" s="81" t="s">
        <v>367</v>
      </c>
      <c r="AP49" s="81">
        <f>AP50/2</f>
        <v>351.3686534216335</v>
      </c>
      <c r="AQ49" s="81" t="s">
        <v>317</v>
      </c>
      <c r="AR49" s="81" t="s">
        <v>368</v>
      </c>
      <c r="AV49" s="167" t="s">
        <v>314</v>
      </c>
      <c r="AW49" s="167" t="s">
        <v>315</v>
      </c>
      <c r="AX49" s="167" t="s">
        <v>367</v>
      </c>
      <c r="AY49" s="168" t="s">
        <v>318</v>
      </c>
      <c r="AZ49" s="161">
        <f t="shared" si="38"/>
        <v>351.3686534216335</v>
      </c>
      <c r="BA49" s="167" t="s">
        <v>317</v>
      </c>
      <c r="BC49" s="81" t="s">
        <v>373</v>
      </c>
      <c r="BD49" s="81" t="s">
        <v>386</v>
      </c>
      <c r="BE49" s="166">
        <v>287</v>
      </c>
      <c r="BF49" s="166">
        <v>1.8</v>
      </c>
      <c r="BG49" s="81">
        <v>159.38999999999999</v>
      </c>
      <c r="BH49" s="81" t="s">
        <v>420</v>
      </c>
      <c r="BI49" s="166">
        <v>2E-16</v>
      </c>
      <c r="BJ49" s="81" t="s">
        <v>385</v>
      </c>
      <c r="BL49" s="167" t="s">
        <v>314</v>
      </c>
      <c r="BM49" s="167" t="s">
        <v>315</v>
      </c>
      <c r="BN49" s="167" t="s">
        <v>367</v>
      </c>
      <c r="BO49" s="168" t="s">
        <v>318</v>
      </c>
      <c r="BP49" s="161">
        <f t="shared" ref="BP49:BP50" si="40">BE95</f>
        <v>3410</v>
      </c>
      <c r="BQ49" s="167" t="s">
        <v>317</v>
      </c>
      <c r="BS49" s="81" t="s">
        <v>373</v>
      </c>
      <c r="BT49" s="81" t="s">
        <v>383</v>
      </c>
      <c r="BU49" s="166">
        <v>289</v>
      </c>
      <c r="BV49" s="166">
        <v>0.14899999999999999</v>
      </c>
      <c r="BW49" s="81">
        <v>1944.91</v>
      </c>
      <c r="BX49" s="81" t="s">
        <v>420</v>
      </c>
      <c r="BY49" s="166">
        <v>2E-16</v>
      </c>
      <c r="BZ49" s="81" t="s">
        <v>385</v>
      </c>
      <c r="CA49" s="167" t="s">
        <v>314</v>
      </c>
      <c r="CB49" s="167" t="s">
        <v>315</v>
      </c>
      <c r="CC49" s="167" t="s">
        <v>369</v>
      </c>
      <c r="CD49" s="168" t="s">
        <v>318</v>
      </c>
      <c r="CE49" s="161">
        <f>BU96</f>
        <v>389</v>
      </c>
      <c r="CF49" s="167" t="s">
        <v>317</v>
      </c>
      <c r="CI49" s="81" t="s">
        <v>369</v>
      </c>
      <c r="CJ49" s="242">
        <f t="shared" si="1"/>
        <v>702.73730684326699</v>
      </c>
      <c r="CK49" s="242">
        <f t="shared" si="2"/>
        <v>989</v>
      </c>
      <c r="CL49" s="242">
        <f t="shared" si="3"/>
        <v>389</v>
      </c>
      <c r="CO49" s="243" t="s">
        <v>373</v>
      </c>
      <c r="CP49" s="243" t="s">
        <v>120</v>
      </c>
      <c r="CQ49" s="244">
        <v>260</v>
      </c>
      <c r="CR49" s="244">
        <v>2.9</v>
      </c>
      <c r="CS49" s="243">
        <v>89.41</v>
      </c>
      <c r="CT49" s="243" t="s">
        <v>420</v>
      </c>
      <c r="CU49" s="244">
        <v>2E-16</v>
      </c>
      <c r="CV49" s="81" t="s">
        <v>385</v>
      </c>
      <c r="CW49" s="245" t="s">
        <v>460</v>
      </c>
      <c r="CX49" s="251" t="s">
        <v>487</v>
      </c>
      <c r="CY49" s="246" t="s">
        <v>318</v>
      </c>
      <c r="CZ49" s="247">
        <f t="shared" si="39"/>
        <v>0.23300000000000001</v>
      </c>
      <c r="DA49" s="245" t="s">
        <v>317</v>
      </c>
    </row>
    <row r="50" spans="3:105" ht="15" customHeight="1" thickTop="1" thickBot="1" x14ac:dyDescent="0.3">
      <c r="L50" s="81"/>
      <c r="M50" s="81"/>
      <c r="N50" s="81"/>
      <c r="Q50" s="81"/>
      <c r="R50" s="81"/>
      <c r="X50" s="216" t="s">
        <v>68</v>
      </c>
      <c r="Y50" s="217"/>
      <c r="Z50" s="218" t="s">
        <v>21</v>
      </c>
      <c r="AA50" s="200">
        <v>4</v>
      </c>
      <c r="AB50" s="217" t="s">
        <v>5</v>
      </c>
      <c r="AC50" s="217"/>
      <c r="AD50" s="217" t="s">
        <v>22</v>
      </c>
      <c r="AE50" s="220">
        <f>0.04*550*1660</f>
        <v>36520</v>
      </c>
      <c r="AF50" s="222" t="s">
        <v>23</v>
      </c>
      <c r="AG50" s="222">
        <f>SUM(AE53:AE54)</f>
        <v>0</v>
      </c>
      <c r="AH50" s="222"/>
      <c r="AM50" s="158" t="s">
        <v>314</v>
      </c>
      <c r="AN50" s="81" t="s">
        <v>315</v>
      </c>
      <c r="AO50" s="81" t="s">
        <v>369</v>
      </c>
      <c r="AP50" s="81">
        <f>AP48</f>
        <v>702.73730684326699</v>
      </c>
      <c r="AQ50" s="81" t="s">
        <v>317</v>
      </c>
      <c r="AR50" s="81" t="s">
        <v>370</v>
      </c>
      <c r="AV50" s="167" t="s">
        <v>314</v>
      </c>
      <c r="AW50" s="167" t="s">
        <v>315</v>
      </c>
      <c r="AX50" s="167" t="s">
        <v>369</v>
      </c>
      <c r="AY50" s="168" t="s">
        <v>318</v>
      </c>
      <c r="AZ50" s="161">
        <f t="shared" si="38"/>
        <v>702.73730684326699</v>
      </c>
      <c r="BA50" s="167" t="s">
        <v>317</v>
      </c>
      <c r="BC50" s="81" t="s">
        <v>373</v>
      </c>
      <c r="BD50" s="81" t="s">
        <v>387</v>
      </c>
      <c r="BE50" s="166">
        <v>288</v>
      </c>
      <c r="BF50" s="166">
        <v>6.47</v>
      </c>
      <c r="BG50" s="81">
        <v>44.51</v>
      </c>
      <c r="BH50" s="81" t="s">
        <v>420</v>
      </c>
      <c r="BI50" s="166">
        <v>2E-16</v>
      </c>
      <c r="BJ50" s="81" t="s">
        <v>385</v>
      </c>
      <c r="BL50" s="167" t="s">
        <v>314</v>
      </c>
      <c r="BM50" s="167" t="s">
        <v>315</v>
      </c>
      <c r="BN50" s="167" t="s">
        <v>369</v>
      </c>
      <c r="BO50" s="168" t="s">
        <v>318</v>
      </c>
      <c r="BP50" s="161">
        <f t="shared" si="40"/>
        <v>989</v>
      </c>
      <c r="BQ50" s="167" t="s">
        <v>317</v>
      </c>
      <c r="BS50" s="81" t="s">
        <v>373</v>
      </c>
      <c r="BT50" s="81" t="s">
        <v>386</v>
      </c>
      <c r="BU50" s="166">
        <v>282</v>
      </c>
      <c r="BV50" s="166">
        <v>0.17299999999999999</v>
      </c>
      <c r="BW50" s="81">
        <v>1635.35</v>
      </c>
      <c r="BX50" s="81" t="s">
        <v>420</v>
      </c>
      <c r="BY50" s="166">
        <v>2E-16</v>
      </c>
      <c r="BZ50" s="81" t="s">
        <v>385</v>
      </c>
      <c r="CA50" s="160"/>
      <c r="CB50" s="160"/>
      <c r="CC50" s="160"/>
      <c r="CD50" s="160"/>
      <c r="CE50" s="161"/>
      <c r="CF50" s="160"/>
      <c r="CO50" s="243" t="s">
        <v>373</v>
      </c>
      <c r="CP50" s="243" t="s">
        <v>409</v>
      </c>
      <c r="CQ50" s="244">
        <v>-5.41</v>
      </c>
      <c r="CR50" s="244">
        <v>1.8700000000000001E-2</v>
      </c>
      <c r="CS50" s="243">
        <v>-289.08999999999997</v>
      </c>
      <c r="CT50" s="243" t="s">
        <v>420</v>
      </c>
      <c r="CU50" s="244">
        <v>2E-16</v>
      </c>
      <c r="CV50" s="81" t="s">
        <v>385</v>
      </c>
      <c r="CW50" s="245" t="s">
        <v>460</v>
      </c>
      <c r="CX50" s="251" t="s">
        <v>488</v>
      </c>
      <c r="CY50" s="246" t="s">
        <v>318</v>
      </c>
      <c r="CZ50" s="247">
        <f t="shared" si="39"/>
        <v>0.22800000000000001</v>
      </c>
      <c r="DA50" s="245" t="s">
        <v>317</v>
      </c>
    </row>
    <row r="51" spans="3:105" ht="15" customHeight="1" thickTop="1" thickBot="1" x14ac:dyDescent="0.3">
      <c r="L51" s="81"/>
      <c r="M51" s="81"/>
      <c r="N51" s="81"/>
      <c r="Q51" s="81"/>
      <c r="R51" s="81"/>
      <c r="X51" s="224"/>
      <c r="Y51" s="225" t="s">
        <v>27</v>
      </c>
      <c r="Z51" s="225" t="s">
        <v>28</v>
      </c>
      <c r="AA51" s="225" t="s">
        <v>29</v>
      </c>
      <c r="AB51" s="225" t="s">
        <v>30</v>
      </c>
      <c r="AC51" s="225" t="s">
        <v>31</v>
      </c>
      <c r="AD51" s="225" t="s">
        <v>32</v>
      </c>
      <c r="AE51" s="226" t="s">
        <v>33</v>
      </c>
      <c r="AF51" s="222"/>
      <c r="AG51" s="222"/>
      <c r="AH51" s="222"/>
      <c r="BC51" s="81" t="s">
        <v>373</v>
      </c>
      <c r="BD51" s="81" t="s">
        <v>388</v>
      </c>
      <c r="BE51" s="166">
        <v>292</v>
      </c>
      <c r="BF51" s="166">
        <v>2.2999999999999998</v>
      </c>
      <c r="BG51" s="81">
        <v>126.59</v>
      </c>
      <c r="BH51" s="81" t="s">
        <v>420</v>
      </c>
      <c r="BI51" s="166">
        <v>2E-16</v>
      </c>
      <c r="BJ51" s="81" t="s">
        <v>385</v>
      </c>
      <c r="BS51" s="81" t="s">
        <v>373</v>
      </c>
      <c r="BT51" s="81" t="s">
        <v>387</v>
      </c>
      <c r="BU51" s="166">
        <v>292</v>
      </c>
      <c r="BV51" s="166">
        <v>0.111</v>
      </c>
      <c r="BW51" s="81">
        <v>2622.7</v>
      </c>
      <c r="BX51" s="81" t="s">
        <v>420</v>
      </c>
      <c r="BY51" s="166">
        <v>2E-16</v>
      </c>
      <c r="BZ51" s="81" t="s">
        <v>385</v>
      </c>
      <c r="CO51" s="243" t="s">
        <v>373</v>
      </c>
      <c r="CP51" s="243" t="s">
        <v>410</v>
      </c>
      <c r="CQ51" s="244">
        <v>-6.43</v>
      </c>
      <c r="CR51" s="244">
        <v>1.95E-2</v>
      </c>
      <c r="CS51" s="243">
        <v>-329.79</v>
      </c>
      <c r="CT51" s="243" t="s">
        <v>420</v>
      </c>
      <c r="CU51" s="244">
        <v>2E-16</v>
      </c>
      <c r="CV51" s="81" t="s">
        <v>385</v>
      </c>
      <c r="CW51" s="245" t="s">
        <v>460</v>
      </c>
      <c r="CX51" s="251" t="s">
        <v>489</v>
      </c>
      <c r="CY51" s="246" t="s">
        <v>318</v>
      </c>
      <c r="CZ51" s="247">
        <f t="shared" si="39"/>
        <v>0.14899999999999999</v>
      </c>
      <c r="DA51" s="245" t="s">
        <v>317</v>
      </c>
    </row>
    <row r="52" spans="3:105" thickTop="1" thickBot="1" x14ac:dyDescent="0.3">
      <c r="X52" s="181"/>
      <c r="Y52" s="182" t="s">
        <v>16</v>
      </c>
      <c r="Z52" s="182">
        <v>4</v>
      </c>
      <c r="AA52" s="182" t="s">
        <v>5</v>
      </c>
      <c r="AB52" s="182"/>
      <c r="AC52" s="182" t="s">
        <v>308</v>
      </c>
      <c r="AD52" s="182">
        <f>0.11*(1/AA50-1/23-1/8)</f>
        <v>8.9673913043478264E-3</v>
      </c>
      <c r="AE52" s="233"/>
      <c r="AF52" s="222"/>
      <c r="AG52" s="222"/>
      <c r="AH52" s="222"/>
      <c r="BC52" s="81" t="s">
        <v>373</v>
      </c>
      <c r="BD52" s="81" t="s">
        <v>390</v>
      </c>
      <c r="BE52" s="166">
        <v>0.01</v>
      </c>
      <c r="BF52" s="166">
        <v>1.0200000000000001E-3</v>
      </c>
      <c r="BG52" s="81">
        <v>9.8000000000000007</v>
      </c>
      <c r="BH52" s="81" t="s">
        <v>420</v>
      </c>
      <c r="BI52" s="166">
        <v>2E-16</v>
      </c>
      <c r="BJ52" s="81" t="s">
        <v>385</v>
      </c>
      <c r="BS52" s="81" t="s">
        <v>373</v>
      </c>
      <c r="BT52" s="81" t="s">
        <v>388</v>
      </c>
      <c r="BU52" s="166">
        <v>294</v>
      </c>
      <c r="BV52" s="166">
        <v>0.13300000000000001</v>
      </c>
      <c r="BW52" s="81">
        <v>2217.33</v>
      </c>
      <c r="BX52" s="81" t="s">
        <v>420</v>
      </c>
      <c r="BY52" s="166">
        <v>2E-16</v>
      </c>
      <c r="BZ52" s="81" t="s">
        <v>385</v>
      </c>
      <c r="CO52" s="243" t="s">
        <v>373</v>
      </c>
      <c r="CP52" s="243" t="s">
        <v>411</v>
      </c>
      <c r="CQ52" s="244">
        <v>-5.95</v>
      </c>
      <c r="CR52" s="244">
        <v>3.0800000000000001E-2</v>
      </c>
      <c r="CS52" s="243">
        <v>-193.3</v>
      </c>
      <c r="CT52" s="243" t="s">
        <v>420</v>
      </c>
      <c r="CU52" s="244">
        <v>2E-16</v>
      </c>
      <c r="CV52" s="81" t="s">
        <v>385</v>
      </c>
      <c r="CW52" s="245" t="s">
        <v>460</v>
      </c>
      <c r="CX52" s="251" t="s">
        <v>490</v>
      </c>
      <c r="CY52" s="246" t="s">
        <v>318</v>
      </c>
      <c r="CZ52" s="247">
        <f t="shared" si="39"/>
        <v>0.51</v>
      </c>
      <c r="DA52" s="245" t="s">
        <v>317</v>
      </c>
    </row>
    <row r="53" spans="3:105" thickTop="1" thickBot="1" x14ac:dyDescent="0.3">
      <c r="X53" s="187"/>
      <c r="Y53" s="174" t="s">
        <v>121</v>
      </c>
      <c r="Z53" s="174">
        <v>0</v>
      </c>
      <c r="AA53" s="174"/>
      <c r="AB53" s="174"/>
      <c r="AC53" s="174"/>
      <c r="AD53" s="174"/>
      <c r="AE53" s="192"/>
      <c r="BC53" s="81" t="s">
        <v>373</v>
      </c>
      <c r="BD53" s="81" t="s">
        <v>391</v>
      </c>
      <c r="BE53" s="166">
        <v>1.0200000000000001E-2</v>
      </c>
      <c r="BF53" s="166">
        <v>1.07E-3</v>
      </c>
      <c r="BG53" s="81">
        <v>9.57</v>
      </c>
      <c r="BH53" s="81" t="s">
        <v>420</v>
      </c>
      <c r="BI53" s="166">
        <v>2E-16</v>
      </c>
      <c r="BJ53" s="81" t="s">
        <v>385</v>
      </c>
      <c r="BS53" s="81" t="s">
        <v>373</v>
      </c>
      <c r="BT53" s="81" t="s">
        <v>390</v>
      </c>
      <c r="BU53" s="166">
        <v>0.42799999999999999</v>
      </c>
      <c r="BV53" s="166">
        <v>6.11E-3</v>
      </c>
      <c r="BW53" s="81">
        <v>69.94</v>
      </c>
      <c r="BX53" s="81" t="s">
        <v>420</v>
      </c>
      <c r="BY53" s="166">
        <v>2E-16</v>
      </c>
      <c r="BZ53" s="81" t="s">
        <v>385</v>
      </c>
      <c r="CO53" s="243" t="s">
        <v>373</v>
      </c>
      <c r="CP53" s="243" t="s">
        <v>412</v>
      </c>
      <c r="CQ53" s="244">
        <v>-5.29</v>
      </c>
      <c r="CR53" s="244">
        <v>2.0899999999999998E-2</v>
      </c>
      <c r="CS53" s="243">
        <v>-252.41</v>
      </c>
      <c r="CT53" s="243" t="s">
        <v>420</v>
      </c>
      <c r="CU53" s="244">
        <v>2E-16</v>
      </c>
      <c r="CV53" s="81" t="s">
        <v>385</v>
      </c>
      <c r="CW53" s="245" t="s">
        <v>460</v>
      </c>
      <c r="CX53" s="251" t="s">
        <v>491</v>
      </c>
      <c r="CY53" s="246" t="s">
        <v>318</v>
      </c>
      <c r="CZ53" s="247">
        <f t="shared" si="39"/>
        <v>1.08E-5</v>
      </c>
      <c r="DA53" s="245" t="s">
        <v>317</v>
      </c>
    </row>
    <row r="54" spans="3:105" thickTop="1" thickBot="1" x14ac:dyDescent="0.3">
      <c r="AO54" s="169" t="s">
        <v>371</v>
      </c>
      <c r="AP54" s="169">
        <f>SUM(AP42,AP4:AP7)</f>
        <v>1.0000000000000002</v>
      </c>
      <c r="AQ54" s="169"/>
      <c r="BC54" s="81" t="s">
        <v>373</v>
      </c>
      <c r="BD54" s="81" t="s">
        <v>392</v>
      </c>
      <c r="BE54" s="166">
        <v>0.69799999999999995</v>
      </c>
      <c r="BF54" s="166">
        <v>0.156</v>
      </c>
      <c r="BG54" s="81">
        <v>4.47</v>
      </c>
      <c r="BH54" s="166">
        <v>8.1000000000000004E-6</v>
      </c>
      <c r="BI54" s="81" t="s">
        <v>385</v>
      </c>
      <c r="BS54" s="81" t="s">
        <v>373</v>
      </c>
      <c r="BT54" s="81" t="s">
        <v>391</v>
      </c>
      <c r="BU54" s="166">
        <v>0.161</v>
      </c>
      <c r="BV54" s="166">
        <v>1.7899999999999999E-3</v>
      </c>
      <c r="BW54" s="81">
        <v>89.98</v>
      </c>
      <c r="BX54" s="81" t="s">
        <v>420</v>
      </c>
      <c r="BY54" s="166">
        <v>2E-16</v>
      </c>
      <c r="BZ54" s="81" t="s">
        <v>385</v>
      </c>
      <c r="CO54" s="243" t="s">
        <v>373</v>
      </c>
      <c r="CP54" s="243" t="s">
        <v>413</v>
      </c>
      <c r="CQ54" s="244">
        <v>-6.19</v>
      </c>
      <c r="CR54" s="244">
        <v>4.8099999999999997E-2</v>
      </c>
      <c r="CS54" s="243">
        <v>-128.69999999999999</v>
      </c>
      <c r="CT54" s="243" t="s">
        <v>420</v>
      </c>
      <c r="CU54" s="244">
        <v>2E-16</v>
      </c>
      <c r="CV54" s="81" t="s">
        <v>385</v>
      </c>
      <c r="CW54" s="245" t="s">
        <v>460</v>
      </c>
      <c r="CX54" s="251" t="s">
        <v>492</v>
      </c>
      <c r="CY54" s="246" t="s">
        <v>318</v>
      </c>
      <c r="CZ54" s="247">
        <f t="shared" si="39"/>
        <v>5.0499999999999999E-6</v>
      </c>
      <c r="DA54" s="245" t="s">
        <v>317</v>
      </c>
    </row>
    <row r="55" spans="3:105" thickTop="1" thickBot="1" x14ac:dyDescent="0.3">
      <c r="AO55" s="169" t="s">
        <v>371</v>
      </c>
      <c r="AP55" s="169">
        <f>SUM(AP43,AP26:AP28)</f>
        <v>0.99999999999999978</v>
      </c>
      <c r="AQ55" s="169"/>
      <c r="BC55" s="81" t="s">
        <v>373</v>
      </c>
      <c r="BD55" s="81" t="s">
        <v>393</v>
      </c>
      <c r="BE55" s="166">
        <v>9.7500000000000003E-2</v>
      </c>
      <c r="BF55" s="166">
        <v>9.8200000000000006E-3</v>
      </c>
      <c r="BG55" s="81">
        <v>9.93</v>
      </c>
      <c r="BH55" s="81" t="s">
        <v>420</v>
      </c>
      <c r="BI55" s="166">
        <v>2E-16</v>
      </c>
      <c r="BJ55" s="81" t="s">
        <v>385</v>
      </c>
      <c r="BS55" s="81" t="s">
        <v>373</v>
      </c>
      <c r="BT55" s="81" t="s">
        <v>392</v>
      </c>
      <c r="BU55" s="166">
        <v>8.0100000000000005E-2</v>
      </c>
      <c r="BV55" s="166">
        <v>1.77E-2</v>
      </c>
      <c r="BW55" s="81">
        <v>4.53</v>
      </c>
      <c r="BX55" s="166">
        <v>6.1E-6</v>
      </c>
      <c r="BY55" s="81" t="s">
        <v>385</v>
      </c>
      <c r="CO55" s="243" t="s">
        <v>373</v>
      </c>
      <c r="CP55" s="243" t="s">
        <v>414</v>
      </c>
      <c r="CQ55" s="244">
        <v>5.1599999999999997E-4</v>
      </c>
      <c r="CR55" s="244">
        <v>1.0200000000000001E-5</v>
      </c>
      <c r="CS55" s="243">
        <v>50.68</v>
      </c>
      <c r="CT55" s="243" t="s">
        <v>420</v>
      </c>
      <c r="CU55" s="244">
        <v>2E-16</v>
      </c>
      <c r="CV55" s="81" t="s">
        <v>385</v>
      </c>
      <c r="CW55" s="245" t="s">
        <v>460</v>
      </c>
      <c r="CX55" s="251" t="s">
        <v>493</v>
      </c>
      <c r="CY55" s="246" t="s">
        <v>318</v>
      </c>
      <c r="CZ55" s="247">
        <f t="shared" si="39"/>
        <v>0.28999999999999998</v>
      </c>
      <c r="DA55" s="245" t="s">
        <v>317</v>
      </c>
    </row>
    <row r="56" spans="3:105" thickTop="1" thickBot="1" x14ac:dyDescent="0.3">
      <c r="AO56" s="169" t="s">
        <v>372</v>
      </c>
      <c r="AP56" s="169">
        <f>SUM(AP46,AP14:AP17)</f>
        <v>1</v>
      </c>
      <c r="AQ56" s="169"/>
      <c r="BC56" s="81" t="s">
        <v>373</v>
      </c>
      <c r="BD56" s="81" t="s">
        <v>303</v>
      </c>
      <c r="BE56" s="166">
        <v>69800</v>
      </c>
      <c r="BF56" s="166">
        <v>108000</v>
      </c>
      <c r="BG56" s="81">
        <v>0.65</v>
      </c>
      <c r="BH56" s="81">
        <v>0.51685000000000003</v>
      </c>
      <c r="BS56" s="81" t="s">
        <v>373</v>
      </c>
      <c r="BT56" s="81" t="s">
        <v>393</v>
      </c>
      <c r="BU56" s="166">
        <v>0.33100000000000002</v>
      </c>
      <c r="BV56" s="166">
        <v>4.3699999999999998E-3</v>
      </c>
      <c r="BW56" s="81">
        <v>75.67</v>
      </c>
      <c r="BX56" s="81" t="s">
        <v>420</v>
      </c>
      <c r="BY56" s="166">
        <v>2E-16</v>
      </c>
      <c r="BZ56" s="81" t="s">
        <v>385</v>
      </c>
      <c r="CO56" s="243" t="s">
        <v>373</v>
      </c>
      <c r="CP56" s="243" t="s">
        <v>415</v>
      </c>
      <c r="CQ56" s="244">
        <v>116</v>
      </c>
      <c r="CR56" s="244">
        <v>1.53</v>
      </c>
      <c r="CS56" s="243">
        <v>75.56</v>
      </c>
      <c r="CT56" s="243" t="s">
        <v>420</v>
      </c>
      <c r="CU56" s="244">
        <v>2E-16</v>
      </c>
      <c r="CV56" s="81" t="s">
        <v>385</v>
      </c>
      <c r="CW56" s="245" t="s">
        <v>460</v>
      </c>
      <c r="CX56" s="251" t="s">
        <v>494</v>
      </c>
      <c r="CY56" s="246" t="s">
        <v>318</v>
      </c>
      <c r="CZ56" s="247">
        <f t="shared" si="39"/>
        <v>0.42799999999999999</v>
      </c>
      <c r="DA56" s="245" t="s">
        <v>317</v>
      </c>
    </row>
    <row r="57" spans="3:105" thickTop="1" thickBot="1" x14ac:dyDescent="0.3">
      <c r="AO57" s="169" t="s">
        <v>372</v>
      </c>
      <c r="AP57" s="169">
        <f>SUM(AP47,AP33:AP35)</f>
        <v>0.99999999999999989</v>
      </c>
      <c r="AQ57" s="169"/>
      <c r="BC57" s="81" t="s">
        <v>373</v>
      </c>
      <c r="BD57" s="81" t="s">
        <v>395</v>
      </c>
      <c r="BE57" s="166">
        <v>3800000</v>
      </c>
      <c r="BF57" s="166">
        <v>1390000</v>
      </c>
      <c r="BG57" s="81">
        <v>2.72</v>
      </c>
      <c r="BH57" s="81">
        <v>6.4799999999999996E-3</v>
      </c>
      <c r="BI57" s="81" t="s">
        <v>398</v>
      </c>
      <c r="BS57" s="81" t="s">
        <v>373</v>
      </c>
      <c r="BT57" s="81" t="s">
        <v>303</v>
      </c>
      <c r="BU57" s="166">
        <v>976000000</v>
      </c>
      <c r="BV57" s="166">
        <v>20400000</v>
      </c>
      <c r="BW57" s="81">
        <v>47.85</v>
      </c>
      <c r="BX57" s="81" t="s">
        <v>420</v>
      </c>
      <c r="BY57" s="166">
        <v>2E-16</v>
      </c>
      <c r="BZ57" s="81" t="s">
        <v>385</v>
      </c>
      <c r="CO57" s="243" t="s">
        <v>373</v>
      </c>
      <c r="CP57" s="243" t="s">
        <v>416</v>
      </c>
      <c r="CQ57" s="244">
        <v>9980</v>
      </c>
      <c r="CR57" s="244">
        <v>78.3</v>
      </c>
      <c r="CS57" s="243">
        <v>127.37</v>
      </c>
      <c r="CT57" s="243" t="s">
        <v>420</v>
      </c>
      <c r="CU57" s="244">
        <v>2E-16</v>
      </c>
      <c r="CV57" s="81" t="s">
        <v>385</v>
      </c>
      <c r="CW57" s="245" t="s">
        <v>460</v>
      </c>
      <c r="CX57" s="251" t="s">
        <v>495</v>
      </c>
      <c r="CY57" s="246" t="s">
        <v>318</v>
      </c>
      <c r="CZ57" s="247">
        <f t="shared" si="39"/>
        <v>5.2100000000000001E-6</v>
      </c>
      <c r="DA57" s="245" t="s">
        <v>317</v>
      </c>
    </row>
    <row r="58" spans="3:105" thickTop="1" thickBot="1" x14ac:dyDescent="0.3">
      <c r="BC58" s="81" t="s">
        <v>373</v>
      </c>
      <c r="BD58" s="81" t="s">
        <v>296</v>
      </c>
      <c r="BE58" s="166">
        <v>78400000</v>
      </c>
      <c r="BF58" s="166">
        <v>49600000</v>
      </c>
      <c r="BG58" s="81">
        <v>1.58</v>
      </c>
      <c r="BH58" s="81">
        <v>0.11389000000000001</v>
      </c>
      <c r="BS58" s="81" t="s">
        <v>373</v>
      </c>
      <c r="BT58" s="81" t="s">
        <v>395</v>
      </c>
      <c r="BU58" s="166">
        <v>1470000</v>
      </c>
      <c r="BV58" s="166">
        <v>21800</v>
      </c>
      <c r="BW58" s="81">
        <v>67.430000000000007</v>
      </c>
      <c r="BX58" s="81" t="s">
        <v>420</v>
      </c>
      <c r="BY58" s="166">
        <v>2E-16</v>
      </c>
      <c r="BZ58" s="81" t="s">
        <v>385</v>
      </c>
      <c r="CO58" s="243" t="s">
        <v>373</v>
      </c>
      <c r="CP58" s="243" t="s">
        <v>417</v>
      </c>
      <c r="CQ58" s="244">
        <v>477</v>
      </c>
      <c r="CR58" s="244">
        <v>214</v>
      </c>
      <c r="CS58" s="243">
        <v>2.23</v>
      </c>
      <c r="CT58" s="243">
        <v>2.562E-2</v>
      </c>
      <c r="CU58" s="243" t="s">
        <v>418</v>
      </c>
      <c r="CW58" s="245" t="s">
        <v>460</v>
      </c>
      <c r="CX58" s="251" t="s">
        <v>496</v>
      </c>
      <c r="CY58" s="246" t="s">
        <v>318</v>
      </c>
      <c r="CZ58" s="247">
        <f t="shared" si="39"/>
        <v>0.49099999999999999</v>
      </c>
      <c r="DA58" s="245" t="s">
        <v>317</v>
      </c>
    </row>
    <row r="59" spans="3:105" thickTop="1" thickBot="1" x14ac:dyDescent="0.3">
      <c r="BC59" s="81" t="s">
        <v>373</v>
      </c>
      <c r="BD59" s="81" t="s">
        <v>298</v>
      </c>
      <c r="BE59" s="166">
        <v>12500000</v>
      </c>
      <c r="BF59" s="166">
        <v>17900000</v>
      </c>
      <c r="BG59" s="81">
        <v>0.7</v>
      </c>
      <c r="BH59" s="81">
        <v>0.48460999999999999</v>
      </c>
      <c r="BS59" s="81" t="s">
        <v>373</v>
      </c>
      <c r="BT59" s="81" t="s">
        <v>296</v>
      </c>
      <c r="BU59" s="166">
        <v>219000000</v>
      </c>
      <c r="BV59" s="166">
        <v>15400000</v>
      </c>
      <c r="BW59" s="81">
        <v>14.25</v>
      </c>
      <c r="BX59" s="81" t="s">
        <v>420</v>
      </c>
      <c r="BY59" s="166">
        <v>2E-16</v>
      </c>
      <c r="BZ59" s="81" t="s">
        <v>385</v>
      </c>
      <c r="CW59" s="245" t="s">
        <v>460</v>
      </c>
      <c r="CX59" s="251" t="s">
        <v>497</v>
      </c>
      <c r="CY59" s="246" t="s">
        <v>318</v>
      </c>
      <c r="CZ59" s="247">
        <f t="shared" si="39"/>
        <v>0.28100000000000003</v>
      </c>
      <c r="DA59" s="245" t="s">
        <v>317</v>
      </c>
    </row>
    <row r="60" spans="3:105" thickTop="1" thickBot="1" x14ac:dyDescent="0.3">
      <c r="BC60" s="81" t="s">
        <v>373</v>
      </c>
      <c r="BD60" s="81" t="s">
        <v>396</v>
      </c>
      <c r="BE60" s="166">
        <v>-13.2</v>
      </c>
      <c r="BF60" s="166">
        <v>3.9</v>
      </c>
      <c r="BG60" s="81">
        <v>-3.38</v>
      </c>
      <c r="BH60" s="81">
        <v>7.3999999999999999E-4</v>
      </c>
      <c r="BI60" s="81" t="s">
        <v>385</v>
      </c>
      <c r="BS60" s="81" t="s">
        <v>373</v>
      </c>
      <c r="BT60" s="81" t="s">
        <v>298</v>
      </c>
      <c r="BU60" s="166">
        <v>40000000</v>
      </c>
      <c r="BV60" s="166">
        <v>20300000</v>
      </c>
      <c r="BW60" s="81">
        <v>1.97</v>
      </c>
      <c r="BX60" s="81">
        <v>4.9000000000000002E-2</v>
      </c>
      <c r="BY60" s="81" t="s">
        <v>418</v>
      </c>
      <c r="CX60" s="251"/>
      <c r="CY60" s="246"/>
      <c r="CZ60" s="247"/>
    </row>
    <row r="61" spans="3:105" thickTop="1" thickBot="1" x14ac:dyDescent="0.3">
      <c r="BC61" s="81" t="s">
        <v>373</v>
      </c>
      <c r="BD61" s="81" t="s">
        <v>397</v>
      </c>
      <c r="BE61" s="166">
        <v>-1</v>
      </c>
      <c r="BF61" s="166">
        <v>0.91300000000000003</v>
      </c>
      <c r="BG61" s="81">
        <v>-1.1000000000000001</v>
      </c>
      <c r="BH61" s="81">
        <v>0.27290999999999999</v>
      </c>
      <c r="BS61" s="81" t="s">
        <v>373</v>
      </c>
      <c r="BT61" s="81" t="s">
        <v>396</v>
      </c>
      <c r="BU61" s="166">
        <v>-36.9</v>
      </c>
      <c r="BV61" s="166">
        <v>1.4</v>
      </c>
      <c r="BW61" s="81">
        <v>-26.39</v>
      </c>
      <c r="BX61" s="81" t="s">
        <v>420</v>
      </c>
      <c r="BY61" s="166">
        <v>2E-16</v>
      </c>
      <c r="BZ61" s="81" t="s">
        <v>385</v>
      </c>
      <c r="CO61" s="243" t="s">
        <v>373</v>
      </c>
      <c r="CP61" s="243" t="s">
        <v>374</v>
      </c>
      <c r="CQ61" s="243" t="s">
        <v>458</v>
      </c>
      <c r="CW61" s="245" t="s">
        <v>460</v>
      </c>
      <c r="CX61" s="251" t="s">
        <v>339</v>
      </c>
      <c r="CY61" s="246" t="s">
        <v>318</v>
      </c>
      <c r="CZ61" s="247">
        <f>CQ85</f>
        <v>1470000</v>
      </c>
      <c r="DA61" s="245" t="s">
        <v>317</v>
      </c>
    </row>
    <row r="62" spans="3:105" thickTop="1" thickBot="1" x14ac:dyDescent="0.3">
      <c r="BC62" s="81" t="s">
        <v>373</v>
      </c>
      <c r="BD62" s="81" t="s">
        <v>399</v>
      </c>
      <c r="BE62" s="166">
        <v>-1.02</v>
      </c>
      <c r="BF62" s="166">
        <v>0.91400000000000003</v>
      </c>
      <c r="BG62" s="81">
        <v>-1.1100000000000001</v>
      </c>
      <c r="BH62" s="81">
        <v>0.26651000000000002</v>
      </c>
      <c r="BS62" s="81" t="s">
        <v>373</v>
      </c>
      <c r="BT62" s="81" t="s">
        <v>397</v>
      </c>
      <c r="BU62" s="166">
        <v>-40.700000000000003</v>
      </c>
      <c r="BV62" s="166">
        <v>1.36</v>
      </c>
      <c r="BW62" s="81">
        <v>-29.88</v>
      </c>
      <c r="BX62" s="81" t="s">
        <v>420</v>
      </c>
      <c r="BY62" s="166">
        <v>2E-16</v>
      </c>
      <c r="BZ62" s="81" t="s">
        <v>385</v>
      </c>
      <c r="CO62" s="243" t="s">
        <v>373</v>
      </c>
      <c r="CP62" s="243" t="s">
        <v>376</v>
      </c>
      <c r="CW62" s="245" t="s">
        <v>460</v>
      </c>
      <c r="CX62" s="251" t="s">
        <v>340</v>
      </c>
      <c r="CY62" s="246" t="s">
        <v>318</v>
      </c>
      <c r="CZ62" s="247">
        <f t="shared" ref="CZ62:CZ63" si="41">CQ86</f>
        <v>209000000</v>
      </c>
      <c r="DA62" s="245" t="s">
        <v>317</v>
      </c>
    </row>
    <row r="63" spans="3:105" thickTop="1" thickBot="1" x14ac:dyDescent="0.3">
      <c r="BC63" s="81" t="s">
        <v>373</v>
      </c>
      <c r="BD63" s="81" t="s">
        <v>400</v>
      </c>
      <c r="BE63" s="166">
        <v>-1</v>
      </c>
      <c r="BF63" s="166">
        <v>0.91300000000000003</v>
      </c>
      <c r="BG63" s="81">
        <v>-1.0900000000000001</v>
      </c>
      <c r="BH63" s="81">
        <v>0.27359</v>
      </c>
      <c r="BS63" s="81" t="s">
        <v>373</v>
      </c>
      <c r="BT63" s="81" t="s">
        <v>399</v>
      </c>
      <c r="BU63" s="166">
        <v>-37.1</v>
      </c>
      <c r="BV63" s="166">
        <v>1.59</v>
      </c>
      <c r="BW63" s="81">
        <v>-23.36</v>
      </c>
      <c r="BX63" s="81" t="s">
        <v>420</v>
      </c>
      <c r="BY63" s="166">
        <v>2E-16</v>
      </c>
      <c r="BZ63" s="81" t="s">
        <v>385</v>
      </c>
      <c r="CO63" s="243" t="s">
        <v>373</v>
      </c>
      <c r="CP63" s="243" t="s">
        <v>377</v>
      </c>
      <c r="CQ63" s="243" t="s">
        <v>378</v>
      </c>
      <c r="CR63" s="243" t="s">
        <v>379</v>
      </c>
      <c r="CS63" s="243" t="s">
        <v>380</v>
      </c>
      <c r="CT63" s="243" t="s">
        <v>381</v>
      </c>
      <c r="CU63" s="243" t="s">
        <v>382</v>
      </c>
      <c r="CW63" s="245" t="s">
        <v>460</v>
      </c>
      <c r="CX63" s="251" t="s">
        <v>341</v>
      </c>
      <c r="CY63" s="246" t="s">
        <v>318</v>
      </c>
      <c r="CZ63" s="247">
        <f t="shared" si="41"/>
        <v>44900000</v>
      </c>
      <c r="DA63" s="245" t="s">
        <v>317</v>
      </c>
    </row>
    <row r="64" spans="3:105" thickTop="1" thickBot="1" x14ac:dyDescent="0.3">
      <c r="BC64" s="81" t="s">
        <v>373</v>
      </c>
      <c r="BD64" s="81" t="s">
        <v>402</v>
      </c>
      <c r="BE64" s="166">
        <v>1.6E-2</v>
      </c>
      <c r="BF64" s="166">
        <v>6.1700000000000001E-3</v>
      </c>
      <c r="BG64" s="81">
        <v>2.6</v>
      </c>
      <c r="BH64" s="81">
        <v>9.41E-3</v>
      </c>
      <c r="BI64" s="81" t="s">
        <v>398</v>
      </c>
      <c r="BS64" s="81" t="s">
        <v>373</v>
      </c>
      <c r="BT64" s="81" t="s">
        <v>400</v>
      </c>
      <c r="BU64" s="166">
        <v>-24.8</v>
      </c>
      <c r="BV64" s="166">
        <v>7.4200000000000002E-2</v>
      </c>
      <c r="BW64" s="81">
        <v>-334.42</v>
      </c>
      <c r="BX64" s="81" t="s">
        <v>420</v>
      </c>
      <c r="BY64" s="166">
        <v>2E-16</v>
      </c>
      <c r="BZ64" s="81" t="s">
        <v>385</v>
      </c>
      <c r="CO64" s="243" t="s">
        <v>373</v>
      </c>
      <c r="CP64" s="243" t="s">
        <v>383</v>
      </c>
      <c r="CQ64" s="244">
        <v>289</v>
      </c>
      <c r="CR64" s="244">
        <v>0.14399999999999999</v>
      </c>
      <c r="CS64" s="243">
        <v>2009.13</v>
      </c>
      <c r="CT64" s="243" t="s">
        <v>420</v>
      </c>
      <c r="CU64" s="244">
        <v>2E-16</v>
      </c>
      <c r="CV64" s="81" t="s">
        <v>385</v>
      </c>
      <c r="CY64" s="246"/>
    </row>
    <row r="65" spans="55:106" thickTop="1" thickBot="1" x14ac:dyDescent="0.3">
      <c r="BC65" s="81" t="s">
        <v>373</v>
      </c>
      <c r="BD65" s="81" t="s">
        <v>403</v>
      </c>
      <c r="BE65" s="166">
        <v>4.2999999999999997E-2</v>
      </c>
      <c r="BF65" s="166">
        <v>6.2700000000000006E-2</v>
      </c>
      <c r="BG65" s="81">
        <v>0.69</v>
      </c>
      <c r="BH65" s="81">
        <v>0.49241000000000001</v>
      </c>
      <c r="BS65" s="81" t="s">
        <v>373</v>
      </c>
      <c r="BT65" s="81" t="s">
        <v>402</v>
      </c>
      <c r="BU65" s="166">
        <v>0.16500000000000001</v>
      </c>
      <c r="BV65" s="166">
        <v>4.6200000000000001E-4</v>
      </c>
      <c r="BW65" s="81">
        <v>357.36</v>
      </c>
      <c r="BX65" s="81" t="s">
        <v>420</v>
      </c>
      <c r="BY65" s="166">
        <v>2E-16</v>
      </c>
      <c r="BZ65" s="81" t="s">
        <v>385</v>
      </c>
      <c r="CO65" s="243" t="s">
        <v>373</v>
      </c>
      <c r="CP65" s="243" t="s">
        <v>386</v>
      </c>
      <c r="CQ65" s="244">
        <v>282</v>
      </c>
      <c r="CR65" s="244">
        <v>0.16800000000000001</v>
      </c>
      <c r="CS65" s="243">
        <v>1680.3</v>
      </c>
      <c r="CT65" s="243" t="s">
        <v>420</v>
      </c>
      <c r="CU65" s="244">
        <v>2E-16</v>
      </c>
      <c r="CV65" s="81" t="s">
        <v>385</v>
      </c>
      <c r="CW65" s="245" t="s">
        <v>460</v>
      </c>
      <c r="CX65" s="251" t="s">
        <v>342</v>
      </c>
      <c r="CY65" s="246" t="s">
        <v>318</v>
      </c>
      <c r="CZ65" s="247">
        <f>CQ92</f>
        <v>0.16500000000000001</v>
      </c>
      <c r="DA65" s="245" t="s">
        <v>317</v>
      </c>
    </row>
    <row r="66" spans="55:106" thickTop="1" thickBot="1" x14ac:dyDescent="0.3">
      <c r="BC66" s="81" t="s">
        <v>373</v>
      </c>
      <c r="BD66" s="81" t="s">
        <v>404</v>
      </c>
      <c r="BE66" s="166">
        <v>0.73</v>
      </c>
      <c r="BF66" s="166">
        <v>3.09E-2</v>
      </c>
      <c r="BG66" s="81">
        <v>23.6</v>
      </c>
      <c r="BH66" s="81" t="s">
        <v>420</v>
      </c>
      <c r="BI66" s="166">
        <v>2E-16</v>
      </c>
      <c r="BJ66" s="81" t="s">
        <v>385</v>
      </c>
      <c r="BS66" s="81" t="s">
        <v>373</v>
      </c>
      <c r="BT66" s="81" t="s">
        <v>403</v>
      </c>
      <c r="BU66" s="166">
        <v>5.8500000000000003E-2</v>
      </c>
      <c r="BV66" s="166">
        <v>1.2799999999999999E-4</v>
      </c>
      <c r="BW66" s="81">
        <v>455.64</v>
      </c>
      <c r="BX66" s="81" t="s">
        <v>420</v>
      </c>
      <c r="BY66" s="166">
        <v>2E-16</v>
      </c>
      <c r="BZ66" s="81" t="s">
        <v>385</v>
      </c>
      <c r="CO66" s="243" t="s">
        <v>373</v>
      </c>
      <c r="CP66" s="243" t="s">
        <v>387</v>
      </c>
      <c r="CQ66" s="244">
        <v>292</v>
      </c>
      <c r="CR66" s="244">
        <v>0.114</v>
      </c>
      <c r="CS66" s="243">
        <v>2568.6999999999998</v>
      </c>
      <c r="CT66" s="243" t="s">
        <v>420</v>
      </c>
      <c r="CU66" s="244">
        <v>2E-16</v>
      </c>
      <c r="CV66" s="81" t="s">
        <v>385</v>
      </c>
      <c r="CW66" s="245" t="s">
        <v>460</v>
      </c>
      <c r="CX66" s="251" t="s">
        <v>343</v>
      </c>
      <c r="CY66" s="246" t="s">
        <v>318</v>
      </c>
      <c r="CZ66" s="247">
        <f t="shared" ref="CZ66:CZ68" si="42">CQ93</f>
        <v>5.8400000000000001E-2</v>
      </c>
      <c r="DA66" s="245" t="s">
        <v>317</v>
      </c>
    </row>
    <row r="67" spans="55:106" thickTop="1" thickBot="1" x14ac:dyDescent="0.3">
      <c r="BC67" s="81" t="s">
        <v>373</v>
      </c>
      <c r="BD67" s="81" t="s">
        <v>405</v>
      </c>
      <c r="BE67" s="166">
        <v>0.184</v>
      </c>
      <c r="BF67" s="166">
        <v>5.0500000000000003E-2</v>
      </c>
      <c r="BG67" s="81">
        <v>3.64</v>
      </c>
      <c r="BH67" s="81">
        <v>2.7E-4</v>
      </c>
      <c r="BI67" s="81" t="s">
        <v>385</v>
      </c>
      <c r="BS67" s="81" t="s">
        <v>373</v>
      </c>
      <c r="BT67" s="81" t="s">
        <v>404</v>
      </c>
      <c r="BU67" s="166">
        <v>0.61199999999999999</v>
      </c>
      <c r="BV67" s="166">
        <v>6.6400000000000001E-3</v>
      </c>
      <c r="BW67" s="81">
        <v>92.16</v>
      </c>
      <c r="BX67" s="81" t="s">
        <v>420</v>
      </c>
      <c r="BY67" s="166">
        <v>2E-16</v>
      </c>
      <c r="BZ67" s="81" t="s">
        <v>385</v>
      </c>
      <c r="CO67" s="243" t="s">
        <v>373</v>
      </c>
      <c r="CP67" s="243" t="s">
        <v>388</v>
      </c>
      <c r="CQ67" s="244">
        <v>294</v>
      </c>
      <c r="CR67" s="244">
        <v>0.13500000000000001</v>
      </c>
      <c r="CS67" s="243">
        <v>2186.15</v>
      </c>
      <c r="CT67" s="243" t="s">
        <v>420</v>
      </c>
      <c r="CU67" s="244">
        <v>2E-16</v>
      </c>
      <c r="CV67" s="81" t="s">
        <v>385</v>
      </c>
      <c r="CW67" s="245" t="s">
        <v>460</v>
      </c>
      <c r="CX67" s="251" t="s">
        <v>345</v>
      </c>
      <c r="CY67" s="246" t="s">
        <v>318</v>
      </c>
      <c r="CZ67" s="247">
        <f t="shared" si="42"/>
        <v>0.61099999999999999</v>
      </c>
      <c r="DA67" s="245" t="s">
        <v>317</v>
      </c>
    </row>
    <row r="68" spans="55:106" thickTop="1" thickBot="1" x14ac:dyDescent="0.3">
      <c r="BC68" s="81" t="s">
        <v>373</v>
      </c>
      <c r="BD68" s="81" t="s">
        <v>407</v>
      </c>
      <c r="BE68" s="166">
        <v>1350</v>
      </c>
      <c r="BF68" s="166">
        <v>248</v>
      </c>
      <c r="BG68" s="81">
        <v>5.42</v>
      </c>
      <c r="BH68" s="166">
        <v>6.1000000000000004E-8</v>
      </c>
      <c r="BI68" s="81" t="s">
        <v>385</v>
      </c>
      <c r="BS68" s="81" t="s">
        <v>373</v>
      </c>
      <c r="BT68" s="81" t="s">
        <v>405</v>
      </c>
      <c r="BU68" s="166">
        <v>0.11700000000000001</v>
      </c>
      <c r="BV68" s="166">
        <v>3.1700000000000001E-4</v>
      </c>
      <c r="BW68" s="81">
        <v>369.23</v>
      </c>
      <c r="BX68" s="81" t="s">
        <v>420</v>
      </c>
      <c r="BY68" s="166">
        <v>2E-16</v>
      </c>
      <c r="BZ68" s="81" t="s">
        <v>385</v>
      </c>
      <c r="CO68" s="243" t="s">
        <v>373</v>
      </c>
      <c r="CP68" s="243" t="s">
        <v>442</v>
      </c>
      <c r="CQ68" s="244">
        <v>0.312</v>
      </c>
      <c r="CR68" s="244">
        <v>3.7699999999999997E-2</v>
      </c>
      <c r="CS68" s="243">
        <v>8.3000000000000007</v>
      </c>
      <c r="CT68" s="244">
        <v>2.2E-16</v>
      </c>
      <c r="CU68" s="243" t="s">
        <v>385</v>
      </c>
      <c r="CW68" s="245" t="s">
        <v>460</v>
      </c>
      <c r="CX68" s="251" t="s">
        <v>431</v>
      </c>
      <c r="CY68" s="246" t="s">
        <v>318</v>
      </c>
      <c r="CZ68" s="247">
        <f t="shared" si="42"/>
        <v>0.11700000000000001</v>
      </c>
      <c r="DA68" s="245" t="s">
        <v>317</v>
      </c>
    </row>
    <row r="69" spans="55:106" thickTop="1" thickBot="1" x14ac:dyDescent="0.3">
      <c r="BC69" s="81" t="s">
        <v>373</v>
      </c>
      <c r="BD69" s="81" t="s">
        <v>290</v>
      </c>
      <c r="BE69" s="166">
        <v>372</v>
      </c>
      <c r="BF69" s="166">
        <v>148</v>
      </c>
      <c r="BG69" s="81">
        <v>2.5099999999999998</v>
      </c>
      <c r="BH69" s="81">
        <v>1.21E-2</v>
      </c>
      <c r="BI69" s="81" t="s">
        <v>418</v>
      </c>
      <c r="BS69" s="81" t="s">
        <v>373</v>
      </c>
      <c r="BT69" s="81" t="s">
        <v>407</v>
      </c>
      <c r="BU69" s="166">
        <v>298</v>
      </c>
      <c r="BV69" s="166">
        <v>1.43</v>
      </c>
      <c r="BW69" s="81">
        <v>208.33</v>
      </c>
      <c r="BX69" s="81" t="s">
        <v>420</v>
      </c>
      <c r="BY69" s="166">
        <v>2E-16</v>
      </c>
      <c r="BZ69" s="81" t="s">
        <v>385</v>
      </c>
      <c r="CO69" s="243" t="s">
        <v>373</v>
      </c>
      <c r="CP69" s="243" t="s">
        <v>336</v>
      </c>
      <c r="CQ69" s="244">
        <v>5.7599999999999999E-6</v>
      </c>
      <c r="CR69" s="244">
        <v>8.6799999999999996E-5</v>
      </c>
      <c r="CS69" s="243">
        <v>7.0000000000000007E-2</v>
      </c>
      <c r="CT69" s="243">
        <v>0.94711000000000001</v>
      </c>
      <c r="CY69" s="246"/>
    </row>
    <row r="70" spans="55:106" thickTop="1" thickBot="1" x14ac:dyDescent="0.3">
      <c r="BC70" s="81" t="s">
        <v>373</v>
      </c>
      <c r="BD70" s="81" t="s">
        <v>120</v>
      </c>
      <c r="BE70" s="166">
        <v>31.9</v>
      </c>
      <c r="BF70" s="166">
        <v>23.8</v>
      </c>
      <c r="BG70" s="81">
        <v>1.34</v>
      </c>
      <c r="BH70" s="81">
        <v>0.18071999999999999</v>
      </c>
      <c r="BS70" s="81" t="s">
        <v>373</v>
      </c>
      <c r="BT70" s="81" t="s">
        <v>290</v>
      </c>
      <c r="BU70" s="166">
        <v>120</v>
      </c>
      <c r="BV70" s="166">
        <v>0.72799999999999998</v>
      </c>
      <c r="BW70" s="81">
        <v>164.9</v>
      </c>
      <c r="BX70" s="81" t="s">
        <v>420</v>
      </c>
      <c r="BY70" s="166">
        <v>2E-16</v>
      </c>
      <c r="BZ70" s="81" t="s">
        <v>385</v>
      </c>
      <c r="CO70" s="243" t="s">
        <v>373</v>
      </c>
      <c r="CP70" s="243" t="s">
        <v>443</v>
      </c>
      <c r="CQ70" s="244">
        <v>0.64800000000000002</v>
      </c>
      <c r="CR70" s="244">
        <v>2.0899999999999998E-2</v>
      </c>
      <c r="CS70" s="243">
        <v>31</v>
      </c>
      <c r="CT70" s="243" t="s">
        <v>420</v>
      </c>
      <c r="CU70" s="244">
        <v>2E-16</v>
      </c>
      <c r="CV70" s="81" t="s">
        <v>385</v>
      </c>
      <c r="CW70" s="245" t="s">
        <v>460</v>
      </c>
      <c r="CX70" s="251" t="s">
        <v>498</v>
      </c>
      <c r="CY70" s="246" t="s">
        <v>318</v>
      </c>
      <c r="CZ70" s="247">
        <f>CQ96</f>
        <v>299</v>
      </c>
      <c r="DA70" s="245" t="s">
        <v>317</v>
      </c>
    </row>
    <row r="71" spans="55:106" thickTop="1" thickBot="1" x14ac:dyDescent="0.3">
      <c r="BC71" s="81" t="s">
        <v>373</v>
      </c>
      <c r="BD71" s="81" t="s">
        <v>409</v>
      </c>
      <c r="BE71" s="166">
        <v>-6.79</v>
      </c>
      <c r="BF71" s="166">
        <v>0.47699999999999998</v>
      </c>
      <c r="BG71" s="81">
        <v>-14.23</v>
      </c>
      <c r="BH71" s="81" t="s">
        <v>420</v>
      </c>
      <c r="BI71" s="166">
        <v>2E-16</v>
      </c>
      <c r="BJ71" s="81" t="s">
        <v>385</v>
      </c>
      <c r="BS71" s="81" t="s">
        <v>373</v>
      </c>
      <c r="BT71" s="81" t="s">
        <v>120</v>
      </c>
      <c r="BU71" s="166">
        <v>69.5</v>
      </c>
      <c r="BV71" s="166">
        <v>2.5499999999999998</v>
      </c>
      <c r="BW71" s="81">
        <v>27.22</v>
      </c>
      <c r="BX71" s="81" t="s">
        <v>420</v>
      </c>
      <c r="BY71" s="166">
        <v>2E-16</v>
      </c>
      <c r="BZ71" s="81" t="s">
        <v>385</v>
      </c>
      <c r="CO71" s="243" t="s">
        <v>373</v>
      </c>
      <c r="CP71" s="243" t="s">
        <v>444</v>
      </c>
      <c r="CQ71" s="244">
        <v>0.53200000000000003</v>
      </c>
      <c r="CR71" s="244">
        <v>3.3500000000000002E-2</v>
      </c>
      <c r="CS71" s="243">
        <v>15.89</v>
      </c>
      <c r="CT71" s="243" t="s">
        <v>420</v>
      </c>
      <c r="CU71" s="244">
        <v>2E-16</v>
      </c>
      <c r="CV71" s="81" t="s">
        <v>385</v>
      </c>
      <c r="CW71" s="245" t="s">
        <v>460</v>
      </c>
      <c r="CX71" s="251" t="s">
        <v>349</v>
      </c>
      <c r="CY71" s="246" t="s">
        <v>318</v>
      </c>
      <c r="CZ71" s="247">
        <f t="shared" ref="CZ71:CZ72" si="43">CQ97</f>
        <v>120</v>
      </c>
      <c r="DA71" s="245" t="s">
        <v>317</v>
      </c>
    </row>
    <row r="72" spans="55:106" thickTop="1" thickBot="1" x14ac:dyDescent="0.3">
      <c r="BC72" s="81" t="s">
        <v>373</v>
      </c>
      <c r="BD72" s="81" t="s">
        <v>410</v>
      </c>
      <c r="BE72" s="166">
        <v>-4.62</v>
      </c>
      <c r="BF72" s="166">
        <v>0.26700000000000002</v>
      </c>
      <c r="BG72" s="81">
        <v>-17.32</v>
      </c>
      <c r="BH72" s="81" t="s">
        <v>420</v>
      </c>
      <c r="BI72" s="166">
        <v>2E-16</v>
      </c>
      <c r="BJ72" s="81" t="s">
        <v>385</v>
      </c>
      <c r="BS72" s="81" t="s">
        <v>373</v>
      </c>
      <c r="BT72" s="81" t="s">
        <v>409</v>
      </c>
      <c r="BU72" s="166">
        <v>-5.14</v>
      </c>
      <c r="BV72" s="166">
        <v>1.41E-2</v>
      </c>
      <c r="BW72" s="81">
        <v>-364.74</v>
      </c>
      <c r="BX72" s="81" t="s">
        <v>420</v>
      </c>
      <c r="BY72" s="166">
        <v>2E-16</v>
      </c>
      <c r="BZ72" s="81" t="s">
        <v>385</v>
      </c>
      <c r="CO72" s="243" t="s">
        <v>373</v>
      </c>
      <c r="CP72" s="243" t="s">
        <v>445</v>
      </c>
      <c r="CQ72" s="244">
        <v>0.21299999999999999</v>
      </c>
      <c r="CR72" s="244">
        <v>1.09E-2</v>
      </c>
      <c r="CS72" s="243">
        <v>19.55</v>
      </c>
      <c r="CT72" s="243" t="s">
        <v>420</v>
      </c>
      <c r="CU72" s="244">
        <v>2E-16</v>
      </c>
      <c r="CV72" s="81" t="s">
        <v>385</v>
      </c>
      <c r="CW72" s="245" t="s">
        <v>460</v>
      </c>
      <c r="CX72" s="251" t="s">
        <v>350</v>
      </c>
      <c r="CY72" s="246" t="s">
        <v>318</v>
      </c>
      <c r="CZ72" s="247">
        <f t="shared" si="43"/>
        <v>69.3</v>
      </c>
      <c r="DA72" s="245" t="s">
        <v>317</v>
      </c>
      <c r="DB72" s="152">
        <f>SUM(R17:R20,R25)</f>
        <v>28.95194928726864</v>
      </c>
    </row>
    <row r="73" spans="55:106" thickTop="1" thickBot="1" x14ac:dyDescent="0.3">
      <c r="BC73" s="81" t="s">
        <v>373</v>
      </c>
      <c r="BD73" s="81" t="s">
        <v>411</v>
      </c>
      <c r="BE73" s="166">
        <v>-4.95</v>
      </c>
      <c r="BF73" s="166">
        <v>0.26600000000000001</v>
      </c>
      <c r="BG73" s="81">
        <v>-18.59</v>
      </c>
      <c r="BH73" s="81" t="s">
        <v>420</v>
      </c>
      <c r="BI73" s="166">
        <v>2E-16</v>
      </c>
      <c r="BJ73" s="81" t="s">
        <v>385</v>
      </c>
      <c r="BS73" s="81" t="s">
        <v>373</v>
      </c>
      <c r="BT73" s="81" t="s">
        <v>410</v>
      </c>
      <c r="BU73" s="166">
        <v>-5.22</v>
      </c>
      <c r="BV73" s="166">
        <v>1.5100000000000001E-2</v>
      </c>
      <c r="BW73" s="81">
        <v>-345.49</v>
      </c>
      <c r="BX73" s="81" t="s">
        <v>420</v>
      </c>
      <c r="BY73" s="166">
        <v>2E-16</v>
      </c>
      <c r="BZ73" s="81" t="s">
        <v>385</v>
      </c>
      <c r="CO73" s="243" t="s">
        <v>373</v>
      </c>
      <c r="CP73" s="243" t="s">
        <v>337</v>
      </c>
      <c r="CQ73" s="244">
        <v>0.23300000000000001</v>
      </c>
      <c r="CR73" s="244">
        <v>3.9800000000000002E-2</v>
      </c>
      <c r="CS73" s="243">
        <v>5.85</v>
      </c>
      <c r="CT73" s="244">
        <v>5.1000000000000002E-9</v>
      </c>
      <c r="CU73" s="243" t="s">
        <v>385</v>
      </c>
      <c r="CW73" s="245" t="s">
        <v>460</v>
      </c>
      <c r="CX73" s="251" t="s">
        <v>352</v>
      </c>
      <c r="CY73" s="246" t="s">
        <v>318</v>
      </c>
      <c r="CZ73" s="247">
        <v>30.990399745497765</v>
      </c>
      <c r="DA73" s="245" t="s">
        <v>317</v>
      </c>
      <c r="DB73" s="166">
        <f>1/(1/CZ73+1/CZ70)</f>
        <v>28.07999726976983</v>
      </c>
    </row>
    <row r="74" spans="55:106" thickTop="1" thickBot="1" x14ac:dyDescent="0.3">
      <c r="BC74" s="81" t="s">
        <v>373</v>
      </c>
      <c r="BD74" s="81" t="s">
        <v>412</v>
      </c>
      <c r="BE74" s="166">
        <v>-1.07</v>
      </c>
      <c r="BF74" s="166">
        <v>0.64</v>
      </c>
      <c r="BG74" s="81">
        <v>-1.68</v>
      </c>
      <c r="BH74" s="81">
        <v>9.3189999999999995E-2</v>
      </c>
      <c r="BI74" s="81" t="s">
        <v>428</v>
      </c>
      <c r="BS74" s="81" t="s">
        <v>373</v>
      </c>
      <c r="BT74" s="81" t="s">
        <v>411</v>
      </c>
      <c r="BU74" s="166">
        <v>-5.62</v>
      </c>
      <c r="BV74" s="166">
        <v>1.6E-2</v>
      </c>
      <c r="BW74" s="81">
        <v>-351.63</v>
      </c>
      <c r="BX74" s="81" t="s">
        <v>420</v>
      </c>
      <c r="BY74" s="166">
        <v>2E-16</v>
      </c>
      <c r="BZ74" s="81" t="s">
        <v>385</v>
      </c>
      <c r="CO74" s="243" t="s">
        <v>373</v>
      </c>
      <c r="CP74" s="243" t="s">
        <v>446</v>
      </c>
      <c r="CQ74" s="244">
        <v>0.22800000000000001</v>
      </c>
      <c r="CR74" s="244">
        <v>5.79E-3</v>
      </c>
      <c r="CS74" s="243">
        <v>39.31</v>
      </c>
      <c r="CT74" s="243" t="s">
        <v>420</v>
      </c>
      <c r="CU74" s="244">
        <v>2E-16</v>
      </c>
      <c r="CV74" s="81" t="s">
        <v>385</v>
      </c>
      <c r="CY74" s="246"/>
    </row>
    <row r="75" spans="55:106" thickTop="1" thickBot="1" x14ac:dyDescent="0.3">
      <c r="BC75" s="81" t="s">
        <v>373</v>
      </c>
      <c r="BD75" s="81" t="s">
        <v>414</v>
      </c>
      <c r="BE75" s="166">
        <v>9.0299999999999998E-3</v>
      </c>
      <c r="BF75" s="166">
        <v>1.08E-3</v>
      </c>
      <c r="BG75" s="81">
        <v>8.4</v>
      </c>
      <c r="BH75" s="81" t="s">
        <v>420</v>
      </c>
      <c r="BI75" s="166">
        <v>2E-16</v>
      </c>
      <c r="BJ75" s="81" t="s">
        <v>385</v>
      </c>
      <c r="BS75" s="81" t="s">
        <v>373</v>
      </c>
      <c r="BT75" s="81" t="s">
        <v>412</v>
      </c>
      <c r="BU75" s="166">
        <v>-5.44</v>
      </c>
      <c r="BV75" s="166">
        <v>1.4999999999999999E-2</v>
      </c>
      <c r="BW75" s="81">
        <v>-361.47</v>
      </c>
      <c r="BX75" s="81" t="s">
        <v>420</v>
      </c>
      <c r="BY75" s="166">
        <v>2E-16</v>
      </c>
      <c r="BZ75" s="81" t="s">
        <v>385</v>
      </c>
      <c r="CO75" s="243" t="s">
        <v>373</v>
      </c>
      <c r="CP75" s="243" t="s">
        <v>447</v>
      </c>
      <c r="CQ75" s="244">
        <v>0.14899999999999999</v>
      </c>
      <c r="CR75" s="244">
        <v>9.1000000000000004E-3</v>
      </c>
      <c r="CS75" s="243">
        <v>16.38</v>
      </c>
      <c r="CT75" s="243" t="s">
        <v>420</v>
      </c>
      <c r="CU75" s="244">
        <v>2E-16</v>
      </c>
      <c r="CV75" s="81" t="s">
        <v>385</v>
      </c>
      <c r="CW75" s="245" t="s">
        <v>460</v>
      </c>
      <c r="CX75" s="251" t="s">
        <v>424</v>
      </c>
      <c r="CY75" s="246" t="s">
        <v>318</v>
      </c>
      <c r="CZ75" s="247">
        <f>CQ112</f>
        <v>139000000</v>
      </c>
      <c r="DA75" s="245" t="s">
        <v>317</v>
      </c>
    </row>
    <row r="76" spans="55:106" thickTop="1" thickBot="1" x14ac:dyDescent="0.3">
      <c r="BC76" s="81" t="s">
        <v>373</v>
      </c>
      <c r="BD76" s="81" t="s">
        <v>415</v>
      </c>
      <c r="BE76" s="166">
        <v>531</v>
      </c>
      <c r="BF76" s="166">
        <v>102</v>
      </c>
      <c r="BG76" s="81">
        <v>5.22</v>
      </c>
      <c r="BH76" s="166">
        <v>1.9000000000000001E-7</v>
      </c>
      <c r="BI76" s="81" t="s">
        <v>385</v>
      </c>
      <c r="BS76" s="81" t="s">
        <v>373</v>
      </c>
      <c r="BT76" s="81" t="s">
        <v>414</v>
      </c>
      <c r="BU76" s="166">
        <v>1.01E-4</v>
      </c>
      <c r="BV76" s="166">
        <v>3.2899999999999998E-6</v>
      </c>
      <c r="BW76" s="81">
        <v>30.66</v>
      </c>
      <c r="BX76" s="81" t="s">
        <v>420</v>
      </c>
      <c r="BY76" s="166">
        <v>2E-16</v>
      </c>
      <c r="BZ76" s="81" t="s">
        <v>385</v>
      </c>
      <c r="CO76" s="243" t="s">
        <v>373</v>
      </c>
      <c r="CP76" s="243" t="s">
        <v>448</v>
      </c>
      <c r="CQ76" s="244">
        <v>0.51</v>
      </c>
      <c r="CR76" s="244">
        <v>9.8400000000000001E-2</v>
      </c>
      <c r="CS76" s="243">
        <v>5.19</v>
      </c>
      <c r="CT76" s="244">
        <v>2.2000000000000001E-7</v>
      </c>
      <c r="CU76" s="243" t="s">
        <v>385</v>
      </c>
      <c r="CW76" s="245" t="s">
        <v>460</v>
      </c>
      <c r="CX76" s="251" t="s">
        <v>359</v>
      </c>
      <c r="CY76" s="246" t="s">
        <v>318</v>
      </c>
      <c r="CZ76" s="247">
        <f>CQ113</f>
        <v>18800000</v>
      </c>
      <c r="DA76" s="245" t="s">
        <v>317</v>
      </c>
    </row>
    <row r="77" spans="55:106" thickTop="1" thickBot="1" x14ac:dyDescent="0.3">
      <c r="BC77" s="81" t="s">
        <v>373</v>
      </c>
      <c r="BD77" s="81" t="s">
        <v>416</v>
      </c>
      <c r="BE77" s="166">
        <v>697</v>
      </c>
      <c r="BF77" s="166">
        <v>233</v>
      </c>
      <c r="BG77" s="81">
        <v>2.99</v>
      </c>
      <c r="BH77" s="81">
        <v>2.7799999999999999E-3</v>
      </c>
      <c r="BI77" s="81" t="s">
        <v>398</v>
      </c>
      <c r="BS77" s="81" t="s">
        <v>373</v>
      </c>
      <c r="BT77" s="81" t="s">
        <v>415</v>
      </c>
      <c r="BU77" s="166">
        <v>252</v>
      </c>
      <c r="BV77" s="166">
        <v>1.62</v>
      </c>
      <c r="BW77" s="81">
        <v>155.62</v>
      </c>
      <c r="BX77" s="81" t="s">
        <v>420</v>
      </c>
      <c r="BY77" s="166">
        <v>2E-16</v>
      </c>
      <c r="BZ77" s="81" t="s">
        <v>385</v>
      </c>
      <c r="CO77" s="243" t="s">
        <v>373</v>
      </c>
      <c r="CP77" s="243" t="s">
        <v>338</v>
      </c>
      <c r="CQ77" s="244">
        <v>1.08E-5</v>
      </c>
      <c r="CR77" s="244">
        <v>2.3499999999999999E-4</v>
      </c>
      <c r="CS77" s="243">
        <v>0.05</v>
      </c>
      <c r="CT77" s="243">
        <v>0.96321000000000001</v>
      </c>
      <c r="CW77" s="245" t="s">
        <v>460</v>
      </c>
      <c r="CX77" s="251" t="s">
        <v>365</v>
      </c>
      <c r="CY77" s="246" t="s">
        <v>318</v>
      </c>
      <c r="CZ77" s="247">
        <f>CQ118</f>
        <v>192</v>
      </c>
      <c r="DA77" s="245" t="s">
        <v>317</v>
      </c>
    </row>
    <row r="78" spans="55:106" thickTop="1" thickBot="1" x14ac:dyDescent="0.3">
      <c r="BS78" s="81" t="s">
        <v>373</v>
      </c>
      <c r="BT78" s="81" t="s">
        <v>416</v>
      </c>
      <c r="BU78" s="166">
        <v>5430</v>
      </c>
      <c r="BV78" s="166">
        <v>185</v>
      </c>
      <c r="BW78" s="81">
        <v>29.43</v>
      </c>
      <c r="BX78" s="81" t="s">
        <v>420</v>
      </c>
      <c r="BY78" s="166">
        <v>2E-16</v>
      </c>
      <c r="BZ78" s="81" t="s">
        <v>385</v>
      </c>
      <c r="CO78" s="243" t="s">
        <v>373</v>
      </c>
      <c r="CP78" s="243" t="s">
        <v>449</v>
      </c>
      <c r="CQ78" s="244">
        <v>5.0499999999999999E-6</v>
      </c>
      <c r="CR78" s="244">
        <v>1.08E-4</v>
      </c>
      <c r="CS78" s="243">
        <v>0.05</v>
      </c>
      <c r="CT78" s="243">
        <v>0.96272999999999997</v>
      </c>
      <c r="CW78" s="245" t="s">
        <v>460</v>
      </c>
      <c r="CX78" s="251" t="s">
        <v>367</v>
      </c>
      <c r="CY78" s="246" t="s">
        <v>318</v>
      </c>
      <c r="CZ78" s="247">
        <f>CQ119</f>
        <v>2.63E-4</v>
      </c>
      <c r="DA78" s="245" t="s">
        <v>317</v>
      </c>
    </row>
    <row r="79" spans="55:106" thickTop="1" thickBot="1" x14ac:dyDescent="0.3">
      <c r="BC79" s="81" t="s">
        <v>373</v>
      </c>
      <c r="BD79" s="81" t="s">
        <v>374</v>
      </c>
      <c r="BE79" s="81" t="s">
        <v>429</v>
      </c>
      <c r="CO79" s="243" t="s">
        <v>373</v>
      </c>
      <c r="CP79" s="243" t="s">
        <v>450</v>
      </c>
      <c r="CQ79" s="244">
        <v>0.28999999999999998</v>
      </c>
      <c r="CR79" s="244">
        <v>8.9499999999999996E-2</v>
      </c>
      <c r="CS79" s="243">
        <v>3.24</v>
      </c>
      <c r="CT79" s="243">
        <v>1.1999999999999999E-3</v>
      </c>
      <c r="CU79" s="243" t="s">
        <v>398</v>
      </c>
      <c r="CW79" s="245" t="s">
        <v>460</v>
      </c>
      <c r="CX79" s="251" t="s">
        <v>369</v>
      </c>
      <c r="CY79" s="246" t="s">
        <v>318</v>
      </c>
      <c r="CZ79" s="247">
        <f>CQ120</f>
        <v>389</v>
      </c>
      <c r="DA79" s="245" t="s">
        <v>317</v>
      </c>
    </row>
    <row r="80" spans="55:106" thickTop="1" thickBot="1" x14ac:dyDescent="0.3">
      <c r="BC80" s="81" t="s">
        <v>373</v>
      </c>
      <c r="BD80" s="81" t="s">
        <v>376</v>
      </c>
      <c r="CO80" s="243" t="s">
        <v>373</v>
      </c>
      <c r="CP80" s="243" t="s">
        <v>451</v>
      </c>
      <c r="CQ80" s="244">
        <v>0.42799999999999999</v>
      </c>
      <c r="CR80" s="244">
        <v>2.5999999999999999E-2</v>
      </c>
      <c r="CS80" s="243">
        <v>16.47</v>
      </c>
      <c r="CT80" s="243" t="s">
        <v>420</v>
      </c>
      <c r="CU80" s="244">
        <v>2E-16</v>
      </c>
      <c r="CV80" s="81" t="s">
        <v>385</v>
      </c>
    </row>
    <row r="81" spans="55:100" thickTop="1" thickBot="1" x14ac:dyDescent="0.3">
      <c r="BC81" s="81" t="s">
        <v>373</v>
      </c>
      <c r="BD81" s="81" t="s">
        <v>377</v>
      </c>
      <c r="BE81" s="81" t="s">
        <v>378</v>
      </c>
      <c r="BF81" s="81" t="s">
        <v>379</v>
      </c>
      <c r="BG81" s="81" t="s">
        <v>380</v>
      </c>
      <c r="BH81" s="81" t="s">
        <v>381</v>
      </c>
      <c r="BI81" s="81" t="s">
        <v>382</v>
      </c>
      <c r="BS81" s="81" t="s">
        <v>373</v>
      </c>
      <c r="BT81" s="81" t="s">
        <v>374</v>
      </c>
      <c r="BU81" s="81" t="s">
        <v>421</v>
      </c>
      <c r="CO81" s="243" t="s">
        <v>373</v>
      </c>
      <c r="CP81" s="243" t="s">
        <v>452</v>
      </c>
      <c r="CQ81" s="244">
        <v>5.2100000000000001E-6</v>
      </c>
      <c r="CR81" s="244">
        <v>1.01E-4</v>
      </c>
      <c r="CS81" s="243">
        <v>0.05</v>
      </c>
      <c r="CT81" s="243">
        <v>0.95894999999999997</v>
      </c>
    </row>
    <row r="82" spans="55:100" thickTop="1" thickBot="1" x14ac:dyDescent="0.3">
      <c r="BC82" s="81" t="s">
        <v>373</v>
      </c>
      <c r="BD82" s="81" t="s">
        <v>422</v>
      </c>
      <c r="BE82" s="166">
        <v>291</v>
      </c>
      <c r="BF82" s="166">
        <v>0.112</v>
      </c>
      <c r="BG82" s="81">
        <v>2609.3000000000002</v>
      </c>
      <c r="BH82" s="81" t="s">
        <v>420</v>
      </c>
      <c r="BI82" s="166">
        <v>2E-16</v>
      </c>
      <c r="BJ82" s="81" t="s">
        <v>385</v>
      </c>
      <c r="BS82" s="81" t="s">
        <v>373</v>
      </c>
      <c r="BT82" s="81" t="s">
        <v>376</v>
      </c>
      <c r="CO82" s="243" t="s">
        <v>373</v>
      </c>
      <c r="CP82" s="243" t="s">
        <v>453</v>
      </c>
      <c r="CQ82" s="244">
        <v>0.49099999999999999</v>
      </c>
      <c r="CR82" s="244">
        <v>1.26E-2</v>
      </c>
      <c r="CS82" s="243">
        <v>39.04</v>
      </c>
      <c r="CT82" s="243" t="s">
        <v>420</v>
      </c>
      <c r="CU82" s="244">
        <v>2E-16</v>
      </c>
      <c r="CV82" s="81" t="s">
        <v>385</v>
      </c>
    </row>
    <row r="83" spans="55:100" thickTop="1" thickBot="1" x14ac:dyDescent="0.3">
      <c r="BC83" s="81" t="s">
        <v>373</v>
      </c>
      <c r="BD83" s="81" t="s">
        <v>423</v>
      </c>
      <c r="BE83" s="166">
        <v>291</v>
      </c>
      <c r="BF83" s="166">
        <v>3.9800000000000002E-2</v>
      </c>
      <c r="BG83" s="81">
        <v>7295.15</v>
      </c>
      <c r="BH83" s="81" t="s">
        <v>420</v>
      </c>
      <c r="BI83" s="166">
        <v>2E-16</v>
      </c>
      <c r="BJ83" s="81" t="s">
        <v>385</v>
      </c>
      <c r="BS83" s="81" t="s">
        <v>373</v>
      </c>
      <c r="BT83" s="81" t="s">
        <v>377</v>
      </c>
      <c r="BU83" s="81" t="s">
        <v>378</v>
      </c>
      <c r="BV83" s="81" t="s">
        <v>379</v>
      </c>
      <c r="BW83" s="81" t="s">
        <v>380</v>
      </c>
      <c r="BX83" s="81" t="s">
        <v>381</v>
      </c>
      <c r="BY83" s="81" t="s">
        <v>382</v>
      </c>
      <c r="CO83" s="243" t="s">
        <v>373</v>
      </c>
      <c r="CP83" s="243" t="s">
        <v>454</v>
      </c>
      <c r="CQ83" s="244">
        <v>0.28100000000000003</v>
      </c>
      <c r="CR83" s="244">
        <v>2.1999999999999999E-2</v>
      </c>
      <c r="CS83" s="243">
        <v>12.8</v>
      </c>
      <c r="CT83" s="243" t="s">
        <v>420</v>
      </c>
      <c r="CU83" s="244">
        <v>2E-16</v>
      </c>
      <c r="CV83" s="81" t="s">
        <v>385</v>
      </c>
    </row>
    <row r="84" spans="55:100" thickTop="1" thickBot="1" x14ac:dyDescent="0.3">
      <c r="BC84" s="81" t="s">
        <v>373</v>
      </c>
      <c r="BD84" s="81" t="s">
        <v>353</v>
      </c>
      <c r="BE84" s="166">
        <v>6.6500000000000004E-2</v>
      </c>
      <c r="BF84" s="166">
        <v>1.2700000000000001E-3</v>
      </c>
      <c r="BG84" s="81">
        <v>52.59</v>
      </c>
      <c r="BH84" s="81" t="s">
        <v>420</v>
      </c>
      <c r="BI84" s="166">
        <v>2E-16</v>
      </c>
      <c r="BJ84" s="81" t="s">
        <v>385</v>
      </c>
      <c r="BS84" s="81" t="s">
        <v>373</v>
      </c>
      <c r="BT84" s="81" t="s">
        <v>422</v>
      </c>
      <c r="BU84" s="166">
        <v>289</v>
      </c>
      <c r="BV84" s="166">
        <v>0.34499999999999997</v>
      </c>
      <c r="BW84" s="81">
        <v>837.17</v>
      </c>
      <c r="BX84" s="81" t="s">
        <v>420</v>
      </c>
      <c r="BY84" s="166">
        <v>2E-16</v>
      </c>
      <c r="BZ84" s="81" t="s">
        <v>385</v>
      </c>
      <c r="CO84" s="243" t="s">
        <v>373</v>
      </c>
      <c r="CP84" s="243" t="s">
        <v>303</v>
      </c>
      <c r="CQ84" s="244">
        <v>983000000</v>
      </c>
      <c r="CR84" s="244">
        <v>254000000</v>
      </c>
      <c r="CS84" s="243">
        <v>3.86</v>
      </c>
      <c r="CT84" s="243">
        <v>1.1E-4</v>
      </c>
      <c r="CU84" s="243" t="s">
        <v>385</v>
      </c>
    </row>
    <row r="85" spans="55:100" thickTop="1" thickBot="1" x14ac:dyDescent="0.3">
      <c r="BC85" s="81" t="s">
        <v>373</v>
      </c>
      <c r="BD85" s="81" t="s">
        <v>355</v>
      </c>
      <c r="BE85" s="166">
        <v>0.246</v>
      </c>
      <c r="BF85" s="166">
        <v>7.6600000000000001E-3</v>
      </c>
      <c r="BG85" s="81">
        <v>32.04</v>
      </c>
      <c r="BH85" s="81" t="s">
        <v>420</v>
      </c>
      <c r="BI85" s="166">
        <v>2E-16</v>
      </c>
      <c r="BJ85" s="81" t="s">
        <v>385</v>
      </c>
      <c r="BS85" s="81" t="s">
        <v>373</v>
      </c>
      <c r="BT85" s="81" t="s">
        <v>423</v>
      </c>
      <c r="BU85" s="166">
        <v>292</v>
      </c>
      <c r="BV85" s="166">
        <v>0.36699999999999999</v>
      </c>
      <c r="BW85" s="81">
        <v>796.26</v>
      </c>
      <c r="BX85" s="81" t="s">
        <v>420</v>
      </c>
      <c r="BY85" s="166">
        <v>2E-16</v>
      </c>
      <c r="BZ85" s="81" t="s">
        <v>385</v>
      </c>
      <c r="CO85" s="243" t="s">
        <v>373</v>
      </c>
      <c r="CP85" s="243" t="s">
        <v>395</v>
      </c>
      <c r="CQ85" s="244">
        <v>1470000</v>
      </c>
      <c r="CR85" s="244">
        <v>22600</v>
      </c>
      <c r="CS85" s="243">
        <v>65.06</v>
      </c>
      <c r="CT85" s="243" t="s">
        <v>420</v>
      </c>
      <c r="CU85" s="244">
        <v>2E-16</v>
      </c>
      <c r="CV85" s="81" t="s">
        <v>385</v>
      </c>
    </row>
    <row r="86" spans="55:100" thickTop="1" thickBot="1" x14ac:dyDescent="0.3">
      <c r="BC86" s="81" t="s">
        <v>373</v>
      </c>
      <c r="BD86" s="81" t="s">
        <v>424</v>
      </c>
      <c r="BE86" s="166">
        <v>248000</v>
      </c>
      <c r="BF86" s="166">
        <v>22200</v>
      </c>
      <c r="BG86" s="81">
        <v>11.17</v>
      </c>
      <c r="BH86" s="81" t="s">
        <v>420</v>
      </c>
      <c r="BI86" s="166">
        <v>2E-16</v>
      </c>
      <c r="BJ86" s="81" t="s">
        <v>385</v>
      </c>
      <c r="BS86" s="81" t="s">
        <v>373</v>
      </c>
      <c r="BT86" s="81" t="s">
        <v>353</v>
      </c>
      <c r="BU86" s="166">
        <v>9.84</v>
      </c>
      <c r="BV86" s="166">
        <v>1.27</v>
      </c>
      <c r="BW86" s="81">
        <v>7.73</v>
      </c>
      <c r="BX86" s="166">
        <v>1.4E-14</v>
      </c>
      <c r="BY86" s="81" t="s">
        <v>385</v>
      </c>
      <c r="CO86" s="243" t="s">
        <v>373</v>
      </c>
      <c r="CP86" s="243" t="s">
        <v>296</v>
      </c>
      <c r="CQ86" s="244">
        <v>209000000</v>
      </c>
      <c r="CR86" s="244">
        <v>18900000</v>
      </c>
      <c r="CS86" s="243">
        <v>11.04</v>
      </c>
      <c r="CT86" s="243" t="s">
        <v>420</v>
      </c>
      <c r="CU86" s="244">
        <v>2E-16</v>
      </c>
      <c r="CV86" s="81" t="s">
        <v>385</v>
      </c>
    </row>
    <row r="87" spans="55:100" thickTop="1" thickBot="1" x14ac:dyDescent="0.3">
      <c r="BC87" s="81" t="s">
        <v>373</v>
      </c>
      <c r="BD87" s="81" t="s">
        <v>359</v>
      </c>
      <c r="BE87" s="166">
        <v>6990000</v>
      </c>
      <c r="BF87" s="166">
        <v>43300</v>
      </c>
      <c r="BG87" s="81">
        <v>161.22</v>
      </c>
      <c r="BH87" s="81" t="s">
        <v>420</v>
      </c>
      <c r="BI87" s="166">
        <v>2E-16</v>
      </c>
      <c r="BJ87" s="81" t="s">
        <v>385</v>
      </c>
      <c r="BS87" s="81" t="s">
        <v>373</v>
      </c>
      <c r="BT87" s="81" t="s">
        <v>355</v>
      </c>
      <c r="BU87" s="166">
        <v>1.35</v>
      </c>
      <c r="BV87" s="166">
        <v>0.24399999999999999</v>
      </c>
      <c r="BW87" s="81">
        <v>5.54</v>
      </c>
      <c r="BX87" s="166">
        <v>3.1E-8</v>
      </c>
      <c r="BY87" s="81" t="s">
        <v>385</v>
      </c>
      <c r="CO87" s="243" t="s">
        <v>373</v>
      </c>
      <c r="CP87" s="243" t="s">
        <v>298</v>
      </c>
      <c r="CQ87" s="244">
        <v>44900000</v>
      </c>
      <c r="CR87" s="244">
        <v>46000000</v>
      </c>
      <c r="CS87" s="243">
        <v>0.98</v>
      </c>
      <c r="CT87" s="243">
        <v>0.32911000000000001</v>
      </c>
    </row>
    <row r="88" spans="55:100" thickTop="1" thickBot="1" x14ac:dyDescent="0.3">
      <c r="BC88" s="81" t="s">
        <v>373</v>
      </c>
      <c r="BD88" s="81" t="s">
        <v>401</v>
      </c>
      <c r="BE88" s="166">
        <v>3.27</v>
      </c>
      <c r="BF88" s="166">
        <v>0.71599999999999997</v>
      </c>
      <c r="BG88" s="81">
        <v>4.57</v>
      </c>
      <c r="BH88" s="166">
        <v>5.2000000000000002E-6</v>
      </c>
      <c r="BI88" s="81" t="s">
        <v>385</v>
      </c>
      <c r="BS88" s="81" t="s">
        <v>373</v>
      </c>
      <c r="BT88" s="81" t="s">
        <v>424</v>
      </c>
      <c r="BU88" s="166">
        <v>139000000</v>
      </c>
      <c r="BV88" s="166">
        <v>35000000</v>
      </c>
      <c r="BW88" s="81">
        <v>3.98</v>
      </c>
      <c r="BX88" s="166">
        <v>6.8999999999999997E-5</v>
      </c>
      <c r="BY88" s="81" t="s">
        <v>385</v>
      </c>
      <c r="CO88" s="243" t="s">
        <v>373</v>
      </c>
      <c r="CP88" s="243" t="s">
        <v>396</v>
      </c>
      <c r="CQ88" s="244">
        <v>-23.7</v>
      </c>
      <c r="CR88" s="244">
        <v>34.4</v>
      </c>
      <c r="CS88" s="243">
        <v>-0.69</v>
      </c>
      <c r="CT88" s="243">
        <v>0.49064999999999998</v>
      </c>
    </row>
    <row r="89" spans="55:100" thickTop="1" thickBot="1" x14ac:dyDescent="0.3">
      <c r="BC89" s="81" t="s">
        <v>373</v>
      </c>
      <c r="BD89" s="81" t="s">
        <v>425</v>
      </c>
      <c r="BE89" s="166">
        <v>-1.33</v>
      </c>
      <c r="BF89" s="166">
        <v>0.96699999999999997</v>
      </c>
      <c r="BG89" s="81">
        <v>-1.38</v>
      </c>
      <c r="BH89" s="81">
        <v>0.17</v>
      </c>
      <c r="BS89" s="81" t="s">
        <v>373</v>
      </c>
      <c r="BT89" s="81" t="s">
        <v>359</v>
      </c>
      <c r="BU89" s="166">
        <v>18800000</v>
      </c>
      <c r="BV89" s="166">
        <v>2330000</v>
      </c>
      <c r="BW89" s="81">
        <v>8.09</v>
      </c>
      <c r="BX89" s="166">
        <v>6.7000000000000004E-16</v>
      </c>
      <c r="BY89" s="81" t="s">
        <v>385</v>
      </c>
      <c r="CO89" s="243" t="s">
        <v>373</v>
      </c>
      <c r="CP89" s="243" t="s">
        <v>397</v>
      </c>
      <c r="CQ89" s="244">
        <v>-27.2</v>
      </c>
      <c r="CR89" s="244">
        <v>55.6</v>
      </c>
      <c r="CS89" s="243">
        <v>-0.49</v>
      </c>
      <c r="CT89" s="243">
        <v>0.62444999999999995</v>
      </c>
    </row>
    <row r="90" spans="55:100" thickTop="1" thickBot="1" x14ac:dyDescent="0.3">
      <c r="BC90" s="81" t="s">
        <v>373</v>
      </c>
      <c r="BD90" s="81" t="s">
        <v>430</v>
      </c>
      <c r="BE90" s="166">
        <v>5.4399999999999997E-2</v>
      </c>
      <c r="BF90" s="166">
        <v>1.76E-4</v>
      </c>
      <c r="BG90" s="81">
        <v>309.37</v>
      </c>
      <c r="BH90" s="81" t="s">
        <v>420</v>
      </c>
      <c r="BI90" s="166">
        <v>2E-16</v>
      </c>
      <c r="BJ90" s="81" t="s">
        <v>385</v>
      </c>
      <c r="BS90" s="81" t="s">
        <v>373</v>
      </c>
      <c r="BT90" s="81" t="s">
        <v>401</v>
      </c>
      <c r="BU90" s="166">
        <v>8.0500000000000007</v>
      </c>
      <c r="BV90" s="166">
        <v>5.5100000000000003E-2</v>
      </c>
      <c r="BW90" s="81">
        <v>146.16999999999999</v>
      </c>
      <c r="BX90" s="81" t="s">
        <v>420</v>
      </c>
      <c r="BY90" s="166">
        <v>2E-16</v>
      </c>
      <c r="BZ90" s="81" t="s">
        <v>385</v>
      </c>
      <c r="CO90" s="243" t="s">
        <v>373</v>
      </c>
      <c r="CP90" s="243" t="s">
        <v>399</v>
      </c>
      <c r="CQ90" s="244">
        <v>-27</v>
      </c>
      <c r="CR90" s="244">
        <v>52.1</v>
      </c>
      <c r="CS90" s="243">
        <v>-0.52</v>
      </c>
      <c r="CT90" s="243">
        <v>0.60479000000000005</v>
      </c>
    </row>
    <row r="91" spans="55:100" thickTop="1" thickBot="1" x14ac:dyDescent="0.3">
      <c r="BC91" s="81" t="s">
        <v>373</v>
      </c>
      <c r="BD91" s="81" t="s">
        <v>431</v>
      </c>
      <c r="BE91" s="166">
        <v>0.16</v>
      </c>
      <c r="BF91" s="166">
        <v>5.0500000000000002E-4</v>
      </c>
      <c r="BG91" s="81">
        <v>315.95999999999998</v>
      </c>
      <c r="BH91" s="81" t="s">
        <v>420</v>
      </c>
      <c r="BI91" s="166">
        <v>2E-16</v>
      </c>
      <c r="BJ91" s="81" t="s">
        <v>385</v>
      </c>
      <c r="BS91" s="81" t="s">
        <v>373</v>
      </c>
      <c r="BT91" s="81" t="s">
        <v>425</v>
      </c>
      <c r="BU91" s="166">
        <v>10</v>
      </c>
      <c r="BV91" s="166">
        <v>2.14E-3</v>
      </c>
      <c r="BW91" s="81">
        <v>4675.1499999999996</v>
      </c>
      <c r="BX91" s="81" t="s">
        <v>420</v>
      </c>
      <c r="BY91" s="166">
        <v>2E-16</v>
      </c>
      <c r="BZ91" s="81" t="s">
        <v>385</v>
      </c>
      <c r="CO91" s="243" t="s">
        <v>373</v>
      </c>
      <c r="CP91" s="243" t="s">
        <v>400</v>
      </c>
      <c r="CQ91" s="244">
        <v>-22.2</v>
      </c>
      <c r="CR91" s="244">
        <v>44.5</v>
      </c>
      <c r="CS91" s="243">
        <v>-0.5</v>
      </c>
      <c r="CT91" s="243">
        <v>0.61756</v>
      </c>
    </row>
    <row r="92" spans="55:100" thickTop="1" thickBot="1" x14ac:dyDescent="0.3">
      <c r="BC92" s="81" t="s">
        <v>373</v>
      </c>
      <c r="BD92" s="81" t="s">
        <v>413</v>
      </c>
      <c r="BE92" s="166">
        <v>-6.96</v>
      </c>
      <c r="BF92" s="166">
        <v>3.44E-2</v>
      </c>
      <c r="BG92" s="81">
        <v>-202.39</v>
      </c>
      <c r="BH92" s="81" t="s">
        <v>420</v>
      </c>
      <c r="BI92" s="166">
        <v>2E-16</v>
      </c>
      <c r="BJ92" s="81" t="s">
        <v>385</v>
      </c>
      <c r="BS92" s="81" t="s">
        <v>373</v>
      </c>
      <c r="BT92" s="81" t="s">
        <v>413</v>
      </c>
      <c r="BU92" s="166">
        <v>-4.74</v>
      </c>
      <c r="BV92" s="166">
        <v>3.8199999999999998E-2</v>
      </c>
      <c r="BW92" s="81">
        <v>-124.2</v>
      </c>
      <c r="BX92" s="81" t="s">
        <v>420</v>
      </c>
      <c r="BY92" s="166">
        <v>2E-16</v>
      </c>
      <c r="BZ92" s="81" t="s">
        <v>385</v>
      </c>
      <c r="CO92" s="243" t="s">
        <v>373</v>
      </c>
      <c r="CP92" s="243" t="s">
        <v>402</v>
      </c>
      <c r="CQ92" s="244">
        <v>0.16500000000000001</v>
      </c>
      <c r="CR92" s="244">
        <v>4.6799999999999999E-4</v>
      </c>
      <c r="CS92" s="243">
        <v>353.04</v>
      </c>
      <c r="CT92" s="243" t="s">
        <v>420</v>
      </c>
      <c r="CU92" s="244">
        <v>2E-16</v>
      </c>
      <c r="CV92" s="81" t="s">
        <v>385</v>
      </c>
    </row>
    <row r="93" spans="55:100" thickTop="1" thickBot="1" x14ac:dyDescent="0.3">
      <c r="BC93" s="81" t="s">
        <v>373</v>
      </c>
      <c r="BD93" s="81" t="s">
        <v>426</v>
      </c>
      <c r="BE93" s="166">
        <v>-3.98</v>
      </c>
      <c r="BF93" s="166">
        <v>4.7100000000000003E-2</v>
      </c>
      <c r="BG93" s="81">
        <v>-84.36</v>
      </c>
      <c r="BH93" s="81" t="s">
        <v>420</v>
      </c>
      <c r="BI93" s="166">
        <v>2E-16</v>
      </c>
      <c r="BJ93" s="81" t="s">
        <v>385</v>
      </c>
      <c r="BS93" s="81" t="s">
        <v>373</v>
      </c>
      <c r="BT93" s="81" t="s">
        <v>426</v>
      </c>
      <c r="BU93" s="166">
        <v>-4.71</v>
      </c>
      <c r="BV93" s="166">
        <v>4.3700000000000003E-2</v>
      </c>
      <c r="BW93" s="81">
        <v>-107.8</v>
      </c>
      <c r="BX93" s="81" t="s">
        <v>420</v>
      </c>
      <c r="BY93" s="166">
        <v>2E-16</v>
      </c>
      <c r="BZ93" s="81" t="s">
        <v>385</v>
      </c>
      <c r="CO93" s="243" t="s">
        <v>373</v>
      </c>
      <c r="CP93" s="243" t="s">
        <v>403</v>
      </c>
      <c r="CQ93" s="244">
        <v>5.8400000000000001E-2</v>
      </c>
      <c r="CR93" s="244">
        <v>1.4899999999999999E-4</v>
      </c>
      <c r="CS93" s="243">
        <v>393.04</v>
      </c>
      <c r="CT93" s="243" t="s">
        <v>420</v>
      </c>
      <c r="CU93" s="244">
        <v>2E-16</v>
      </c>
      <c r="CV93" s="81" t="s">
        <v>385</v>
      </c>
    </row>
    <row r="94" spans="55:100" thickTop="1" thickBot="1" x14ac:dyDescent="0.3">
      <c r="BC94" s="81" t="s">
        <v>373</v>
      </c>
      <c r="BD94" s="81" t="s">
        <v>365</v>
      </c>
      <c r="BE94" s="166">
        <v>476</v>
      </c>
      <c r="BF94" s="166">
        <v>0.70699999999999996</v>
      </c>
      <c r="BG94" s="81">
        <v>673.36</v>
      </c>
      <c r="BH94" s="81" t="s">
        <v>420</v>
      </c>
      <c r="BI94" s="166">
        <v>2E-16</v>
      </c>
      <c r="BJ94" s="81" t="s">
        <v>385</v>
      </c>
      <c r="BS94" s="81" t="s">
        <v>373</v>
      </c>
      <c r="BT94" s="81" t="s">
        <v>365</v>
      </c>
      <c r="BU94" s="166">
        <v>192</v>
      </c>
      <c r="BV94" s="166">
        <v>3.81</v>
      </c>
      <c r="BW94" s="81">
        <v>50.34</v>
      </c>
      <c r="BX94" s="81" t="s">
        <v>420</v>
      </c>
      <c r="BY94" s="166">
        <v>2E-16</v>
      </c>
      <c r="BZ94" s="81" t="s">
        <v>385</v>
      </c>
      <c r="CO94" s="243" t="s">
        <v>373</v>
      </c>
      <c r="CP94" s="243" t="s">
        <v>404</v>
      </c>
      <c r="CQ94" s="244">
        <v>0.61099999999999999</v>
      </c>
      <c r="CR94" s="244">
        <v>6.2500000000000003E-3</v>
      </c>
      <c r="CS94" s="243">
        <v>97.86</v>
      </c>
      <c r="CT94" s="243" t="s">
        <v>420</v>
      </c>
      <c r="CU94" s="244">
        <v>2E-16</v>
      </c>
      <c r="CV94" s="81" t="s">
        <v>385</v>
      </c>
    </row>
    <row r="95" spans="55:100" thickTop="1" thickBot="1" x14ac:dyDescent="0.3">
      <c r="BC95" s="81" t="s">
        <v>373</v>
      </c>
      <c r="BD95" s="81" t="s">
        <v>367</v>
      </c>
      <c r="BE95" s="166">
        <v>3410</v>
      </c>
      <c r="BF95" s="166">
        <v>3.6</v>
      </c>
      <c r="BG95" s="81">
        <v>945.88</v>
      </c>
      <c r="BH95" s="81" t="s">
        <v>420</v>
      </c>
      <c r="BI95" s="166">
        <v>2E-16</v>
      </c>
      <c r="BJ95" s="81" t="s">
        <v>385</v>
      </c>
      <c r="BS95" s="81" t="s">
        <v>373</v>
      </c>
      <c r="BT95" s="81" t="s">
        <v>367</v>
      </c>
      <c r="BU95" s="166">
        <v>2.63E-4</v>
      </c>
      <c r="BV95" s="166">
        <v>6.5899999999999997E-4</v>
      </c>
      <c r="BW95" s="81">
        <v>0.4</v>
      </c>
      <c r="BX95" s="81">
        <v>0.69</v>
      </c>
      <c r="CO95" s="243" t="s">
        <v>373</v>
      </c>
      <c r="CP95" s="243" t="s">
        <v>405</v>
      </c>
      <c r="CQ95" s="244">
        <v>0.11700000000000001</v>
      </c>
      <c r="CR95" s="244">
        <v>3.21E-4</v>
      </c>
      <c r="CS95" s="243">
        <v>365</v>
      </c>
      <c r="CT95" s="243" t="s">
        <v>420</v>
      </c>
      <c r="CU95" s="244">
        <v>2E-16</v>
      </c>
      <c r="CV95" s="81" t="s">
        <v>385</v>
      </c>
    </row>
    <row r="96" spans="55:100" thickTop="1" thickBot="1" x14ac:dyDescent="0.3">
      <c r="BC96" s="81" t="s">
        <v>373</v>
      </c>
      <c r="BD96" s="81" t="s">
        <v>369</v>
      </c>
      <c r="BE96" s="166">
        <v>989</v>
      </c>
      <c r="BF96" s="166">
        <v>2.68</v>
      </c>
      <c r="BG96" s="81">
        <v>369.05</v>
      </c>
      <c r="BH96" s="81" t="s">
        <v>420</v>
      </c>
      <c r="BI96" s="166">
        <v>2E-16</v>
      </c>
      <c r="BJ96" s="81" t="s">
        <v>385</v>
      </c>
      <c r="BS96" s="81" t="s">
        <v>373</v>
      </c>
      <c r="BT96" s="81" t="s">
        <v>369</v>
      </c>
      <c r="BU96" s="166">
        <v>389</v>
      </c>
      <c r="BV96" s="166">
        <v>9.27</v>
      </c>
      <c r="BW96" s="81">
        <v>41.99</v>
      </c>
      <c r="BX96" s="81" t="s">
        <v>420</v>
      </c>
      <c r="BY96" s="166">
        <v>2E-16</v>
      </c>
      <c r="BZ96" s="81" t="s">
        <v>385</v>
      </c>
      <c r="CO96" s="243" t="s">
        <v>373</v>
      </c>
      <c r="CP96" s="243" t="s">
        <v>407</v>
      </c>
      <c r="CQ96" s="244">
        <v>299</v>
      </c>
      <c r="CR96" s="244">
        <v>1.56</v>
      </c>
      <c r="CS96" s="243">
        <v>191.52</v>
      </c>
      <c r="CT96" s="243" t="s">
        <v>420</v>
      </c>
      <c r="CU96" s="244">
        <v>2E-16</v>
      </c>
      <c r="CV96" s="81" t="s">
        <v>385</v>
      </c>
    </row>
    <row r="97" spans="93:100" thickTop="1" thickBot="1" x14ac:dyDescent="0.3">
      <c r="CO97" s="243" t="s">
        <v>373</v>
      </c>
      <c r="CP97" s="243" t="s">
        <v>290</v>
      </c>
      <c r="CQ97" s="244">
        <v>120</v>
      </c>
      <c r="CR97" s="244">
        <v>0.91400000000000003</v>
      </c>
      <c r="CS97" s="243">
        <v>131.32</v>
      </c>
      <c r="CT97" s="243" t="s">
        <v>420</v>
      </c>
      <c r="CU97" s="244">
        <v>2E-16</v>
      </c>
      <c r="CV97" s="81" t="s">
        <v>385</v>
      </c>
    </row>
    <row r="98" spans="93:100" thickTop="1" thickBot="1" x14ac:dyDescent="0.3">
      <c r="CO98" s="243" t="s">
        <v>373</v>
      </c>
      <c r="CP98" s="243" t="s">
        <v>120</v>
      </c>
      <c r="CQ98" s="244">
        <v>69.3</v>
      </c>
      <c r="CR98" s="244">
        <v>2.36</v>
      </c>
      <c r="CS98" s="243">
        <v>29.37</v>
      </c>
      <c r="CT98" s="243" t="s">
        <v>420</v>
      </c>
      <c r="CU98" s="244">
        <v>2E-16</v>
      </c>
      <c r="CV98" s="81" t="s">
        <v>385</v>
      </c>
    </row>
    <row r="99" spans="93:100" thickTop="1" thickBot="1" x14ac:dyDescent="0.3">
      <c r="CO99" s="243" t="s">
        <v>373</v>
      </c>
      <c r="CP99" s="243" t="s">
        <v>409</v>
      </c>
      <c r="CQ99" s="244">
        <v>-5.15</v>
      </c>
      <c r="CR99" s="244">
        <v>1.44E-2</v>
      </c>
      <c r="CS99" s="243">
        <v>-357.79</v>
      </c>
      <c r="CT99" s="243" t="s">
        <v>420</v>
      </c>
      <c r="CU99" s="244">
        <v>2E-16</v>
      </c>
      <c r="CV99" s="81" t="s">
        <v>385</v>
      </c>
    </row>
    <row r="100" spans="93:100" thickTop="1" thickBot="1" x14ac:dyDescent="0.3">
      <c r="CO100" s="243" t="s">
        <v>373</v>
      </c>
      <c r="CP100" s="243" t="s">
        <v>410</v>
      </c>
      <c r="CQ100" s="244">
        <v>-5.23</v>
      </c>
      <c r="CR100" s="244">
        <v>1.43E-2</v>
      </c>
      <c r="CS100" s="243">
        <v>-365.46</v>
      </c>
      <c r="CT100" s="243" t="s">
        <v>420</v>
      </c>
      <c r="CU100" s="244">
        <v>2E-16</v>
      </c>
      <c r="CV100" s="81" t="s">
        <v>385</v>
      </c>
    </row>
    <row r="101" spans="93:100" thickTop="1" thickBot="1" x14ac:dyDescent="0.3">
      <c r="CO101" s="243" t="s">
        <v>373</v>
      </c>
      <c r="CP101" s="243" t="s">
        <v>411</v>
      </c>
      <c r="CQ101" s="244">
        <v>-5.62</v>
      </c>
      <c r="CR101" s="244">
        <v>1.52E-2</v>
      </c>
      <c r="CS101" s="243">
        <v>-368.65</v>
      </c>
      <c r="CT101" s="243" t="s">
        <v>420</v>
      </c>
      <c r="CU101" s="244">
        <v>2E-16</v>
      </c>
      <c r="CV101" s="81" t="s">
        <v>385</v>
      </c>
    </row>
    <row r="102" spans="93:100" thickTop="1" thickBot="1" x14ac:dyDescent="0.3">
      <c r="CO102" s="243" t="s">
        <v>373</v>
      </c>
      <c r="CP102" s="243" t="s">
        <v>412</v>
      </c>
      <c r="CQ102" s="244">
        <v>-5.45</v>
      </c>
      <c r="CR102" s="244">
        <v>1.5299999999999999E-2</v>
      </c>
      <c r="CS102" s="243">
        <v>-356.26</v>
      </c>
      <c r="CT102" s="243" t="s">
        <v>420</v>
      </c>
      <c r="CU102" s="244">
        <v>2E-16</v>
      </c>
      <c r="CV102" s="81" t="s">
        <v>385</v>
      </c>
    </row>
    <row r="103" spans="93:100" thickTop="1" thickBot="1" x14ac:dyDescent="0.3">
      <c r="CO103" s="243" t="s">
        <v>373</v>
      </c>
      <c r="CP103" s="243" t="s">
        <v>414</v>
      </c>
      <c r="CQ103" s="244">
        <v>1.01E-4</v>
      </c>
      <c r="CR103" s="244">
        <v>3.6799999999999999E-6</v>
      </c>
      <c r="CS103" s="243">
        <v>27.33</v>
      </c>
      <c r="CT103" s="243" t="s">
        <v>420</v>
      </c>
      <c r="CU103" s="244">
        <v>2E-16</v>
      </c>
      <c r="CV103" s="81" t="s">
        <v>385</v>
      </c>
    </row>
    <row r="104" spans="93:100" thickTop="1" thickBot="1" x14ac:dyDescent="0.3">
      <c r="CO104" s="243" t="s">
        <v>373</v>
      </c>
      <c r="CP104" s="243" t="s">
        <v>415</v>
      </c>
      <c r="CQ104" s="244">
        <v>252</v>
      </c>
      <c r="CR104" s="244">
        <v>1.6</v>
      </c>
      <c r="CS104" s="243">
        <v>157.04</v>
      </c>
      <c r="CT104" s="243" t="s">
        <v>420</v>
      </c>
      <c r="CU104" s="244">
        <v>2E-16</v>
      </c>
      <c r="CV104" s="81" t="s">
        <v>385</v>
      </c>
    </row>
    <row r="105" spans="93:100" thickTop="1" thickBot="1" x14ac:dyDescent="0.3">
      <c r="CO105" s="243" t="s">
        <v>373</v>
      </c>
      <c r="CP105" s="243" t="s">
        <v>416</v>
      </c>
      <c r="CQ105" s="244">
        <v>5610</v>
      </c>
      <c r="CR105" s="244">
        <v>2280</v>
      </c>
      <c r="CS105" s="243">
        <v>2.46</v>
      </c>
      <c r="CT105" s="243">
        <v>1.3979999999999999E-2</v>
      </c>
      <c r="CU105" s="243" t="s">
        <v>418</v>
      </c>
    </row>
    <row r="108" spans="93:100" thickTop="1" thickBot="1" x14ac:dyDescent="0.3">
      <c r="CP108" s="243" t="s">
        <v>422</v>
      </c>
      <c r="CQ108" s="244">
        <v>289</v>
      </c>
      <c r="CR108" s="244">
        <v>0.34499999999999997</v>
      </c>
      <c r="CS108" s="243">
        <v>837.17</v>
      </c>
      <c r="CT108" s="243" t="s">
        <v>420</v>
      </c>
      <c r="CU108" s="244">
        <v>2E-16</v>
      </c>
      <c r="CV108" s="243" t="s">
        <v>385</v>
      </c>
    </row>
    <row r="109" spans="93:100" thickTop="1" thickBot="1" x14ac:dyDescent="0.3">
      <c r="CO109" s="243" t="s">
        <v>373</v>
      </c>
      <c r="CP109" s="243" t="s">
        <v>423</v>
      </c>
      <c r="CQ109" s="244">
        <v>292</v>
      </c>
      <c r="CR109" s="244">
        <v>0.36699999999999999</v>
      </c>
      <c r="CS109" s="243">
        <v>796.26</v>
      </c>
      <c r="CT109" s="243" t="s">
        <v>420</v>
      </c>
      <c r="CU109" s="244">
        <v>2E-16</v>
      </c>
      <c r="CV109" s="81" t="s">
        <v>385</v>
      </c>
    </row>
    <row r="110" spans="93:100" thickTop="1" thickBot="1" x14ac:dyDescent="0.3">
      <c r="CO110" s="243" t="s">
        <v>373</v>
      </c>
      <c r="CP110" s="243" t="s">
        <v>353</v>
      </c>
      <c r="CQ110" s="244">
        <v>9.84</v>
      </c>
      <c r="CR110" s="244">
        <v>1.27</v>
      </c>
      <c r="CS110" s="243">
        <v>7.73</v>
      </c>
      <c r="CT110" s="244">
        <v>1.4E-14</v>
      </c>
      <c r="CU110" s="243" t="s">
        <v>385</v>
      </c>
    </row>
    <row r="111" spans="93:100" thickTop="1" thickBot="1" x14ac:dyDescent="0.3">
      <c r="CO111" s="243" t="s">
        <v>373</v>
      </c>
      <c r="CP111" s="243" t="s">
        <v>355</v>
      </c>
      <c r="CQ111" s="244">
        <v>1.35</v>
      </c>
      <c r="CR111" s="244">
        <v>0.24399999999999999</v>
      </c>
      <c r="CS111" s="243">
        <v>5.54</v>
      </c>
      <c r="CT111" s="244">
        <v>3.1E-8</v>
      </c>
      <c r="CU111" s="243" t="s">
        <v>385</v>
      </c>
    </row>
    <row r="112" spans="93:100" thickTop="1" thickBot="1" x14ac:dyDescent="0.3">
      <c r="CO112" s="243" t="s">
        <v>373</v>
      </c>
      <c r="CP112" s="243" t="s">
        <v>424</v>
      </c>
      <c r="CQ112" s="244">
        <v>139000000</v>
      </c>
      <c r="CR112" s="244">
        <v>35000000</v>
      </c>
      <c r="CS112" s="243">
        <v>3.98</v>
      </c>
      <c r="CT112" s="244">
        <v>6.8999999999999997E-5</v>
      </c>
      <c r="CU112" s="243" t="s">
        <v>385</v>
      </c>
    </row>
    <row r="113" spans="93:100" thickTop="1" thickBot="1" x14ac:dyDescent="0.3">
      <c r="CO113" s="243" t="s">
        <v>373</v>
      </c>
      <c r="CP113" s="243" t="s">
        <v>359</v>
      </c>
      <c r="CQ113" s="244">
        <v>18800000</v>
      </c>
      <c r="CR113" s="244">
        <v>2330000</v>
      </c>
      <c r="CS113" s="243">
        <v>8.09</v>
      </c>
      <c r="CT113" s="244">
        <v>6.7000000000000004E-16</v>
      </c>
      <c r="CU113" s="243" t="s">
        <v>385</v>
      </c>
    </row>
    <row r="114" spans="93:100" thickTop="1" thickBot="1" x14ac:dyDescent="0.3">
      <c r="CO114" s="243" t="s">
        <v>373</v>
      </c>
      <c r="CP114" s="243" t="s">
        <v>401</v>
      </c>
      <c r="CQ114" s="244">
        <v>8.0500000000000007</v>
      </c>
      <c r="CR114" s="244">
        <v>5.5100000000000003E-2</v>
      </c>
      <c r="CS114" s="243">
        <v>146.16999999999999</v>
      </c>
      <c r="CT114" s="243" t="s">
        <v>420</v>
      </c>
      <c r="CU114" s="244">
        <v>2E-16</v>
      </c>
      <c r="CV114" s="81" t="s">
        <v>385</v>
      </c>
    </row>
    <row r="115" spans="93:100" thickTop="1" thickBot="1" x14ac:dyDescent="0.3">
      <c r="CO115" s="243" t="s">
        <v>373</v>
      </c>
      <c r="CP115" s="243" t="s">
        <v>425</v>
      </c>
      <c r="CQ115" s="244">
        <v>10</v>
      </c>
      <c r="CR115" s="244">
        <v>2.14E-3</v>
      </c>
      <c r="CS115" s="243">
        <v>4675.1499999999996</v>
      </c>
      <c r="CT115" s="243" t="s">
        <v>420</v>
      </c>
      <c r="CU115" s="244">
        <v>2E-16</v>
      </c>
      <c r="CV115" s="81" t="s">
        <v>385</v>
      </c>
    </row>
    <row r="116" spans="93:100" thickTop="1" thickBot="1" x14ac:dyDescent="0.3">
      <c r="CO116" s="243" t="s">
        <v>373</v>
      </c>
      <c r="CP116" s="243" t="s">
        <v>413</v>
      </c>
      <c r="CQ116" s="244">
        <v>-4.74</v>
      </c>
      <c r="CR116" s="244">
        <v>3.8199999999999998E-2</v>
      </c>
      <c r="CS116" s="243">
        <v>-124.2</v>
      </c>
      <c r="CT116" s="243" t="s">
        <v>420</v>
      </c>
      <c r="CU116" s="244">
        <v>2E-16</v>
      </c>
      <c r="CV116" s="81" t="s">
        <v>385</v>
      </c>
    </row>
    <row r="117" spans="93:100" thickTop="1" thickBot="1" x14ac:dyDescent="0.3">
      <c r="CO117" s="243" t="s">
        <v>373</v>
      </c>
      <c r="CP117" s="243" t="s">
        <v>426</v>
      </c>
      <c r="CQ117" s="244">
        <v>-4.71</v>
      </c>
      <c r="CR117" s="244">
        <v>4.3700000000000003E-2</v>
      </c>
      <c r="CS117" s="243">
        <v>-107.8</v>
      </c>
      <c r="CT117" s="243" t="s">
        <v>420</v>
      </c>
      <c r="CU117" s="244">
        <v>2E-16</v>
      </c>
      <c r="CV117" s="81" t="s">
        <v>385</v>
      </c>
    </row>
    <row r="118" spans="93:100" thickTop="1" thickBot="1" x14ac:dyDescent="0.3">
      <c r="CO118" s="243" t="s">
        <v>373</v>
      </c>
      <c r="CP118" s="243" t="s">
        <v>365</v>
      </c>
      <c r="CQ118" s="244">
        <v>192</v>
      </c>
      <c r="CR118" s="244">
        <v>3.81</v>
      </c>
      <c r="CS118" s="243">
        <v>50.34</v>
      </c>
      <c r="CT118" s="243" t="s">
        <v>420</v>
      </c>
      <c r="CU118" s="244">
        <v>2E-16</v>
      </c>
      <c r="CV118" s="81" t="s">
        <v>385</v>
      </c>
    </row>
    <row r="119" spans="93:100" thickTop="1" thickBot="1" x14ac:dyDescent="0.3">
      <c r="CO119" s="243" t="s">
        <v>373</v>
      </c>
      <c r="CP119" s="243" t="s">
        <v>367</v>
      </c>
      <c r="CQ119" s="244">
        <v>2.63E-4</v>
      </c>
      <c r="CR119" s="244">
        <v>6.5899999999999997E-4</v>
      </c>
      <c r="CS119" s="243">
        <v>0.4</v>
      </c>
      <c r="CT119" s="243">
        <v>0.69</v>
      </c>
    </row>
    <row r="120" spans="93:100" thickTop="1" thickBot="1" x14ac:dyDescent="0.3">
      <c r="CO120" s="243" t="s">
        <v>373</v>
      </c>
      <c r="CP120" s="243" t="s">
        <v>369</v>
      </c>
      <c r="CQ120" s="244">
        <v>389</v>
      </c>
      <c r="CR120" s="244">
        <v>9.27</v>
      </c>
      <c r="CS120" s="243">
        <v>41.99</v>
      </c>
      <c r="CT120" s="243" t="s">
        <v>420</v>
      </c>
      <c r="CU120" s="244">
        <v>2E-16</v>
      </c>
      <c r="CV120" s="81" t="s">
        <v>385</v>
      </c>
    </row>
  </sheetData>
  <mergeCells count="8">
    <mergeCell ref="F36:G36"/>
    <mergeCell ref="B1:H1"/>
    <mergeCell ref="B3:I3"/>
    <mergeCell ref="K3:U3"/>
    <mergeCell ref="W3:AH3"/>
    <mergeCell ref="L4:P4"/>
    <mergeCell ref="F33:G33"/>
    <mergeCell ref="F34:G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22"/>
  <sheetViews>
    <sheetView zoomScale="55" zoomScaleNormal="55" workbookViewId="0">
      <selection activeCell="B59" sqref="B59"/>
    </sheetView>
  </sheetViews>
  <sheetFormatPr defaultColWidth="9.140625" defaultRowHeight="16.5" thickTop="1" thickBottom="1" x14ac:dyDescent="0.3"/>
  <cols>
    <col min="1" max="2" width="9.140625" style="81"/>
    <col min="3" max="3" width="12.42578125" style="81" bestFit="1" customWidth="1"/>
    <col min="4" max="4" width="10.42578125" style="81" bestFit="1" customWidth="1"/>
    <col min="5" max="5" width="12.42578125" style="81" customWidth="1"/>
    <col min="6" max="9" width="9.140625" style="81"/>
    <col min="10" max="10" width="9.140625" style="1"/>
    <col min="11" max="11" width="9.140625" style="81"/>
    <col min="12" max="14" width="9.140625" style="2"/>
    <col min="15" max="16" width="9.140625" style="81"/>
    <col min="17" max="18" width="9.140625" style="152"/>
    <col min="19" max="21" width="9.140625" style="81"/>
    <col min="22" max="22" width="9.140625" style="1"/>
    <col min="23" max="34" width="9.140625" style="172"/>
    <col min="35" max="35" width="9.140625" style="81"/>
    <col min="36" max="37" width="9.140625" style="157"/>
    <col min="38" max="38" width="9.140625" style="158"/>
    <col min="39" max="39" width="10.28515625" style="158" bestFit="1" customWidth="1"/>
    <col min="40" max="41" width="9.140625" style="81"/>
    <col min="42" max="42" width="12.7109375" style="81" bestFit="1" customWidth="1"/>
    <col min="43" max="43" width="12.7109375" style="81" customWidth="1"/>
    <col min="44" max="47" width="9.140625" style="81"/>
    <col min="48" max="51" width="9.140625" style="160"/>
    <col min="52" max="52" width="14.7109375" style="161" bestFit="1" customWidth="1"/>
    <col min="53" max="53" width="9.140625" style="160"/>
    <col min="54" max="54" width="9.140625" style="170"/>
    <col min="55" max="67" width="9.140625" style="81"/>
    <col min="68" max="68" width="15.42578125" style="81" customWidth="1"/>
    <col min="69" max="69" width="9.140625" style="81"/>
    <col min="70" max="70" width="9.140625" style="170"/>
    <col min="71" max="82" width="9.140625" style="81"/>
    <col min="83" max="83" width="15" style="81" bestFit="1" customWidth="1"/>
    <col min="84" max="85" width="9.140625" style="81"/>
    <col min="86" max="86" width="9.140625" style="238"/>
    <col min="87" max="92" width="9.140625" style="81"/>
    <col min="93" max="94" width="9.140625" style="243"/>
    <col min="95" max="95" width="12.42578125" style="243" customWidth="1"/>
    <col min="96" max="99" width="9.140625" style="243"/>
    <col min="100" max="100" width="9.140625" style="81"/>
    <col min="101" max="101" width="15.5703125" style="245" bestFit="1" customWidth="1"/>
    <col min="102" max="103" width="9.140625" style="245"/>
    <col min="104" max="104" width="10.28515625" style="245" customWidth="1"/>
    <col min="105" max="105" width="9.140625" style="245"/>
    <col min="106" max="16384" width="9.140625" style="81"/>
  </cols>
  <sheetData>
    <row r="1" spans="2:111" ht="20.25" customHeight="1" thickTop="1" thickBot="1" x14ac:dyDescent="0.35">
      <c r="B1" s="277" t="s">
        <v>307</v>
      </c>
      <c r="C1" s="277"/>
      <c r="D1" s="277"/>
      <c r="E1" s="277"/>
      <c r="F1" s="277"/>
      <c r="G1" s="277"/>
      <c r="H1" s="277"/>
      <c r="AO1" s="159" t="s">
        <v>309</v>
      </c>
      <c r="BS1" s="81" t="s">
        <v>427</v>
      </c>
      <c r="DC1" s="169"/>
      <c r="DD1" s="169"/>
      <c r="DE1" s="169"/>
      <c r="DF1" s="169"/>
      <c r="DG1" s="169"/>
    </row>
    <row r="2" spans="2:111" thickTop="1" thickBot="1" x14ac:dyDescent="0.3">
      <c r="AO2" s="81" t="s">
        <v>310</v>
      </c>
      <c r="CA2" s="165" t="s">
        <v>313</v>
      </c>
      <c r="CB2" s="160"/>
      <c r="CC2" s="160"/>
      <c r="CD2" s="160"/>
      <c r="CE2" s="161"/>
      <c r="CF2" s="160"/>
      <c r="CI2" s="81" t="s">
        <v>311</v>
      </c>
      <c r="CJ2" s="79" t="s">
        <v>437</v>
      </c>
      <c r="CK2" s="79" t="s">
        <v>438</v>
      </c>
      <c r="CL2" s="79" t="s">
        <v>439</v>
      </c>
      <c r="CO2" s="243" t="s">
        <v>440</v>
      </c>
      <c r="DC2" s="169"/>
      <c r="DD2" s="169"/>
      <c r="DE2" s="169"/>
      <c r="DF2" s="169"/>
      <c r="DG2" s="169"/>
    </row>
    <row r="3" spans="2:111" thickTop="1" thickBot="1" x14ac:dyDescent="0.3">
      <c r="B3" s="281" t="s">
        <v>1</v>
      </c>
      <c r="C3" s="282"/>
      <c r="D3" s="282"/>
      <c r="E3" s="282"/>
      <c r="F3" s="282"/>
      <c r="G3" s="282"/>
      <c r="H3" s="282"/>
      <c r="I3" s="283"/>
      <c r="K3" s="274" t="s">
        <v>2</v>
      </c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4"/>
      <c r="W3" s="280" t="s">
        <v>3</v>
      </c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O3" s="162" t="s">
        <v>311</v>
      </c>
      <c r="AP3" s="163" t="s">
        <v>312</v>
      </c>
      <c r="AQ3" s="163"/>
      <c r="AR3" s="164"/>
      <c r="AS3" s="164"/>
      <c r="AT3" s="164"/>
      <c r="AV3" s="165" t="s">
        <v>313</v>
      </c>
      <c r="BC3" s="81" t="s">
        <v>373</v>
      </c>
      <c r="BD3" s="81" t="s">
        <v>374</v>
      </c>
      <c r="BE3" s="81" t="s">
        <v>375</v>
      </c>
      <c r="BL3" s="165" t="s">
        <v>313</v>
      </c>
      <c r="BM3" s="160"/>
      <c r="BN3" s="160"/>
      <c r="BO3" s="160"/>
      <c r="BP3" s="161"/>
      <c r="BQ3" s="160"/>
      <c r="BS3" s="81" t="s">
        <v>373</v>
      </c>
      <c r="BT3" s="81" t="s">
        <v>374</v>
      </c>
      <c r="BU3" s="81" t="s">
        <v>375</v>
      </c>
      <c r="CA3" s="167" t="s">
        <v>314</v>
      </c>
      <c r="CB3" s="167" t="s">
        <v>315</v>
      </c>
      <c r="CC3" s="167" t="s">
        <v>316</v>
      </c>
      <c r="CD3" s="171" t="s">
        <v>318</v>
      </c>
      <c r="CE3" s="161">
        <f>BU11</f>
        <v>0.216</v>
      </c>
      <c r="CF3" s="167" t="s">
        <v>317</v>
      </c>
      <c r="CI3" s="81" t="s">
        <v>316</v>
      </c>
      <c r="CJ3" s="239">
        <f>AZ4</f>
        <v>0.227264302806133</v>
      </c>
      <c r="CK3" s="239">
        <f>BP4</f>
        <v>0.18</v>
      </c>
      <c r="CL3" s="239">
        <f>CE3</f>
        <v>0.216</v>
      </c>
      <c r="CO3" s="243" t="s">
        <v>373</v>
      </c>
      <c r="CP3" s="243" t="s">
        <v>374</v>
      </c>
      <c r="CQ3" s="243" t="s">
        <v>441</v>
      </c>
      <c r="CW3" s="245" t="s">
        <v>459</v>
      </c>
      <c r="DC3" s="245" t="s">
        <v>508</v>
      </c>
      <c r="DD3" s="169"/>
      <c r="DE3" s="169"/>
      <c r="DF3" s="169"/>
      <c r="DG3" s="169"/>
    </row>
    <row r="4" spans="2:111" ht="15.75" customHeight="1" thickTop="1" thickBot="1" x14ac:dyDescent="0.3">
      <c r="B4" s="234" t="s">
        <v>6</v>
      </c>
      <c r="C4" s="235">
        <f>'Tabula data'!B5</f>
        <v>766</v>
      </c>
      <c r="D4" s="235" t="s">
        <v>7</v>
      </c>
      <c r="E4" s="234" t="s">
        <v>8</v>
      </c>
      <c r="F4" s="235"/>
      <c r="G4" s="235"/>
      <c r="H4" s="236">
        <f>SUM(I6:I13)</f>
        <v>41.2</v>
      </c>
      <c r="I4" s="237" t="s">
        <v>9</v>
      </c>
      <c r="L4" s="284" t="s">
        <v>432</v>
      </c>
      <c r="M4" s="285"/>
      <c r="N4" s="285"/>
      <c r="O4" s="285"/>
      <c r="P4" s="286"/>
      <c r="Z4" s="221" t="s">
        <v>4</v>
      </c>
      <c r="AA4" s="221">
        <v>1.7</v>
      </c>
      <c r="AB4" s="221" t="s">
        <v>5</v>
      </c>
      <c r="AM4" s="158" t="s">
        <v>314</v>
      </c>
      <c r="AN4" s="81" t="s">
        <v>315</v>
      </c>
      <c r="AO4" s="81" t="s">
        <v>316</v>
      </c>
      <c r="AP4" s="81">
        <f>SUM(O6:O9)/SUM($O$6:$O$14,$O$26,2*$O$27)</f>
        <v>0.227264302806133</v>
      </c>
      <c r="AQ4" s="81" t="s">
        <v>317</v>
      </c>
      <c r="AR4" s="166">
        <v>0.1641929</v>
      </c>
      <c r="AV4" s="167" t="s">
        <v>314</v>
      </c>
      <c r="AW4" s="167" t="s">
        <v>315</v>
      </c>
      <c r="AX4" s="167" t="s">
        <v>316</v>
      </c>
      <c r="AY4" s="168" t="s">
        <v>318</v>
      </c>
      <c r="AZ4" s="161">
        <f>AP4</f>
        <v>0.227264302806133</v>
      </c>
      <c r="BA4" s="167" t="s">
        <v>317</v>
      </c>
      <c r="BC4" s="81" t="s">
        <v>373</v>
      </c>
      <c r="BD4" s="81" t="s">
        <v>376</v>
      </c>
      <c r="BL4" s="167" t="s">
        <v>314</v>
      </c>
      <c r="BM4" s="167" t="s">
        <v>315</v>
      </c>
      <c r="BN4" s="167" t="s">
        <v>316</v>
      </c>
      <c r="BO4" s="168" t="s">
        <v>318</v>
      </c>
      <c r="BP4" s="161">
        <f>BE11</f>
        <v>0.18</v>
      </c>
      <c r="BQ4" s="167" t="s">
        <v>317</v>
      </c>
      <c r="BS4" s="81" t="s">
        <v>373</v>
      </c>
      <c r="BT4" s="81" t="s">
        <v>376</v>
      </c>
      <c r="CA4" s="167" t="s">
        <v>314</v>
      </c>
      <c r="CB4" s="167" t="s">
        <v>315</v>
      </c>
      <c r="CC4" s="167" t="s">
        <v>319</v>
      </c>
      <c r="CD4" s="171" t="s">
        <v>318</v>
      </c>
      <c r="CE4" s="161">
        <f t="shared" ref="CE4:CE6" si="0">BU12</f>
        <v>0.439</v>
      </c>
      <c r="CF4" s="167" t="s">
        <v>317</v>
      </c>
      <c r="CI4" s="81" t="s">
        <v>319</v>
      </c>
      <c r="CJ4" s="239">
        <f t="shared" ref="CJ4:CJ49" si="1">AZ5</f>
        <v>0.45452860561226599</v>
      </c>
      <c r="CK4" s="239">
        <f t="shared" ref="CK4:CK49" si="2">BP5</f>
        <v>0.33600000000000002</v>
      </c>
      <c r="CL4" s="239">
        <f t="shared" ref="CL4:CL49" si="3">CE4</f>
        <v>0.439</v>
      </c>
      <c r="CO4" s="243" t="s">
        <v>373</v>
      </c>
      <c r="CP4" s="243" t="s">
        <v>376</v>
      </c>
      <c r="DC4" s="169"/>
      <c r="DD4" s="169"/>
      <c r="DE4" s="169"/>
      <c r="DF4" s="169"/>
      <c r="DG4" s="169"/>
    </row>
    <row r="5" spans="2:111" ht="15" customHeight="1" thickTop="1" thickBot="1" x14ac:dyDescent="0.3">
      <c r="B5" s="173"/>
      <c r="C5" s="174"/>
      <c r="D5" s="174"/>
      <c r="E5" s="175"/>
      <c r="F5" s="176"/>
      <c r="G5" s="176"/>
      <c r="H5" s="176"/>
      <c r="I5" s="177"/>
      <c r="K5" s="81" t="s">
        <v>10</v>
      </c>
      <c r="L5" s="201" t="s">
        <v>11</v>
      </c>
      <c r="M5" s="202" t="s">
        <v>12</v>
      </c>
      <c r="N5" s="202" t="s">
        <v>13</v>
      </c>
      <c r="O5" s="202" t="s">
        <v>14</v>
      </c>
      <c r="P5" s="203" t="s">
        <v>15</v>
      </c>
      <c r="Q5" s="13" t="s">
        <v>16</v>
      </c>
      <c r="R5" s="13" t="s">
        <v>17</v>
      </c>
      <c r="S5" s="14" t="s">
        <v>18</v>
      </c>
      <c r="T5" s="14"/>
      <c r="U5" s="14" t="s">
        <v>19</v>
      </c>
      <c r="V5" s="15"/>
      <c r="X5" s="216" t="s">
        <v>20</v>
      </c>
      <c r="Y5" s="217"/>
      <c r="Z5" s="218" t="s">
        <v>21</v>
      </c>
      <c r="AA5" s="219">
        <f>1/(1/10+SUM(AD7:AD11)+1/23)</f>
        <v>0.27481053799679722</v>
      </c>
      <c r="AB5" s="217" t="s">
        <v>5</v>
      </c>
      <c r="AC5" s="217"/>
      <c r="AD5" s="217" t="s">
        <v>22</v>
      </c>
      <c r="AE5" s="220">
        <f>SUM(AE7:AE11)</f>
        <v>85322</v>
      </c>
      <c r="AF5" s="222" t="s">
        <v>23</v>
      </c>
      <c r="AG5" s="222">
        <f>SUM(AE10:AE11)</f>
        <v>42230</v>
      </c>
      <c r="AH5" s="222"/>
      <c r="AM5" s="158" t="s">
        <v>314</v>
      </c>
      <c r="AN5" s="81" t="s">
        <v>315</v>
      </c>
      <c r="AO5" s="81" t="s">
        <v>319</v>
      </c>
      <c r="AP5" s="81">
        <f>SUM(2*O27)/SUM($O$6:$O$14,$O$26,2*$O$27)</f>
        <v>0.45452860561226599</v>
      </c>
      <c r="AQ5" s="81" t="s">
        <v>317</v>
      </c>
      <c r="AR5" s="166">
        <v>0.42146270000000002</v>
      </c>
      <c r="AV5" s="167" t="s">
        <v>314</v>
      </c>
      <c r="AW5" s="167" t="s">
        <v>315</v>
      </c>
      <c r="AX5" s="167" t="s">
        <v>319</v>
      </c>
      <c r="AY5" s="168" t="s">
        <v>318</v>
      </c>
      <c r="AZ5" s="161">
        <f t="shared" ref="AZ5:AZ7" si="4">AP5</f>
        <v>0.45452860561226599</v>
      </c>
      <c r="BA5" s="167" t="s">
        <v>317</v>
      </c>
      <c r="BC5" s="81" t="s">
        <v>373</v>
      </c>
      <c r="BD5" s="81" t="s">
        <v>377</v>
      </c>
      <c r="BE5" s="81" t="s">
        <v>378</v>
      </c>
      <c r="BF5" s="81" t="s">
        <v>379</v>
      </c>
      <c r="BG5" s="81" t="s">
        <v>380</v>
      </c>
      <c r="BH5" s="81" t="s">
        <v>381</v>
      </c>
      <c r="BI5" s="81" t="s">
        <v>382</v>
      </c>
      <c r="BL5" s="167" t="s">
        <v>314</v>
      </c>
      <c r="BM5" s="167" t="s">
        <v>315</v>
      </c>
      <c r="BN5" s="167" t="s">
        <v>319</v>
      </c>
      <c r="BO5" s="168" t="s">
        <v>318</v>
      </c>
      <c r="BP5" s="161">
        <f t="shared" ref="BP5:BP7" si="5">BE12</f>
        <v>0.33600000000000002</v>
      </c>
      <c r="BQ5" s="167" t="s">
        <v>317</v>
      </c>
      <c r="BS5" s="81" t="s">
        <v>373</v>
      </c>
      <c r="BT5" s="81" t="s">
        <v>377</v>
      </c>
      <c r="BU5" s="81" t="s">
        <v>378</v>
      </c>
      <c r="BV5" s="81" t="s">
        <v>379</v>
      </c>
      <c r="BW5" s="81" t="s">
        <v>380</v>
      </c>
      <c r="BX5" s="81" t="s">
        <v>381</v>
      </c>
      <c r="BY5" s="81" t="s">
        <v>382</v>
      </c>
      <c r="CA5" s="167" t="s">
        <v>314</v>
      </c>
      <c r="CB5" s="167" t="s">
        <v>315</v>
      </c>
      <c r="CC5" s="167" t="s">
        <v>320</v>
      </c>
      <c r="CD5" s="168" t="s">
        <v>318</v>
      </c>
      <c r="CE5" s="161">
        <f t="shared" si="0"/>
        <v>9.2700000000000005E-2</v>
      </c>
      <c r="CF5" s="167" t="s">
        <v>317</v>
      </c>
      <c r="CI5" s="81" t="s">
        <v>320</v>
      </c>
      <c r="CJ5" s="239">
        <f t="shared" si="1"/>
        <v>2.9811241298120371E-2</v>
      </c>
      <c r="CK5" s="239">
        <f t="shared" si="2"/>
        <v>0.33700000000000002</v>
      </c>
      <c r="CL5" s="239">
        <f t="shared" si="3"/>
        <v>9.2700000000000005E-2</v>
      </c>
      <c r="CO5" s="243" t="s">
        <v>373</v>
      </c>
      <c r="CP5" s="243" t="s">
        <v>377</v>
      </c>
      <c r="CQ5" s="243" t="s">
        <v>378</v>
      </c>
      <c r="CR5" s="243" t="s">
        <v>379</v>
      </c>
      <c r="CS5" s="243" t="s">
        <v>380</v>
      </c>
      <c r="CT5" s="243" t="s">
        <v>381</v>
      </c>
      <c r="CU5" s="243" t="s">
        <v>382</v>
      </c>
      <c r="CW5" s="245" t="s">
        <v>460</v>
      </c>
      <c r="CX5" s="246" t="s">
        <v>461</v>
      </c>
      <c r="CY5" s="246" t="s">
        <v>318</v>
      </c>
      <c r="CZ5" s="247">
        <f>CQ11</f>
        <v>0.88200000000000001</v>
      </c>
      <c r="DA5" s="245" t="s">
        <v>317</v>
      </c>
      <c r="DC5" s="169" t="s">
        <v>460</v>
      </c>
      <c r="DD5" s="258" t="s">
        <v>461</v>
      </c>
      <c r="DE5" s="258" t="s">
        <v>318</v>
      </c>
      <c r="DF5" s="169">
        <f>$O$11*$Z$37*$AP$4</f>
        <v>0.69536058729592509</v>
      </c>
      <c r="DG5" s="169" t="s">
        <v>317</v>
      </c>
    </row>
    <row r="6" spans="2:111" ht="15" customHeight="1" thickTop="1" thickBot="1" x14ac:dyDescent="0.3">
      <c r="B6" s="193" t="s">
        <v>34</v>
      </c>
      <c r="C6" s="195">
        <f>'Tabula data'!B4</f>
        <v>279</v>
      </c>
      <c r="D6" s="196" t="s">
        <v>9</v>
      </c>
      <c r="E6" s="178" t="s">
        <v>35</v>
      </c>
      <c r="F6" s="176" t="s">
        <v>36</v>
      </c>
      <c r="G6" s="179">
        <f t="shared" ref="G6:G13" si="6">I6/$H$4</f>
        <v>0.18349514563106795</v>
      </c>
      <c r="H6" s="176"/>
      <c r="I6" s="180">
        <f>'Tabula data'!B16*'Tabula RefULG1'!D45</f>
        <v>7.56</v>
      </c>
      <c r="K6" s="81" t="s">
        <v>24</v>
      </c>
      <c r="L6" s="204">
        <v>0</v>
      </c>
      <c r="M6" s="205">
        <v>1</v>
      </c>
      <c r="N6" s="205" t="s">
        <v>25</v>
      </c>
      <c r="O6" s="206">
        <f>'Tabula data'!B10*D42/2*D43</f>
        <v>69.641550000000009</v>
      </c>
      <c r="P6" s="207" t="s">
        <v>26</v>
      </c>
      <c r="Q6" s="30">
        <f t="shared" ref="Q6:Q28" si="7">VLOOKUP(N6,$X$5:$AA$392,4,0)</f>
        <v>2.2022341505875525</v>
      </c>
      <c r="R6" s="30">
        <f t="shared" ref="R6:R28" si="8">Q6*O6</f>
        <v>153.36699970985057</v>
      </c>
      <c r="S6" s="30">
        <f t="shared" ref="S6:S14" si="9">VLOOKUP(N6,$X$5:$AE$392,8,0)*O6</f>
        <v>31330340.514000006</v>
      </c>
      <c r="T6" s="30">
        <f t="shared" ref="T6:T14" si="10">S6/O6</f>
        <v>449880</v>
      </c>
      <c r="U6" s="30">
        <f t="shared" ref="U6:U14" si="11">VLOOKUP(N6,$X$5:$AG$391,10,0)*O6</f>
        <v>28196470.764000002</v>
      </c>
      <c r="V6" s="31"/>
      <c r="W6" s="223"/>
      <c r="X6" s="224"/>
      <c r="Y6" s="225" t="s">
        <v>27</v>
      </c>
      <c r="Z6" s="225" t="s">
        <v>28</v>
      </c>
      <c r="AA6" s="225" t="s">
        <v>29</v>
      </c>
      <c r="AB6" s="225" t="s">
        <v>30</v>
      </c>
      <c r="AC6" s="225" t="s">
        <v>31</v>
      </c>
      <c r="AD6" s="225" t="s">
        <v>32</v>
      </c>
      <c r="AE6" s="226" t="s">
        <v>33</v>
      </c>
      <c r="AF6" s="222"/>
      <c r="AG6" s="222"/>
      <c r="AH6" s="222"/>
      <c r="AM6" s="158" t="s">
        <v>314</v>
      </c>
      <c r="AN6" s="81" t="s">
        <v>315</v>
      </c>
      <c r="AO6" s="81" t="s">
        <v>320</v>
      </c>
      <c r="AP6" s="81">
        <f>SUM(O10:O13)/SUM($O$6:$O$14,$O$26,2*$O$27)</f>
        <v>2.9811241298120371E-2</v>
      </c>
      <c r="AQ6" s="81" t="s">
        <v>317</v>
      </c>
      <c r="AR6" s="166">
        <v>0.13510150000000001</v>
      </c>
      <c r="AV6" s="167" t="s">
        <v>314</v>
      </c>
      <c r="AW6" s="167" t="s">
        <v>315</v>
      </c>
      <c r="AX6" s="167" t="s">
        <v>320</v>
      </c>
      <c r="AY6" s="168" t="s">
        <v>318</v>
      </c>
      <c r="AZ6" s="161">
        <f t="shared" si="4"/>
        <v>2.9811241298120371E-2</v>
      </c>
      <c r="BA6" s="167" t="s">
        <v>317</v>
      </c>
      <c r="BC6" s="81" t="s">
        <v>373</v>
      </c>
      <c r="BD6" s="81" t="s">
        <v>383</v>
      </c>
      <c r="BE6" s="166">
        <v>294</v>
      </c>
      <c r="BF6" s="166">
        <v>7.8200000000000006E-2</v>
      </c>
      <c r="BG6" s="81">
        <v>3752.8</v>
      </c>
      <c r="BH6" s="81" t="s">
        <v>384</v>
      </c>
      <c r="BI6" s="81" t="s">
        <v>385</v>
      </c>
      <c r="BL6" s="167" t="s">
        <v>314</v>
      </c>
      <c r="BM6" s="167" t="s">
        <v>315</v>
      </c>
      <c r="BN6" s="167" t="s">
        <v>320</v>
      </c>
      <c r="BO6" s="168" t="s">
        <v>318</v>
      </c>
      <c r="BP6" s="161">
        <f t="shared" si="5"/>
        <v>0.33700000000000002</v>
      </c>
      <c r="BQ6" s="167" t="s">
        <v>317</v>
      </c>
      <c r="BS6" s="81" t="s">
        <v>373</v>
      </c>
      <c r="BT6" s="81" t="s">
        <v>383</v>
      </c>
      <c r="BU6" s="166">
        <v>291</v>
      </c>
      <c r="BV6" s="166">
        <v>0.215</v>
      </c>
      <c r="BW6" s="81">
        <v>1356.22</v>
      </c>
      <c r="BX6" s="81" t="s">
        <v>420</v>
      </c>
      <c r="BY6" s="166">
        <v>2E-16</v>
      </c>
      <c r="BZ6" s="81" t="s">
        <v>385</v>
      </c>
      <c r="CA6" s="167" t="s">
        <v>314</v>
      </c>
      <c r="CB6" s="167" t="s">
        <v>315</v>
      </c>
      <c r="CC6" s="167" t="s">
        <v>321</v>
      </c>
      <c r="CD6" s="168" t="s">
        <v>318</v>
      </c>
      <c r="CE6" s="161">
        <f t="shared" si="0"/>
        <v>0.14899999999999999</v>
      </c>
      <c r="CF6" s="167" t="s">
        <v>317</v>
      </c>
      <c r="CI6" s="81" t="s">
        <v>321</v>
      </c>
      <c r="CJ6" s="239">
        <f t="shared" si="1"/>
        <v>0.13882280535151062</v>
      </c>
      <c r="CK6" s="239">
        <f t="shared" si="2"/>
        <v>0.10299999999999999</v>
      </c>
      <c r="CL6" s="239">
        <f t="shared" si="3"/>
        <v>0.14899999999999999</v>
      </c>
      <c r="CO6" s="243" t="s">
        <v>373</v>
      </c>
      <c r="CP6" s="243" t="s">
        <v>383</v>
      </c>
      <c r="CQ6" s="244">
        <v>292</v>
      </c>
      <c r="CR6" s="244">
        <v>4.7899999999999998E-2</v>
      </c>
      <c r="CS6" s="243">
        <v>6085.66</v>
      </c>
      <c r="CT6" s="243" t="s">
        <v>420</v>
      </c>
      <c r="CU6" s="244">
        <v>2E-16</v>
      </c>
      <c r="CV6" s="81" t="s">
        <v>385</v>
      </c>
      <c r="CW6" s="245" t="s">
        <v>460</v>
      </c>
      <c r="CX6" s="246" t="s">
        <v>462</v>
      </c>
      <c r="CY6" s="246" t="s">
        <v>318</v>
      </c>
      <c r="CZ6" s="247">
        <f t="shared" ref="CZ6:CZ24" si="12">CQ12</f>
        <v>6.06</v>
      </c>
      <c r="DA6" s="245" t="s">
        <v>317</v>
      </c>
      <c r="DC6" s="169" t="s">
        <v>460</v>
      </c>
      <c r="DD6" s="258" t="s">
        <v>462</v>
      </c>
      <c r="DE6" s="258" t="s">
        <v>318</v>
      </c>
      <c r="DF6" s="169">
        <f>$O$10*$Z$37*$AP$4</f>
        <v>0.80751552073075161</v>
      </c>
      <c r="DG6" s="169" t="s">
        <v>317</v>
      </c>
    </row>
    <row r="7" spans="2:111" ht="15" customHeight="1" thickTop="1" thickBot="1" x14ac:dyDescent="0.3">
      <c r="B7" s="178" t="s">
        <v>42</v>
      </c>
      <c r="C7" s="183">
        <f>'Tabula data'!B14</f>
        <v>134.30000000000001</v>
      </c>
      <c r="D7" s="189" t="s">
        <v>9</v>
      </c>
      <c r="E7" s="178" t="s">
        <v>43</v>
      </c>
      <c r="F7" s="176" t="s">
        <v>36</v>
      </c>
      <c r="G7" s="179">
        <f t="shared" si="6"/>
        <v>0.15800970873786407</v>
      </c>
      <c r="H7" s="176"/>
      <c r="I7" s="180">
        <f>'Tabula data'!B17*'Tabula RefULG1'!D45</f>
        <v>6.51</v>
      </c>
      <c r="K7" s="81" t="s">
        <v>38</v>
      </c>
      <c r="L7" s="208">
        <v>0</v>
      </c>
      <c r="M7" s="209">
        <v>1</v>
      </c>
      <c r="N7" s="209" t="s">
        <v>25</v>
      </c>
      <c r="O7" s="210">
        <f>'Tabula data'!B10*(1-D42)/2*D44</f>
        <v>40.288499999999999</v>
      </c>
      <c r="P7" s="211" t="s">
        <v>39</v>
      </c>
      <c r="Q7" s="30">
        <f t="shared" si="7"/>
        <v>2.2022341505875525</v>
      </c>
      <c r="R7" s="30">
        <f t="shared" si="8"/>
        <v>88.724710575946602</v>
      </c>
      <c r="S7" s="30">
        <f t="shared" si="9"/>
        <v>18124990.379999999</v>
      </c>
      <c r="T7" s="30">
        <f t="shared" si="10"/>
        <v>449880</v>
      </c>
      <c r="U7" s="30">
        <f t="shared" si="11"/>
        <v>16312007.879999999</v>
      </c>
      <c r="V7" s="31"/>
      <c r="W7" s="223"/>
      <c r="X7" s="175"/>
      <c r="Y7" s="176" t="s">
        <v>40</v>
      </c>
      <c r="Z7" s="176">
        <v>2.5000000000000001E-2</v>
      </c>
      <c r="AA7" s="176">
        <v>1.3</v>
      </c>
      <c r="AB7" s="176">
        <v>1700</v>
      </c>
      <c r="AC7" s="176">
        <v>840</v>
      </c>
      <c r="AD7" s="227">
        <f>Z7/AA7</f>
        <v>1.9230769230769232E-2</v>
      </c>
      <c r="AE7" s="177">
        <f>Z7*AB7*AC7</f>
        <v>35700</v>
      </c>
      <c r="AF7" s="222" t="s">
        <v>41</v>
      </c>
      <c r="AG7" s="222"/>
      <c r="AH7" s="222"/>
      <c r="AM7" s="158" t="s">
        <v>314</v>
      </c>
      <c r="AN7" s="81" t="s">
        <v>315</v>
      </c>
      <c r="AO7" s="81" t="s">
        <v>321</v>
      </c>
      <c r="AP7" s="81">
        <f>SUM(O14)/SUM($O$6:$O$14,$O$26,2*$O$27)</f>
        <v>0.13882280535151062</v>
      </c>
      <c r="AQ7" s="81" t="s">
        <v>317</v>
      </c>
      <c r="AR7" s="166">
        <v>0.161666</v>
      </c>
      <c r="AV7" s="167" t="s">
        <v>314</v>
      </c>
      <c r="AW7" s="167" t="s">
        <v>315</v>
      </c>
      <c r="AX7" s="167" t="s">
        <v>321</v>
      </c>
      <c r="AY7" s="168" t="s">
        <v>318</v>
      </c>
      <c r="AZ7" s="161">
        <f t="shared" si="4"/>
        <v>0.13882280535151062</v>
      </c>
      <c r="BA7" s="167" t="s">
        <v>317</v>
      </c>
      <c r="BC7" s="81" t="s">
        <v>373</v>
      </c>
      <c r="BD7" s="81" t="s">
        <v>386</v>
      </c>
      <c r="BE7" s="166">
        <v>289</v>
      </c>
      <c r="BF7" s="166">
        <v>6.1899999999999997E-2</v>
      </c>
      <c r="BG7" s="81">
        <v>4670.42</v>
      </c>
      <c r="BH7" s="81" t="s">
        <v>384</v>
      </c>
      <c r="BI7" s="81" t="s">
        <v>385</v>
      </c>
      <c r="BL7" s="167" t="s">
        <v>314</v>
      </c>
      <c r="BM7" s="167" t="s">
        <v>315</v>
      </c>
      <c r="BN7" s="167" t="s">
        <v>321</v>
      </c>
      <c r="BO7" s="168" t="s">
        <v>318</v>
      </c>
      <c r="BP7" s="161">
        <f t="shared" si="5"/>
        <v>0.10299999999999999</v>
      </c>
      <c r="BQ7" s="167" t="s">
        <v>317</v>
      </c>
      <c r="BS7" s="81" t="s">
        <v>373</v>
      </c>
      <c r="BT7" s="81" t="s">
        <v>386</v>
      </c>
      <c r="BU7" s="166">
        <v>287</v>
      </c>
      <c r="BV7" s="166">
        <v>5.2999999999999999E-2</v>
      </c>
      <c r="BW7" s="81">
        <v>5413.6</v>
      </c>
      <c r="BX7" s="81" t="s">
        <v>420</v>
      </c>
      <c r="BY7" s="166">
        <v>2E-16</v>
      </c>
      <c r="BZ7" s="81" t="s">
        <v>385</v>
      </c>
      <c r="CA7" s="167"/>
      <c r="CB7" s="167"/>
      <c r="CC7" s="167"/>
      <c r="CD7" s="168"/>
      <c r="CE7" s="161"/>
      <c r="CF7" s="167"/>
      <c r="CJ7" s="240"/>
      <c r="CK7" s="240"/>
      <c r="CL7" s="240"/>
      <c r="CO7" s="243" t="s">
        <v>373</v>
      </c>
      <c r="CP7" s="243" t="s">
        <v>386</v>
      </c>
      <c r="CQ7" s="244">
        <v>287</v>
      </c>
      <c r="CR7" s="244">
        <v>4.4400000000000002E-2</v>
      </c>
      <c r="CS7" s="243">
        <v>6471.48</v>
      </c>
      <c r="CT7" s="243" t="s">
        <v>420</v>
      </c>
      <c r="CU7" s="244">
        <v>2E-16</v>
      </c>
      <c r="CV7" s="81" t="s">
        <v>385</v>
      </c>
      <c r="CW7" s="245" t="s">
        <v>460</v>
      </c>
      <c r="CX7" s="248" t="s">
        <v>463</v>
      </c>
      <c r="CY7" s="246" t="s">
        <v>318</v>
      </c>
      <c r="CZ7" s="247">
        <f t="shared" si="12"/>
        <v>2.3199999999999998</v>
      </c>
      <c r="DA7" s="245" t="s">
        <v>317</v>
      </c>
      <c r="DC7" s="169" t="s">
        <v>460</v>
      </c>
      <c r="DD7" s="259" t="s">
        <v>463</v>
      </c>
      <c r="DE7" s="258" t="s">
        <v>318</v>
      </c>
      <c r="DF7" s="169">
        <f>$O$12*$Z$37*$AP$4</f>
        <v>0.91219345860325662</v>
      </c>
      <c r="DG7" s="169" t="s">
        <v>317</v>
      </c>
    </row>
    <row r="8" spans="2:111" ht="15" customHeight="1" thickTop="1" thickBot="1" x14ac:dyDescent="0.3">
      <c r="B8" s="178" t="s">
        <v>47</v>
      </c>
      <c r="C8" s="183">
        <f>C6-C7</f>
        <v>144.69999999999999</v>
      </c>
      <c r="D8" s="176" t="s">
        <v>9</v>
      </c>
      <c r="E8" s="178" t="s">
        <v>48</v>
      </c>
      <c r="F8" s="176" t="s">
        <v>36</v>
      </c>
      <c r="G8" s="179">
        <f t="shared" si="6"/>
        <v>0.2072815533980582</v>
      </c>
      <c r="H8" s="176"/>
      <c r="I8" s="180">
        <f>'Tabula data'!B18*D45</f>
        <v>8.5399999999999991</v>
      </c>
      <c r="K8" s="81" t="s">
        <v>44</v>
      </c>
      <c r="L8" s="208">
        <v>0</v>
      </c>
      <c r="M8" s="209">
        <v>1</v>
      </c>
      <c r="N8" s="209" t="s">
        <v>25</v>
      </c>
      <c r="O8" s="210">
        <f>O6</f>
        <v>69.641550000000009</v>
      </c>
      <c r="P8" s="211" t="s">
        <v>45</v>
      </c>
      <c r="Q8" s="30">
        <f t="shared" si="7"/>
        <v>2.2022341505875525</v>
      </c>
      <c r="R8" s="30">
        <f t="shared" si="8"/>
        <v>153.36699970985057</v>
      </c>
      <c r="S8" s="30">
        <f t="shared" si="9"/>
        <v>31330340.514000006</v>
      </c>
      <c r="T8" s="30">
        <f t="shared" si="10"/>
        <v>449880</v>
      </c>
      <c r="U8" s="30">
        <f t="shared" si="11"/>
        <v>28196470.764000002</v>
      </c>
      <c r="V8" s="31"/>
      <c r="W8" s="223"/>
      <c r="X8" s="175"/>
      <c r="Y8" s="176" t="s">
        <v>46</v>
      </c>
      <c r="Z8" s="176">
        <v>0.03</v>
      </c>
      <c r="AA8" s="176">
        <f>0.18/Z8</f>
        <v>6</v>
      </c>
      <c r="AB8" s="176">
        <v>0</v>
      </c>
      <c r="AC8" s="176">
        <v>0</v>
      </c>
      <c r="AD8" s="227">
        <v>0.16</v>
      </c>
      <c r="AE8" s="177">
        <f>Z8*AB8*AC8</f>
        <v>0</v>
      </c>
      <c r="AF8" s="222"/>
      <c r="AG8" s="222"/>
      <c r="AH8" s="222"/>
      <c r="AQ8" s="81" t="s">
        <v>317</v>
      </c>
      <c r="AR8" s="166"/>
      <c r="AV8" s="167"/>
      <c r="AW8" s="167"/>
      <c r="AX8" s="167"/>
      <c r="AY8" s="168"/>
      <c r="BA8" s="167"/>
      <c r="BC8" s="81" t="s">
        <v>373</v>
      </c>
      <c r="BD8" s="81" t="s">
        <v>387</v>
      </c>
      <c r="BE8" s="166">
        <v>294</v>
      </c>
      <c r="BF8" s="166">
        <v>1.9099999999999999E-2</v>
      </c>
      <c r="BG8" s="81">
        <v>15359.29</v>
      </c>
      <c r="BH8" s="81" t="s">
        <v>384</v>
      </c>
      <c r="BI8" s="81" t="s">
        <v>385</v>
      </c>
      <c r="BL8" s="167"/>
      <c r="BM8" s="167"/>
      <c r="BN8" s="167"/>
      <c r="BO8" s="168"/>
      <c r="BP8" s="161"/>
      <c r="BQ8" s="167"/>
      <c r="BS8" s="81" t="s">
        <v>373</v>
      </c>
      <c r="BT8" s="81" t="s">
        <v>387</v>
      </c>
      <c r="BU8" s="166">
        <v>296</v>
      </c>
      <c r="BV8" s="166">
        <v>6.88E-2</v>
      </c>
      <c r="BW8" s="81">
        <v>4301.45</v>
      </c>
      <c r="BX8" s="81" t="s">
        <v>420</v>
      </c>
      <c r="BY8" s="166">
        <v>2E-16</v>
      </c>
      <c r="BZ8" s="81" t="s">
        <v>385</v>
      </c>
      <c r="CA8" s="167" t="s">
        <v>314</v>
      </c>
      <c r="CB8" s="167" t="s">
        <v>315</v>
      </c>
      <c r="CC8" s="167" t="s">
        <v>322</v>
      </c>
      <c r="CD8" s="168" t="s">
        <v>318</v>
      </c>
      <c r="CE8" s="256">
        <f>BU18</f>
        <v>3990000</v>
      </c>
      <c r="CF8" s="167" t="s">
        <v>317</v>
      </c>
      <c r="CI8" s="81" t="s">
        <v>322</v>
      </c>
      <c r="CJ8" s="241">
        <f t="shared" si="1"/>
        <v>1940369.480716846</v>
      </c>
      <c r="CK8" s="241">
        <f t="shared" si="2"/>
        <v>2900000</v>
      </c>
      <c r="CL8" s="241">
        <f t="shared" si="3"/>
        <v>3990000</v>
      </c>
      <c r="CO8" s="243" t="s">
        <v>373</v>
      </c>
      <c r="CP8" s="243" t="s">
        <v>387</v>
      </c>
      <c r="CQ8" s="244">
        <v>296</v>
      </c>
      <c r="CR8" s="244">
        <v>5.0099999999999999E-2</v>
      </c>
      <c r="CS8" s="243">
        <v>5898.4</v>
      </c>
      <c r="CT8" s="243" t="s">
        <v>420</v>
      </c>
      <c r="CU8" s="244">
        <v>2E-16</v>
      </c>
      <c r="CV8" s="81" t="s">
        <v>385</v>
      </c>
      <c r="CW8" s="245" t="s">
        <v>460</v>
      </c>
      <c r="CX8" s="249" t="s">
        <v>464</v>
      </c>
      <c r="CY8" s="246" t="s">
        <v>318</v>
      </c>
      <c r="CZ8" s="247">
        <f t="shared" si="12"/>
        <v>0.85899999999999999</v>
      </c>
      <c r="DA8" s="245" t="s">
        <v>317</v>
      </c>
      <c r="DC8" s="169" t="s">
        <v>460</v>
      </c>
      <c r="DD8" s="260" t="s">
        <v>464</v>
      </c>
      <c r="DE8" s="258" t="s">
        <v>318</v>
      </c>
      <c r="DF8" s="169">
        <f>$O$13*$Z$37*$AP$4</f>
        <v>0.66545260504663795</v>
      </c>
      <c r="DG8" s="169" t="s">
        <v>317</v>
      </c>
    </row>
    <row r="9" spans="2:111" ht="15" customHeight="1" thickTop="1" thickBot="1" x14ac:dyDescent="0.3">
      <c r="B9" s="175"/>
      <c r="C9" s="176"/>
      <c r="D9" s="176"/>
      <c r="E9" s="178" t="s">
        <v>52</v>
      </c>
      <c r="F9" s="184" t="s">
        <v>36</v>
      </c>
      <c r="G9" s="179">
        <f t="shared" si="6"/>
        <v>0.15121359223300967</v>
      </c>
      <c r="H9" s="176"/>
      <c r="I9" s="180">
        <f>'Tabula data'!B19*'Tabula RefULG1'!D45</f>
        <v>6.2299999999999995</v>
      </c>
      <c r="K9" s="81" t="s">
        <v>49</v>
      </c>
      <c r="L9" s="208">
        <v>0</v>
      </c>
      <c r="M9" s="209">
        <v>1</v>
      </c>
      <c r="N9" s="209" t="s">
        <v>25</v>
      </c>
      <c r="O9" s="210">
        <f>'Tabula data'!B10*(1-D42)/2*D44</f>
        <v>40.288499999999999</v>
      </c>
      <c r="P9" s="211" t="s">
        <v>50</v>
      </c>
      <c r="Q9" s="30">
        <f t="shared" si="7"/>
        <v>2.2022341505875525</v>
      </c>
      <c r="R9" s="30">
        <f t="shared" si="8"/>
        <v>88.724710575946602</v>
      </c>
      <c r="S9" s="30">
        <f t="shared" si="9"/>
        <v>18124990.379999999</v>
      </c>
      <c r="T9" s="30">
        <f t="shared" si="10"/>
        <v>449880</v>
      </c>
      <c r="U9" s="30">
        <f t="shared" si="11"/>
        <v>16312007.879999999</v>
      </c>
      <c r="V9" s="31"/>
      <c r="W9" s="223"/>
      <c r="X9" s="175"/>
      <c r="Y9" s="176" t="s">
        <v>499</v>
      </c>
      <c r="Z9" s="255">
        <v>0.11</v>
      </c>
      <c r="AA9" s="176">
        <v>3.5999999999999997E-2</v>
      </c>
      <c r="AB9" s="176">
        <v>80</v>
      </c>
      <c r="AC9" s="176">
        <v>840</v>
      </c>
      <c r="AD9" s="227">
        <f>Z9/AA9</f>
        <v>3.0555555555555558</v>
      </c>
      <c r="AE9" s="177">
        <f>Z9*AB9*AC9</f>
        <v>7392.0000000000009</v>
      </c>
      <c r="AF9" s="222"/>
      <c r="AG9" s="222"/>
      <c r="AH9" s="222"/>
      <c r="AM9" s="158" t="s">
        <v>314</v>
      </c>
      <c r="AN9" s="81" t="s">
        <v>315</v>
      </c>
      <c r="AO9" s="81" t="s">
        <v>322</v>
      </c>
      <c r="AP9" s="166">
        <f>C34*1.04*1012*5</f>
        <v>1940369.480716846</v>
      </c>
      <c r="AQ9" s="81" t="s">
        <v>317</v>
      </c>
      <c r="AR9" s="166">
        <v>2745646</v>
      </c>
      <c r="AV9" s="167" t="s">
        <v>314</v>
      </c>
      <c r="AW9" s="167" t="s">
        <v>315</v>
      </c>
      <c r="AX9" s="167" t="s">
        <v>322</v>
      </c>
      <c r="AY9" s="168" t="s">
        <v>318</v>
      </c>
      <c r="AZ9" s="161">
        <f>AP9</f>
        <v>1940369.480716846</v>
      </c>
      <c r="BA9" s="167" t="s">
        <v>317</v>
      </c>
      <c r="BC9" s="81" t="s">
        <v>373</v>
      </c>
      <c r="BD9" s="81" t="s">
        <v>388</v>
      </c>
      <c r="BE9" s="166">
        <v>291</v>
      </c>
      <c r="BF9" s="166">
        <v>8.3099999999999993E-2</v>
      </c>
      <c r="BG9" s="81">
        <v>3501.39</v>
      </c>
      <c r="BH9" s="81" t="s">
        <v>384</v>
      </c>
      <c r="BI9" s="81" t="s">
        <v>385</v>
      </c>
      <c r="BL9" s="167" t="s">
        <v>314</v>
      </c>
      <c r="BM9" s="167" t="s">
        <v>315</v>
      </c>
      <c r="BN9" s="167" t="s">
        <v>322</v>
      </c>
      <c r="BO9" s="168" t="s">
        <v>318</v>
      </c>
      <c r="BP9" s="161">
        <f>BE18</f>
        <v>2900000</v>
      </c>
      <c r="BQ9" s="167" t="s">
        <v>317</v>
      </c>
      <c r="BS9" s="81" t="s">
        <v>373</v>
      </c>
      <c r="BT9" s="81" t="s">
        <v>388</v>
      </c>
      <c r="BU9" s="166">
        <v>289</v>
      </c>
      <c r="BV9" s="166">
        <v>0.17100000000000001</v>
      </c>
      <c r="BW9" s="81">
        <v>1684.81</v>
      </c>
      <c r="BX9" s="81" t="s">
        <v>420</v>
      </c>
      <c r="BY9" s="166">
        <v>2E-16</v>
      </c>
      <c r="BZ9" s="81" t="s">
        <v>385</v>
      </c>
      <c r="CA9" s="167" t="s">
        <v>314</v>
      </c>
      <c r="CB9" s="167" t="s">
        <v>315</v>
      </c>
      <c r="CC9" s="167" t="s">
        <v>323</v>
      </c>
      <c r="CD9" s="168" t="s">
        <v>318</v>
      </c>
      <c r="CE9" s="256">
        <f>BU19</f>
        <v>92100000</v>
      </c>
      <c r="CF9" s="167" t="s">
        <v>317</v>
      </c>
      <c r="CI9" s="81" t="s">
        <v>323</v>
      </c>
      <c r="CJ9" s="241">
        <f t="shared" si="1"/>
        <v>89016957.288000003</v>
      </c>
      <c r="CK9" s="241">
        <f t="shared" si="2"/>
        <v>50500000</v>
      </c>
      <c r="CL9" s="241">
        <f t="shared" si="3"/>
        <v>92100000</v>
      </c>
      <c r="CO9" s="243" t="s">
        <v>373</v>
      </c>
      <c r="CP9" s="243" t="s">
        <v>388</v>
      </c>
      <c r="CQ9" s="244">
        <v>293</v>
      </c>
      <c r="CR9" s="244">
        <v>9.0300000000000005E-2</v>
      </c>
      <c r="CS9" s="243">
        <v>3249.67</v>
      </c>
      <c r="CT9" s="243" t="s">
        <v>420</v>
      </c>
      <c r="CU9" s="244">
        <v>2E-16</v>
      </c>
      <c r="CV9" s="81" t="s">
        <v>385</v>
      </c>
      <c r="CW9" s="245" t="s">
        <v>460</v>
      </c>
      <c r="CX9" s="249" t="s">
        <v>465</v>
      </c>
      <c r="CY9" s="246" t="s">
        <v>318</v>
      </c>
      <c r="CZ9" s="247">
        <f t="shared" si="12"/>
        <v>2.46</v>
      </c>
      <c r="DA9" s="245" t="s">
        <v>317</v>
      </c>
      <c r="DC9" s="169" t="s">
        <v>460</v>
      </c>
      <c r="DD9" s="260" t="s">
        <v>465</v>
      </c>
      <c r="DE9" s="258" t="s">
        <v>318</v>
      </c>
      <c r="DF9" s="169">
        <f>$O$11*$Z$37*$AP$5</f>
        <v>1.3907211745918502</v>
      </c>
      <c r="DG9" s="169" t="s">
        <v>317</v>
      </c>
    </row>
    <row r="10" spans="2:111" ht="15" customHeight="1" thickTop="1" thickBot="1" x14ac:dyDescent="0.3">
      <c r="B10" s="175"/>
      <c r="C10" s="176"/>
      <c r="D10" s="176"/>
      <c r="E10" s="178" t="s">
        <v>35</v>
      </c>
      <c r="F10" s="184" t="s">
        <v>56</v>
      </c>
      <c r="G10" s="179">
        <f t="shared" si="6"/>
        <v>7.8640776699029136E-2</v>
      </c>
      <c r="H10" s="176"/>
      <c r="I10" s="185">
        <f>'Tabula data'!B16*(1-D45)</f>
        <v>3.2400000000000007</v>
      </c>
      <c r="K10" s="81" t="s">
        <v>53</v>
      </c>
      <c r="L10" s="208">
        <v>0</v>
      </c>
      <c r="M10" s="209">
        <v>1</v>
      </c>
      <c r="N10" s="209" t="s">
        <v>54</v>
      </c>
      <c r="O10" s="210">
        <f>I6</f>
        <v>7.56</v>
      </c>
      <c r="P10" s="211" t="s">
        <v>26</v>
      </c>
      <c r="Q10" s="30">
        <f t="shared" si="7"/>
        <v>2</v>
      </c>
      <c r="R10" s="30">
        <f t="shared" si="8"/>
        <v>15.12</v>
      </c>
      <c r="S10" s="30">
        <f t="shared" si="9"/>
        <v>0</v>
      </c>
      <c r="T10" s="30">
        <f t="shared" si="10"/>
        <v>0</v>
      </c>
      <c r="U10" s="30">
        <f t="shared" si="11"/>
        <v>0</v>
      </c>
      <c r="V10" s="31"/>
      <c r="W10" s="223"/>
      <c r="X10" s="175"/>
      <c r="Y10" s="184" t="s">
        <v>55</v>
      </c>
      <c r="Z10" s="176">
        <v>2.5000000000000001E-2</v>
      </c>
      <c r="AA10" s="176">
        <v>0.11</v>
      </c>
      <c r="AB10" s="176">
        <v>550</v>
      </c>
      <c r="AC10" s="176">
        <v>1880</v>
      </c>
      <c r="AD10" s="227">
        <f>Z10/AA10</f>
        <v>0.22727272727272729</v>
      </c>
      <c r="AE10" s="177">
        <f>Z10*AB10*AC10</f>
        <v>25850</v>
      </c>
      <c r="AF10" s="228" t="s">
        <v>270</v>
      </c>
      <c r="AG10" s="222"/>
      <c r="AH10" s="222"/>
      <c r="AM10" s="158" t="s">
        <v>314</v>
      </c>
      <c r="AN10" s="81" t="s">
        <v>315</v>
      </c>
      <c r="AO10" s="81" t="s">
        <v>323</v>
      </c>
      <c r="AP10" s="166">
        <f>SUM(U6:U9)</f>
        <v>89016957.288000003</v>
      </c>
      <c r="AQ10" s="81" t="s">
        <v>317</v>
      </c>
      <c r="AR10" s="166">
        <v>14395560</v>
      </c>
      <c r="AV10" s="167" t="s">
        <v>314</v>
      </c>
      <c r="AW10" s="167" t="s">
        <v>315</v>
      </c>
      <c r="AX10" s="167" t="s">
        <v>323</v>
      </c>
      <c r="AY10" s="168" t="s">
        <v>318</v>
      </c>
      <c r="AZ10" s="161">
        <f t="shared" ref="AZ10:AZ12" si="13">AP10</f>
        <v>89016957.288000003</v>
      </c>
      <c r="BA10" s="167" t="s">
        <v>317</v>
      </c>
      <c r="BC10" s="81" t="s">
        <v>373</v>
      </c>
      <c r="BD10" s="81" t="s">
        <v>389</v>
      </c>
      <c r="BE10" s="166">
        <v>291</v>
      </c>
      <c r="BF10" s="166">
        <v>7.2099999999999997E-2</v>
      </c>
      <c r="BG10" s="81">
        <v>4032.89</v>
      </c>
      <c r="BH10" s="81" t="s">
        <v>384</v>
      </c>
      <c r="BI10" s="81" t="s">
        <v>385</v>
      </c>
      <c r="BL10" s="167" t="s">
        <v>314</v>
      </c>
      <c r="BM10" s="167" t="s">
        <v>315</v>
      </c>
      <c r="BN10" s="167" t="s">
        <v>323</v>
      </c>
      <c r="BO10" s="168" t="s">
        <v>318</v>
      </c>
      <c r="BP10" s="161">
        <f t="shared" ref="BP10:BP11" si="14">BE19</f>
        <v>50500000</v>
      </c>
      <c r="BQ10" s="167" t="s">
        <v>317</v>
      </c>
      <c r="BS10" s="81" t="s">
        <v>373</v>
      </c>
      <c r="BT10" s="81" t="s">
        <v>389</v>
      </c>
      <c r="BU10" s="166">
        <v>289</v>
      </c>
      <c r="BV10" s="166">
        <v>7.0099999999999996E-2</v>
      </c>
      <c r="BW10" s="81">
        <v>4115.0600000000004</v>
      </c>
      <c r="BX10" s="81" t="s">
        <v>420</v>
      </c>
      <c r="BY10" s="166">
        <v>2E-16</v>
      </c>
      <c r="BZ10" s="81" t="s">
        <v>385</v>
      </c>
      <c r="CA10" s="167" t="s">
        <v>314</v>
      </c>
      <c r="CB10" s="167" t="s">
        <v>315</v>
      </c>
      <c r="CC10" s="167" t="s">
        <v>324</v>
      </c>
      <c r="CD10" s="168" t="s">
        <v>318</v>
      </c>
      <c r="CE10" s="256">
        <f>BU20</f>
        <v>22500000</v>
      </c>
      <c r="CF10" s="167" t="s">
        <v>317</v>
      </c>
      <c r="CI10" s="81" t="s">
        <v>324</v>
      </c>
      <c r="CJ10" s="241">
        <f t="shared" si="1"/>
        <v>33058164.636000004</v>
      </c>
      <c r="CK10" s="241">
        <f t="shared" si="2"/>
        <v>32700000</v>
      </c>
      <c r="CL10" s="241">
        <f t="shared" si="3"/>
        <v>22500000</v>
      </c>
      <c r="CO10" s="243" t="s">
        <v>373</v>
      </c>
      <c r="CP10" s="243" t="s">
        <v>389</v>
      </c>
      <c r="CQ10" s="244">
        <v>289</v>
      </c>
      <c r="CR10" s="244">
        <v>4.6800000000000001E-2</v>
      </c>
      <c r="CS10" s="243">
        <v>6181.36</v>
      </c>
      <c r="CT10" s="243" t="s">
        <v>420</v>
      </c>
      <c r="CU10" s="244">
        <v>2E-16</v>
      </c>
      <c r="CV10" s="81" t="s">
        <v>385</v>
      </c>
      <c r="CW10" s="245" t="s">
        <v>460</v>
      </c>
      <c r="CX10" s="249" t="s">
        <v>466</v>
      </c>
      <c r="CY10" s="246" t="s">
        <v>318</v>
      </c>
      <c r="CZ10" s="247">
        <f t="shared" si="12"/>
        <v>3.18</v>
      </c>
      <c r="DA10" s="245" t="s">
        <v>317</v>
      </c>
      <c r="DC10" s="169" t="s">
        <v>460</v>
      </c>
      <c r="DD10" s="260" t="s">
        <v>466</v>
      </c>
      <c r="DE10" s="258" t="s">
        <v>318</v>
      </c>
      <c r="DF10" s="169">
        <f>$O$10*$Z$37*$AP$5</f>
        <v>1.6150310414615032</v>
      </c>
      <c r="DG10" s="169" t="s">
        <v>317</v>
      </c>
    </row>
    <row r="11" spans="2:111" ht="15" customHeight="1" thickTop="1" thickBot="1" x14ac:dyDescent="0.3">
      <c r="B11" s="175"/>
      <c r="C11" s="176"/>
      <c r="D11" s="176"/>
      <c r="E11" s="178" t="s">
        <v>43</v>
      </c>
      <c r="F11" s="184" t="s">
        <v>56</v>
      </c>
      <c r="G11" s="179">
        <f t="shared" si="6"/>
        <v>6.7718446601941748E-2</v>
      </c>
      <c r="H11" s="176"/>
      <c r="I11" s="185">
        <f>'Tabula data'!B17*(1-'Tabula RefULG1'!D45)</f>
        <v>2.7900000000000005</v>
      </c>
      <c r="K11" s="81" t="s">
        <v>57</v>
      </c>
      <c r="L11" s="208">
        <v>0</v>
      </c>
      <c r="M11" s="209">
        <v>1</v>
      </c>
      <c r="N11" s="209" t="s">
        <v>54</v>
      </c>
      <c r="O11" s="210">
        <f>I7</f>
        <v>6.51</v>
      </c>
      <c r="P11" s="211" t="s">
        <v>39</v>
      </c>
      <c r="Q11" s="30">
        <f t="shared" si="7"/>
        <v>2</v>
      </c>
      <c r="R11" s="30">
        <f t="shared" si="8"/>
        <v>13.02</v>
      </c>
      <c r="S11" s="30">
        <f t="shared" si="9"/>
        <v>0</v>
      </c>
      <c r="T11" s="30">
        <f t="shared" si="10"/>
        <v>0</v>
      </c>
      <c r="U11" s="30">
        <f t="shared" si="11"/>
        <v>0</v>
      </c>
      <c r="V11" s="31"/>
      <c r="W11" s="223"/>
      <c r="X11" s="187"/>
      <c r="Y11" s="174" t="s">
        <v>433</v>
      </c>
      <c r="Z11" s="174">
        <v>0.02</v>
      </c>
      <c r="AA11" s="174">
        <v>0.6</v>
      </c>
      <c r="AB11" s="174">
        <v>975</v>
      </c>
      <c r="AC11" s="174">
        <v>840</v>
      </c>
      <c r="AD11" s="229">
        <f>Z11/AA11</f>
        <v>3.3333333333333333E-2</v>
      </c>
      <c r="AE11" s="192">
        <f>Z11*AB11*AC11</f>
        <v>16380</v>
      </c>
      <c r="AF11" s="222"/>
      <c r="AG11" s="222"/>
      <c r="AH11" s="222"/>
      <c r="AM11" s="158" t="s">
        <v>314</v>
      </c>
      <c r="AN11" s="81" t="s">
        <v>315</v>
      </c>
      <c r="AO11" s="81" t="s">
        <v>324</v>
      </c>
      <c r="AP11" s="166">
        <f>SUM(U27)</f>
        <v>33058164.636000004</v>
      </c>
      <c r="AQ11" s="81" t="s">
        <v>317</v>
      </c>
      <c r="AR11" s="166">
        <v>26154150</v>
      </c>
      <c r="AV11" s="167" t="s">
        <v>314</v>
      </c>
      <c r="AW11" s="167" t="s">
        <v>315</v>
      </c>
      <c r="AX11" s="167" t="s">
        <v>324</v>
      </c>
      <c r="AY11" s="168" t="s">
        <v>318</v>
      </c>
      <c r="AZ11" s="161">
        <f t="shared" si="13"/>
        <v>33058164.636000004</v>
      </c>
      <c r="BA11" s="167" t="s">
        <v>317</v>
      </c>
      <c r="BC11" s="81" t="s">
        <v>373</v>
      </c>
      <c r="BD11" s="81" t="s">
        <v>390</v>
      </c>
      <c r="BE11" s="166">
        <v>0.18</v>
      </c>
      <c r="BF11" s="166">
        <v>2.64E-3</v>
      </c>
      <c r="BG11" s="81">
        <v>67.989999999999995</v>
      </c>
      <c r="BH11" s="81" t="s">
        <v>384</v>
      </c>
      <c r="BI11" s="81" t="s">
        <v>385</v>
      </c>
      <c r="BL11" s="167" t="s">
        <v>314</v>
      </c>
      <c r="BM11" s="167" t="s">
        <v>315</v>
      </c>
      <c r="BN11" s="167" t="s">
        <v>324</v>
      </c>
      <c r="BO11" s="168" t="s">
        <v>318</v>
      </c>
      <c r="BP11" s="161">
        <f t="shared" si="14"/>
        <v>32700000</v>
      </c>
      <c r="BQ11" s="167" t="s">
        <v>317</v>
      </c>
      <c r="BS11" s="81" t="s">
        <v>373</v>
      </c>
      <c r="BT11" s="81" t="s">
        <v>390</v>
      </c>
      <c r="BU11" s="166">
        <v>0.216</v>
      </c>
      <c r="BV11" s="166">
        <v>1.01E-3</v>
      </c>
      <c r="BW11" s="81">
        <v>214.51</v>
      </c>
      <c r="BX11" s="81" t="s">
        <v>420</v>
      </c>
      <c r="BY11" s="166">
        <v>2E-16</v>
      </c>
      <c r="BZ11" s="81" t="s">
        <v>385</v>
      </c>
      <c r="CA11" s="167" t="s">
        <v>314</v>
      </c>
      <c r="CB11" s="167" t="s">
        <v>315</v>
      </c>
      <c r="CC11" s="167" t="s">
        <v>325</v>
      </c>
      <c r="CD11" s="168" t="s">
        <v>318</v>
      </c>
      <c r="CE11" s="256">
        <f>BU17</f>
        <v>3340000000</v>
      </c>
      <c r="CF11" s="167" t="s">
        <v>317</v>
      </c>
      <c r="CI11" s="81" t="s">
        <v>325</v>
      </c>
      <c r="CJ11" s="241">
        <f t="shared" si="1"/>
        <v>14901928.000000002</v>
      </c>
      <c r="CK11" s="241">
        <f t="shared" si="2"/>
        <v>14000000</v>
      </c>
      <c r="CL11" s="241">
        <f t="shared" si="3"/>
        <v>3340000000</v>
      </c>
      <c r="CO11" s="243" t="s">
        <v>373</v>
      </c>
      <c r="CP11" s="243" t="s">
        <v>442</v>
      </c>
      <c r="CQ11" s="244">
        <v>0.88200000000000001</v>
      </c>
      <c r="CR11" s="244">
        <v>0.14899999999999999</v>
      </c>
      <c r="CS11" s="243">
        <v>5.91</v>
      </c>
      <c r="CT11" s="244">
        <v>3.4999999999999999E-9</v>
      </c>
      <c r="CU11" s="244" t="s">
        <v>385</v>
      </c>
      <c r="CW11" s="245" t="s">
        <v>460</v>
      </c>
      <c r="CX11" s="249" t="s">
        <v>467</v>
      </c>
      <c r="CY11" s="246" t="s">
        <v>318</v>
      </c>
      <c r="CZ11" s="247">
        <f t="shared" si="12"/>
        <v>2.75</v>
      </c>
      <c r="DA11" s="245" t="s">
        <v>317</v>
      </c>
      <c r="DC11" s="169" t="s">
        <v>460</v>
      </c>
      <c r="DD11" s="260" t="s">
        <v>467</v>
      </c>
      <c r="DE11" s="258" t="s">
        <v>318</v>
      </c>
      <c r="DF11" s="169">
        <f>$O$12*$Z$37*$AP$5</f>
        <v>1.8243869172065132</v>
      </c>
      <c r="DG11" s="169" t="s">
        <v>317</v>
      </c>
    </row>
    <row r="12" spans="2:111" ht="15" customHeight="1" thickTop="1" thickBot="1" x14ac:dyDescent="0.3">
      <c r="B12" s="175"/>
      <c r="C12" s="176"/>
      <c r="D12" s="176"/>
      <c r="E12" s="178" t="s">
        <v>48</v>
      </c>
      <c r="F12" s="184" t="s">
        <v>56</v>
      </c>
      <c r="G12" s="179">
        <f t="shared" si="6"/>
        <v>8.8834951456310679E-2</v>
      </c>
      <c r="H12" s="176"/>
      <c r="I12" s="185">
        <f>'Tabula data'!B18*(1-'Tabula RefULG1'!D45)</f>
        <v>3.66</v>
      </c>
      <c r="K12" s="81" t="s">
        <v>59</v>
      </c>
      <c r="L12" s="208">
        <v>0</v>
      </c>
      <c r="M12" s="209">
        <v>1</v>
      </c>
      <c r="N12" s="209" t="s">
        <v>54</v>
      </c>
      <c r="O12" s="210">
        <f>I8</f>
        <v>8.5399999999999991</v>
      </c>
      <c r="P12" s="211" t="s">
        <v>45</v>
      </c>
      <c r="Q12" s="30">
        <f t="shared" si="7"/>
        <v>2</v>
      </c>
      <c r="R12" s="30">
        <f t="shared" si="8"/>
        <v>17.079999999999998</v>
      </c>
      <c r="S12" s="30">
        <f t="shared" si="9"/>
        <v>0</v>
      </c>
      <c r="T12" s="30">
        <f t="shared" si="10"/>
        <v>0</v>
      </c>
      <c r="U12" s="30">
        <f t="shared" si="11"/>
        <v>0</v>
      </c>
      <c r="V12" s="31"/>
      <c r="W12" s="223"/>
      <c r="Z12" s="221" t="s">
        <v>4</v>
      </c>
      <c r="AA12" s="221">
        <v>2.2000000000000002</v>
      </c>
      <c r="AB12" s="221" t="s">
        <v>5</v>
      </c>
      <c r="AF12" s="222"/>
      <c r="AG12" s="222"/>
      <c r="AH12" s="222"/>
      <c r="AM12" s="158" t="s">
        <v>314</v>
      </c>
      <c r="AN12" s="81" t="s">
        <v>315</v>
      </c>
      <c r="AO12" s="81" t="s">
        <v>325</v>
      </c>
      <c r="AP12" s="166">
        <f>SUM(U14)</f>
        <v>14901928.000000002</v>
      </c>
      <c r="AQ12" s="81" t="s">
        <v>317</v>
      </c>
      <c r="AR12" s="166">
        <v>12228720</v>
      </c>
      <c r="AV12" s="167" t="s">
        <v>314</v>
      </c>
      <c r="AW12" s="167" t="s">
        <v>315</v>
      </c>
      <c r="AX12" s="167" t="s">
        <v>325</v>
      </c>
      <c r="AY12" s="168" t="s">
        <v>318</v>
      </c>
      <c r="AZ12" s="161">
        <f t="shared" si="13"/>
        <v>14901928.000000002</v>
      </c>
      <c r="BA12" s="167" t="s">
        <v>317</v>
      </c>
      <c r="BC12" s="81" t="s">
        <v>373</v>
      </c>
      <c r="BD12" s="81" t="s">
        <v>391</v>
      </c>
      <c r="BE12" s="166">
        <v>0.33600000000000002</v>
      </c>
      <c r="BF12" s="166">
        <v>2.32E-3</v>
      </c>
      <c r="BG12" s="81">
        <v>144.99</v>
      </c>
      <c r="BH12" s="81" t="s">
        <v>384</v>
      </c>
      <c r="BI12" s="81" t="s">
        <v>385</v>
      </c>
      <c r="BL12" s="167" t="s">
        <v>314</v>
      </c>
      <c r="BM12" s="167" t="s">
        <v>315</v>
      </c>
      <c r="BN12" s="167" t="s">
        <v>325</v>
      </c>
      <c r="BO12" s="168" t="s">
        <v>318</v>
      </c>
      <c r="BP12" s="161">
        <f>BE17</f>
        <v>14000000</v>
      </c>
      <c r="BQ12" s="167" t="s">
        <v>317</v>
      </c>
      <c r="BS12" s="81" t="s">
        <v>373</v>
      </c>
      <c r="BT12" s="81" t="s">
        <v>391</v>
      </c>
      <c r="BU12" s="166">
        <v>0.439</v>
      </c>
      <c r="BV12" s="166">
        <v>1.7799999999999999E-3</v>
      </c>
      <c r="BW12" s="81">
        <v>246.64</v>
      </c>
      <c r="BX12" s="81" t="s">
        <v>420</v>
      </c>
      <c r="BY12" s="166">
        <v>2E-16</v>
      </c>
      <c r="BZ12" s="81" t="s">
        <v>385</v>
      </c>
      <c r="CA12" s="167"/>
      <c r="CB12" s="167"/>
      <c r="CC12" s="167"/>
      <c r="CD12" s="168"/>
      <c r="CE12" s="161"/>
      <c r="CF12" s="167"/>
      <c r="CJ12" s="240">
        <f t="shared" si="1"/>
        <v>0</v>
      </c>
      <c r="CK12" s="240">
        <f t="shared" si="2"/>
        <v>0</v>
      </c>
      <c r="CL12" s="240">
        <f t="shared" si="3"/>
        <v>0</v>
      </c>
      <c r="CO12" s="243" t="s">
        <v>373</v>
      </c>
      <c r="CP12" s="243" t="s">
        <v>336</v>
      </c>
      <c r="CQ12" s="244">
        <v>6.06</v>
      </c>
      <c r="CR12" s="244">
        <v>0.32200000000000001</v>
      </c>
      <c r="CS12" s="243">
        <v>18.82</v>
      </c>
      <c r="CT12" s="243" t="s">
        <v>420</v>
      </c>
      <c r="CU12" s="244">
        <v>2E-16</v>
      </c>
      <c r="CV12" s="81" t="s">
        <v>385</v>
      </c>
      <c r="CW12" s="245" t="s">
        <v>460</v>
      </c>
      <c r="CX12" s="248" t="s">
        <v>468</v>
      </c>
      <c r="CY12" s="246" t="s">
        <v>318</v>
      </c>
      <c r="CZ12" s="247">
        <f t="shared" si="12"/>
        <v>2.95</v>
      </c>
      <c r="DA12" s="245" t="s">
        <v>317</v>
      </c>
      <c r="DC12" s="169" t="s">
        <v>460</v>
      </c>
      <c r="DD12" s="259" t="s">
        <v>468</v>
      </c>
      <c r="DE12" s="258" t="s">
        <v>318</v>
      </c>
      <c r="DF12" s="169">
        <f>$O$13*$Z$37*$AP$5</f>
        <v>1.3309052100932759</v>
      </c>
      <c r="DG12" s="169" t="s">
        <v>317</v>
      </c>
    </row>
    <row r="13" spans="2:111" ht="15" customHeight="1" thickTop="1" thickBot="1" x14ac:dyDescent="0.3">
      <c r="B13" s="175"/>
      <c r="C13" s="176"/>
      <c r="D13" s="176"/>
      <c r="E13" s="178" t="s">
        <v>52</v>
      </c>
      <c r="F13" s="184" t="s">
        <v>56</v>
      </c>
      <c r="G13" s="179">
        <f t="shared" si="6"/>
        <v>6.4805825242718454E-2</v>
      </c>
      <c r="H13" s="176"/>
      <c r="I13" s="185">
        <f>'Tabula data'!B19*(1-'Tabula RefULG1'!D45)</f>
        <v>2.6700000000000004</v>
      </c>
      <c r="K13" s="81" t="s">
        <v>60</v>
      </c>
      <c r="L13" s="208">
        <v>0</v>
      </c>
      <c r="M13" s="209">
        <v>1</v>
      </c>
      <c r="N13" s="209" t="s">
        <v>54</v>
      </c>
      <c r="O13" s="210">
        <f>I9</f>
        <v>6.2299999999999995</v>
      </c>
      <c r="P13" s="211" t="s">
        <v>50</v>
      </c>
      <c r="Q13" s="30">
        <f t="shared" si="7"/>
        <v>2</v>
      </c>
      <c r="R13" s="30">
        <f t="shared" si="8"/>
        <v>12.459999999999999</v>
      </c>
      <c r="S13" s="30">
        <f t="shared" si="9"/>
        <v>0</v>
      </c>
      <c r="T13" s="30">
        <f t="shared" si="10"/>
        <v>0</v>
      </c>
      <c r="U13" s="30">
        <f t="shared" si="11"/>
        <v>0</v>
      </c>
      <c r="V13" s="31"/>
      <c r="W13" s="223"/>
      <c r="X13" s="216" t="s">
        <v>64</v>
      </c>
      <c r="Y13" s="217"/>
      <c r="Z13" s="218" t="s">
        <v>21</v>
      </c>
      <c r="AA13" s="219">
        <f>1/(1/8+SUM(AD15:AD19)+1/23)</f>
        <v>2.2022341505875525</v>
      </c>
      <c r="AB13" s="217" t="s">
        <v>5</v>
      </c>
      <c r="AC13" s="217"/>
      <c r="AD13" s="217" t="s">
        <v>22</v>
      </c>
      <c r="AE13" s="220">
        <f>SUM(AE15:AE20)</f>
        <v>449880</v>
      </c>
      <c r="AF13" s="222" t="s">
        <v>23</v>
      </c>
      <c r="AG13" s="222">
        <f>SUM(AE18:AE19)</f>
        <v>404880</v>
      </c>
      <c r="AH13" s="222"/>
      <c r="AP13" s="166"/>
      <c r="AQ13" s="81" t="s">
        <v>317</v>
      </c>
      <c r="AR13" s="166"/>
      <c r="AV13" s="167"/>
      <c r="AW13" s="167"/>
      <c r="AX13" s="167"/>
      <c r="AY13" s="168"/>
      <c r="BA13" s="167"/>
      <c r="BC13" s="81" t="s">
        <v>373</v>
      </c>
      <c r="BD13" s="81" t="s">
        <v>392</v>
      </c>
      <c r="BE13" s="166">
        <v>0.33700000000000002</v>
      </c>
      <c r="BF13" s="166">
        <v>8.6800000000000002E-3</v>
      </c>
      <c r="BG13" s="81">
        <v>38.840000000000003</v>
      </c>
      <c r="BH13" s="81" t="s">
        <v>384</v>
      </c>
      <c r="BI13" s="81" t="s">
        <v>385</v>
      </c>
      <c r="BL13" s="167"/>
      <c r="BM13" s="167"/>
      <c r="BN13" s="167"/>
      <c r="BO13" s="168"/>
      <c r="BP13" s="161"/>
      <c r="BQ13" s="167"/>
      <c r="BS13" s="81" t="s">
        <v>373</v>
      </c>
      <c r="BT13" s="81" t="s">
        <v>392</v>
      </c>
      <c r="BU13" s="166">
        <v>9.2700000000000005E-2</v>
      </c>
      <c r="BV13" s="166">
        <v>1.7000000000000001E-2</v>
      </c>
      <c r="BW13" s="81">
        <v>5.46</v>
      </c>
      <c r="BX13" s="166">
        <v>4.6999999999999997E-8</v>
      </c>
      <c r="BY13" s="81" t="s">
        <v>385</v>
      </c>
      <c r="CA13" s="167" t="s">
        <v>314</v>
      </c>
      <c r="CB13" s="167" t="s">
        <v>315</v>
      </c>
      <c r="CC13" s="167" t="s">
        <v>326</v>
      </c>
      <c r="CD13" s="168" t="s">
        <v>318</v>
      </c>
      <c r="CE13" s="161">
        <f>BU26</f>
        <v>8.43E-2</v>
      </c>
      <c r="CF13" s="167" t="s">
        <v>317</v>
      </c>
      <c r="CI13" s="81" t="s">
        <v>326</v>
      </c>
      <c r="CJ13" s="239">
        <f t="shared" si="1"/>
        <v>6.8179290841839893E-2</v>
      </c>
      <c r="CK13" s="239">
        <f t="shared" si="2"/>
        <v>0.128</v>
      </c>
      <c r="CL13" s="239">
        <f t="shared" si="3"/>
        <v>8.43E-2</v>
      </c>
      <c r="CO13" s="243" t="s">
        <v>373</v>
      </c>
      <c r="CP13" s="243" t="s">
        <v>443</v>
      </c>
      <c r="CQ13" s="244">
        <v>2.3199999999999998</v>
      </c>
      <c r="CR13" s="244">
        <v>6.4600000000000005E-2</v>
      </c>
      <c r="CS13" s="243">
        <v>35.89</v>
      </c>
      <c r="CT13" s="243" t="s">
        <v>420</v>
      </c>
      <c r="CU13" s="244">
        <v>2E-16</v>
      </c>
      <c r="CV13" s="81" t="s">
        <v>385</v>
      </c>
      <c r="CW13" s="245" t="s">
        <v>460</v>
      </c>
      <c r="CX13" s="250" t="s">
        <v>469</v>
      </c>
      <c r="CY13" s="246" t="s">
        <v>318</v>
      </c>
      <c r="CZ13" s="247">
        <f t="shared" si="12"/>
        <v>0.94499999999999995</v>
      </c>
      <c r="DA13" s="245" t="s">
        <v>317</v>
      </c>
      <c r="DC13" s="169" t="s">
        <v>460</v>
      </c>
      <c r="DD13" s="261" t="s">
        <v>469</v>
      </c>
      <c r="DE13" s="258" t="s">
        <v>318</v>
      </c>
      <c r="DF13" s="169">
        <f>$O$11*$Z$37*$AP$6</f>
        <v>9.1213454999858889E-2</v>
      </c>
      <c r="DG13" s="169" t="s">
        <v>317</v>
      </c>
    </row>
    <row r="14" spans="2:111" ht="15" customHeight="1" thickTop="1" thickBot="1" x14ac:dyDescent="0.3">
      <c r="B14" s="175"/>
      <c r="C14" s="176"/>
      <c r="D14" s="176"/>
      <c r="E14" s="197" t="s">
        <v>65</v>
      </c>
      <c r="F14" s="194"/>
      <c r="G14" s="194"/>
      <c r="H14" s="194"/>
      <c r="I14" s="198"/>
      <c r="K14" s="81" t="s">
        <v>61</v>
      </c>
      <c r="L14" s="208" t="s">
        <v>62</v>
      </c>
      <c r="M14" s="209">
        <v>1</v>
      </c>
      <c r="N14" s="209" t="s">
        <v>63</v>
      </c>
      <c r="O14" s="210">
        <f>C7</f>
        <v>134.30000000000001</v>
      </c>
      <c r="P14" s="211"/>
      <c r="Q14" s="30">
        <f t="shared" si="7"/>
        <v>2.8187919463087252</v>
      </c>
      <c r="R14" s="30">
        <f t="shared" si="8"/>
        <v>378.56375838926181</v>
      </c>
      <c r="S14" s="30">
        <f t="shared" si="9"/>
        <v>50437708.000000007</v>
      </c>
      <c r="T14" s="30">
        <f t="shared" si="10"/>
        <v>375560</v>
      </c>
      <c r="U14" s="30">
        <f t="shared" si="11"/>
        <v>14901928.000000002</v>
      </c>
      <c r="V14" s="31"/>
      <c r="W14" s="223"/>
      <c r="X14" s="224"/>
      <c r="Y14" s="225" t="s">
        <v>27</v>
      </c>
      <c r="Z14" s="225" t="s">
        <v>28</v>
      </c>
      <c r="AA14" s="225" t="s">
        <v>29</v>
      </c>
      <c r="AB14" s="225" t="s">
        <v>30</v>
      </c>
      <c r="AC14" s="225" t="s">
        <v>31</v>
      </c>
      <c r="AD14" s="225" t="s">
        <v>32</v>
      </c>
      <c r="AE14" s="226" t="s">
        <v>33</v>
      </c>
      <c r="AF14" s="222"/>
      <c r="AG14" s="222"/>
      <c r="AH14" s="222"/>
      <c r="AM14" s="158" t="s">
        <v>314</v>
      </c>
      <c r="AN14" s="81" t="s">
        <v>315</v>
      </c>
      <c r="AO14" s="81" t="s">
        <v>326</v>
      </c>
      <c r="AP14" s="81">
        <f>AP4*0.2</f>
        <v>4.5452860561226605E-2</v>
      </c>
      <c r="AQ14" s="81" t="s">
        <v>317</v>
      </c>
      <c r="AR14" s="166">
        <v>6.5890790000000005E-2</v>
      </c>
      <c r="AV14" s="167" t="s">
        <v>314</v>
      </c>
      <c r="AW14" s="167" t="s">
        <v>315</v>
      </c>
      <c r="AX14" s="167" t="s">
        <v>326</v>
      </c>
      <c r="AY14" s="168" t="s">
        <v>318</v>
      </c>
      <c r="AZ14" s="161">
        <f>AZ4*0.3</f>
        <v>6.8179290841839893E-2</v>
      </c>
      <c r="BA14" s="167" t="s">
        <v>317</v>
      </c>
      <c r="BC14" s="81" t="s">
        <v>373</v>
      </c>
      <c r="BD14" s="81" t="s">
        <v>393</v>
      </c>
      <c r="BE14" s="166">
        <v>0.10299999999999999</v>
      </c>
      <c r="BF14" s="166">
        <v>2.4099999999999998E-3</v>
      </c>
      <c r="BG14" s="81">
        <v>42.8</v>
      </c>
      <c r="BH14" s="81" t="s">
        <v>384</v>
      </c>
      <c r="BI14" s="81" t="s">
        <v>385</v>
      </c>
      <c r="BL14" s="167" t="s">
        <v>314</v>
      </c>
      <c r="BM14" s="167" t="s">
        <v>315</v>
      </c>
      <c r="BN14" s="167" t="s">
        <v>326</v>
      </c>
      <c r="BO14" s="168" t="s">
        <v>318</v>
      </c>
      <c r="BP14" s="161">
        <f>BE26</f>
        <v>0.128</v>
      </c>
      <c r="BQ14" s="167" t="s">
        <v>317</v>
      </c>
      <c r="BS14" s="81" t="s">
        <v>373</v>
      </c>
      <c r="BT14" s="81" t="s">
        <v>393</v>
      </c>
      <c r="BU14" s="166">
        <v>0.14899999999999999</v>
      </c>
      <c r="BV14" s="166">
        <v>5.0299999999999997E-4</v>
      </c>
      <c r="BW14" s="81">
        <v>296.68</v>
      </c>
      <c r="BX14" s="81" t="s">
        <v>420</v>
      </c>
      <c r="BY14" s="166">
        <v>2E-16</v>
      </c>
      <c r="BZ14" s="81" t="s">
        <v>385</v>
      </c>
      <c r="CA14" s="167" t="s">
        <v>314</v>
      </c>
      <c r="CB14" s="167" t="s">
        <v>315</v>
      </c>
      <c r="CC14" s="167" t="s">
        <v>327</v>
      </c>
      <c r="CD14" s="168" t="s">
        <v>318</v>
      </c>
      <c r="CE14" s="161">
        <f>BU27</f>
        <v>0.16600000000000001</v>
      </c>
      <c r="CF14" s="167" t="s">
        <v>317</v>
      </c>
      <c r="CI14" s="81" t="s">
        <v>327</v>
      </c>
      <c r="CJ14" s="239">
        <f t="shared" si="1"/>
        <v>0.13635858168367979</v>
      </c>
      <c r="CK14" s="239">
        <f t="shared" si="2"/>
        <v>0.23499999999999999</v>
      </c>
      <c r="CL14" s="239">
        <f t="shared" si="3"/>
        <v>0.16600000000000001</v>
      </c>
      <c r="CO14" s="243" t="s">
        <v>373</v>
      </c>
      <c r="CP14" s="243" t="s">
        <v>444</v>
      </c>
      <c r="CQ14" s="244">
        <v>0.85899999999999999</v>
      </c>
      <c r="CR14" s="244">
        <v>6.0299999999999999E-2</v>
      </c>
      <c r="CS14" s="243">
        <v>14.25</v>
      </c>
      <c r="CT14" s="243" t="s">
        <v>420</v>
      </c>
      <c r="CU14" s="244">
        <v>2E-16</v>
      </c>
      <c r="CV14" s="81" t="s">
        <v>385</v>
      </c>
      <c r="CW14" s="245" t="s">
        <v>460</v>
      </c>
      <c r="CX14" s="250" t="s">
        <v>470</v>
      </c>
      <c r="CY14" s="246" t="s">
        <v>318</v>
      </c>
      <c r="CZ14" s="247">
        <f t="shared" si="12"/>
        <v>6.8900000000000002E-14</v>
      </c>
      <c r="DA14" s="245" t="s">
        <v>317</v>
      </c>
      <c r="DC14" s="169" t="s">
        <v>460</v>
      </c>
      <c r="DD14" s="261" t="s">
        <v>470</v>
      </c>
      <c r="DE14" s="258" t="s">
        <v>318</v>
      </c>
      <c r="DF14" s="169">
        <f>$O$10*$Z$37*$AP$6</f>
        <v>0.10592530258048129</v>
      </c>
      <c r="DG14" s="169" t="s">
        <v>317</v>
      </c>
    </row>
    <row r="15" spans="2:111" ht="15" customHeight="1" thickTop="1" thickBot="1" x14ac:dyDescent="0.3">
      <c r="B15" s="175"/>
      <c r="C15" s="176"/>
      <c r="D15" s="176"/>
      <c r="E15" s="186"/>
      <c r="F15" s="176"/>
      <c r="G15" s="176"/>
      <c r="H15" s="176"/>
      <c r="I15" s="177"/>
      <c r="K15" s="81" t="s">
        <v>66</v>
      </c>
      <c r="L15" s="208">
        <v>0</v>
      </c>
      <c r="M15" s="209">
        <v>1</v>
      </c>
      <c r="N15" s="209" t="s">
        <v>20</v>
      </c>
      <c r="O15" s="212">
        <v>0</v>
      </c>
      <c r="P15" s="211"/>
      <c r="Q15" s="30">
        <f t="shared" si="7"/>
        <v>0.27481053799679722</v>
      </c>
      <c r="R15" s="30">
        <f t="shared" si="8"/>
        <v>0</v>
      </c>
      <c r="S15" s="30">
        <v>0</v>
      </c>
      <c r="T15" s="30">
        <f>S15/O25</f>
        <v>0</v>
      </c>
      <c r="U15" s="30">
        <f>VLOOKUP(N15,$X$5:$AG$391,10,0)*O25</f>
        <v>6689232</v>
      </c>
      <c r="V15" s="31"/>
      <c r="W15" s="223"/>
      <c r="X15" s="175"/>
      <c r="Y15" s="176"/>
      <c r="Z15" s="176"/>
      <c r="AA15" s="176"/>
      <c r="AB15" s="176"/>
      <c r="AC15" s="184"/>
      <c r="AD15" s="227"/>
      <c r="AE15" s="177"/>
      <c r="AF15" s="222"/>
      <c r="AG15" s="222"/>
      <c r="AH15" s="222"/>
      <c r="AM15" s="158" t="s">
        <v>314</v>
      </c>
      <c r="AN15" s="81" t="s">
        <v>315</v>
      </c>
      <c r="AO15" s="81" t="s">
        <v>327</v>
      </c>
      <c r="AP15" s="81">
        <f>AP5*0.2</f>
        <v>9.0905721122453209E-2</v>
      </c>
      <c r="AQ15" s="81" t="s">
        <v>317</v>
      </c>
      <c r="AR15" s="166">
        <v>0.1612856</v>
      </c>
      <c r="AV15" s="167" t="s">
        <v>314</v>
      </c>
      <c r="AW15" s="167" t="s">
        <v>315</v>
      </c>
      <c r="AX15" s="167" t="s">
        <v>327</v>
      </c>
      <c r="AY15" s="168" t="s">
        <v>318</v>
      </c>
      <c r="AZ15" s="161">
        <f>AZ5*0.3</f>
        <v>0.13635858168367979</v>
      </c>
      <c r="BA15" s="167" t="s">
        <v>317</v>
      </c>
      <c r="BC15" s="81" t="s">
        <v>373</v>
      </c>
      <c r="BD15" s="81" t="s">
        <v>394</v>
      </c>
      <c r="BE15" s="166">
        <v>2.8899999999999999E-2</v>
      </c>
      <c r="BF15" s="166">
        <v>2.8500000000000001E-3</v>
      </c>
      <c r="BG15" s="81">
        <v>10.15</v>
      </c>
      <c r="BH15" s="81" t="s">
        <v>384</v>
      </c>
      <c r="BI15" s="81" t="s">
        <v>385</v>
      </c>
      <c r="BL15" s="167" t="s">
        <v>314</v>
      </c>
      <c r="BM15" s="167" t="s">
        <v>315</v>
      </c>
      <c r="BN15" s="167" t="s">
        <v>327</v>
      </c>
      <c r="BO15" s="168" t="s">
        <v>318</v>
      </c>
      <c r="BP15" s="161">
        <f t="shared" ref="BP15:BP17" si="15">BE27</f>
        <v>0.23499999999999999</v>
      </c>
      <c r="BQ15" s="167" t="s">
        <v>317</v>
      </c>
      <c r="BS15" s="81" t="s">
        <v>373</v>
      </c>
      <c r="BT15" s="81" t="s">
        <v>394</v>
      </c>
      <c r="BU15" s="166">
        <v>6.9400000000000003E-2</v>
      </c>
      <c r="BV15" s="166">
        <v>4.9799999999999996E-4</v>
      </c>
      <c r="BW15" s="81">
        <v>139.41</v>
      </c>
      <c r="BX15" s="81" t="s">
        <v>420</v>
      </c>
      <c r="BY15" s="166">
        <v>2E-16</v>
      </c>
      <c r="BZ15" s="81" t="s">
        <v>385</v>
      </c>
      <c r="CA15" s="167" t="s">
        <v>314</v>
      </c>
      <c r="CB15" s="167" t="s">
        <v>315</v>
      </c>
      <c r="CC15" s="167" t="s">
        <v>328</v>
      </c>
      <c r="CD15" s="168" t="s">
        <v>318</v>
      </c>
      <c r="CE15" s="161">
        <f>BU28</f>
        <v>0.70499999999999996</v>
      </c>
      <c r="CF15" s="167" t="s">
        <v>317</v>
      </c>
      <c r="CI15" s="81" t="s">
        <v>328</v>
      </c>
      <c r="CJ15" s="239">
        <f t="shared" si="1"/>
        <v>0.70894337238943606</v>
      </c>
      <c r="CK15" s="239">
        <f t="shared" si="2"/>
        <v>0.53700000000000003</v>
      </c>
      <c r="CL15" s="239">
        <f t="shared" si="3"/>
        <v>0.70499999999999996</v>
      </c>
      <c r="CO15" s="243" t="s">
        <v>373</v>
      </c>
      <c r="CP15" s="243" t="s">
        <v>445</v>
      </c>
      <c r="CQ15" s="244">
        <v>2.46</v>
      </c>
      <c r="CR15" s="244">
        <v>0.24299999999999999</v>
      </c>
      <c r="CS15" s="243">
        <v>10.14</v>
      </c>
      <c r="CT15" s="243" t="s">
        <v>420</v>
      </c>
      <c r="CU15" s="244">
        <v>2E-16</v>
      </c>
      <c r="CV15" s="81" t="s">
        <v>385</v>
      </c>
      <c r="CW15" s="245" t="s">
        <v>460</v>
      </c>
      <c r="CX15" s="250" t="s">
        <v>471</v>
      </c>
      <c r="CY15" s="246" t="s">
        <v>318</v>
      </c>
      <c r="CZ15" s="247">
        <f t="shared" si="12"/>
        <v>0.44600000000000001</v>
      </c>
      <c r="DA15" s="245" t="s">
        <v>317</v>
      </c>
      <c r="DC15" s="169" t="s">
        <v>460</v>
      </c>
      <c r="DD15" s="261" t="s">
        <v>471</v>
      </c>
      <c r="DE15" s="258" t="s">
        <v>318</v>
      </c>
      <c r="DF15" s="169">
        <f>$O$12*$Z$37*$AP$6</f>
        <v>0.11965636032239554</v>
      </c>
      <c r="DG15" s="169" t="s">
        <v>317</v>
      </c>
    </row>
    <row r="16" spans="2:111" ht="15" customHeight="1" thickTop="1" thickBot="1" x14ac:dyDescent="0.3">
      <c r="B16" s="187"/>
      <c r="C16" s="174"/>
      <c r="D16" s="174"/>
      <c r="E16" s="178" t="s">
        <v>69</v>
      </c>
      <c r="F16" s="176"/>
      <c r="G16" s="188">
        <f>C4/C26</f>
        <v>1.2783711615487316</v>
      </c>
      <c r="H16" s="184" t="s">
        <v>70</v>
      </c>
      <c r="I16" s="177"/>
      <c r="K16" s="81" t="s">
        <v>67</v>
      </c>
      <c r="L16" s="208">
        <v>0</v>
      </c>
      <c r="M16" s="209">
        <v>1</v>
      </c>
      <c r="N16" s="209" t="s">
        <v>68</v>
      </c>
      <c r="O16" s="210">
        <f>'Tabula data'!B15</f>
        <v>9.5</v>
      </c>
      <c r="P16" s="211"/>
      <c r="Q16" s="30">
        <f t="shared" si="7"/>
        <v>4</v>
      </c>
      <c r="R16" s="30">
        <f t="shared" si="8"/>
        <v>38</v>
      </c>
      <c r="S16" s="30">
        <f t="shared" ref="S16:S28" si="16">VLOOKUP(N16,$X$5:$AE$392,8,0)*O16</f>
        <v>346940</v>
      </c>
      <c r="T16" s="30">
        <f t="shared" ref="T16:T28" si="17">S16/O16</f>
        <v>36520</v>
      </c>
      <c r="U16" s="30">
        <f t="shared" ref="U16:U28" si="18">VLOOKUP(N16,$X$5:$AG$391,10,0)*O16</f>
        <v>0</v>
      </c>
      <c r="V16" s="31"/>
      <c r="W16" s="223"/>
      <c r="X16" s="175"/>
      <c r="Y16" s="176"/>
      <c r="Z16" s="176"/>
      <c r="AA16" s="176"/>
      <c r="AB16" s="176"/>
      <c r="AC16" s="176"/>
      <c r="AD16" s="227"/>
      <c r="AE16" s="177"/>
      <c r="AF16" s="222"/>
      <c r="AG16" s="222"/>
      <c r="AH16" s="222"/>
      <c r="AM16" s="158" t="s">
        <v>314</v>
      </c>
      <c r="AN16" s="81" t="s">
        <v>315</v>
      </c>
      <c r="AO16" s="81" t="s">
        <v>328</v>
      </c>
      <c r="AP16" s="81">
        <f>AP6*0.2+0.8</f>
        <v>0.80596224825962415</v>
      </c>
      <c r="AQ16" s="81" t="s">
        <v>317</v>
      </c>
      <c r="AR16" s="166">
        <v>0.64236059999999995</v>
      </c>
      <c r="AV16" s="167" t="s">
        <v>314</v>
      </c>
      <c r="AW16" s="167" t="s">
        <v>315</v>
      </c>
      <c r="AX16" s="167" t="s">
        <v>328</v>
      </c>
      <c r="AY16" s="168" t="s">
        <v>318</v>
      </c>
      <c r="AZ16" s="161">
        <f>AZ6*0.3+0.7</f>
        <v>0.70894337238943606</v>
      </c>
      <c r="BA16" s="167" t="s">
        <v>317</v>
      </c>
      <c r="BC16" s="81" t="s">
        <v>373</v>
      </c>
      <c r="BD16" s="81" t="s">
        <v>303</v>
      </c>
      <c r="BE16" s="166">
        <v>5570000</v>
      </c>
      <c r="BF16" s="166">
        <v>58300</v>
      </c>
      <c r="BG16" s="81">
        <v>95.57</v>
      </c>
      <c r="BH16" s="81" t="s">
        <v>384</v>
      </c>
      <c r="BI16" s="81" t="s">
        <v>385</v>
      </c>
      <c r="BL16" s="167" t="s">
        <v>314</v>
      </c>
      <c r="BM16" s="167" t="s">
        <v>315</v>
      </c>
      <c r="BN16" s="167" t="s">
        <v>328</v>
      </c>
      <c r="BO16" s="168" t="s">
        <v>318</v>
      </c>
      <c r="BP16" s="161">
        <f t="shared" si="15"/>
        <v>0.53700000000000003</v>
      </c>
      <c r="BQ16" s="167" t="s">
        <v>317</v>
      </c>
      <c r="BS16" s="81" t="s">
        <v>373</v>
      </c>
      <c r="BT16" s="81" t="s">
        <v>303</v>
      </c>
      <c r="BU16" s="166">
        <v>999000000</v>
      </c>
      <c r="BV16" s="166">
        <v>226000</v>
      </c>
      <c r="BW16" s="81">
        <v>4415.57</v>
      </c>
      <c r="BX16" s="81" t="s">
        <v>420</v>
      </c>
      <c r="BY16" s="166">
        <v>2E-16</v>
      </c>
      <c r="BZ16" s="81" t="s">
        <v>385</v>
      </c>
      <c r="CA16" s="167" t="s">
        <v>314</v>
      </c>
      <c r="CB16" s="167" t="s">
        <v>315</v>
      </c>
      <c r="CC16" s="167" t="s">
        <v>329</v>
      </c>
      <c r="CD16" s="168" t="s">
        <v>318</v>
      </c>
      <c r="CE16" s="161">
        <f>BU29</f>
        <v>5.57E-2</v>
      </c>
      <c r="CF16" s="167" t="s">
        <v>317</v>
      </c>
      <c r="CI16" s="81" t="s">
        <v>329</v>
      </c>
      <c r="CJ16" s="239">
        <f t="shared" si="1"/>
        <v>4.1646841605453185E-2</v>
      </c>
      <c r="CK16" s="239">
        <f t="shared" si="2"/>
        <v>7.7399999999999997E-2</v>
      </c>
      <c r="CL16" s="239">
        <f t="shared" si="3"/>
        <v>5.57E-2</v>
      </c>
      <c r="CO16" s="243" t="s">
        <v>373</v>
      </c>
      <c r="CP16" s="243" t="s">
        <v>337</v>
      </c>
      <c r="CQ16" s="244">
        <v>3.18</v>
      </c>
      <c r="CR16" s="244">
        <v>0.45100000000000001</v>
      </c>
      <c r="CS16" s="243">
        <v>7.05</v>
      </c>
      <c r="CT16" s="244">
        <v>1.9E-12</v>
      </c>
      <c r="CU16" s="243" t="s">
        <v>385</v>
      </c>
      <c r="CW16" s="245" t="s">
        <v>460</v>
      </c>
      <c r="CX16" s="250" t="s">
        <v>472</v>
      </c>
      <c r="CY16" s="246" t="s">
        <v>318</v>
      </c>
      <c r="CZ16" s="247">
        <f t="shared" si="12"/>
        <v>1.36E-10</v>
      </c>
      <c r="DA16" s="245" t="s">
        <v>317</v>
      </c>
      <c r="DC16" s="169" t="s">
        <v>460</v>
      </c>
      <c r="DD16" s="261" t="s">
        <v>472</v>
      </c>
      <c r="DE16" s="258" t="s">
        <v>318</v>
      </c>
      <c r="DF16" s="169">
        <f>$O$13*$Z$37*$AP$6</f>
        <v>8.7290295645026245E-2</v>
      </c>
      <c r="DG16" s="169" t="s">
        <v>317</v>
      </c>
    </row>
    <row r="17" spans="2:111" ht="15" customHeight="1" thickTop="1" thickBot="1" x14ac:dyDescent="0.3">
      <c r="B17" s="193" t="s">
        <v>73</v>
      </c>
      <c r="C17" s="195">
        <v>0</v>
      </c>
      <c r="D17" s="194" t="s">
        <v>9</v>
      </c>
      <c r="E17" s="178" t="s">
        <v>74</v>
      </c>
      <c r="F17" s="176"/>
      <c r="G17" s="188">
        <f>C26/C23</f>
        <v>2.1476702508960575</v>
      </c>
      <c r="H17" s="184"/>
      <c r="I17" s="177"/>
      <c r="K17" s="81" t="s">
        <v>71</v>
      </c>
      <c r="L17" s="208">
        <v>0</v>
      </c>
      <c r="M17" s="209">
        <v>2</v>
      </c>
      <c r="N17" s="209" t="s">
        <v>25</v>
      </c>
      <c r="O17" s="210">
        <f>'Tabula data'!B10*'Tabula RefULG1'!D42/2*(1-'Tabula RefULG1'!D43)</f>
        <v>0.7034500000000008</v>
      </c>
      <c r="P17" s="211" t="s">
        <v>26</v>
      </c>
      <c r="Q17" s="30">
        <f t="shared" si="7"/>
        <v>2.2022341505875525</v>
      </c>
      <c r="R17" s="30">
        <f t="shared" si="8"/>
        <v>1.5491616132308155</v>
      </c>
      <c r="S17" s="30">
        <f t="shared" si="16"/>
        <v>316468.08600000036</v>
      </c>
      <c r="T17" s="30">
        <f t="shared" si="17"/>
        <v>449880</v>
      </c>
      <c r="U17" s="30">
        <f t="shared" si="18"/>
        <v>284812.8360000003</v>
      </c>
      <c r="V17" s="31"/>
      <c r="W17" s="223"/>
      <c r="X17" s="175"/>
      <c r="Y17" s="176" t="s">
        <v>72</v>
      </c>
      <c r="Z17" s="176">
        <v>2.5000000000000001E-2</v>
      </c>
      <c r="AA17" s="176">
        <v>1</v>
      </c>
      <c r="AB17" s="176">
        <v>1800</v>
      </c>
      <c r="AC17" s="176">
        <v>1000</v>
      </c>
      <c r="AD17" s="227">
        <f>Z17/AA17</f>
        <v>2.5000000000000001E-2</v>
      </c>
      <c r="AE17" s="177">
        <f>Z17*AB17*AC17</f>
        <v>45000</v>
      </c>
      <c r="AF17" s="228" t="s">
        <v>271</v>
      </c>
      <c r="AG17" s="222"/>
      <c r="AH17" s="222"/>
      <c r="AM17" s="158" t="s">
        <v>314</v>
      </c>
      <c r="AN17" s="81" t="s">
        <v>315</v>
      </c>
      <c r="AO17" s="81" t="s">
        <v>329</v>
      </c>
      <c r="AP17" s="81">
        <f>AP7*0.2</f>
        <v>2.7764561070302125E-2</v>
      </c>
      <c r="AQ17" s="81" t="s">
        <v>317</v>
      </c>
      <c r="AR17" s="166">
        <v>6.4977720000000003E-2</v>
      </c>
      <c r="AV17" s="167" t="s">
        <v>314</v>
      </c>
      <c r="AW17" s="167" t="s">
        <v>315</v>
      </c>
      <c r="AX17" s="167" t="s">
        <v>329</v>
      </c>
      <c r="AY17" s="168" t="s">
        <v>318</v>
      </c>
      <c r="AZ17" s="161">
        <f>AZ7*0.3</f>
        <v>4.1646841605453185E-2</v>
      </c>
      <c r="BA17" s="167" t="s">
        <v>317</v>
      </c>
      <c r="BC17" s="81" t="s">
        <v>373</v>
      </c>
      <c r="BD17" s="81" t="s">
        <v>299</v>
      </c>
      <c r="BE17" s="166">
        <v>14000000</v>
      </c>
      <c r="BF17" s="166">
        <v>170000</v>
      </c>
      <c r="BG17" s="81">
        <v>82.34</v>
      </c>
      <c r="BH17" s="81" t="s">
        <v>384</v>
      </c>
      <c r="BI17" s="81" t="s">
        <v>385</v>
      </c>
      <c r="BL17" s="167" t="s">
        <v>314</v>
      </c>
      <c r="BM17" s="167" t="s">
        <v>315</v>
      </c>
      <c r="BN17" s="167" t="s">
        <v>329</v>
      </c>
      <c r="BO17" s="168" t="s">
        <v>318</v>
      </c>
      <c r="BP17" s="161">
        <f t="shared" si="15"/>
        <v>7.7399999999999997E-2</v>
      </c>
      <c r="BQ17" s="167" t="s">
        <v>317</v>
      </c>
      <c r="BS17" s="81" t="s">
        <v>373</v>
      </c>
      <c r="BT17" s="81" t="s">
        <v>299</v>
      </c>
      <c r="BU17" s="166">
        <v>3340000000</v>
      </c>
      <c r="BV17" s="166">
        <v>128000000</v>
      </c>
      <c r="BW17" s="81">
        <v>26.13</v>
      </c>
      <c r="BX17" s="81" t="s">
        <v>420</v>
      </c>
      <c r="BY17" s="166">
        <v>2E-16</v>
      </c>
      <c r="BZ17" s="81" t="s">
        <v>385</v>
      </c>
      <c r="CA17" s="167"/>
      <c r="CB17" s="167"/>
      <c r="CC17" s="167"/>
      <c r="CD17" s="168"/>
      <c r="CE17" s="161"/>
      <c r="CF17" s="167"/>
      <c r="CJ17" s="240"/>
      <c r="CK17" s="240"/>
      <c r="CL17" s="240"/>
      <c r="CO17" s="243" t="s">
        <v>373</v>
      </c>
      <c r="CP17" s="243" t="s">
        <v>446</v>
      </c>
      <c r="CQ17" s="244">
        <v>2.75</v>
      </c>
      <c r="CR17" s="244">
        <v>0.115</v>
      </c>
      <c r="CS17" s="243">
        <v>24.01</v>
      </c>
      <c r="CT17" s="243" t="s">
        <v>420</v>
      </c>
      <c r="CU17" s="244">
        <v>2E-16</v>
      </c>
      <c r="CV17" s="81" t="s">
        <v>385</v>
      </c>
      <c r="CW17" s="245" t="s">
        <v>460</v>
      </c>
      <c r="CX17" s="250" t="s">
        <v>473</v>
      </c>
      <c r="CY17" s="246" t="s">
        <v>318</v>
      </c>
      <c r="CZ17" s="247">
        <f t="shared" si="12"/>
        <v>0.83299999999999996</v>
      </c>
      <c r="DA17" s="245" t="s">
        <v>317</v>
      </c>
      <c r="DC17" s="169" t="s">
        <v>460</v>
      </c>
      <c r="DD17" s="261" t="s">
        <v>473</v>
      </c>
      <c r="DE17" s="258" t="s">
        <v>318</v>
      </c>
      <c r="DF17" s="169">
        <f>$O$11*$Z$37*$AP$7</f>
        <v>0.42475613753401703</v>
      </c>
      <c r="DG17" s="169" t="s">
        <v>317</v>
      </c>
    </row>
    <row r="18" spans="2:111" ht="15" customHeight="1" thickTop="1" thickBot="1" x14ac:dyDescent="0.3">
      <c r="B18" s="175" t="s">
        <v>77</v>
      </c>
      <c r="C18" s="176">
        <v>0</v>
      </c>
      <c r="D18" s="176" t="s">
        <v>9</v>
      </c>
      <c r="E18" s="178" t="s">
        <v>78</v>
      </c>
      <c r="F18" s="176"/>
      <c r="G18" s="188">
        <f>C26/C6</f>
        <v>2.1476702508960575</v>
      </c>
      <c r="H18" s="184"/>
      <c r="I18" s="177"/>
      <c r="K18" s="81" t="s">
        <v>75</v>
      </c>
      <c r="L18" s="208">
        <v>0</v>
      </c>
      <c r="M18" s="209">
        <v>2</v>
      </c>
      <c r="N18" s="209" t="s">
        <v>25</v>
      </c>
      <c r="O18" s="210">
        <f>'Tabula data'!B10*(1-'Tabula RefULG1'!D42)/2*(1-'Tabula RefULG1'!D44)</f>
        <v>17.266500000000004</v>
      </c>
      <c r="P18" s="211" t="s">
        <v>39</v>
      </c>
      <c r="Q18" s="30">
        <f t="shared" si="7"/>
        <v>2.2022341505875525</v>
      </c>
      <c r="R18" s="30">
        <f t="shared" si="8"/>
        <v>38.024875961119982</v>
      </c>
      <c r="S18" s="30">
        <f t="shared" si="16"/>
        <v>7767853.0200000014</v>
      </c>
      <c r="T18" s="30">
        <f t="shared" si="17"/>
        <v>449880</v>
      </c>
      <c r="U18" s="30">
        <f t="shared" si="18"/>
        <v>6990860.5200000014</v>
      </c>
      <c r="V18" s="31"/>
      <c r="W18" s="223"/>
      <c r="X18" s="175"/>
      <c r="Y18" s="184" t="s">
        <v>76</v>
      </c>
      <c r="Z18" s="176">
        <v>0.25</v>
      </c>
      <c r="AA18" s="176">
        <v>1.1000000000000001</v>
      </c>
      <c r="AB18" s="176">
        <v>1850</v>
      </c>
      <c r="AC18" s="184">
        <v>840</v>
      </c>
      <c r="AD18" s="227">
        <f>Z18/AA18</f>
        <v>0.22727272727272727</v>
      </c>
      <c r="AE18" s="177">
        <f>Z18*AB18*AC18</f>
        <v>388500</v>
      </c>
      <c r="AF18" s="222" t="s">
        <v>272</v>
      </c>
      <c r="AG18" s="222"/>
      <c r="AH18" s="222"/>
      <c r="AQ18" s="81" t="s">
        <v>317</v>
      </c>
      <c r="AR18" s="166"/>
      <c r="AV18" s="167"/>
      <c r="AW18" s="167"/>
      <c r="AX18" s="167"/>
      <c r="AY18" s="168"/>
      <c r="BA18" s="167"/>
      <c r="BC18" s="81" t="s">
        <v>373</v>
      </c>
      <c r="BD18" s="81" t="s">
        <v>395</v>
      </c>
      <c r="BE18" s="166">
        <v>2900000</v>
      </c>
      <c r="BF18" s="166">
        <v>35800</v>
      </c>
      <c r="BG18" s="81">
        <v>81.02</v>
      </c>
      <c r="BH18" s="81" t="s">
        <v>384</v>
      </c>
      <c r="BI18" s="81" t="s">
        <v>385</v>
      </c>
      <c r="BL18" s="167"/>
      <c r="BM18" s="167"/>
      <c r="BN18" s="167"/>
      <c r="BO18" s="168"/>
      <c r="BP18" s="161"/>
      <c r="BQ18" s="167"/>
      <c r="BS18" s="81" t="s">
        <v>373</v>
      </c>
      <c r="BT18" s="81" t="s">
        <v>395</v>
      </c>
      <c r="BU18" s="166">
        <v>3990000</v>
      </c>
      <c r="BV18" s="166">
        <v>96400</v>
      </c>
      <c r="BW18" s="81">
        <v>41.37</v>
      </c>
      <c r="BX18" s="81" t="s">
        <v>420</v>
      </c>
      <c r="BY18" s="166">
        <v>2E-16</v>
      </c>
      <c r="BZ18" s="81" t="s">
        <v>385</v>
      </c>
      <c r="CA18" s="167" t="s">
        <v>314</v>
      </c>
      <c r="CB18" s="167" t="s">
        <v>315</v>
      </c>
      <c r="CC18" s="167" t="s">
        <v>330</v>
      </c>
      <c r="CD18" s="168" t="s">
        <v>318</v>
      </c>
      <c r="CE18" s="161">
        <f>BU31</f>
        <v>504</v>
      </c>
      <c r="CF18" s="167" t="s">
        <v>317</v>
      </c>
      <c r="CI18" s="81" t="s">
        <v>330</v>
      </c>
      <c r="CJ18" s="242">
        <f t="shared" si="1"/>
        <v>740.3452346938775</v>
      </c>
      <c r="CK18" s="242">
        <f t="shared" si="2"/>
        <v>958</v>
      </c>
      <c r="CL18" s="242">
        <f t="shared" si="3"/>
        <v>504</v>
      </c>
      <c r="CO18" s="243" t="s">
        <v>373</v>
      </c>
      <c r="CP18" s="243" t="s">
        <v>447</v>
      </c>
      <c r="CQ18" s="244">
        <v>2.95</v>
      </c>
      <c r="CR18" s="244">
        <v>9.5500000000000002E-2</v>
      </c>
      <c r="CS18" s="243">
        <v>30.91</v>
      </c>
      <c r="CT18" s="243" t="s">
        <v>420</v>
      </c>
      <c r="CU18" s="244">
        <v>2E-16</v>
      </c>
      <c r="CV18" s="81" t="s">
        <v>385</v>
      </c>
      <c r="CW18" s="245" t="s">
        <v>460</v>
      </c>
      <c r="CX18" s="250" t="s">
        <v>474</v>
      </c>
      <c r="CY18" s="246" t="s">
        <v>318</v>
      </c>
      <c r="CZ18" s="247">
        <f t="shared" si="12"/>
        <v>1.29E-7</v>
      </c>
      <c r="DA18" s="245" t="s">
        <v>317</v>
      </c>
      <c r="DC18" s="169" t="s">
        <v>460</v>
      </c>
      <c r="DD18" s="261" t="s">
        <v>474</v>
      </c>
      <c r="DE18" s="258" t="s">
        <v>318</v>
      </c>
      <c r="DF18" s="169">
        <f>$O$10*$Z$37*$AP$7</f>
        <v>0.49326519197498747</v>
      </c>
      <c r="DG18" s="169" t="s">
        <v>317</v>
      </c>
    </row>
    <row r="19" spans="2:111" ht="15" customHeight="1" thickTop="1" thickBot="1" x14ac:dyDescent="0.3">
      <c r="B19" s="175" t="s">
        <v>81</v>
      </c>
      <c r="C19" s="183">
        <f>C17-C18</f>
        <v>0</v>
      </c>
      <c r="D19" s="176" t="s">
        <v>9</v>
      </c>
      <c r="E19" s="186"/>
      <c r="F19" s="184"/>
      <c r="G19" s="184"/>
      <c r="H19" s="184"/>
      <c r="I19" s="189"/>
      <c r="K19" s="81" t="s">
        <v>79</v>
      </c>
      <c r="L19" s="208">
        <v>0</v>
      </c>
      <c r="M19" s="209">
        <v>2</v>
      </c>
      <c r="N19" s="209" t="s">
        <v>25</v>
      </c>
      <c r="O19" s="210">
        <f>'Tabula data'!B10*'Tabula RefULG1'!D42/2*(1-'Tabula RefULG1'!D43)</f>
        <v>0.7034500000000008</v>
      </c>
      <c r="P19" s="211" t="s">
        <v>45</v>
      </c>
      <c r="Q19" s="30">
        <f t="shared" si="7"/>
        <v>2.2022341505875525</v>
      </c>
      <c r="R19" s="30">
        <f t="shared" si="8"/>
        <v>1.5491616132308155</v>
      </c>
      <c r="S19" s="30">
        <f t="shared" si="16"/>
        <v>316468.08600000036</v>
      </c>
      <c r="T19" s="30">
        <f t="shared" si="17"/>
        <v>449880</v>
      </c>
      <c r="U19" s="30">
        <f t="shared" si="18"/>
        <v>284812.8360000003</v>
      </c>
      <c r="V19" s="31"/>
      <c r="W19" s="223"/>
      <c r="X19" s="187"/>
      <c r="Y19" s="174" t="s">
        <v>273</v>
      </c>
      <c r="Z19" s="174">
        <v>0.02</v>
      </c>
      <c r="AA19" s="174">
        <v>0.6</v>
      </c>
      <c r="AB19" s="174">
        <v>975</v>
      </c>
      <c r="AC19" s="174">
        <v>840</v>
      </c>
      <c r="AD19" s="229">
        <f>Z19/AA19</f>
        <v>3.3333333333333333E-2</v>
      </c>
      <c r="AE19" s="192">
        <f>Z19*AB19*AC19</f>
        <v>16380</v>
      </c>
      <c r="AF19" s="222"/>
      <c r="AG19" s="222"/>
      <c r="AH19" s="222"/>
      <c r="AM19" s="158" t="s">
        <v>314</v>
      </c>
      <c r="AN19" s="81" t="s">
        <v>315</v>
      </c>
      <c r="AO19" s="81" t="s">
        <v>330</v>
      </c>
      <c r="AP19" s="81">
        <f>SUM(O6:O9)*(1/(SUM(AD18:AD19)*0.5+1/6))</f>
        <v>740.3452346938775</v>
      </c>
      <c r="AQ19" s="81" t="s">
        <v>317</v>
      </c>
      <c r="AR19" s="166">
        <v>298.59179999999998</v>
      </c>
      <c r="AV19" s="167" t="s">
        <v>314</v>
      </c>
      <c r="AW19" s="167" t="s">
        <v>315</v>
      </c>
      <c r="AX19" s="167" t="s">
        <v>330</v>
      </c>
      <c r="AY19" s="168" t="s">
        <v>318</v>
      </c>
      <c r="AZ19" s="161">
        <f>AP19</f>
        <v>740.3452346938775</v>
      </c>
      <c r="BA19" s="167" t="s">
        <v>317</v>
      </c>
      <c r="BC19" s="81" t="s">
        <v>373</v>
      </c>
      <c r="BD19" s="81" t="s">
        <v>296</v>
      </c>
      <c r="BE19" s="166">
        <v>50500000</v>
      </c>
      <c r="BF19" s="166">
        <v>737000</v>
      </c>
      <c r="BG19" s="81">
        <v>68.5</v>
      </c>
      <c r="BH19" s="81" t="s">
        <v>384</v>
      </c>
      <c r="BI19" s="81" t="s">
        <v>385</v>
      </c>
      <c r="BL19" s="167" t="s">
        <v>314</v>
      </c>
      <c r="BM19" s="167" t="s">
        <v>315</v>
      </c>
      <c r="BN19" s="167" t="s">
        <v>330</v>
      </c>
      <c r="BO19" s="168" t="s">
        <v>318</v>
      </c>
      <c r="BP19" s="161">
        <f>BE31</f>
        <v>958</v>
      </c>
      <c r="BQ19" s="167" t="s">
        <v>317</v>
      </c>
      <c r="BS19" s="81" t="s">
        <v>373</v>
      </c>
      <c r="BT19" s="81" t="s">
        <v>296</v>
      </c>
      <c r="BU19" s="166">
        <v>92100000</v>
      </c>
      <c r="BV19" s="166">
        <v>2110000</v>
      </c>
      <c r="BW19" s="81">
        <v>43.64</v>
      </c>
      <c r="BX19" s="81" t="s">
        <v>420</v>
      </c>
      <c r="BY19" s="166">
        <v>2E-16</v>
      </c>
      <c r="BZ19" s="81" t="s">
        <v>385</v>
      </c>
      <c r="CA19" s="167" t="s">
        <v>314</v>
      </c>
      <c r="CB19" s="167" t="s">
        <v>315</v>
      </c>
      <c r="CC19" s="167" t="s">
        <v>331</v>
      </c>
      <c r="CD19" s="168" t="s">
        <v>318</v>
      </c>
      <c r="CE19" s="161">
        <f>BU32</f>
        <v>196</v>
      </c>
      <c r="CF19" s="167" t="s">
        <v>317</v>
      </c>
      <c r="CI19" s="81" t="s">
        <v>331</v>
      </c>
      <c r="CJ19" s="242">
        <f t="shared" si="1"/>
        <v>279.2376237623763</v>
      </c>
      <c r="CK19" s="242">
        <f t="shared" si="2"/>
        <v>737</v>
      </c>
      <c r="CL19" s="242">
        <f t="shared" si="3"/>
        <v>196</v>
      </c>
      <c r="CO19" s="243" t="s">
        <v>373</v>
      </c>
      <c r="CP19" s="243" t="s">
        <v>448</v>
      </c>
      <c r="CQ19" s="244">
        <v>0.94499999999999995</v>
      </c>
      <c r="CR19" s="244">
        <v>0.38700000000000001</v>
      </c>
      <c r="CS19" s="243">
        <v>2.44</v>
      </c>
      <c r="CT19" s="244">
        <v>1.46E-2</v>
      </c>
      <c r="CU19" s="243" t="s">
        <v>418</v>
      </c>
      <c r="CW19" s="245" t="s">
        <v>460</v>
      </c>
      <c r="CX19" s="248" t="s">
        <v>475</v>
      </c>
      <c r="CY19" s="246" t="s">
        <v>318</v>
      </c>
      <c r="CZ19" s="247">
        <f t="shared" si="12"/>
        <v>0.76900000000000002</v>
      </c>
      <c r="DA19" s="245" t="s">
        <v>317</v>
      </c>
      <c r="DC19" s="169" t="s">
        <v>460</v>
      </c>
      <c r="DD19" s="259" t="s">
        <v>475</v>
      </c>
      <c r="DE19" s="258" t="s">
        <v>318</v>
      </c>
      <c r="DF19" s="169">
        <f>$O$12*$Z$37*$AP$7</f>
        <v>0.55720697611989334</v>
      </c>
      <c r="DG19" s="169" t="s">
        <v>317</v>
      </c>
    </row>
    <row r="20" spans="2:111" ht="15" customHeight="1" thickTop="1" thickBot="1" x14ac:dyDescent="0.3">
      <c r="B20" s="175"/>
      <c r="C20" s="176"/>
      <c r="D20" s="176"/>
      <c r="E20" s="178" t="s">
        <v>83</v>
      </c>
      <c r="F20" s="184"/>
      <c r="G20" s="190">
        <f>H4/C23</f>
        <v>0.14767025089605737</v>
      </c>
      <c r="H20" s="184"/>
      <c r="I20" s="177"/>
      <c r="K20" s="81" t="s">
        <v>82</v>
      </c>
      <c r="L20" s="208">
        <v>0</v>
      </c>
      <c r="M20" s="209">
        <v>2</v>
      </c>
      <c r="N20" s="209" t="s">
        <v>25</v>
      </c>
      <c r="O20" s="210">
        <f>'Tabula data'!B10*(1-'Tabula RefULG1'!D42)/2*(1-'Tabula RefULG1'!D44)</f>
        <v>17.266500000000004</v>
      </c>
      <c r="P20" s="211" t="s">
        <v>50</v>
      </c>
      <c r="Q20" s="30">
        <f t="shared" si="7"/>
        <v>2.2022341505875525</v>
      </c>
      <c r="R20" s="30">
        <f t="shared" si="8"/>
        <v>38.024875961119982</v>
      </c>
      <c r="S20" s="30">
        <f t="shared" si="16"/>
        <v>7767853.0200000014</v>
      </c>
      <c r="T20" s="30">
        <f t="shared" si="17"/>
        <v>449880</v>
      </c>
      <c r="U20" s="30">
        <f t="shared" si="18"/>
        <v>6990860.5200000014</v>
      </c>
      <c r="V20" s="31"/>
      <c r="W20" s="223"/>
      <c r="AF20" s="222"/>
      <c r="AG20" s="222"/>
      <c r="AH20" s="222"/>
      <c r="AM20" s="158" t="s">
        <v>314</v>
      </c>
      <c r="AN20" s="81" t="s">
        <v>315</v>
      </c>
      <c r="AO20" s="81" t="s">
        <v>331</v>
      </c>
      <c r="AP20" s="81">
        <f>SUM(O14)*1/(SUM(AD42:AD43)+1/3)</f>
        <v>279.2376237623763</v>
      </c>
      <c r="AQ20" s="81" t="s">
        <v>317</v>
      </c>
      <c r="AR20" s="166">
        <v>278.86439999999999</v>
      </c>
      <c r="AV20" s="167" t="s">
        <v>314</v>
      </c>
      <c r="AW20" s="167" t="s">
        <v>315</v>
      </c>
      <c r="AX20" s="167" t="s">
        <v>331</v>
      </c>
      <c r="AY20" s="168" t="s">
        <v>318</v>
      </c>
      <c r="AZ20" s="161">
        <f t="shared" ref="AZ20:AZ24" si="19">AP20</f>
        <v>279.2376237623763</v>
      </c>
      <c r="BA20" s="167" t="s">
        <v>317</v>
      </c>
      <c r="BC20" s="81" t="s">
        <v>373</v>
      </c>
      <c r="BD20" s="81" t="s">
        <v>298</v>
      </c>
      <c r="BE20" s="166">
        <v>32700000</v>
      </c>
      <c r="BF20" s="166">
        <v>53200</v>
      </c>
      <c r="BG20" s="81">
        <v>614.4</v>
      </c>
      <c r="BH20" s="81" t="s">
        <v>384</v>
      </c>
      <c r="BI20" s="81" t="s">
        <v>385</v>
      </c>
      <c r="BL20" s="167" t="s">
        <v>314</v>
      </c>
      <c r="BM20" s="167" t="s">
        <v>315</v>
      </c>
      <c r="BN20" s="167" t="s">
        <v>331</v>
      </c>
      <c r="BO20" s="168" t="s">
        <v>318</v>
      </c>
      <c r="BP20" s="161">
        <f t="shared" ref="BP20:BP22" si="20">BE32</f>
        <v>737</v>
      </c>
      <c r="BQ20" s="167" t="s">
        <v>317</v>
      </c>
      <c r="BS20" s="81" t="s">
        <v>373</v>
      </c>
      <c r="BT20" s="81" t="s">
        <v>298</v>
      </c>
      <c r="BU20" s="166">
        <v>22500000</v>
      </c>
      <c r="BV20" s="166">
        <v>231000</v>
      </c>
      <c r="BW20" s="81">
        <v>97.67</v>
      </c>
      <c r="BX20" s="81" t="s">
        <v>420</v>
      </c>
      <c r="BY20" s="166">
        <v>2E-16</v>
      </c>
      <c r="BZ20" s="81" t="s">
        <v>385</v>
      </c>
      <c r="CA20" s="167" t="s">
        <v>314</v>
      </c>
      <c r="CB20" s="167" t="s">
        <v>315</v>
      </c>
      <c r="CC20" s="167" t="s">
        <v>332</v>
      </c>
      <c r="CD20" s="168" t="s">
        <v>318</v>
      </c>
      <c r="CE20" s="161">
        <f>BU33</f>
        <v>663</v>
      </c>
      <c r="CF20" s="167" t="s">
        <v>317</v>
      </c>
      <c r="CI20" s="81" t="s">
        <v>332</v>
      </c>
      <c r="CJ20" s="242">
        <f t="shared" si="1"/>
        <v>584.84952709359618</v>
      </c>
      <c r="CK20" s="242">
        <f t="shared" si="2"/>
        <v>2190</v>
      </c>
      <c r="CL20" s="242">
        <f t="shared" si="3"/>
        <v>663</v>
      </c>
      <c r="CO20" s="243" t="s">
        <v>373</v>
      </c>
      <c r="CP20" s="243" t="s">
        <v>338</v>
      </c>
      <c r="CQ20" s="244">
        <v>6.8900000000000002E-14</v>
      </c>
      <c r="CR20" s="244">
        <v>1.2199999999999999E-10</v>
      </c>
      <c r="CS20" s="243">
        <v>0</v>
      </c>
      <c r="CT20" s="243">
        <v>0.99950000000000006</v>
      </c>
      <c r="CW20" s="245" t="s">
        <v>460</v>
      </c>
      <c r="CX20" s="249" t="s">
        <v>476</v>
      </c>
      <c r="CY20" s="246" t="s">
        <v>318</v>
      </c>
      <c r="CZ20" s="247">
        <f t="shared" si="12"/>
        <v>0.82199999999999995</v>
      </c>
      <c r="DA20" s="245" t="s">
        <v>317</v>
      </c>
      <c r="DC20" s="169" t="s">
        <v>460</v>
      </c>
      <c r="DD20" s="260" t="s">
        <v>476</v>
      </c>
      <c r="DE20" s="258" t="s">
        <v>318</v>
      </c>
      <c r="DF20" s="169">
        <f>$O$13*$Z$37*$AP$7</f>
        <v>0.40648705634975818</v>
      </c>
      <c r="DG20" s="169" t="s">
        <v>317</v>
      </c>
    </row>
    <row r="21" spans="2:111" ht="15" customHeight="1" thickTop="1" thickBot="1" x14ac:dyDescent="0.3">
      <c r="B21" s="175"/>
      <c r="C21" s="176"/>
      <c r="D21" s="176"/>
      <c r="E21" s="178" t="s">
        <v>86</v>
      </c>
      <c r="F21" s="184"/>
      <c r="G21" s="190">
        <f>H4/C6</f>
        <v>0.14767025089605737</v>
      </c>
      <c r="H21" s="184"/>
      <c r="I21" s="177"/>
      <c r="K21" s="81" t="s">
        <v>84</v>
      </c>
      <c r="L21" s="208">
        <v>0</v>
      </c>
      <c r="M21" s="209">
        <v>2</v>
      </c>
      <c r="N21" s="209" t="s">
        <v>54</v>
      </c>
      <c r="O21" s="210">
        <f>I10</f>
        <v>3.2400000000000007</v>
      </c>
      <c r="P21" s="211" t="s">
        <v>26</v>
      </c>
      <c r="Q21" s="30">
        <f t="shared" si="7"/>
        <v>2</v>
      </c>
      <c r="R21" s="30">
        <f t="shared" si="8"/>
        <v>6.4800000000000013</v>
      </c>
      <c r="S21" s="30">
        <f t="shared" si="16"/>
        <v>0</v>
      </c>
      <c r="T21" s="30">
        <f t="shared" si="17"/>
        <v>0</v>
      </c>
      <c r="U21" s="30">
        <f t="shared" si="18"/>
        <v>0</v>
      </c>
      <c r="V21" s="31"/>
      <c r="W21" s="223"/>
      <c r="X21" s="216" t="s">
        <v>85</v>
      </c>
      <c r="Y21" s="217"/>
      <c r="Z21" s="218" t="s">
        <v>21</v>
      </c>
      <c r="AA21" s="219">
        <f>(1/(1/4+SUM(AD23:AD25)+1/4))</f>
        <v>1.330049261083744</v>
      </c>
      <c r="AB21" s="217" t="s">
        <v>5</v>
      </c>
      <c r="AC21" s="217"/>
      <c r="AD21" s="217" t="s">
        <v>22</v>
      </c>
      <c r="AE21" s="220">
        <f>SUM(AE23:AE26)</f>
        <v>150360</v>
      </c>
      <c r="AF21" s="222" t="s">
        <v>23</v>
      </c>
      <c r="AG21" s="222">
        <f>SUM(AE23:AE25)</f>
        <v>150360</v>
      </c>
      <c r="AH21" s="222"/>
      <c r="AM21" s="158" t="s">
        <v>314</v>
      </c>
      <c r="AN21" s="81" t="s">
        <v>315</v>
      </c>
      <c r="AO21" s="81" t="s">
        <v>332</v>
      </c>
      <c r="AP21" s="81">
        <f>2*AA21*O27</f>
        <v>584.84952709359618</v>
      </c>
      <c r="AQ21" s="81" t="s">
        <v>317</v>
      </c>
      <c r="AR21" s="166">
        <v>721.00049999999999</v>
      </c>
      <c r="AV21" s="167" t="s">
        <v>314</v>
      </c>
      <c r="AW21" s="167" t="s">
        <v>315</v>
      </c>
      <c r="AX21" s="167" t="s">
        <v>332</v>
      </c>
      <c r="AY21" s="168" t="s">
        <v>318</v>
      </c>
      <c r="AZ21" s="161">
        <f t="shared" si="19"/>
        <v>584.84952709359618</v>
      </c>
      <c r="BA21" s="167" t="s">
        <v>317</v>
      </c>
      <c r="BC21" s="81" t="s">
        <v>373</v>
      </c>
      <c r="BD21" s="81" t="s">
        <v>396</v>
      </c>
      <c r="BE21" s="166">
        <v>-6.77</v>
      </c>
      <c r="BF21" s="166">
        <v>5.1499999999999997E-2</v>
      </c>
      <c r="BG21" s="81">
        <v>-131.33000000000001</v>
      </c>
      <c r="BH21" s="81" t="s">
        <v>384</v>
      </c>
      <c r="BI21" s="81" t="s">
        <v>385</v>
      </c>
      <c r="BL21" s="167" t="s">
        <v>314</v>
      </c>
      <c r="BM21" s="167" t="s">
        <v>315</v>
      </c>
      <c r="BN21" s="167" t="s">
        <v>332</v>
      </c>
      <c r="BO21" s="168" t="s">
        <v>318</v>
      </c>
      <c r="BP21" s="161">
        <f t="shared" si="20"/>
        <v>2190</v>
      </c>
      <c r="BQ21" s="167" t="s">
        <v>317</v>
      </c>
      <c r="BS21" s="81" t="s">
        <v>373</v>
      </c>
      <c r="BT21" s="81" t="s">
        <v>396</v>
      </c>
      <c r="BU21" s="166">
        <v>-7.92</v>
      </c>
      <c r="BV21" s="166">
        <v>0.123</v>
      </c>
      <c r="BW21" s="81">
        <v>-64.5</v>
      </c>
      <c r="BX21" s="81" t="s">
        <v>420</v>
      </c>
      <c r="BY21" s="166">
        <v>2E-16</v>
      </c>
      <c r="BZ21" s="81" t="s">
        <v>385</v>
      </c>
      <c r="CA21" s="167" t="s">
        <v>314</v>
      </c>
      <c r="CB21" s="167" t="s">
        <v>315</v>
      </c>
      <c r="CC21" s="167" t="s">
        <v>333</v>
      </c>
      <c r="CD21" s="168" t="s">
        <v>318</v>
      </c>
      <c r="CE21" s="161">
        <f>BU34</f>
        <v>308</v>
      </c>
      <c r="CF21" s="167" t="s">
        <v>317</v>
      </c>
      <c r="CI21" s="81" t="s">
        <v>333</v>
      </c>
      <c r="CJ21" s="242">
        <f t="shared" si="1"/>
        <v>125.10007569892474</v>
      </c>
      <c r="CK21" s="242">
        <f t="shared" si="2"/>
        <v>251</v>
      </c>
      <c r="CL21" s="242">
        <f t="shared" si="3"/>
        <v>308</v>
      </c>
      <c r="CO21" s="243" t="s">
        <v>373</v>
      </c>
      <c r="CP21" s="243" t="s">
        <v>449</v>
      </c>
      <c r="CQ21" s="244">
        <v>0.44600000000000001</v>
      </c>
      <c r="CR21" s="244">
        <v>0.151</v>
      </c>
      <c r="CS21" s="243">
        <v>2.96</v>
      </c>
      <c r="CT21" s="243">
        <v>3.0999999999999999E-3</v>
      </c>
      <c r="CU21" s="243" t="s">
        <v>398</v>
      </c>
      <c r="CW21" s="245" t="s">
        <v>460</v>
      </c>
      <c r="CX21" s="249" t="s">
        <v>477</v>
      </c>
      <c r="CY21" s="246" t="s">
        <v>318</v>
      </c>
      <c r="CZ21" s="247">
        <f t="shared" si="12"/>
        <v>0.40100000000000002</v>
      </c>
      <c r="DA21" s="245" t="s">
        <v>317</v>
      </c>
      <c r="DC21" s="169" t="s">
        <v>460</v>
      </c>
      <c r="DD21" s="260" t="s">
        <v>477</v>
      </c>
      <c r="DE21" s="258" t="s">
        <v>318</v>
      </c>
      <c r="DF21" s="169">
        <f>$O$11*$Z$37*$AP$42</f>
        <v>0.45764864557834889</v>
      </c>
      <c r="DG21" s="169" t="s">
        <v>317</v>
      </c>
    </row>
    <row r="22" spans="2:111" ht="15" customHeight="1" thickTop="1" thickBot="1" x14ac:dyDescent="0.3">
      <c r="B22" s="187"/>
      <c r="C22" s="174"/>
      <c r="D22" s="174"/>
      <c r="E22" s="175" t="s">
        <v>88</v>
      </c>
      <c r="F22" s="176"/>
      <c r="G22" s="179">
        <f>H4/C26</f>
        <v>6.8758344459279044E-2</v>
      </c>
      <c r="H22" s="176"/>
      <c r="I22" s="177"/>
      <c r="K22" s="81" t="s">
        <v>87</v>
      </c>
      <c r="L22" s="208">
        <v>0</v>
      </c>
      <c r="M22" s="209">
        <v>2</v>
      </c>
      <c r="N22" s="209" t="s">
        <v>54</v>
      </c>
      <c r="O22" s="210">
        <f>I11</f>
        <v>2.7900000000000005</v>
      </c>
      <c r="P22" s="211" t="s">
        <v>39</v>
      </c>
      <c r="Q22" s="30">
        <f t="shared" si="7"/>
        <v>2</v>
      </c>
      <c r="R22" s="30">
        <f t="shared" si="8"/>
        <v>5.580000000000001</v>
      </c>
      <c r="S22" s="30">
        <f t="shared" si="16"/>
        <v>0</v>
      </c>
      <c r="T22" s="30">
        <f t="shared" si="17"/>
        <v>0</v>
      </c>
      <c r="U22" s="30">
        <f t="shared" si="18"/>
        <v>0</v>
      </c>
      <c r="V22" s="31"/>
      <c r="W22" s="223"/>
      <c r="X22" s="224"/>
      <c r="Y22" s="225" t="s">
        <v>27</v>
      </c>
      <c r="Z22" s="225" t="s">
        <v>28</v>
      </c>
      <c r="AA22" s="225" t="s">
        <v>29</v>
      </c>
      <c r="AB22" s="225" t="s">
        <v>30</v>
      </c>
      <c r="AC22" s="225" t="s">
        <v>31</v>
      </c>
      <c r="AD22" s="225" t="s">
        <v>32</v>
      </c>
      <c r="AE22" s="226" t="s">
        <v>33</v>
      </c>
      <c r="AF22" s="222"/>
      <c r="AG22" s="222"/>
      <c r="AH22" s="222"/>
      <c r="AM22" s="158" t="s">
        <v>314</v>
      </c>
      <c r="AN22" s="81" t="s">
        <v>315</v>
      </c>
      <c r="AO22" s="81" t="s">
        <v>333</v>
      </c>
      <c r="AP22" s="152">
        <f>'Verwarming Tabula 2zone Ref1'!B60+SUM(R10:R13)+R16</f>
        <v>125.10007569892474</v>
      </c>
      <c r="AQ22" s="81" t="s">
        <v>317</v>
      </c>
      <c r="AR22" s="166">
        <v>110.5333</v>
      </c>
      <c r="AV22" s="167" t="s">
        <v>314</v>
      </c>
      <c r="AW22" s="167" t="s">
        <v>315</v>
      </c>
      <c r="AX22" s="167" t="s">
        <v>333</v>
      </c>
      <c r="AY22" s="168" t="s">
        <v>318</v>
      </c>
      <c r="AZ22" s="161">
        <f t="shared" si="19"/>
        <v>125.10007569892474</v>
      </c>
      <c r="BA22" s="167" t="s">
        <v>317</v>
      </c>
      <c r="BC22" s="81" t="s">
        <v>373</v>
      </c>
      <c r="BD22" s="81" t="s">
        <v>397</v>
      </c>
      <c r="BE22" s="166">
        <v>-15.3</v>
      </c>
      <c r="BF22" s="166">
        <v>295</v>
      </c>
      <c r="BG22" s="81">
        <v>-0.05</v>
      </c>
      <c r="BH22" s="81">
        <v>0.96</v>
      </c>
      <c r="BL22" s="167" t="s">
        <v>314</v>
      </c>
      <c r="BM22" s="167" t="s">
        <v>315</v>
      </c>
      <c r="BN22" s="167" t="s">
        <v>333</v>
      </c>
      <c r="BO22" s="168" t="s">
        <v>318</v>
      </c>
      <c r="BP22" s="161">
        <f t="shared" si="20"/>
        <v>251</v>
      </c>
      <c r="BQ22" s="167" t="s">
        <v>317</v>
      </c>
      <c r="BS22" s="81" t="s">
        <v>373</v>
      </c>
      <c r="BT22" s="81" t="s">
        <v>397</v>
      </c>
      <c r="BU22" s="166">
        <v>-23.9</v>
      </c>
      <c r="BV22" s="166">
        <v>1.46</v>
      </c>
      <c r="BW22" s="81">
        <v>-16.41</v>
      </c>
      <c r="BX22" s="81" t="s">
        <v>420</v>
      </c>
      <c r="BY22" s="166">
        <v>2E-16</v>
      </c>
      <c r="BZ22" s="81" t="s">
        <v>385</v>
      </c>
      <c r="CA22" s="167" t="s">
        <v>314</v>
      </c>
      <c r="CB22" s="167" t="s">
        <v>315</v>
      </c>
      <c r="CC22" s="167" t="s">
        <v>334</v>
      </c>
      <c r="CD22" s="168" t="s">
        <v>318</v>
      </c>
      <c r="CE22" s="161">
        <f>1/BU40</f>
        <v>1926.7822736030828</v>
      </c>
      <c r="CF22" s="167" t="s">
        <v>317</v>
      </c>
      <c r="CI22" s="81" t="s">
        <v>334</v>
      </c>
      <c r="CJ22" s="242">
        <f t="shared" si="1"/>
        <v>1106.0402048053024</v>
      </c>
      <c r="CK22" s="242">
        <f t="shared" si="2"/>
        <v>884.95575221238948</v>
      </c>
      <c r="CL22" s="242">
        <f t="shared" si="3"/>
        <v>1926.7822736030828</v>
      </c>
      <c r="CO22" s="243" t="s">
        <v>373</v>
      </c>
      <c r="CP22" s="243" t="s">
        <v>450</v>
      </c>
      <c r="CQ22" s="244">
        <v>1.36E-10</v>
      </c>
      <c r="CR22" s="244">
        <v>1.3899999999999999E-7</v>
      </c>
      <c r="CS22" s="243">
        <v>0</v>
      </c>
      <c r="CT22" s="243">
        <v>0.99919999999999998</v>
      </c>
      <c r="CW22" s="245" t="s">
        <v>460</v>
      </c>
      <c r="CX22" s="249" t="s">
        <v>478</v>
      </c>
      <c r="CY22" s="246" t="s">
        <v>318</v>
      </c>
      <c r="CZ22" s="247">
        <f t="shared" si="12"/>
        <v>2.0599999999999999E-14</v>
      </c>
      <c r="DA22" s="245" t="s">
        <v>317</v>
      </c>
      <c r="DC22" s="169" t="s">
        <v>460</v>
      </c>
      <c r="DD22" s="260" t="s">
        <v>478</v>
      </c>
      <c r="DE22" s="258" t="s">
        <v>318</v>
      </c>
      <c r="DF22" s="169">
        <f>$O$10*$Z$37*$AP$42</f>
        <v>0.53146294325227605</v>
      </c>
      <c r="DG22" s="169" t="s">
        <v>317</v>
      </c>
    </row>
    <row r="23" spans="2:111" ht="15" customHeight="1" thickTop="1" thickBot="1" x14ac:dyDescent="0.3">
      <c r="B23" s="193" t="s">
        <v>91</v>
      </c>
      <c r="C23" s="195">
        <f>C17+C6</f>
        <v>279</v>
      </c>
      <c r="D23" s="194" t="s">
        <v>9</v>
      </c>
      <c r="E23" s="175"/>
      <c r="F23" s="176"/>
      <c r="G23" s="176"/>
      <c r="H23" s="176"/>
      <c r="I23" s="177"/>
      <c r="K23" s="81" t="s">
        <v>89</v>
      </c>
      <c r="L23" s="208">
        <v>0</v>
      </c>
      <c r="M23" s="209">
        <v>2</v>
      </c>
      <c r="N23" s="209" t="s">
        <v>54</v>
      </c>
      <c r="O23" s="210">
        <f>I12</f>
        <v>3.66</v>
      </c>
      <c r="P23" s="211" t="s">
        <v>45</v>
      </c>
      <c r="Q23" s="30">
        <f t="shared" si="7"/>
        <v>2</v>
      </c>
      <c r="R23" s="30">
        <f t="shared" si="8"/>
        <v>7.32</v>
      </c>
      <c r="S23" s="30">
        <f t="shared" si="16"/>
        <v>0</v>
      </c>
      <c r="T23" s="30">
        <f t="shared" si="17"/>
        <v>0</v>
      </c>
      <c r="U23" s="30">
        <f t="shared" si="18"/>
        <v>0</v>
      </c>
      <c r="V23" s="31"/>
      <c r="W23" s="223"/>
      <c r="X23" s="175"/>
      <c r="Y23" s="176" t="s">
        <v>433</v>
      </c>
      <c r="Z23" s="176">
        <v>0.02</v>
      </c>
      <c r="AA23" s="176">
        <v>0.6</v>
      </c>
      <c r="AB23" s="176">
        <v>975</v>
      </c>
      <c r="AC23" s="176">
        <v>840</v>
      </c>
      <c r="AD23" s="227">
        <f>Z23/AA23</f>
        <v>3.3333333333333333E-2</v>
      </c>
      <c r="AE23" s="177">
        <f>Z23*AB23*AC23</f>
        <v>16380</v>
      </c>
      <c r="AF23" s="222"/>
      <c r="AG23" s="222"/>
      <c r="AH23" s="222"/>
      <c r="AM23" s="158" t="s">
        <v>314</v>
      </c>
      <c r="AN23" s="81" t="s">
        <v>315</v>
      </c>
      <c r="AO23" s="81" t="s">
        <v>334</v>
      </c>
      <c r="AP23" s="81">
        <f>SUM(O6:O9)*1/(SUM(AD15:AD17)+SUM(AD18:AD19)*0.5+1/23)</f>
        <v>1106.0402048053024</v>
      </c>
      <c r="AQ23" s="81" t="s">
        <v>317</v>
      </c>
      <c r="AR23" s="81">
        <f>1/0.01496205</f>
        <v>66.83576114235683</v>
      </c>
      <c r="AV23" s="167" t="s">
        <v>314</v>
      </c>
      <c r="AW23" s="167" t="s">
        <v>315</v>
      </c>
      <c r="AX23" s="167" t="s">
        <v>334</v>
      </c>
      <c r="AY23" s="168" t="s">
        <v>318</v>
      </c>
      <c r="AZ23" s="161">
        <f t="shared" si="19"/>
        <v>1106.0402048053024</v>
      </c>
      <c r="BA23" s="167" t="s">
        <v>317</v>
      </c>
      <c r="BC23" s="81" t="s">
        <v>373</v>
      </c>
      <c r="BD23" s="81" t="s">
        <v>399</v>
      </c>
      <c r="BE23" s="166">
        <v>-14.3</v>
      </c>
      <c r="BF23" s="166">
        <v>275</v>
      </c>
      <c r="BG23" s="81">
        <v>-0.05</v>
      </c>
      <c r="BH23" s="81">
        <v>0.96</v>
      </c>
      <c r="BL23" s="167" t="s">
        <v>314</v>
      </c>
      <c r="BM23" s="167" t="s">
        <v>315</v>
      </c>
      <c r="BN23" s="167" t="s">
        <v>334</v>
      </c>
      <c r="BO23" s="168" t="s">
        <v>318</v>
      </c>
      <c r="BP23" s="161">
        <f>1/BE40</f>
        <v>884.95575221238948</v>
      </c>
      <c r="BQ23" s="167" t="s">
        <v>317</v>
      </c>
      <c r="BS23" s="81" t="s">
        <v>373</v>
      </c>
      <c r="BT23" s="81" t="s">
        <v>399</v>
      </c>
      <c r="BU23" s="166">
        <v>-17.8</v>
      </c>
      <c r="BV23" s="166">
        <v>1.0999999999999999E-2</v>
      </c>
      <c r="BW23" s="81">
        <v>-1621.03</v>
      </c>
      <c r="BX23" s="81" t="s">
        <v>420</v>
      </c>
      <c r="BY23" s="166">
        <v>2E-16</v>
      </c>
      <c r="BZ23" s="81" t="s">
        <v>385</v>
      </c>
      <c r="CA23" s="167" t="s">
        <v>314</v>
      </c>
      <c r="CB23" s="167" t="s">
        <v>315</v>
      </c>
      <c r="CC23" s="167" t="s">
        <v>335</v>
      </c>
      <c r="CD23" s="168" t="s">
        <v>318</v>
      </c>
      <c r="CE23" s="161">
        <f>BU43</f>
        <v>4.59</v>
      </c>
      <c r="CF23" s="167" t="s">
        <v>317</v>
      </c>
      <c r="CI23" s="81" t="s">
        <v>335</v>
      </c>
      <c r="CJ23" s="242">
        <f t="shared" si="1"/>
        <v>121.30322580645162</v>
      </c>
      <c r="CK23" s="242">
        <f t="shared" si="2"/>
        <v>301</v>
      </c>
      <c r="CL23" s="242">
        <f t="shared" si="3"/>
        <v>4.59</v>
      </c>
      <c r="CO23" s="243" t="s">
        <v>373</v>
      </c>
      <c r="CP23" s="243" t="s">
        <v>451</v>
      </c>
      <c r="CQ23" s="244">
        <v>0.83299999999999996</v>
      </c>
      <c r="CR23" s="244">
        <v>6.0499999999999998E-2</v>
      </c>
      <c r="CS23" s="243">
        <v>13.76</v>
      </c>
      <c r="CT23" s="243" t="s">
        <v>420</v>
      </c>
      <c r="CU23" s="244">
        <v>2E-16</v>
      </c>
      <c r="CV23" s="81" t="s">
        <v>385</v>
      </c>
      <c r="CW23" s="245" t="s">
        <v>460</v>
      </c>
      <c r="CX23" s="248" t="s">
        <v>479</v>
      </c>
      <c r="CY23" s="246" t="s">
        <v>318</v>
      </c>
      <c r="CZ23" s="247">
        <f t="shared" si="12"/>
        <v>0.45500000000000002</v>
      </c>
      <c r="DA23" s="245" t="s">
        <v>317</v>
      </c>
      <c r="DC23" s="169" t="s">
        <v>460</v>
      </c>
      <c r="DD23" s="259" t="s">
        <v>479</v>
      </c>
      <c r="DE23" s="258" t="s">
        <v>318</v>
      </c>
      <c r="DF23" s="169">
        <f>$O$12*$Z$37*$AP$42</f>
        <v>0.60035628774794159</v>
      </c>
      <c r="DG23" s="169" t="s">
        <v>317</v>
      </c>
    </row>
    <row r="24" spans="2:111" ht="15" customHeight="1" thickTop="1" thickBot="1" x14ac:dyDescent="0.3">
      <c r="B24" s="175" t="s">
        <v>94</v>
      </c>
      <c r="C24" s="191">
        <f>C23/C6</f>
        <v>1</v>
      </c>
      <c r="D24" s="176" t="s">
        <v>9</v>
      </c>
      <c r="E24" s="175" t="s">
        <v>95</v>
      </c>
      <c r="F24" s="176"/>
      <c r="G24" s="191">
        <f>C8/C6</f>
        <v>0.51863799283154122</v>
      </c>
      <c r="H24" s="176"/>
      <c r="I24" s="177"/>
      <c r="K24" s="81" t="s">
        <v>92</v>
      </c>
      <c r="L24" s="208">
        <v>0</v>
      </c>
      <c r="M24" s="209">
        <v>2</v>
      </c>
      <c r="N24" s="209" t="s">
        <v>54</v>
      </c>
      <c r="O24" s="210">
        <f>I13</f>
        <v>2.6700000000000004</v>
      </c>
      <c r="P24" s="211" t="s">
        <v>50</v>
      </c>
      <c r="Q24" s="30">
        <f t="shared" si="7"/>
        <v>2</v>
      </c>
      <c r="R24" s="30">
        <f t="shared" si="8"/>
        <v>5.3400000000000007</v>
      </c>
      <c r="S24" s="30">
        <f t="shared" si="16"/>
        <v>0</v>
      </c>
      <c r="T24" s="30">
        <f t="shared" si="17"/>
        <v>0</v>
      </c>
      <c r="U24" s="30">
        <f t="shared" si="18"/>
        <v>0</v>
      </c>
      <c r="V24" s="31"/>
      <c r="W24" s="223"/>
      <c r="X24" s="175"/>
      <c r="Y24" s="176" t="s">
        <v>434</v>
      </c>
      <c r="Z24" s="176">
        <v>0.1</v>
      </c>
      <c r="AA24" s="176">
        <v>0.54</v>
      </c>
      <c r="AB24" s="176">
        <v>1400</v>
      </c>
      <c r="AC24" s="176">
        <v>840</v>
      </c>
      <c r="AD24" s="227">
        <f>Z24/AA24</f>
        <v>0.18518518518518517</v>
      </c>
      <c r="AE24" s="177">
        <f>Z24*AB24*AC24</f>
        <v>117600</v>
      </c>
      <c r="AF24" s="222"/>
      <c r="AG24" s="222"/>
      <c r="AH24" s="222"/>
      <c r="AM24" s="158" t="s">
        <v>314</v>
      </c>
      <c r="AN24" s="81" t="s">
        <v>315</v>
      </c>
      <c r="AO24" s="81" t="s">
        <v>335</v>
      </c>
      <c r="AP24" s="81">
        <f>SUM(O14)*1/(SUM(AD44:AD46)+2/2)</f>
        <v>121.30322580645162</v>
      </c>
      <c r="AQ24" s="81" t="s">
        <v>317</v>
      </c>
      <c r="AR24" s="166">
        <v>43.800190000000001</v>
      </c>
      <c r="AV24" s="167" t="s">
        <v>314</v>
      </c>
      <c r="AW24" s="167" t="s">
        <v>315</v>
      </c>
      <c r="AX24" s="167" t="s">
        <v>335</v>
      </c>
      <c r="AY24" s="168" t="s">
        <v>318</v>
      </c>
      <c r="AZ24" s="161">
        <f t="shared" si="19"/>
        <v>121.30322580645162</v>
      </c>
      <c r="BA24" s="167" t="s">
        <v>317</v>
      </c>
      <c r="BC24" s="81" t="s">
        <v>373</v>
      </c>
      <c r="BD24" s="81" t="s">
        <v>400</v>
      </c>
      <c r="BE24" s="166">
        <v>-9.5399999999999991</v>
      </c>
      <c r="BF24" s="166">
        <v>148</v>
      </c>
      <c r="BG24" s="81">
        <v>-0.06</v>
      </c>
      <c r="BH24" s="81">
        <v>0.95</v>
      </c>
      <c r="BL24" s="167" t="s">
        <v>314</v>
      </c>
      <c r="BM24" s="167" t="s">
        <v>315</v>
      </c>
      <c r="BN24" s="167" t="s">
        <v>335</v>
      </c>
      <c r="BO24" s="168" t="s">
        <v>318</v>
      </c>
      <c r="BP24" s="161">
        <f>BE43</f>
        <v>301</v>
      </c>
      <c r="BQ24" s="167" t="s">
        <v>317</v>
      </c>
      <c r="BS24" s="81" t="s">
        <v>373</v>
      </c>
      <c r="BT24" s="81" t="s">
        <v>400</v>
      </c>
      <c r="BU24" s="166">
        <v>-14.2</v>
      </c>
      <c r="BV24" s="166">
        <v>1.03</v>
      </c>
      <c r="BW24" s="81">
        <v>-13.82</v>
      </c>
      <c r="BX24" s="81" t="s">
        <v>420</v>
      </c>
      <c r="BY24" s="166">
        <v>2E-16</v>
      </c>
      <c r="BZ24" s="81" t="s">
        <v>385</v>
      </c>
      <c r="CA24" s="167"/>
      <c r="CB24" s="167"/>
      <c r="CC24" s="167"/>
      <c r="CD24" s="168"/>
      <c r="CE24" s="161"/>
      <c r="CF24" s="167"/>
      <c r="CJ24" s="240">
        <f t="shared" si="1"/>
        <v>0</v>
      </c>
      <c r="CK24" s="240">
        <f t="shared" si="2"/>
        <v>0</v>
      </c>
      <c r="CL24" s="240">
        <f t="shared" si="3"/>
        <v>0</v>
      </c>
      <c r="CO24" s="243" t="s">
        <v>373</v>
      </c>
      <c r="CP24" s="243" t="s">
        <v>452</v>
      </c>
      <c r="CQ24" s="244">
        <v>1.29E-7</v>
      </c>
      <c r="CR24" s="244">
        <v>4.2200000000000003E-5</v>
      </c>
      <c r="CS24" s="243">
        <v>0</v>
      </c>
      <c r="CT24" s="244">
        <v>0.99760000000000004</v>
      </c>
      <c r="CW24" s="245" t="s">
        <v>460</v>
      </c>
      <c r="CX24" s="246" t="s">
        <v>480</v>
      </c>
      <c r="CY24" s="246" t="s">
        <v>318</v>
      </c>
      <c r="CZ24" s="247">
        <f t="shared" si="12"/>
        <v>0.68799999999999994</v>
      </c>
      <c r="DA24" s="245" t="s">
        <v>317</v>
      </c>
      <c r="DC24" s="169" t="s">
        <v>460</v>
      </c>
      <c r="DD24" s="258" t="s">
        <v>480</v>
      </c>
      <c r="DE24" s="258" t="s">
        <v>318</v>
      </c>
      <c r="DF24" s="169">
        <f>$O$13*$Z$37*$AP$42</f>
        <v>0.43796483286530163</v>
      </c>
      <c r="DG24" s="169" t="s">
        <v>317</v>
      </c>
    </row>
    <row r="25" spans="2:111" ht="15" customHeight="1" thickTop="1" thickBot="1" x14ac:dyDescent="0.3">
      <c r="B25" s="187"/>
      <c r="C25" s="174"/>
      <c r="D25" s="174"/>
      <c r="E25" s="175"/>
      <c r="F25" s="176"/>
      <c r="G25" s="176"/>
      <c r="H25" s="176"/>
      <c r="I25" s="177"/>
      <c r="K25" s="81" t="s">
        <v>96</v>
      </c>
      <c r="L25" s="208">
        <v>0</v>
      </c>
      <c r="M25" s="209">
        <v>2</v>
      </c>
      <c r="N25" s="209" t="s">
        <v>20</v>
      </c>
      <c r="O25" s="210">
        <f>'Tabula data'!B7</f>
        <v>158.4</v>
      </c>
      <c r="P25" s="211" t="s">
        <v>97</v>
      </c>
      <c r="Q25" s="30">
        <f t="shared" si="7"/>
        <v>0.27481053799679722</v>
      </c>
      <c r="R25" s="30">
        <f t="shared" si="8"/>
        <v>43.529989218692684</v>
      </c>
      <c r="S25" s="30">
        <f t="shared" si="16"/>
        <v>13515004.800000001</v>
      </c>
      <c r="T25" s="30">
        <f t="shared" si="17"/>
        <v>85322</v>
      </c>
      <c r="U25" s="30">
        <f t="shared" si="18"/>
        <v>6689232</v>
      </c>
      <c r="V25" s="31"/>
      <c r="W25" s="223"/>
      <c r="X25" s="187"/>
      <c r="Y25" s="174" t="s">
        <v>433</v>
      </c>
      <c r="Z25" s="174">
        <v>0.02</v>
      </c>
      <c r="AA25" s="174">
        <v>0.6</v>
      </c>
      <c r="AB25" s="174">
        <v>975</v>
      </c>
      <c r="AC25" s="174">
        <v>840</v>
      </c>
      <c r="AD25" s="229">
        <f>Z25/AA25</f>
        <v>3.3333333333333333E-2</v>
      </c>
      <c r="AE25" s="192">
        <f>Z25*AB25*AC25</f>
        <v>16380</v>
      </c>
      <c r="AF25" s="222"/>
      <c r="AG25" s="222"/>
      <c r="AH25" s="222"/>
      <c r="AQ25" s="81" t="s">
        <v>317</v>
      </c>
      <c r="AV25" s="167"/>
      <c r="AW25" s="167"/>
      <c r="AX25" s="167"/>
      <c r="AY25" s="168"/>
      <c r="BA25" s="167"/>
      <c r="BC25" s="81" t="s">
        <v>373</v>
      </c>
      <c r="BD25" s="81" t="s">
        <v>401</v>
      </c>
      <c r="BE25" s="166">
        <v>-13</v>
      </c>
      <c r="BF25" s="166">
        <v>221</v>
      </c>
      <c r="BG25" s="81">
        <v>-0.06</v>
      </c>
      <c r="BH25" s="81">
        <v>0.95</v>
      </c>
      <c r="BL25" s="167"/>
      <c r="BM25" s="167"/>
      <c r="BN25" s="167"/>
      <c r="BO25" s="168"/>
      <c r="BP25" s="161"/>
      <c r="BQ25" s="167"/>
      <c r="BS25" s="81" t="s">
        <v>373</v>
      </c>
      <c r="BT25" s="81" t="s">
        <v>401</v>
      </c>
      <c r="BU25" s="166">
        <v>-18.2</v>
      </c>
      <c r="BV25" s="166">
        <v>1.2</v>
      </c>
      <c r="BW25" s="81">
        <v>-15.11</v>
      </c>
      <c r="BX25" s="81" t="s">
        <v>420</v>
      </c>
      <c r="BY25" s="166">
        <v>2E-16</v>
      </c>
      <c r="BZ25" s="81" t="s">
        <v>385</v>
      </c>
      <c r="CA25" s="167" t="s">
        <v>314</v>
      </c>
      <c r="CB25" s="167" t="s">
        <v>315</v>
      </c>
      <c r="CC25" s="167" t="s">
        <v>336</v>
      </c>
      <c r="CD25" s="168" t="s">
        <v>318</v>
      </c>
      <c r="CE25" s="161">
        <f>BU52</f>
        <v>0.39200000000000002</v>
      </c>
      <c r="CF25" s="167" t="s">
        <v>317</v>
      </c>
      <c r="CI25" s="81" t="s">
        <v>336</v>
      </c>
      <c r="CJ25" s="239">
        <f t="shared" si="1"/>
        <v>0.45912879828633407</v>
      </c>
      <c r="CK25" s="239">
        <f t="shared" si="2"/>
        <v>0.01</v>
      </c>
      <c r="CL25" s="239">
        <f t="shared" si="3"/>
        <v>0.39200000000000002</v>
      </c>
      <c r="CO25" s="243" t="s">
        <v>373</v>
      </c>
      <c r="CP25" s="243" t="s">
        <v>453</v>
      </c>
      <c r="CQ25" s="244">
        <v>0.76900000000000002</v>
      </c>
      <c r="CR25" s="244">
        <v>3.0599999999999999E-2</v>
      </c>
      <c r="CS25" s="243">
        <v>25.16</v>
      </c>
      <c r="CT25" s="243" t="s">
        <v>420</v>
      </c>
      <c r="CU25" s="244">
        <v>2E-16</v>
      </c>
      <c r="CV25" s="81" t="s">
        <v>385</v>
      </c>
      <c r="CY25" s="246"/>
      <c r="DC25" s="169"/>
      <c r="DD25" s="169"/>
      <c r="DE25" s="258"/>
      <c r="DF25" s="169"/>
      <c r="DG25" s="169"/>
    </row>
    <row r="26" spans="2:111" ht="15" customHeight="1" thickTop="1" thickBot="1" x14ac:dyDescent="0.3">
      <c r="B26" s="193" t="s">
        <v>100</v>
      </c>
      <c r="C26" s="199">
        <f>'Tabula data'!B6</f>
        <v>599.20000000000005</v>
      </c>
      <c r="D26" s="198" t="s">
        <v>9</v>
      </c>
      <c r="E26" s="175"/>
      <c r="F26" s="176"/>
      <c r="G26" s="176"/>
      <c r="H26" s="176"/>
      <c r="I26" s="177"/>
      <c r="K26" s="81" t="s">
        <v>98</v>
      </c>
      <c r="L26" s="208">
        <v>1</v>
      </c>
      <c r="M26" s="209">
        <v>2</v>
      </c>
      <c r="N26" s="209" t="s">
        <v>99</v>
      </c>
      <c r="O26" s="210">
        <f>'Tabula data'!B4-'Tabula data'!B14</f>
        <v>144.69999999999999</v>
      </c>
      <c r="P26" s="211"/>
      <c r="Q26" s="30">
        <f t="shared" si="7"/>
        <v>0.91717620900500274</v>
      </c>
      <c r="R26" s="30">
        <f t="shared" si="8"/>
        <v>132.71539744302387</v>
      </c>
      <c r="S26" s="30">
        <f t="shared" si="16"/>
        <v>8354977.9999999991</v>
      </c>
      <c r="T26" s="30">
        <f t="shared" si="17"/>
        <v>57740</v>
      </c>
      <c r="U26" s="30">
        <f t="shared" si="18"/>
        <v>8354977.9999999991</v>
      </c>
      <c r="V26" s="31"/>
      <c r="W26" s="223"/>
      <c r="AF26" s="222"/>
      <c r="AG26" s="222"/>
      <c r="AH26" s="222"/>
      <c r="AM26" s="158" t="s">
        <v>314</v>
      </c>
      <c r="AN26" s="81" t="s">
        <v>315</v>
      </c>
      <c r="AO26" s="81" t="s">
        <v>336</v>
      </c>
      <c r="AP26" s="81">
        <f>SUM(O17:O20,O25)/SUM(O$17:O$25,2*O$28,O$26)</f>
        <v>0.45912879828633407</v>
      </c>
      <c r="AQ26" s="81" t="s">
        <v>317</v>
      </c>
      <c r="AR26" s="166">
        <v>0.44339849999999997</v>
      </c>
      <c r="AV26" s="167" t="s">
        <v>314</v>
      </c>
      <c r="AW26" s="167" t="s">
        <v>315</v>
      </c>
      <c r="AX26" s="167" t="s">
        <v>336</v>
      </c>
      <c r="AY26" s="168" t="s">
        <v>318</v>
      </c>
      <c r="AZ26" s="161">
        <f>AP26</f>
        <v>0.45912879828633407</v>
      </c>
      <c r="BA26" s="167" t="s">
        <v>317</v>
      </c>
      <c r="BC26" s="81" t="s">
        <v>373</v>
      </c>
      <c r="BD26" s="81" t="s">
        <v>402</v>
      </c>
      <c r="BE26" s="166">
        <v>0.128</v>
      </c>
      <c r="BF26" s="166">
        <v>7.7800000000000005E-4</v>
      </c>
      <c r="BG26" s="81">
        <v>164.49</v>
      </c>
      <c r="BH26" s="81" t="s">
        <v>384</v>
      </c>
      <c r="BI26" s="81" t="s">
        <v>385</v>
      </c>
      <c r="BL26" s="167" t="s">
        <v>314</v>
      </c>
      <c r="BM26" s="167" t="s">
        <v>315</v>
      </c>
      <c r="BN26" s="167" t="s">
        <v>336</v>
      </c>
      <c r="BO26" s="168" t="s">
        <v>318</v>
      </c>
      <c r="BP26" s="161">
        <f>BE52</f>
        <v>0.01</v>
      </c>
      <c r="BQ26" s="167" t="s">
        <v>317</v>
      </c>
      <c r="BS26" s="81" t="s">
        <v>373</v>
      </c>
      <c r="BT26" s="81" t="s">
        <v>402</v>
      </c>
      <c r="BU26" s="166">
        <v>8.43E-2</v>
      </c>
      <c r="BV26" s="166">
        <v>2.7700000000000001E-4</v>
      </c>
      <c r="BW26" s="81">
        <v>304.67</v>
      </c>
      <c r="BX26" s="81" t="s">
        <v>420</v>
      </c>
      <c r="BY26" s="166">
        <v>2E-16</v>
      </c>
      <c r="BZ26" s="81" t="s">
        <v>385</v>
      </c>
      <c r="CA26" s="167" t="s">
        <v>314</v>
      </c>
      <c r="CB26" s="167" t="s">
        <v>315</v>
      </c>
      <c r="CC26" s="167" t="s">
        <v>337</v>
      </c>
      <c r="CD26" s="168" t="s">
        <v>318</v>
      </c>
      <c r="CE26" s="161">
        <f>BU53</f>
        <v>0.155</v>
      </c>
      <c r="CF26" s="167" t="s">
        <v>317</v>
      </c>
      <c r="CI26" s="81" t="s">
        <v>337</v>
      </c>
      <c r="CJ26" s="239">
        <f t="shared" si="1"/>
        <v>0.16981631767363287</v>
      </c>
      <c r="CK26" s="239">
        <f t="shared" si="2"/>
        <v>1.0200000000000001E-2</v>
      </c>
      <c r="CL26" s="239">
        <f t="shared" si="3"/>
        <v>0.155</v>
      </c>
      <c r="CO26" s="243" t="s">
        <v>373</v>
      </c>
      <c r="CP26" s="243" t="s">
        <v>454</v>
      </c>
      <c r="CQ26" s="244">
        <v>0.82199999999999995</v>
      </c>
      <c r="CR26" s="244">
        <v>3.1800000000000002E-2</v>
      </c>
      <c r="CS26" s="243">
        <v>25.9</v>
      </c>
      <c r="CT26" s="243" t="s">
        <v>420</v>
      </c>
      <c r="CU26" s="244">
        <v>2E-16</v>
      </c>
      <c r="CV26" s="81" t="s">
        <v>385</v>
      </c>
      <c r="CX26" s="246"/>
      <c r="CY26" s="246"/>
      <c r="CZ26" s="247"/>
      <c r="DC26" s="169"/>
      <c r="DD26" s="258"/>
      <c r="DE26" s="258"/>
      <c r="DF26" s="169"/>
      <c r="DG26" s="169"/>
    </row>
    <row r="27" spans="2:111" ht="15" customHeight="1" thickTop="1" thickBot="1" x14ac:dyDescent="0.3">
      <c r="B27" s="175"/>
      <c r="C27" s="191">
        <f>SUM(O6:O25)</f>
        <v>599.20000000000005</v>
      </c>
      <c r="D27" s="177" t="s">
        <v>70</v>
      </c>
      <c r="E27" s="175"/>
      <c r="F27" s="176"/>
      <c r="G27" s="176"/>
      <c r="H27" s="176"/>
      <c r="I27" s="177"/>
      <c r="K27" s="81" t="s">
        <v>101</v>
      </c>
      <c r="L27" s="208">
        <v>1</v>
      </c>
      <c r="M27" s="209">
        <v>1</v>
      </c>
      <c r="N27" s="209" t="s">
        <v>85</v>
      </c>
      <c r="O27" s="210">
        <f>SUM(O6:O9)</f>
        <v>219.86010000000002</v>
      </c>
      <c r="P27" s="211"/>
      <c r="Q27" s="30">
        <f t="shared" si="7"/>
        <v>1.330049261083744</v>
      </c>
      <c r="R27" s="30">
        <f t="shared" si="8"/>
        <v>292.42476354679809</v>
      </c>
      <c r="S27" s="30">
        <f t="shared" si="16"/>
        <v>33058164.636000004</v>
      </c>
      <c r="T27" s="30">
        <f t="shared" si="17"/>
        <v>150360</v>
      </c>
      <c r="U27" s="30">
        <f t="shared" si="18"/>
        <v>33058164.636000004</v>
      </c>
      <c r="V27" s="31"/>
      <c r="W27" s="223"/>
      <c r="X27" s="216" t="s">
        <v>99</v>
      </c>
      <c r="Y27" s="217"/>
      <c r="Z27" s="218" t="s">
        <v>21</v>
      </c>
      <c r="AA27" s="219">
        <f>1/(1/5+SUM(AD29:AD32)+1/3)</f>
        <v>0.91717620900500274</v>
      </c>
      <c r="AB27" s="217" t="s">
        <v>5</v>
      </c>
      <c r="AC27" s="217"/>
      <c r="AD27" s="217" t="s">
        <v>22</v>
      </c>
      <c r="AE27" s="220">
        <f>SUM(AE29:AE33)</f>
        <v>57740</v>
      </c>
      <c r="AF27" s="222" t="s">
        <v>23</v>
      </c>
      <c r="AG27" s="222">
        <f>SUM(AE29:AE32)</f>
        <v>57740</v>
      </c>
      <c r="AH27" s="222"/>
      <c r="AM27" s="158" t="s">
        <v>314</v>
      </c>
      <c r="AN27" s="81" t="s">
        <v>315</v>
      </c>
      <c r="AO27" s="81" t="s">
        <v>337</v>
      </c>
      <c r="AP27" s="81">
        <f>SUM(2*O28)/SUM(O$17:O$25,2*O$28,O$26)</f>
        <v>0.16981631767363287</v>
      </c>
      <c r="AQ27" s="81" t="s">
        <v>317</v>
      </c>
      <c r="AR27" s="166">
        <v>0.14522370000000001</v>
      </c>
      <c r="AV27" s="167" t="s">
        <v>314</v>
      </c>
      <c r="AW27" s="167" t="s">
        <v>315</v>
      </c>
      <c r="AX27" s="167" t="s">
        <v>337</v>
      </c>
      <c r="AY27" s="168" t="s">
        <v>318</v>
      </c>
      <c r="AZ27" s="161">
        <f t="shared" ref="AZ27:AZ28" si="21">AP27</f>
        <v>0.16981631767363287</v>
      </c>
      <c r="BA27" s="167" t="s">
        <v>317</v>
      </c>
      <c r="BC27" s="81" t="s">
        <v>373</v>
      </c>
      <c r="BD27" s="81" t="s">
        <v>403</v>
      </c>
      <c r="BE27" s="166">
        <v>0.23499999999999999</v>
      </c>
      <c r="BF27" s="166">
        <v>1.1199999999999999E-3</v>
      </c>
      <c r="BG27" s="81">
        <v>210.07</v>
      </c>
      <c r="BH27" s="81" t="s">
        <v>384</v>
      </c>
      <c r="BI27" s="81" t="s">
        <v>385</v>
      </c>
      <c r="BL27" s="167" t="s">
        <v>314</v>
      </c>
      <c r="BM27" s="167" t="s">
        <v>315</v>
      </c>
      <c r="BN27" s="167" t="s">
        <v>337</v>
      </c>
      <c r="BO27" s="168" t="s">
        <v>318</v>
      </c>
      <c r="BP27" s="161">
        <f t="shared" ref="BP27:BP28" si="22">BE53</f>
        <v>1.0200000000000001E-2</v>
      </c>
      <c r="BQ27" s="167" t="s">
        <v>317</v>
      </c>
      <c r="BS27" s="81" t="s">
        <v>373</v>
      </c>
      <c r="BT27" s="81" t="s">
        <v>403</v>
      </c>
      <c r="BU27" s="166">
        <v>0.16600000000000001</v>
      </c>
      <c r="BV27" s="166">
        <v>4.6099999999999998E-4</v>
      </c>
      <c r="BW27" s="81">
        <v>359.51</v>
      </c>
      <c r="BX27" s="81" t="s">
        <v>420</v>
      </c>
      <c r="BY27" s="166">
        <v>2E-16</v>
      </c>
      <c r="BZ27" s="81" t="s">
        <v>385</v>
      </c>
      <c r="CA27" s="167" t="s">
        <v>314</v>
      </c>
      <c r="CB27" s="167" t="s">
        <v>315</v>
      </c>
      <c r="CC27" s="167" t="s">
        <v>338</v>
      </c>
      <c r="CD27" s="168" t="s">
        <v>318</v>
      </c>
      <c r="CE27" s="161">
        <f>BU54</f>
        <v>1.06E-7</v>
      </c>
      <c r="CF27" s="167" t="s">
        <v>317</v>
      </c>
      <c r="CI27" s="81" t="s">
        <v>338</v>
      </c>
      <c r="CJ27" s="239">
        <f t="shared" si="1"/>
        <v>2.9200549896439641E-2</v>
      </c>
      <c r="CK27" s="239">
        <f t="shared" si="2"/>
        <v>0.69799999999999995</v>
      </c>
      <c r="CL27" s="239">
        <f t="shared" si="3"/>
        <v>1.06E-7</v>
      </c>
      <c r="CO27" s="243" t="s">
        <v>373</v>
      </c>
      <c r="CP27" s="243" t="s">
        <v>455</v>
      </c>
      <c r="CQ27" s="244">
        <v>0.40100000000000002</v>
      </c>
      <c r="CR27" s="244">
        <v>9.4600000000000004E-2</v>
      </c>
      <c r="CS27" s="243">
        <v>4.24</v>
      </c>
      <c r="CT27" s="244">
        <v>2.1999999999999999E-5</v>
      </c>
      <c r="CU27" s="244" t="s">
        <v>385</v>
      </c>
      <c r="CW27" s="245" t="s">
        <v>460</v>
      </c>
      <c r="CX27" s="246" t="s">
        <v>325</v>
      </c>
      <c r="CY27" s="246" t="s">
        <v>318</v>
      </c>
      <c r="CZ27" s="247">
        <f>CQ32</f>
        <v>9810000000</v>
      </c>
      <c r="DA27" s="245" t="s">
        <v>317</v>
      </c>
      <c r="DC27" s="169" t="s">
        <v>460</v>
      </c>
      <c r="DD27" s="258" t="s">
        <v>325</v>
      </c>
      <c r="DE27" s="258" t="s">
        <v>318</v>
      </c>
      <c r="DF27" s="262">
        <f>$AP12</f>
        <v>14901928.000000002</v>
      </c>
      <c r="DG27" s="169" t="s">
        <v>317</v>
      </c>
    </row>
    <row r="28" spans="2:111" ht="15" customHeight="1" thickTop="1" thickBot="1" x14ac:dyDescent="0.3">
      <c r="B28" s="175"/>
      <c r="C28" s="176"/>
      <c r="D28" s="177"/>
      <c r="E28" s="175"/>
      <c r="F28" s="176"/>
      <c r="G28" s="176"/>
      <c r="H28" s="176"/>
      <c r="I28" s="177"/>
      <c r="K28" s="81" t="s">
        <v>102</v>
      </c>
      <c r="L28" s="208">
        <v>2</v>
      </c>
      <c r="M28" s="209">
        <v>2</v>
      </c>
      <c r="N28" s="209" t="s">
        <v>85</v>
      </c>
      <c r="O28" s="210">
        <f>SUM(O17:O20)</f>
        <v>35.939900000000009</v>
      </c>
      <c r="P28" s="211"/>
      <c r="Q28" s="30">
        <f t="shared" si="7"/>
        <v>1.330049261083744</v>
      </c>
      <c r="R28" s="30">
        <f t="shared" si="8"/>
        <v>47.801837438423661</v>
      </c>
      <c r="S28" s="30">
        <f t="shared" si="16"/>
        <v>5403923.364000001</v>
      </c>
      <c r="T28" s="30">
        <f t="shared" si="17"/>
        <v>150360</v>
      </c>
      <c r="U28" s="30">
        <f t="shared" si="18"/>
        <v>5403923.364000001</v>
      </c>
      <c r="V28" s="31"/>
      <c r="X28" s="224"/>
      <c r="Y28" s="225" t="s">
        <v>27</v>
      </c>
      <c r="Z28" s="225" t="s">
        <v>28</v>
      </c>
      <c r="AA28" s="225" t="s">
        <v>29</v>
      </c>
      <c r="AB28" s="225" t="s">
        <v>30</v>
      </c>
      <c r="AC28" s="225" t="s">
        <v>31</v>
      </c>
      <c r="AD28" s="225" t="s">
        <v>32</v>
      </c>
      <c r="AE28" s="226" t="s">
        <v>33</v>
      </c>
      <c r="AF28" s="222"/>
      <c r="AG28" s="222"/>
      <c r="AH28" s="222"/>
      <c r="AM28" s="158" t="s">
        <v>314</v>
      </c>
      <c r="AN28" s="81" t="s">
        <v>315</v>
      </c>
      <c r="AO28" s="81" t="s">
        <v>338</v>
      </c>
      <c r="AP28" s="81">
        <f>SUM(O21:O24)/SUM(O$17:O$25,2*O$28,O$26)</f>
        <v>2.9200549896439641E-2</v>
      </c>
      <c r="AQ28" s="81" t="s">
        <v>317</v>
      </c>
      <c r="AR28" s="166">
        <v>0.13569049999999999</v>
      </c>
      <c r="AV28" s="167" t="s">
        <v>314</v>
      </c>
      <c r="AW28" s="167" t="s">
        <v>315</v>
      </c>
      <c r="AX28" s="167" t="s">
        <v>338</v>
      </c>
      <c r="AY28" s="168" t="s">
        <v>318</v>
      </c>
      <c r="AZ28" s="161">
        <f t="shared" si="21"/>
        <v>2.9200549896439641E-2</v>
      </c>
      <c r="BA28" s="167" t="s">
        <v>317</v>
      </c>
      <c r="BC28" s="81" t="s">
        <v>373</v>
      </c>
      <c r="BD28" s="81" t="s">
        <v>404</v>
      </c>
      <c r="BE28" s="166">
        <v>0.53700000000000003</v>
      </c>
      <c r="BF28" s="166">
        <v>2.6900000000000001E-3</v>
      </c>
      <c r="BG28" s="81">
        <v>199.49</v>
      </c>
      <c r="BH28" s="81" t="s">
        <v>384</v>
      </c>
      <c r="BI28" s="81" t="s">
        <v>385</v>
      </c>
      <c r="BL28" s="167" t="s">
        <v>314</v>
      </c>
      <c r="BM28" s="167" t="s">
        <v>315</v>
      </c>
      <c r="BN28" s="167" t="s">
        <v>338</v>
      </c>
      <c r="BO28" s="168" t="s">
        <v>318</v>
      </c>
      <c r="BP28" s="161">
        <f t="shared" si="22"/>
        <v>0.69799999999999995</v>
      </c>
      <c r="BQ28" s="167" t="s">
        <v>317</v>
      </c>
      <c r="BS28" s="81" t="s">
        <v>373</v>
      </c>
      <c r="BT28" s="81" t="s">
        <v>404</v>
      </c>
      <c r="BU28" s="166">
        <v>0.70499999999999996</v>
      </c>
      <c r="BV28" s="166">
        <v>6.7499999999999999E-3</v>
      </c>
      <c r="BW28" s="81">
        <v>104.45</v>
      </c>
      <c r="BX28" s="81" t="s">
        <v>420</v>
      </c>
      <c r="BY28" s="166">
        <v>2E-16</v>
      </c>
      <c r="BZ28" s="81" t="s">
        <v>385</v>
      </c>
      <c r="CA28" s="167"/>
      <c r="CB28" s="167"/>
      <c r="CC28" s="167"/>
      <c r="CD28" s="168"/>
      <c r="CE28" s="161"/>
      <c r="CF28" s="167"/>
      <c r="CJ28" s="240"/>
      <c r="CK28" s="240"/>
      <c r="CL28" s="240"/>
      <c r="CO28" s="243" t="s">
        <v>373</v>
      </c>
      <c r="CP28" s="243" t="s">
        <v>355</v>
      </c>
      <c r="CQ28" s="244">
        <v>2.0599999999999999E-14</v>
      </c>
      <c r="CR28" s="244">
        <v>7.6100000000000001E-12</v>
      </c>
      <c r="CS28" s="243">
        <v>0</v>
      </c>
      <c r="CT28" s="243">
        <v>0.99780000000000002</v>
      </c>
      <c r="CW28" s="245" t="s">
        <v>460</v>
      </c>
      <c r="CX28" s="249" t="s">
        <v>322</v>
      </c>
      <c r="CY28" s="246" t="s">
        <v>318</v>
      </c>
      <c r="CZ28" s="247">
        <f t="shared" ref="CZ28:CZ30" si="23">CQ33</f>
        <v>2200000</v>
      </c>
      <c r="DA28" s="245" t="s">
        <v>317</v>
      </c>
      <c r="DC28" s="169" t="s">
        <v>460</v>
      </c>
      <c r="DD28" s="260" t="s">
        <v>322</v>
      </c>
      <c r="DE28" s="258" t="s">
        <v>318</v>
      </c>
      <c r="DF28" s="262">
        <f>$AP9</f>
        <v>1940369.480716846</v>
      </c>
      <c r="DG28" s="169" t="s">
        <v>317</v>
      </c>
    </row>
    <row r="29" spans="2:111" ht="15" customHeight="1" thickTop="1" thickBot="1" x14ac:dyDescent="0.3">
      <c r="B29" s="175"/>
      <c r="C29" s="176"/>
      <c r="D29" s="177"/>
      <c r="E29" s="175"/>
      <c r="F29" s="176"/>
      <c r="G29" s="176"/>
      <c r="H29" s="176"/>
      <c r="I29" s="177"/>
      <c r="L29" s="213"/>
      <c r="M29" s="214"/>
      <c r="N29" s="214"/>
      <c r="O29" s="214"/>
      <c r="P29" s="215"/>
      <c r="X29" s="181"/>
      <c r="Y29" s="182" t="s">
        <v>103</v>
      </c>
      <c r="Z29" s="182">
        <v>0.02</v>
      </c>
      <c r="AA29" s="182">
        <v>0.11</v>
      </c>
      <c r="AB29" s="182">
        <v>550</v>
      </c>
      <c r="AC29" s="182">
        <v>1880</v>
      </c>
      <c r="AD29" s="231">
        <f>Z29/AA29</f>
        <v>0.18181818181818182</v>
      </c>
      <c r="AE29" s="232">
        <f>Z29*AB29*AC29</f>
        <v>20680</v>
      </c>
      <c r="AF29" s="222" t="s">
        <v>104</v>
      </c>
      <c r="AG29" s="222"/>
      <c r="AH29" s="222"/>
      <c r="AQ29" s="81" t="s">
        <v>317</v>
      </c>
      <c r="AV29" s="167"/>
      <c r="AW29" s="167"/>
      <c r="AX29" s="167"/>
      <c r="AY29" s="168"/>
      <c r="BA29" s="167"/>
      <c r="BC29" s="81" t="s">
        <v>373</v>
      </c>
      <c r="BD29" s="81" t="s">
        <v>405</v>
      </c>
      <c r="BE29" s="166">
        <v>7.7399999999999997E-2</v>
      </c>
      <c r="BF29" s="166">
        <v>7.9799999999999999E-4</v>
      </c>
      <c r="BG29" s="81">
        <v>97</v>
      </c>
      <c r="BH29" s="81" t="s">
        <v>384</v>
      </c>
      <c r="BI29" s="81" t="s">
        <v>385</v>
      </c>
      <c r="BL29" s="167"/>
      <c r="BM29" s="167"/>
      <c r="BN29" s="167"/>
      <c r="BO29" s="168"/>
      <c r="BP29" s="161"/>
      <c r="BQ29" s="167"/>
      <c r="BS29" s="81" t="s">
        <v>373</v>
      </c>
      <c r="BT29" s="81" t="s">
        <v>405</v>
      </c>
      <c r="BU29" s="166">
        <v>5.57E-2</v>
      </c>
      <c r="BV29" s="166">
        <v>1.2400000000000001E-4</v>
      </c>
      <c r="BW29" s="81">
        <v>449.16</v>
      </c>
      <c r="BX29" s="81" t="s">
        <v>420</v>
      </c>
      <c r="BY29" s="166">
        <v>2E-16</v>
      </c>
      <c r="BZ29" s="81" t="s">
        <v>385</v>
      </c>
      <c r="CA29" s="167" t="s">
        <v>314</v>
      </c>
      <c r="CB29" s="167" t="s">
        <v>315</v>
      </c>
      <c r="CC29" s="167" t="s">
        <v>339</v>
      </c>
      <c r="CD29" s="168" t="s">
        <v>318</v>
      </c>
      <c r="CE29" s="161">
        <f>BU57</f>
        <v>1010000</v>
      </c>
      <c r="CF29" s="167" t="s">
        <v>317</v>
      </c>
      <c r="CI29" s="81" t="s">
        <v>339</v>
      </c>
      <c r="CJ29" s="241">
        <f t="shared" si="1"/>
        <v>2090628.9192831542</v>
      </c>
      <c r="CK29" s="241">
        <f t="shared" si="2"/>
        <v>3800000</v>
      </c>
      <c r="CL29" s="241">
        <f t="shared" si="3"/>
        <v>1010000</v>
      </c>
      <c r="CO29" s="243" t="s">
        <v>373</v>
      </c>
      <c r="CP29" s="243" t="s">
        <v>456</v>
      </c>
      <c r="CQ29" s="244">
        <v>0.45500000000000002</v>
      </c>
      <c r="CR29" s="244">
        <v>4.5499999999999999E-2</v>
      </c>
      <c r="CS29" s="243">
        <v>10</v>
      </c>
      <c r="CT29" s="243" t="s">
        <v>420</v>
      </c>
      <c r="CU29" s="244">
        <v>2E-16</v>
      </c>
      <c r="CV29" s="81" t="s">
        <v>385</v>
      </c>
      <c r="CW29" s="245" t="s">
        <v>460</v>
      </c>
      <c r="CX29" s="249" t="s">
        <v>323</v>
      </c>
      <c r="CY29" s="246" t="s">
        <v>318</v>
      </c>
      <c r="CZ29" s="247">
        <f t="shared" si="23"/>
        <v>80100000</v>
      </c>
      <c r="DA29" s="245" t="s">
        <v>317</v>
      </c>
      <c r="DC29" s="169" t="s">
        <v>460</v>
      </c>
      <c r="DD29" s="260" t="s">
        <v>323</v>
      </c>
      <c r="DE29" s="258" t="s">
        <v>318</v>
      </c>
      <c r="DF29" s="262">
        <f>$AP10</f>
        <v>89016957.288000003</v>
      </c>
      <c r="DG29" s="169" t="s">
        <v>317</v>
      </c>
    </row>
    <row r="30" spans="2:111" ht="15" customHeight="1" thickTop="1" thickBot="1" x14ac:dyDescent="0.3">
      <c r="B30" s="187"/>
      <c r="C30" s="174"/>
      <c r="D30" s="192"/>
      <c r="E30" s="187"/>
      <c r="F30" s="174"/>
      <c r="G30" s="174"/>
      <c r="H30" s="174"/>
      <c r="I30" s="192"/>
      <c r="L30" s="81"/>
      <c r="M30" s="81"/>
      <c r="N30" s="81"/>
      <c r="Q30" s="81"/>
      <c r="R30" s="81"/>
      <c r="X30" s="175"/>
      <c r="Y30" s="176" t="s">
        <v>105</v>
      </c>
      <c r="Z30" s="176">
        <v>0.1</v>
      </c>
      <c r="AA30" s="176"/>
      <c r="AB30" s="176"/>
      <c r="AC30" s="176"/>
      <c r="AD30" s="227">
        <v>0.16</v>
      </c>
      <c r="AE30" s="177">
        <f>Z30*AB30*AC30</f>
        <v>0</v>
      </c>
      <c r="AF30" s="222"/>
      <c r="AG30" s="222"/>
      <c r="AH30" s="222"/>
      <c r="AM30" s="158" t="s">
        <v>314</v>
      </c>
      <c r="AN30" s="81" t="s">
        <v>315</v>
      </c>
      <c r="AO30" s="81" t="s">
        <v>339</v>
      </c>
      <c r="AP30" s="166">
        <f>C35*1.04*1012*5</f>
        <v>2090628.9192831542</v>
      </c>
      <c r="AQ30" s="81" t="s">
        <v>317</v>
      </c>
      <c r="AR30" s="166">
        <v>1612741</v>
      </c>
      <c r="AV30" s="167" t="s">
        <v>314</v>
      </c>
      <c r="AW30" s="167" t="s">
        <v>315</v>
      </c>
      <c r="AX30" s="167" t="s">
        <v>339</v>
      </c>
      <c r="AY30" s="168" t="s">
        <v>318</v>
      </c>
      <c r="AZ30" s="161">
        <f>AP30</f>
        <v>2090628.9192831542</v>
      </c>
      <c r="BA30" s="167" t="s">
        <v>317</v>
      </c>
      <c r="BC30" s="81" t="s">
        <v>373</v>
      </c>
      <c r="BD30" s="81" t="s">
        <v>406</v>
      </c>
      <c r="BE30" s="166">
        <v>1.9E-2</v>
      </c>
      <c r="BF30" s="166">
        <v>6.78E-4</v>
      </c>
      <c r="BG30" s="81">
        <v>27.98</v>
      </c>
      <c r="BH30" s="81" t="s">
        <v>384</v>
      </c>
      <c r="BI30" s="81" t="s">
        <v>385</v>
      </c>
      <c r="BL30" s="167" t="s">
        <v>314</v>
      </c>
      <c r="BM30" s="167" t="s">
        <v>315</v>
      </c>
      <c r="BN30" s="167" t="s">
        <v>339</v>
      </c>
      <c r="BO30" s="168" t="s">
        <v>318</v>
      </c>
      <c r="BP30" s="161">
        <f>BE57</f>
        <v>3800000</v>
      </c>
      <c r="BQ30" s="167" t="s">
        <v>317</v>
      </c>
      <c r="BS30" s="81" t="s">
        <v>373</v>
      </c>
      <c r="BT30" s="81" t="s">
        <v>406</v>
      </c>
      <c r="BU30" s="166">
        <v>2.69E-2</v>
      </c>
      <c r="BV30" s="166">
        <v>1.16E-4</v>
      </c>
      <c r="BW30" s="81">
        <v>233.23</v>
      </c>
      <c r="BX30" s="81" t="s">
        <v>420</v>
      </c>
      <c r="BY30" s="166">
        <v>2E-16</v>
      </c>
      <c r="BZ30" s="81" t="s">
        <v>385</v>
      </c>
      <c r="CA30" s="167" t="s">
        <v>314</v>
      </c>
      <c r="CB30" s="167" t="s">
        <v>315</v>
      </c>
      <c r="CC30" s="167" t="s">
        <v>340</v>
      </c>
      <c r="CD30" s="168" t="s">
        <v>318</v>
      </c>
      <c r="CE30" s="161">
        <f>BU58</f>
        <v>36900000</v>
      </c>
      <c r="CF30" s="167" t="s">
        <v>317</v>
      </c>
      <c r="CI30" s="81" t="s">
        <v>340</v>
      </c>
      <c r="CJ30" s="241">
        <f t="shared" si="1"/>
        <v>21240578.712000005</v>
      </c>
      <c r="CK30" s="241">
        <f t="shared" si="2"/>
        <v>78400000</v>
      </c>
      <c r="CL30" s="241">
        <f t="shared" si="3"/>
        <v>36900000</v>
      </c>
      <c r="CO30" s="243" t="s">
        <v>373</v>
      </c>
      <c r="CP30" s="243" t="s">
        <v>457</v>
      </c>
      <c r="CQ30" s="244">
        <v>0.68799999999999994</v>
      </c>
      <c r="CR30" s="244">
        <v>4.7600000000000003E-2</v>
      </c>
      <c r="CS30" s="243">
        <v>14.46</v>
      </c>
      <c r="CT30" s="243" t="s">
        <v>420</v>
      </c>
      <c r="CU30" s="244">
        <v>2E-16</v>
      </c>
      <c r="CV30" s="81" t="s">
        <v>385</v>
      </c>
      <c r="CW30" s="245" t="s">
        <v>460</v>
      </c>
      <c r="CX30" s="249" t="s">
        <v>324</v>
      </c>
      <c r="CY30" s="246" t="s">
        <v>318</v>
      </c>
      <c r="CZ30" s="247">
        <f t="shared" si="23"/>
        <v>24300000</v>
      </c>
      <c r="DA30" s="245" t="s">
        <v>317</v>
      </c>
      <c r="DC30" s="169" t="s">
        <v>460</v>
      </c>
      <c r="DD30" s="260" t="s">
        <v>324</v>
      </c>
      <c r="DE30" s="258" t="s">
        <v>318</v>
      </c>
      <c r="DF30" s="262">
        <f>$AP11</f>
        <v>33058164.636000004</v>
      </c>
      <c r="DG30" s="169" t="s">
        <v>317</v>
      </c>
    </row>
    <row r="31" spans="2:111" ht="15" customHeight="1" thickTop="1" thickBot="1" x14ac:dyDescent="0.3">
      <c r="L31" s="81"/>
      <c r="M31" s="81"/>
      <c r="N31" s="81"/>
      <c r="Q31" s="69" t="s">
        <v>106</v>
      </c>
      <c r="R31" s="70">
        <f>SUM(R4:R13)+R14*0.5+SUM(R17:R25)+R16</f>
        <v>916.54336413361943</v>
      </c>
      <c r="S31" s="69" t="s">
        <v>107</v>
      </c>
      <c r="X31" s="175"/>
      <c r="Y31" s="176" t="s">
        <v>108</v>
      </c>
      <c r="Z31" s="176">
        <v>0.02</v>
      </c>
      <c r="AA31" s="176">
        <v>0.11</v>
      </c>
      <c r="AB31" s="176">
        <v>550</v>
      </c>
      <c r="AC31" s="176">
        <v>1880</v>
      </c>
      <c r="AD31" s="227">
        <f>Z31/AA31</f>
        <v>0.18181818181818182</v>
      </c>
      <c r="AE31" s="177">
        <f>Z31*AB31*AC31</f>
        <v>20680</v>
      </c>
      <c r="AF31" s="222"/>
      <c r="AG31" s="222"/>
      <c r="AH31" s="222"/>
      <c r="AM31" s="158" t="s">
        <v>314</v>
      </c>
      <c r="AN31" s="81" t="s">
        <v>315</v>
      </c>
      <c r="AO31" s="81" t="s">
        <v>340</v>
      </c>
      <c r="AP31" s="166">
        <f>U25+SUM(U17:U20)</f>
        <v>21240578.712000005</v>
      </c>
      <c r="AQ31" s="81" t="s">
        <v>317</v>
      </c>
      <c r="AR31" s="166">
        <v>6867267</v>
      </c>
      <c r="AV31" s="167" t="s">
        <v>314</v>
      </c>
      <c r="AW31" s="167" t="s">
        <v>315</v>
      </c>
      <c r="AX31" s="167" t="s">
        <v>340</v>
      </c>
      <c r="AY31" s="168" t="s">
        <v>318</v>
      </c>
      <c r="AZ31" s="161">
        <f t="shared" ref="AZ31:AZ35" si="24">AP31</f>
        <v>21240578.712000005</v>
      </c>
      <c r="BA31" s="167" t="s">
        <v>317</v>
      </c>
      <c r="BC31" s="81" t="s">
        <v>373</v>
      </c>
      <c r="BD31" s="81" t="s">
        <v>407</v>
      </c>
      <c r="BE31" s="166">
        <v>958</v>
      </c>
      <c r="BF31" s="166">
        <v>7.5</v>
      </c>
      <c r="BG31" s="81">
        <v>127.81</v>
      </c>
      <c r="BH31" s="81" t="s">
        <v>384</v>
      </c>
      <c r="BI31" s="81" t="s">
        <v>385</v>
      </c>
      <c r="BL31" s="167" t="s">
        <v>314</v>
      </c>
      <c r="BM31" s="167" t="s">
        <v>315</v>
      </c>
      <c r="BN31" s="167" t="s">
        <v>340</v>
      </c>
      <c r="BO31" s="168" t="s">
        <v>318</v>
      </c>
      <c r="BP31" s="161">
        <f t="shared" ref="BP31:BP32" si="25">BE58</f>
        <v>78400000</v>
      </c>
      <c r="BQ31" s="167" t="s">
        <v>317</v>
      </c>
      <c r="BS31" s="81" t="s">
        <v>373</v>
      </c>
      <c r="BT31" s="81" t="s">
        <v>407</v>
      </c>
      <c r="BU31" s="166">
        <v>504</v>
      </c>
      <c r="BV31" s="166">
        <v>1.76</v>
      </c>
      <c r="BW31" s="81">
        <v>287.24</v>
      </c>
      <c r="BX31" s="81" t="s">
        <v>420</v>
      </c>
      <c r="BY31" s="166">
        <v>2E-16</v>
      </c>
      <c r="BZ31" s="81" t="s">
        <v>385</v>
      </c>
      <c r="CA31" s="167" t="s">
        <v>314</v>
      </c>
      <c r="CB31" s="167" t="s">
        <v>315</v>
      </c>
      <c r="CC31" s="167" t="s">
        <v>341</v>
      </c>
      <c r="CD31" s="168" t="s">
        <v>318</v>
      </c>
      <c r="CE31" s="161">
        <f>BU59</f>
        <v>46000000</v>
      </c>
      <c r="CF31" s="167" t="s">
        <v>317</v>
      </c>
      <c r="CI31" s="81" t="s">
        <v>341</v>
      </c>
      <c r="CJ31" s="241">
        <f t="shared" si="1"/>
        <v>5403923.364000001</v>
      </c>
      <c r="CK31" s="241">
        <f t="shared" si="2"/>
        <v>12500000</v>
      </c>
      <c r="CL31" s="241">
        <f t="shared" si="3"/>
        <v>46000000</v>
      </c>
      <c r="CO31" s="243" t="s">
        <v>373</v>
      </c>
      <c r="CP31" s="243" t="s">
        <v>303</v>
      </c>
      <c r="CQ31" s="244">
        <v>3700000</v>
      </c>
      <c r="CR31" s="244">
        <v>65500</v>
      </c>
      <c r="CS31" s="243">
        <v>56.55</v>
      </c>
      <c r="CT31" s="244" t="s">
        <v>420</v>
      </c>
      <c r="CU31" s="244">
        <v>2E-16</v>
      </c>
      <c r="CV31" s="81" t="s">
        <v>385</v>
      </c>
      <c r="CY31" s="246"/>
      <c r="DC31" s="169"/>
      <c r="DD31" s="169"/>
      <c r="DE31" s="258"/>
      <c r="DF31" s="169"/>
      <c r="DG31" s="169"/>
    </row>
    <row r="32" spans="2:111" ht="15" customHeight="1" thickTop="1" thickBot="1" x14ac:dyDescent="0.3">
      <c r="L32" s="81"/>
      <c r="M32" s="81"/>
      <c r="N32" s="81"/>
      <c r="Q32" s="81"/>
      <c r="R32" s="81">
        <f>H4*Z37</f>
        <v>19.364000000000001</v>
      </c>
      <c r="X32" s="187"/>
      <c r="Y32" s="174" t="s">
        <v>80</v>
      </c>
      <c r="Z32" s="174">
        <v>0.02</v>
      </c>
      <c r="AA32" s="174">
        <v>0.6</v>
      </c>
      <c r="AB32" s="174">
        <v>975</v>
      </c>
      <c r="AC32" s="174">
        <v>840</v>
      </c>
      <c r="AD32" s="229">
        <f>Z32/AA32</f>
        <v>3.3333333333333333E-2</v>
      </c>
      <c r="AE32" s="192">
        <f>Z32*AB32*AC32</f>
        <v>16380</v>
      </c>
      <c r="AF32" s="222"/>
      <c r="AG32" s="222"/>
      <c r="AH32" s="222"/>
      <c r="AM32" s="158" t="s">
        <v>314</v>
      </c>
      <c r="AN32" s="81" t="s">
        <v>315</v>
      </c>
      <c r="AO32" s="81" t="s">
        <v>341</v>
      </c>
      <c r="AP32" s="166">
        <f>SUM(U28,U31)</f>
        <v>5403923.364000001</v>
      </c>
      <c r="AQ32" s="81" t="s">
        <v>317</v>
      </c>
      <c r="AR32" s="166">
        <v>4590824</v>
      </c>
      <c r="AV32" s="167" t="s">
        <v>314</v>
      </c>
      <c r="AW32" s="167" t="s">
        <v>315</v>
      </c>
      <c r="AX32" s="167" t="s">
        <v>341</v>
      </c>
      <c r="AY32" s="168" t="s">
        <v>318</v>
      </c>
      <c r="AZ32" s="161">
        <f t="shared" si="24"/>
        <v>5403923.364000001</v>
      </c>
      <c r="BA32" s="167" t="s">
        <v>317</v>
      </c>
      <c r="BC32" s="81" t="s">
        <v>373</v>
      </c>
      <c r="BD32" s="81" t="s">
        <v>408</v>
      </c>
      <c r="BE32" s="166">
        <v>737</v>
      </c>
      <c r="BF32" s="166">
        <v>8.3800000000000008</v>
      </c>
      <c r="BG32" s="81">
        <v>87.98</v>
      </c>
      <c r="BH32" s="81" t="s">
        <v>384</v>
      </c>
      <c r="BI32" s="81" t="s">
        <v>385</v>
      </c>
      <c r="BL32" s="167" t="s">
        <v>314</v>
      </c>
      <c r="BM32" s="167" t="s">
        <v>315</v>
      </c>
      <c r="BN32" s="167" t="s">
        <v>341</v>
      </c>
      <c r="BO32" s="168" t="s">
        <v>318</v>
      </c>
      <c r="BP32" s="161">
        <f t="shared" si="25"/>
        <v>12500000</v>
      </c>
      <c r="BQ32" s="167" t="s">
        <v>317</v>
      </c>
      <c r="BS32" s="81" t="s">
        <v>373</v>
      </c>
      <c r="BT32" s="81" t="s">
        <v>408</v>
      </c>
      <c r="BU32" s="166">
        <v>196</v>
      </c>
      <c r="BV32" s="166">
        <v>0.8</v>
      </c>
      <c r="BW32" s="81">
        <v>245.27</v>
      </c>
      <c r="BX32" s="81" t="s">
        <v>420</v>
      </c>
      <c r="BY32" s="166">
        <v>2E-16</v>
      </c>
      <c r="BZ32" s="81" t="s">
        <v>385</v>
      </c>
      <c r="CA32" s="167" t="s">
        <v>314</v>
      </c>
      <c r="CB32" s="167" t="s">
        <v>315</v>
      </c>
      <c r="CC32" s="167" t="s">
        <v>342</v>
      </c>
      <c r="CD32" s="168" t="s">
        <v>318</v>
      </c>
      <c r="CE32" s="161">
        <f>BU64</f>
        <v>0.16</v>
      </c>
      <c r="CF32" s="167" t="s">
        <v>317</v>
      </c>
      <c r="CI32" s="81" t="s">
        <v>342</v>
      </c>
      <c r="CJ32" s="239">
        <f t="shared" si="1"/>
        <v>9.1825759657266817E-2</v>
      </c>
      <c r="CK32" s="239">
        <f t="shared" si="2"/>
        <v>1.6E-2</v>
      </c>
      <c r="CL32" s="239">
        <f t="shared" si="3"/>
        <v>0.16</v>
      </c>
      <c r="CO32" s="243" t="s">
        <v>373</v>
      </c>
      <c r="CP32" s="243" t="s">
        <v>299</v>
      </c>
      <c r="CQ32" s="244">
        <v>9810000000</v>
      </c>
      <c r="CR32" s="244">
        <v>1840000000</v>
      </c>
      <c r="CS32" s="243">
        <v>5.32</v>
      </c>
      <c r="CT32" s="244">
        <v>9.9999999999999995E-8</v>
      </c>
      <c r="CU32" s="243" t="s">
        <v>385</v>
      </c>
      <c r="CW32" s="245" t="s">
        <v>460</v>
      </c>
      <c r="CX32" s="249" t="s">
        <v>330</v>
      </c>
      <c r="CY32" s="246" t="s">
        <v>318</v>
      </c>
      <c r="CZ32" s="247">
        <f>CQ46</f>
        <v>535</v>
      </c>
      <c r="DA32" s="245" t="s">
        <v>317</v>
      </c>
      <c r="DB32" s="166"/>
      <c r="DC32" s="169" t="s">
        <v>460</v>
      </c>
      <c r="DD32" s="260" t="s">
        <v>330</v>
      </c>
      <c r="DE32" s="258" t="s">
        <v>318</v>
      </c>
      <c r="DF32" s="169">
        <f>$AP19</f>
        <v>740.3452346938775</v>
      </c>
      <c r="DG32" s="169" t="s">
        <v>317</v>
      </c>
    </row>
    <row r="33" spans="2:111" ht="15" customHeight="1" thickTop="1" thickBot="1" x14ac:dyDescent="0.3">
      <c r="B33" s="72" t="s">
        <v>109</v>
      </c>
      <c r="C33" s="72" t="s">
        <v>110</v>
      </c>
      <c r="D33" s="72"/>
      <c r="E33" s="72" t="s">
        <v>111</v>
      </c>
      <c r="F33" s="274" t="s">
        <v>112</v>
      </c>
      <c r="G33" s="274"/>
      <c r="H33" s="72" t="s">
        <v>113</v>
      </c>
      <c r="L33" s="81"/>
      <c r="M33" s="81"/>
      <c r="N33" s="81"/>
      <c r="Q33" s="81"/>
      <c r="R33" s="81"/>
      <c r="X33" s="176"/>
      <c r="Y33" s="176"/>
      <c r="Z33" s="176"/>
      <c r="AA33" s="176"/>
      <c r="AB33" s="176"/>
      <c r="AC33" s="176"/>
      <c r="AD33" s="227"/>
      <c r="AE33" s="176"/>
      <c r="AF33" s="222"/>
      <c r="AG33" s="222"/>
      <c r="AH33" s="222"/>
      <c r="AM33" s="158" t="s">
        <v>314</v>
      </c>
      <c r="AN33" s="81" t="s">
        <v>315</v>
      </c>
      <c r="AO33" s="81" t="s">
        <v>342</v>
      </c>
      <c r="AP33" s="81">
        <f>AP26*0.2</f>
        <v>9.1825759657266817E-2</v>
      </c>
      <c r="AQ33" s="81" t="s">
        <v>317</v>
      </c>
      <c r="AR33" s="166">
        <v>0.1616958</v>
      </c>
      <c r="AV33" s="167" t="s">
        <v>314</v>
      </c>
      <c r="AW33" s="167" t="s">
        <v>315</v>
      </c>
      <c r="AX33" s="167" t="s">
        <v>342</v>
      </c>
      <c r="AY33" s="168" t="s">
        <v>318</v>
      </c>
      <c r="AZ33" s="161">
        <f t="shared" si="24"/>
        <v>9.1825759657266817E-2</v>
      </c>
      <c r="BA33" s="167" t="s">
        <v>317</v>
      </c>
      <c r="BC33" s="81" t="s">
        <v>373</v>
      </c>
      <c r="BD33" s="81" t="s">
        <v>290</v>
      </c>
      <c r="BE33" s="166">
        <v>2190</v>
      </c>
      <c r="BF33" s="166">
        <v>10.6</v>
      </c>
      <c r="BG33" s="81">
        <v>207.31</v>
      </c>
      <c r="BH33" s="81" t="s">
        <v>384</v>
      </c>
      <c r="BI33" s="81" t="s">
        <v>385</v>
      </c>
      <c r="BL33" s="167" t="s">
        <v>314</v>
      </c>
      <c r="BM33" s="167" t="s">
        <v>315</v>
      </c>
      <c r="BN33" s="167" t="s">
        <v>342</v>
      </c>
      <c r="BO33" s="168" t="s">
        <v>318</v>
      </c>
      <c r="BP33" s="161">
        <f>BE64</f>
        <v>1.6E-2</v>
      </c>
      <c r="BQ33" s="167" t="s">
        <v>317</v>
      </c>
      <c r="BS33" s="81" t="s">
        <v>373</v>
      </c>
      <c r="BT33" s="81" t="s">
        <v>290</v>
      </c>
      <c r="BU33" s="166">
        <v>663</v>
      </c>
      <c r="BV33" s="166">
        <v>3.82</v>
      </c>
      <c r="BW33" s="81">
        <v>173.62</v>
      </c>
      <c r="BX33" s="81" t="s">
        <v>420</v>
      </c>
      <c r="BY33" s="166">
        <v>2E-16</v>
      </c>
      <c r="BZ33" s="81" t="s">
        <v>385</v>
      </c>
      <c r="CA33" s="167" t="s">
        <v>314</v>
      </c>
      <c r="CB33" s="167" t="s">
        <v>315</v>
      </c>
      <c r="CC33" s="167" t="s">
        <v>343</v>
      </c>
      <c r="CD33" s="168" t="s">
        <v>318</v>
      </c>
      <c r="CE33" s="161">
        <f>BU65</f>
        <v>5.7200000000000001E-2</v>
      </c>
      <c r="CF33" s="167" t="s">
        <v>317</v>
      </c>
      <c r="CI33" s="81" t="s">
        <v>343</v>
      </c>
      <c r="CJ33" s="239">
        <f t="shared" si="1"/>
        <v>3.3963263534726576E-2</v>
      </c>
      <c r="CK33" s="239">
        <f t="shared" si="2"/>
        <v>4.2999999999999997E-2</v>
      </c>
      <c r="CL33" s="239">
        <f t="shared" si="3"/>
        <v>5.7200000000000001E-2</v>
      </c>
      <c r="CO33" s="243" t="s">
        <v>373</v>
      </c>
      <c r="CP33" s="243" t="s">
        <v>395</v>
      </c>
      <c r="CQ33" s="244">
        <v>2200000</v>
      </c>
      <c r="CR33" s="244">
        <v>9390</v>
      </c>
      <c r="CS33" s="243">
        <v>234.64</v>
      </c>
      <c r="CT33" s="243" t="s">
        <v>420</v>
      </c>
      <c r="CU33" s="244">
        <v>2E-16</v>
      </c>
      <c r="CV33" s="81" t="s">
        <v>385</v>
      </c>
      <c r="CW33" s="245" t="s">
        <v>460</v>
      </c>
      <c r="CX33" s="249" t="s">
        <v>331</v>
      </c>
      <c r="CY33" s="246" t="s">
        <v>318</v>
      </c>
      <c r="CZ33" s="247">
        <f t="shared" ref="CZ33:CZ35" si="26">CQ47</f>
        <v>223</v>
      </c>
      <c r="DA33" s="245" t="s">
        <v>317</v>
      </c>
      <c r="DC33" s="169" t="s">
        <v>460</v>
      </c>
      <c r="DD33" s="260" t="s">
        <v>331</v>
      </c>
      <c r="DE33" s="258" t="s">
        <v>318</v>
      </c>
      <c r="DF33" s="169">
        <f>$AP20</f>
        <v>279.2376237623763</v>
      </c>
      <c r="DG33" s="169" t="s">
        <v>317</v>
      </c>
    </row>
    <row r="34" spans="2:111" ht="15" customHeight="1" thickTop="1" thickBot="1" x14ac:dyDescent="0.3">
      <c r="B34" s="73">
        <v>1</v>
      </c>
      <c r="C34" s="74">
        <f>C7*C39</f>
        <v>368.72329749103943</v>
      </c>
      <c r="D34" s="73"/>
      <c r="E34" s="73" t="s">
        <v>42</v>
      </c>
      <c r="F34" s="275">
        <v>21</v>
      </c>
      <c r="G34" s="275"/>
      <c r="H34" s="76">
        <f>VLOOKUP(E34,B6:C22,2,0)</f>
        <v>134.30000000000001</v>
      </c>
      <c r="L34" s="81"/>
      <c r="M34" s="81"/>
      <c r="N34" s="81"/>
      <c r="Q34" s="81"/>
      <c r="R34" s="81"/>
      <c r="Z34" s="221" t="s">
        <v>4</v>
      </c>
      <c r="AA34" s="221">
        <v>5</v>
      </c>
      <c r="AB34" s="221" t="s">
        <v>5</v>
      </c>
      <c r="AF34" s="222"/>
      <c r="AG34" s="222"/>
      <c r="AH34" s="222"/>
      <c r="AM34" s="158" t="s">
        <v>314</v>
      </c>
      <c r="AN34" s="81" t="s">
        <v>315</v>
      </c>
      <c r="AO34" s="81" t="s">
        <v>343</v>
      </c>
      <c r="AP34" s="81">
        <f>AP27*0.2</f>
        <v>3.3963263534726576E-2</v>
      </c>
      <c r="AQ34" s="81" t="s">
        <v>317</v>
      </c>
      <c r="AR34" s="81" t="s">
        <v>344</v>
      </c>
      <c r="AV34" s="167" t="s">
        <v>314</v>
      </c>
      <c r="AW34" s="167" t="s">
        <v>315</v>
      </c>
      <c r="AX34" s="167" t="s">
        <v>343</v>
      </c>
      <c r="AY34" s="168" t="s">
        <v>318</v>
      </c>
      <c r="AZ34" s="161">
        <f t="shared" si="24"/>
        <v>3.3963263534726576E-2</v>
      </c>
      <c r="BA34" s="167" t="s">
        <v>317</v>
      </c>
      <c r="BC34" s="81" t="s">
        <v>373</v>
      </c>
      <c r="BD34" s="81" t="s">
        <v>120</v>
      </c>
      <c r="BE34" s="166">
        <v>251</v>
      </c>
      <c r="BF34" s="166">
        <v>1.35</v>
      </c>
      <c r="BG34" s="81">
        <v>186.02</v>
      </c>
      <c r="BH34" s="81" t="s">
        <v>384</v>
      </c>
      <c r="BI34" s="81" t="s">
        <v>385</v>
      </c>
      <c r="BL34" s="167" t="s">
        <v>314</v>
      </c>
      <c r="BM34" s="167" t="s">
        <v>315</v>
      </c>
      <c r="BN34" s="167" t="s">
        <v>343</v>
      </c>
      <c r="BO34" s="168" t="s">
        <v>318</v>
      </c>
      <c r="BP34" s="161">
        <f t="shared" ref="BP34:BP35" si="27">BE65</f>
        <v>4.2999999999999997E-2</v>
      </c>
      <c r="BQ34" s="167" t="s">
        <v>317</v>
      </c>
      <c r="BS34" s="81" t="s">
        <v>373</v>
      </c>
      <c r="BT34" s="81" t="s">
        <v>120</v>
      </c>
      <c r="BU34" s="166">
        <v>308</v>
      </c>
      <c r="BV34" s="166">
        <v>5.59</v>
      </c>
      <c r="BW34" s="81">
        <v>55.08</v>
      </c>
      <c r="BX34" s="81" t="s">
        <v>420</v>
      </c>
      <c r="BY34" s="166">
        <v>2E-16</v>
      </c>
      <c r="BZ34" s="81" t="s">
        <v>385</v>
      </c>
      <c r="CA34" s="167" t="s">
        <v>314</v>
      </c>
      <c r="CB34" s="167" t="s">
        <v>315</v>
      </c>
      <c r="CC34" s="167" t="s">
        <v>345</v>
      </c>
      <c r="CD34" s="168" t="s">
        <v>318</v>
      </c>
      <c r="CE34" s="161">
        <f>BU66</f>
        <v>0.38300000000000001</v>
      </c>
      <c r="CF34" s="167" t="s">
        <v>317</v>
      </c>
      <c r="CI34" s="81" t="s">
        <v>345</v>
      </c>
      <c r="CJ34" s="239">
        <f t="shared" si="1"/>
        <v>0.80584010997928801</v>
      </c>
      <c r="CK34" s="239">
        <f t="shared" si="2"/>
        <v>0.73</v>
      </c>
      <c r="CL34" s="239">
        <f t="shared" si="3"/>
        <v>0.38300000000000001</v>
      </c>
      <c r="CO34" s="243" t="s">
        <v>373</v>
      </c>
      <c r="CP34" s="243" t="s">
        <v>296</v>
      </c>
      <c r="CQ34" s="244">
        <v>80100000</v>
      </c>
      <c r="CR34" s="244">
        <v>1390000</v>
      </c>
      <c r="CS34" s="243">
        <v>57.63</v>
      </c>
      <c r="CT34" s="243" t="s">
        <v>420</v>
      </c>
      <c r="CU34" s="244">
        <v>2E-16</v>
      </c>
      <c r="CV34" s="81" t="s">
        <v>385</v>
      </c>
      <c r="CW34" s="245" t="s">
        <v>460</v>
      </c>
      <c r="CX34" s="250" t="s">
        <v>332</v>
      </c>
      <c r="CY34" s="246" t="s">
        <v>318</v>
      </c>
      <c r="CZ34" s="247">
        <f t="shared" si="26"/>
        <v>841</v>
      </c>
      <c r="DA34" s="245" t="s">
        <v>317</v>
      </c>
      <c r="DC34" s="169" t="s">
        <v>460</v>
      </c>
      <c r="DD34" s="261" t="s">
        <v>332</v>
      </c>
      <c r="DE34" s="258" t="s">
        <v>318</v>
      </c>
      <c r="DF34" s="169">
        <f>$AP21</f>
        <v>584.84952709359618</v>
      </c>
      <c r="DG34" s="169" t="s">
        <v>317</v>
      </c>
    </row>
    <row r="35" spans="2:111" ht="15" customHeight="1" thickTop="1" thickBot="1" x14ac:dyDescent="0.3">
      <c r="B35" s="73">
        <v>2</v>
      </c>
      <c r="C35" s="74">
        <f>C4-C34</f>
        <v>397.27670250896057</v>
      </c>
      <c r="D35" s="73"/>
      <c r="E35" s="73" t="s">
        <v>116</v>
      </c>
      <c r="F35" s="77">
        <v>18</v>
      </c>
      <c r="G35" s="77"/>
      <c r="H35" s="76">
        <f>VLOOKUP(E35,B7:C23,2,0)</f>
        <v>144.69999999999999</v>
      </c>
      <c r="L35" s="81"/>
      <c r="M35" s="81"/>
      <c r="N35" s="81" t="s">
        <v>114</v>
      </c>
      <c r="O35" s="152">
        <f>SUM(R6:R9,R15,R17:R20,R25)</f>
        <v>606.8614849389885</v>
      </c>
      <c r="P35" s="152"/>
      <c r="Q35" s="81"/>
      <c r="R35" s="81"/>
      <c r="X35" s="216" t="s">
        <v>115</v>
      </c>
      <c r="Y35" s="217"/>
      <c r="Z35" s="218" t="s">
        <v>21</v>
      </c>
      <c r="AA35" s="200">
        <v>2</v>
      </c>
      <c r="AB35" s="217" t="s">
        <v>5</v>
      </c>
      <c r="AC35" s="217"/>
      <c r="AD35" s="217" t="s">
        <v>22</v>
      </c>
      <c r="AE35" s="220">
        <f>SUM(AE36:AE37)</f>
        <v>0</v>
      </c>
      <c r="AF35" s="222" t="s">
        <v>23</v>
      </c>
      <c r="AG35" s="222">
        <f>SUM(AE37:AE38)</f>
        <v>0</v>
      </c>
      <c r="AH35" s="222"/>
      <c r="AM35" s="158" t="s">
        <v>314</v>
      </c>
      <c r="AN35" s="81" t="s">
        <v>315</v>
      </c>
      <c r="AO35" s="81" t="s">
        <v>345</v>
      </c>
      <c r="AP35" s="81">
        <f>AP28*0.2+0.8</f>
        <v>0.80584010997928801</v>
      </c>
      <c r="AQ35" s="81" t="s">
        <v>317</v>
      </c>
      <c r="AR35" s="81" t="s">
        <v>346</v>
      </c>
      <c r="AV35" s="167" t="s">
        <v>314</v>
      </c>
      <c r="AW35" s="167" t="s">
        <v>315</v>
      </c>
      <c r="AX35" s="167" t="s">
        <v>345</v>
      </c>
      <c r="AY35" s="168" t="s">
        <v>318</v>
      </c>
      <c r="AZ35" s="161">
        <f t="shared" si="24"/>
        <v>0.80584010997928801</v>
      </c>
      <c r="BA35" s="167" t="s">
        <v>317</v>
      </c>
      <c r="BC35" s="81" t="s">
        <v>373</v>
      </c>
      <c r="BD35" s="81" t="s">
        <v>409</v>
      </c>
      <c r="BE35" s="166">
        <v>-5.48</v>
      </c>
      <c r="BF35" s="166">
        <v>2.2200000000000001E-2</v>
      </c>
      <c r="BG35" s="81">
        <v>-247.15</v>
      </c>
      <c r="BH35" s="81" t="s">
        <v>384</v>
      </c>
      <c r="BI35" s="81" t="s">
        <v>385</v>
      </c>
      <c r="BL35" s="167" t="s">
        <v>314</v>
      </c>
      <c r="BM35" s="167" t="s">
        <v>315</v>
      </c>
      <c r="BN35" s="167" t="s">
        <v>345</v>
      </c>
      <c r="BO35" s="168" t="s">
        <v>318</v>
      </c>
      <c r="BP35" s="161">
        <f t="shared" si="27"/>
        <v>0.73</v>
      </c>
      <c r="BQ35" s="167" t="s">
        <v>317</v>
      </c>
      <c r="BS35" s="81" t="s">
        <v>373</v>
      </c>
      <c r="BT35" s="81" t="s">
        <v>409</v>
      </c>
      <c r="BU35" s="166">
        <v>-4.75</v>
      </c>
      <c r="BV35" s="166">
        <v>1.5100000000000001E-2</v>
      </c>
      <c r="BW35" s="81">
        <v>-314.60000000000002</v>
      </c>
      <c r="BX35" s="81" t="s">
        <v>420</v>
      </c>
      <c r="BY35" s="166">
        <v>2E-16</v>
      </c>
      <c r="BZ35" s="81" t="s">
        <v>385</v>
      </c>
      <c r="CA35" s="167"/>
      <c r="CB35" s="167"/>
      <c r="CC35" s="167"/>
      <c r="CD35" s="168"/>
      <c r="CE35" s="161"/>
      <c r="CF35" s="167"/>
      <c r="CJ35" s="240"/>
      <c r="CK35" s="240"/>
      <c r="CL35" s="240"/>
      <c r="CO35" s="243" t="s">
        <v>373</v>
      </c>
      <c r="CP35" s="243" t="s">
        <v>298</v>
      </c>
      <c r="CQ35" s="244">
        <v>24300000</v>
      </c>
      <c r="CR35" s="244">
        <v>194000</v>
      </c>
      <c r="CS35" s="243">
        <v>124.85</v>
      </c>
      <c r="CT35" s="243" t="s">
        <v>420</v>
      </c>
      <c r="CU35" s="244">
        <v>2E-16</v>
      </c>
      <c r="CV35" s="81" t="s">
        <v>385</v>
      </c>
      <c r="CW35" s="245" t="s">
        <v>460</v>
      </c>
      <c r="CX35" s="250" t="s">
        <v>333</v>
      </c>
      <c r="CY35" s="246" t="s">
        <v>318</v>
      </c>
      <c r="CZ35" s="247">
        <f t="shared" si="26"/>
        <v>99.1</v>
      </c>
      <c r="DA35" s="245" t="s">
        <v>317</v>
      </c>
      <c r="DC35" s="169" t="s">
        <v>460</v>
      </c>
      <c r="DD35" s="261" t="s">
        <v>333</v>
      </c>
      <c r="DE35" s="258" t="s">
        <v>318</v>
      </c>
      <c r="DF35" s="263">
        <f>$AP22</f>
        <v>125.10007569892474</v>
      </c>
      <c r="DG35" s="169" t="s">
        <v>317</v>
      </c>
    </row>
    <row r="36" spans="2:111" ht="15" customHeight="1" thickTop="1" thickBot="1" x14ac:dyDescent="0.3">
      <c r="B36" s="73">
        <v>3</v>
      </c>
      <c r="C36" s="74">
        <f>H36*2</f>
        <v>0</v>
      </c>
      <c r="D36" s="73"/>
      <c r="E36" s="73" t="s">
        <v>118</v>
      </c>
      <c r="F36" s="276" t="s">
        <v>119</v>
      </c>
      <c r="G36" s="276"/>
      <c r="H36" s="76">
        <f>C17</f>
        <v>0</v>
      </c>
      <c r="L36" s="81"/>
      <c r="M36" s="81"/>
      <c r="N36" s="81" t="s">
        <v>117</v>
      </c>
      <c r="O36" s="152">
        <f>SUM(R10:R13,R21:R24)</f>
        <v>82.4</v>
      </c>
      <c r="Q36" s="81"/>
      <c r="R36" s="81"/>
      <c r="X36" s="181"/>
      <c r="Y36" s="182" t="s">
        <v>435</v>
      </c>
      <c r="Z36" s="182">
        <v>1.361</v>
      </c>
      <c r="AA36" s="182" t="s">
        <v>5</v>
      </c>
      <c r="AB36" s="182"/>
      <c r="AC36" s="182"/>
      <c r="AD36" s="182">
        <f>(AA35-(1-AD37)*Z36)/AD37</f>
        <v>3.9169999999999998</v>
      </c>
      <c r="AE36" s="233"/>
      <c r="AF36" s="222"/>
      <c r="AG36" s="222"/>
      <c r="AH36" s="222"/>
      <c r="AQ36" s="81" t="s">
        <v>317</v>
      </c>
      <c r="AV36" s="167"/>
      <c r="AW36" s="167"/>
      <c r="AX36" s="167"/>
      <c r="AY36" s="168"/>
      <c r="BA36" s="167"/>
      <c r="BC36" s="81" t="s">
        <v>373</v>
      </c>
      <c r="BD36" s="81" t="s">
        <v>410</v>
      </c>
      <c r="BE36" s="166">
        <v>-6.58</v>
      </c>
      <c r="BF36" s="166">
        <v>2.1499999999999998E-2</v>
      </c>
      <c r="BG36" s="81">
        <v>-306.32</v>
      </c>
      <c r="BH36" s="81" t="s">
        <v>384</v>
      </c>
      <c r="BI36" s="81" t="s">
        <v>385</v>
      </c>
      <c r="BL36" s="167"/>
      <c r="BM36" s="167"/>
      <c r="BN36" s="167"/>
      <c r="BO36" s="168"/>
      <c r="BP36" s="161"/>
      <c r="BQ36" s="167"/>
      <c r="BS36" s="81" t="s">
        <v>373</v>
      </c>
      <c r="BT36" s="81" t="s">
        <v>410</v>
      </c>
      <c r="BU36" s="166">
        <v>-6.42</v>
      </c>
      <c r="BV36" s="166">
        <v>1.5100000000000001E-2</v>
      </c>
      <c r="BW36" s="81">
        <v>-424.59</v>
      </c>
      <c r="BX36" s="81" t="s">
        <v>420</v>
      </c>
      <c r="BY36" s="166">
        <v>2E-16</v>
      </c>
      <c r="BZ36" s="81" t="s">
        <v>385</v>
      </c>
      <c r="CA36" s="167" t="s">
        <v>314</v>
      </c>
      <c r="CB36" s="167" t="s">
        <v>315</v>
      </c>
      <c r="CC36" s="167" t="s">
        <v>347</v>
      </c>
      <c r="CD36" s="168" t="s">
        <v>318</v>
      </c>
      <c r="CE36" s="161">
        <f>BU68</f>
        <v>332</v>
      </c>
      <c r="CF36" s="167" t="s">
        <v>317</v>
      </c>
      <c r="CI36" s="81" t="s">
        <v>347</v>
      </c>
      <c r="CJ36" s="242">
        <f t="shared" si="1"/>
        <v>404.72290727889629</v>
      </c>
      <c r="CK36" s="242">
        <f t="shared" si="2"/>
        <v>1350</v>
      </c>
      <c r="CL36" s="242">
        <f t="shared" si="3"/>
        <v>332</v>
      </c>
      <c r="CO36" s="243" t="s">
        <v>373</v>
      </c>
      <c r="CP36" s="243" t="s">
        <v>396</v>
      </c>
      <c r="CQ36" s="244">
        <v>-31</v>
      </c>
      <c r="CR36" s="244">
        <v>164</v>
      </c>
      <c r="CS36" s="243">
        <v>-0.19</v>
      </c>
      <c r="CT36" s="243">
        <v>0.85009999999999997</v>
      </c>
      <c r="CU36" s="244"/>
      <c r="CW36" s="245" t="s">
        <v>460</v>
      </c>
      <c r="CX36" s="251" t="s">
        <v>335</v>
      </c>
      <c r="CY36" s="246" t="s">
        <v>318</v>
      </c>
      <c r="CZ36" s="247">
        <f>CQ58</f>
        <v>9.7999999999999997E-3</v>
      </c>
      <c r="DA36" s="245" t="s">
        <v>317</v>
      </c>
      <c r="DC36" s="169" t="s">
        <v>460</v>
      </c>
      <c r="DD36" s="264" t="s">
        <v>335</v>
      </c>
      <c r="DE36" s="258" t="s">
        <v>318</v>
      </c>
      <c r="DF36" s="169">
        <f>$AP24</f>
        <v>121.30322580645162</v>
      </c>
      <c r="DG36" s="169" t="s">
        <v>317</v>
      </c>
    </row>
    <row r="37" spans="2:111" ht="15" customHeight="1" thickTop="1" thickBot="1" x14ac:dyDescent="0.3">
      <c r="L37" s="81"/>
      <c r="M37" s="81"/>
      <c r="N37" s="81" t="s">
        <v>120</v>
      </c>
      <c r="O37" s="152">
        <f>'Verwarming Tabula'!B60</f>
        <v>138.03320000000002</v>
      </c>
      <c r="Q37" s="81"/>
      <c r="R37" s="81"/>
      <c r="X37" s="187"/>
      <c r="Y37" s="174" t="s">
        <v>436</v>
      </c>
      <c r="Z37" s="174">
        <v>0.47</v>
      </c>
      <c r="AA37" s="174"/>
      <c r="AB37" s="174"/>
      <c r="AC37" s="174"/>
      <c r="AD37" s="174">
        <v>0.25</v>
      </c>
      <c r="AE37" s="192"/>
      <c r="AF37" s="228" t="s">
        <v>274</v>
      </c>
      <c r="AG37" s="222"/>
      <c r="AH37" s="222"/>
      <c r="AM37" s="158" t="s">
        <v>314</v>
      </c>
      <c r="AN37" s="81" t="s">
        <v>315</v>
      </c>
      <c r="AO37" s="81" t="s">
        <v>347</v>
      </c>
      <c r="AP37" s="81">
        <f>SUM(O17:O20)*(1/(SUM(AD18:AD19)*0.5+1/4))+O25*(1/(SUM(AD10:AD11)+1/4))</f>
        <v>404.72290727889629</v>
      </c>
      <c r="AQ37" s="81" t="s">
        <v>317</v>
      </c>
      <c r="AR37" s="81" t="s">
        <v>348</v>
      </c>
      <c r="AV37" s="167" t="s">
        <v>314</v>
      </c>
      <c r="AW37" s="167" t="s">
        <v>315</v>
      </c>
      <c r="AX37" s="167" t="s">
        <v>347</v>
      </c>
      <c r="AY37" s="168" t="s">
        <v>318</v>
      </c>
      <c r="AZ37" s="161">
        <f>AP37</f>
        <v>404.72290727889629</v>
      </c>
      <c r="BA37" s="167" t="s">
        <v>317</v>
      </c>
      <c r="BC37" s="81" t="s">
        <v>373</v>
      </c>
      <c r="BD37" s="81" t="s">
        <v>411</v>
      </c>
      <c r="BE37" s="166">
        <v>-9.25</v>
      </c>
      <c r="BF37" s="166">
        <v>0.191</v>
      </c>
      <c r="BG37" s="81">
        <v>-48.52</v>
      </c>
      <c r="BH37" s="81" t="s">
        <v>384</v>
      </c>
      <c r="BI37" s="81" t="s">
        <v>385</v>
      </c>
      <c r="BL37" s="167" t="s">
        <v>314</v>
      </c>
      <c r="BM37" s="167" t="s">
        <v>315</v>
      </c>
      <c r="BN37" s="167" t="s">
        <v>347</v>
      </c>
      <c r="BO37" s="168" t="s">
        <v>318</v>
      </c>
      <c r="BP37" s="161">
        <f>BE68</f>
        <v>1350</v>
      </c>
      <c r="BQ37" s="167" t="s">
        <v>317</v>
      </c>
      <c r="BS37" s="81" t="s">
        <v>373</v>
      </c>
      <c r="BT37" s="81" t="s">
        <v>411</v>
      </c>
      <c r="BU37" s="166">
        <v>-6</v>
      </c>
      <c r="BV37" s="166">
        <v>2.0899999999999998E-2</v>
      </c>
      <c r="BW37" s="81">
        <v>-287.83</v>
      </c>
      <c r="BX37" s="81" t="s">
        <v>420</v>
      </c>
      <c r="BY37" s="166">
        <v>2E-16</v>
      </c>
      <c r="BZ37" s="81" t="s">
        <v>385</v>
      </c>
      <c r="CA37" s="167" t="s">
        <v>314</v>
      </c>
      <c r="CB37" s="167" t="s">
        <v>315</v>
      </c>
      <c r="CC37" s="167" t="s">
        <v>349</v>
      </c>
      <c r="CD37" s="168" t="s">
        <v>318</v>
      </c>
      <c r="CE37" s="161">
        <f>BU69</f>
        <v>128</v>
      </c>
      <c r="CF37" s="167" t="s">
        <v>317</v>
      </c>
      <c r="CI37" s="81" t="s">
        <v>349</v>
      </c>
      <c r="CJ37" s="242">
        <f t="shared" si="1"/>
        <v>95.603674876847322</v>
      </c>
      <c r="CK37" s="242">
        <f t="shared" si="2"/>
        <v>372</v>
      </c>
      <c r="CL37" s="242">
        <f t="shared" si="3"/>
        <v>128</v>
      </c>
      <c r="CO37" s="243" t="s">
        <v>373</v>
      </c>
      <c r="CP37" s="243" t="s">
        <v>397</v>
      </c>
      <c r="CQ37" s="244">
        <v>-23.7</v>
      </c>
      <c r="CR37" s="244">
        <v>241</v>
      </c>
      <c r="CS37" s="243">
        <v>-0.1</v>
      </c>
      <c r="CT37" s="244">
        <v>0.92169999999999996</v>
      </c>
      <c r="CW37" s="245" t="s">
        <v>460</v>
      </c>
      <c r="CX37" s="251" t="s">
        <v>334</v>
      </c>
      <c r="CY37" s="246" t="s">
        <v>318</v>
      </c>
      <c r="CZ37" s="247">
        <f>1/CQ55</f>
        <v>1459.8540145985403</v>
      </c>
      <c r="DA37" s="245" t="s">
        <v>317</v>
      </c>
      <c r="DC37" s="169" t="s">
        <v>460</v>
      </c>
      <c r="DD37" s="264" t="s">
        <v>334</v>
      </c>
      <c r="DE37" s="258" t="s">
        <v>318</v>
      </c>
      <c r="DF37" s="169">
        <f>$AP23</f>
        <v>1106.0402048053024</v>
      </c>
      <c r="DG37" s="169" t="s">
        <v>317</v>
      </c>
    </row>
    <row r="38" spans="2:111" ht="15" customHeight="1" thickTop="1" thickBot="1" x14ac:dyDescent="0.3">
      <c r="C38" s="152"/>
      <c r="L38" s="81"/>
      <c r="M38" s="81"/>
      <c r="N38" s="81"/>
      <c r="O38" s="152"/>
      <c r="Q38" s="81"/>
      <c r="R38" s="81"/>
      <c r="AF38" s="222"/>
      <c r="AG38" s="222"/>
      <c r="AH38" s="222"/>
      <c r="AM38" s="158" t="s">
        <v>314</v>
      </c>
      <c r="AN38" s="81" t="s">
        <v>315</v>
      </c>
      <c r="AO38" s="81" t="s">
        <v>349</v>
      </c>
      <c r="AP38" s="81">
        <f>2*AA21*O28</f>
        <v>95.603674876847322</v>
      </c>
      <c r="AQ38" s="81" t="s">
        <v>317</v>
      </c>
      <c r="AR38" s="166">
        <v>85.692350000000005</v>
      </c>
      <c r="AV38" s="167" t="s">
        <v>314</v>
      </c>
      <c r="AW38" s="167" t="s">
        <v>315</v>
      </c>
      <c r="AX38" s="167" t="s">
        <v>349</v>
      </c>
      <c r="AY38" s="168" t="s">
        <v>318</v>
      </c>
      <c r="AZ38" s="161">
        <f t="shared" ref="AZ38:AZ40" si="28">AP38</f>
        <v>95.603674876847322</v>
      </c>
      <c r="BA38" s="167" t="s">
        <v>317</v>
      </c>
      <c r="BC38" s="81" t="s">
        <v>373</v>
      </c>
      <c r="BD38" s="81" t="s">
        <v>412</v>
      </c>
      <c r="BE38" s="166">
        <v>-6.11</v>
      </c>
      <c r="BF38" s="166">
        <v>2.2200000000000001E-2</v>
      </c>
      <c r="BG38" s="81">
        <v>-275.08</v>
      </c>
      <c r="BH38" s="81" t="s">
        <v>384</v>
      </c>
      <c r="BI38" s="81" t="s">
        <v>385</v>
      </c>
      <c r="BL38" s="167" t="s">
        <v>314</v>
      </c>
      <c r="BM38" s="167" t="s">
        <v>315</v>
      </c>
      <c r="BN38" s="167" t="s">
        <v>349</v>
      </c>
      <c r="BO38" s="168" t="s">
        <v>318</v>
      </c>
      <c r="BP38" s="161">
        <f t="shared" ref="BP38:BP39" si="29">BE69</f>
        <v>372</v>
      </c>
      <c r="BQ38" s="167" t="s">
        <v>317</v>
      </c>
      <c r="BS38" s="81" t="s">
        <v>373</v>
      </c>
      <c r="BT38" s="81" t="s">
        <v>412</v>
      </c>
      <c r="BU38" s="166">
        <v>-5.18</v>
      </c>
      <c r="BV38" s="166">
        <v>1.54E-2</v>
      </c>
      <c r="BW38" s="81">
        <v>-337.17</v>
      </c>
      <c r="BX38" s="81" t="s">
        <v>420</v>
      </c>
      <c r="BY38" s="166">
        <v>2E-16</v>
      </c>
      <c r="BZ38" s="81" t="s">
        <v>385</v>
      </c>
      <c r="CA38" s="167" t="s">
        <v>314</v>
      </c>
      <c r="CB38" s="167" t="s">
        <v>315</v>
      </c>
      <c r="CC38" s="167" t="s">
        <v>350</v>
      </c>
      <c r="CD38" s="168" t="s">
        <v>318</v>
      </c>
      <c r="CE38" s="161">
        <f>BU70</f>
        <v>1.3200000000000001E-4</v>
      </c>
      <c r="CF38" s="167" t="s">
        <v>317</v>
      </c>
      <c r="CI38" s="81" t="s">
        <v>350</v>
      </c>
      <c r="CJ38" s="242">
        <f t="shared" si="1"/>
        <v>24.720000000000002</v>
      </c>
      <c r="CK38" s="242">
        <f t="shared" si="2"/>
        <v>31.9</v>
      </c>
      <c r="CL38" s="242">
        <f t="shared" si="3"/>
        <v>1.3200000000000001E-4</v>
      </c>
      <c r="CO38" s="243" t="s">
        <v>373</v>
      </c>
      <c r="CP38" s="243" t="s">
        <v>399</v>
      </c>
      <c r="CQ38" s="244">
        <v>-12.8</v>
      </c>
      <c r="CR38" s="244">
        <v>97.6</v>
      </c>
      <c r="CS38" s="243">
        <v>-0.13</v>
      </c>
      <c r="CT38" s="243">
        <v>0.89570000000000005</v>
      </c>
      <c r="CU38" s="244"/>
      <c r="CW38" s="245" t="s">
        <v>460</v>
      </c>
      <c r="CX38" s="248" t="s">
        <v>326</v>
      </c>
      <c r="CY38" s="246" t="s">
        <v>318</v>
      </c>
      <c r="CZ38" s="247">
        <f>CQ41</f>
        <v>6.9000000000000006E-2</v>
      </c>
      <c r="DA38" s="245" t="s">
        <v>317</v>
      </c>
      <c r="DC38" s="169" t="s">
        <v>460</v>
      </c>
      <c r="DD38" s="259" t="s">
        <v>326</v>
      </c>
      <c r="DE38" s="258" t="s">
        <v>318</v>
      </c>
      <c r="DF38" s="169">
        <f>$AP14</f>
        <v>4.5452860561226605E-2</v>
      </c>
      <c r="DG38" s="169" t="s">
        <v>317</v>
      </c>
    </row>
    <row r="39" spans="2:111" ht="15" customHeight="1" thickTop="1" thickBot="1" x14ac:dyDescent="0.3">
      <c r="C39" s="81">
        <f>C4/C6</f>
        <v>2.7455197132616487</v>
      </c>
      <c r="L39" s="81"/>
      <c r="M39" s="81"/>
      <c r="N39" s="81" t="s">
        <v>122</v>
      </c>
      <c r="O39" s="152">
        <f>C4*1.204*1012*5/1000000</f>
        <v>4.6666558399999998</v>
      </c>
      <c r="P39" s="81" t="s">
        <v>123</v>
      </c>
      <c r="R39" s="81"/>
      <c r="Z39" s="221" t="s">
        <v>4</v>
      </c>
      <c r="AA39" s="221">
        <v>0.85</v>
      </c>
      <c r="AB39" s="221" t="s">
        <v>5</v>
      </c>
      <c r="AF39" s="222"/>
      <c r="AG39" s="222"/>
      <c r="AH39" s="222"/>
      <c r="AM39" s="158" t="s">
        <v>314</v>
      </c>
      <c r="AN39" s="81" t="s">
        <v>315</v>
      </c>
      <c r="AO39" s="81" t="s">
        <v>350</v>
      </c>
      <c r="AP39" s="152">
        <f>'Verwarming Tabula 2zone Ref1'!B139+SUM(R21:R24)</f>
        <v>24.720000000000002</v>
      </c>
      <c r="AQ39" s="81" t="s">
        <v>317</v>
      </c>
      <c r="AR39" s="81" t="s">
        <v>351</v>
      </c>
      <c r="AV39" s="167" t="s">
        <v>314</v>
      </c>
      <c r="AW39" s="167" t="s">
        <v>315</v>
      </c>
      <c r="AX39" s="167" t="s">
        <v>350</v>
      </c>
      <c r="AY39" s="168" t="s">
        <v>318</v>
      </c>
      <c r="AZ39" s="161">
        <f t="shared" si="28"/>
        <v>24.720000000000002</v>
      </c>
      <c r="BA39" s="167" t="s">
        <v>317</v>
      </c>
      <c r="BC39" s="81" t="s">
        <v>373</v>
      </c>
      <c r="BD39" s="81" t="s">
        <v>413</v>
      </c>
      <c r="BE39" s="166">
        <v>-6.37</v>
      </c>
      <c r="BF39" s="166">
        <v>2.1899999999999999E-2</v>
      </c>
      <c r="BG39" s="81">
        <v>-290.83</v>
      </c>
      <c r="BH39" s="81" t="s">
        <v>384</v>
      </c>
      <c r="BI39" s="81" t="s">
        <v>385</v>
      </c>
      <c r="BL39" s="167" t="s">
        <v>314</v>
      </c>
      <c r="BM39" s="167" t="s">
        <v>315</v>
      </c>
      <c r="BN39" s="167" t="s">
        <v>350</v>
      </c>
      <c r="BO39" s="168" t="s">
        <v>318</v>
      </c>
      <c r="BP39" s="161">
        <f t="shared" si="29"/>
        <v>31.9</v>
      </c>
      <c r="BQ39" s="167" t="s">
        <v>317</v>
      </c>
      <c r="BS39" s="81" t="s">
        <v>373</v>
      </c>
      <c r="BT39" s="81" t="s">
        <v>413</v>
      </c>
      <c r="BU39" s="166">
        <v>-6.14</v>
      </c>
      <c r="BV39" s="166">
        <v>1.61E-2</v>
      </c>
      <c r="BW39" s="81">
        <v>-380.6</v>
      </c>
      <c r="BX39" s="81" t="s">
        <v>420</v>
      </c>
      <c r="BY39" s="166">
        <v>2E-16</v>
      </c>
      <c r="BZ39" s="81" t="s">
        <v>385</v>
      </c>
      <c r="CA39" s="167" t="s">
        <v>314</v>
      </c>
      <c r="CB39" s="167" t="s">
        <v>315</v>
      </c>
      <c r="CC39" s="167" t="s">
        <v>352</v>
      </c>
      <c r="CD39" s="168" t="s">
        <v>318</v>
      </c>
      <c r="CE39" s="161">
        <f>1/BU75</f>
        <v>2061.8556701030925</v>
      </c>
      <c r="CF39" s="167" t="s">
        <v>317</v>
      </c>
      <c r="CI39" s="81" t="s">
        <v>352</v>
      </c>
      <c r="CJ39" s="242">
        <f t="shared" si="1"/>
        <v>229.11946783126223</v>
      </c>
      <c r="CK39" s="242">
        <f t="shared" si="2"/>
        <v>110.74197120708749</v>
      </c>
      <c r="CL39" s="242">
        <f t="shared" si="3"/>
        <v>2061.8556701030925</v>
      </c>
      <c r="CO39" s="243" t="s">
        <v>373</v>
      </c>
      <c r="CP39" s="243" t="s">
        <v>400</v>
      </c>
      <c r="CQ39" s="244">
        <v>-13.9</v>
      </c>
      <c r="CR39" s="244">
        <v>37.299999999999997</v>
      </c>
      <c r="CS39" s="243">
        <v>-0.37</v>
      </c>
      <c r="CT39" s="243">
        <v>0.70820000000000005</v>
      </c>
      <c r="CU39" s="244"/>
      <c r="CW39" s="245" t="s">
        <v>460</v>
      </c>
      <c r="CX39" s="249" t="s">
        <v>327</v>
      </c>
      <c r="CY39" s="246" t="s">
        <v>318</v>
      </c>
      <c r="CZ39" s="247">
        <f t="shared" ref="CZ39:CZ42" si="30">CQ42</f>
        <v>0.13500000000000001</v>
      </c>
      <c r="DA39" s="245" t="s">
        <v>317</v>
      </c>
      <c r="DC39" s="169" t="s">
        <v>460</v>
      </c>
      <c r="DD39" s="260" t="s">
        <v>327</v>
      </c>
      <c r="DE39" s="258" t="s">
        <v>318</v>
      </c>
      <c r="DF39" s="169">
        <f>$AP15</f>
        <v>9.0905721122453209E-2</v>
      </c>
      <c r="DG39" s="169" t="s">
        <v>317</v>
      </c>
    </row>
    <row r="40" spans="2:111" ht="15" customHeight="1" thickTop="1" thickBot="1" x14ac:dyDescent="0.3">
      <c r="B40" s="81" t="s">
        <v>275</v>
      </c>
      <c r="L40" s="81"/>
      <c r="M40" s="81"/>
      <c r="N40" s="81" t="s">
        <v>124</v>
      </c>
      <c r="O40" s="152">
        <f>SUM(S6:S9,S15)/1000000</f>
        <v>98.910661788000013</v>
      </c>
      <c r="P40" s="81" t="s">
        <v>125</v>
      </c>
      <c r="Q40" s="152">
        <f>SUM(U6:U9,U15)/1000000</f>
        <v>95.706189288000004</v>
      </c>
      <c r="R40" s="81"/>
      <c r="X40" s="216" t="s">
        <v>63</v>
      </c>
      <c r="Y40" s="217"/>
      <c r="Z40" s="218" t="s">
        <v>21</v>
      </c>
      <c r="AA40" s="219">
        <f>1/(1/10+SUM(AD42:AD46))</f>
        <v>2.8187919463087252</v>
      </c>
      <c r="AB40" s="217" t="s">
        <v>5</v>
      </c>
      <c r="AC40" s="217"/>
      <c r="AD40" s="217" t="s">
        <v>22</v>
      </c>
      <c r="AE40" s="220">
        <f>SUM(AE42:AE46)</f>
        <v>375560</v>
      </c>
      <c r="AF40" s="222" t="s">
        <v>23</v>
      </c>
      <c r="AG40" s="222">
        <f>SUM(AE42:AE43)</f>
        <v>110960</v>
      </c>
      <c r="AH40" s="222"/>
      <c r="AM40" s="158" t="s">
        <v>314</v>
      </c>
      <c r="AN40" s="81" t="s">
        <v>315</v>
      </c>
      <c r="AO40" s="81" t="s">
        <v>352</v>
      </c>
      <c r="AP40" s="81">
        <f>SUM(O17:O20)*1/(SUM(AD15:AD17)+0.5*SUM(AD18:AD19)+1/23)+O25*1/(SUM(AD7:AD9)+1/23)</f>
        <v>229.11946783126223</v>
      </c>
      <c r="AQ40" s="81" t="s">
        <v>317</v>
      </c>
      <c r="AR40" s="81">
        <f>1/0.01634389</f>
        <v>61.184944343115376</v>
      </c>
      <c r="AV40" s="167" t="s">
        <v>314</v>
      </c>
      <c r="AW40" s="167" t="s">
        <v>315</v>
      </c>
      <c r="AX40" s="167" t="s">
        <v>352</v>
      </c>
      <c r="AY40" s="168" t="s">
        <v>318</v>
      </c>
      <c r="AZ40" s="161">
        <f t="shared" si="28"/>
        <v>229.11946783126223</v>
      </c>
      <c r="BA40" s="167" t="s">
        <v>317</v>
      </c>
      <c r="BC40" s="81" t="s">
        <v>373</v>
      </c>
      <c r="BD40" s="81" t="s">
        <v>414</v>
      </c>
      <c r="BE40" s="166">
        <v>1.1299999999999999E-3</v>
      </c>
      <c r="BF40" s="166">
        <v>9.9899999999999992E-6</v>
      </c>
      <c r="BG40" s="81">
        <v>113.15</v>
      </c>
      <c r="BH40" s="81" t="s">
        <v>384</v>
      </c>
      <c r="BI40" s="81" t="s">
        <v>385</v>
      </c>
      <c r="BL40" s="167" t="s">
        <v>314</v>
      </c>
      <c r="BM40" s="167" t="s">
        <v>315</v>
      </c>
      <c r="BN40" s="167" t="s">
        <v>352</v>
      </c>
      <c r="BO40" s="168" t="s">
        <v>318</v>
      </c>
      <c r="BP40" s="161">
        <f>1/BE75</f>
        <v>110.74197120708749</v>
      </c>
      <c r="BQ40" s="167" t="s">
        <v>317</v>
      </c>
      <c r="BS40" s="81" t="s">
        <v>373</v>
      </c>
      <c r="BT40" s="81" t="s">
        <v>414</v>
      </c>
      <c r="BU40" s="166">
        <v>5.1900000000000004E-4</v>
      </c>
      <c r="BV40" s="166">
        <v>9.5999999999999996E-6</v>
      </c>
      <c r="BW40" s="81">
        <v>54.12</v>
      </c>
      <c r="BX40" s="81" t="s">
        <v>420</v>
      </c>
      <c r="BY40" s="166">
        <v>2E-16</v>
      </c>
      <c r="BZ40" s="81" t="s">
        <v>385</v>
      </c>
      <c r="CA40" s="167"/>
      <c r="CB40" s="167"/>
      <c r="CC40" s="167"/>
      <c r="CD40" s="168"/>
      <c r="CE40" s="161"/>
      <c r="CF40" s="167"/>
      <c r="CJ40" s="240"/>
      <c r="CK40" s="240"/>
      <c r="CL40" s="240"/>
      <c r="CO40" s="243" t="s">
        <v>373</v>
      </c>
      <c r="CP40" s="243" t="s">
        <v>401</v>
      </c>
      <c r="CQ40" s="244">
        <v>-17.7</v>
      </c>
      <c r="CR40" s="244">
        <v>302</v>
      </c>
      <c r="CS40" s="243">
        <v>-0.06</v>
      </c>
      <c r="CT40" s="243">
        <v>0.95320000000000005</v>
      </c>
      <c r="CU40" s="244"/>
      <c r="CW40" s="245" t="s">
        <v>460</v>
      </c>
      <c r="CX40" s="249" t="s">
        <v>328</v>
      </c>
      <c r="CY40" s="246" t="s">
        <v>318</v>
      </c>
      <c r="CZ40" s="247">
        <f t="shared" si="30"/>
        <v>0.71099999999999997</v>
      </c>
      <c r="DA40" s="245" t="s">
        <v>317</v>
      </c>
      <c r="DC40" s="169" t="s">
        <v>460</v>
      </c>
      <c r="DD40" s="260" t="s">
        <v>328</v>
      </c>
      <c r="DE40" s="258" t="s">
        <v>318</v>
      </c>
      <c r="DF40" s="169">
        <f>$AP16</f>
        <v>0.80596224825962415</v>
      </c>
      <c r="DG40" s="169" t="s">
        <v>317</v>
      </c>
    </row>
    <row r="41" spans="2:111" ht="15" customHeight="1" thickTop="1" thickBot="1" x14ac:dyDescent="0.3">
      <c r="B41" s="149" t="s">
        <v>276</v>
      </c>
      <c r="L41" s="81"/>
      <c r="M41" s="81"/>
      <c r="N41" s="81" t="s">
        <v>126</v>
      </c>
      <c r="O41" s="152">
        <f>SUM(S26:S27)/1000000</f>
        <v>41.413142636000003</v>
      </c>
      <c r="P41" s="81" t="s">
        <v>125</v>
      </c>
      <c r="Q41" s="152">
        <f>SUM(U26:U27)/1000000</f>
        <v>41.413142636000003</v>
      </c>
      <c r="R41" s="81"/>
      <c r="X41" s="224"/>
      <c r="Y41" s="225" t="s">
        <v>27</v>
      </c>
      <c r="Z41" s="225" t="s">
        <v>28</v>
      </c>
      <c r="AA41" s="225" t="s">
        <v>29</v>
      </c>
      <c r="AB41" s="225" t="s">
        <v>30</v>
      </c>
      <c r="AC41" s="225" t="s">
        <v>31</v>
      </c>
      <c r="AD41" s="225" t="s">
        <v>32</v>
      </c>
      <c r="AE41" s="226" t="s">
        <v>33</v>
      </c>
      <c r="AF41" s="222"/>
      <c r="AG41" s="222"/>
      <c r="AH41" s="222"/>
      <c r="AQ41" s="81" t="s">
        <v>317</v>
      </c>
      <c r="AV41" s="167"/>
      <c r="AW41" s="167"/>
      <c r="AX41" s="167"/>
      <c r="AY41" s="168"/>
      <c r="BA41" s="167"/>
      <c r="BC41" s="81" t="s">
        <v>373</v>
      </c>
      <c r="BD41" s="81" t="s">
        <v>415</v>
      </c>
      <c r="BE41" s="166">
        <v>762</v>
      </c>
      <c r="BF41" s="166">
        <v>7.54</v>
      </c>
      <c r="BG41" s="81">
        <v>101.02</v>
      </c>
      <c r="BH41" s="81" t="s">
        <v>384</v>
      </c>
      <c r="BI41" s="81" t="s">
        <v>385</v>
      </c>
      <c r="BL41" s="167"/>
      <c r="BM41" s="167"/>
      <c r="BN41" s="167"/>
      <c r="BO41" s="168"/>
      <c r="BP41" s="161"/>
      <c r="BQ41" s="167"/>
      <c r="BS41" s="81" t="s">
        <v>373</v>
      </c>
      <c r="BT41" s="81" t="s">
        <v>415</v>
      </c>
      <c r="BU41" s="166">
        <v>79.3</v>
      </c>
      <c r="BV41" s="166">
        <v>0.76900000000000002</v>
      </c>
      <c r="BW41" s="81">
        <v>103.12</v>
      </c>
      <c r="BX41" s="81" t="s">
        <v>420</v>
      </c>
      <c r="BY41" s="166">
        <v>2E-16</v>
      </c>
      <c r="BZ41" s="81" t="s">
        <v>385</v>
      </c>
      <c r="CA41" s="167" t="s">
        <v>314</v>
      </c>
      <c r="CB41" s="167" t="s">
        <v>315</v>
      </c>
      <c r="CC41" s="167" t="s">
        <v>353</v>
      </c>
      <c r="CD41" s="168" t="s">
        <v>318</v>
      </c>
      <c r="CE41" s="161">
        <f>BU85</f>
        <v>6.9400000000000003E-2</v>
      </c>
      <c r="CF41" s="167" t="s">
        <v>317</v>
      </c>
      <c r="CI41" s="81" t="s">
        <v>353</v>
      </c>
      <c r="CJ41" s="239">
        <f t="shared" si="1"/>
        <v>0.1495730449319701</v>
      </c>
      <c r="CK41" s="239">
        <f t="shared" si="2"/>
        <v>2.8899999999999999E-2</v>
      </c>
      <c r="CL41" s="239">
        <f t="shared" si="3"/>
        <v>6.9400000000000003E-2</v>
      </c>
      <c r="CO41" s="243" t="s">
        <v>373</v>
      </c>
      <c r="CP41" s="243" t="s">
        <v>402</v>
      </c>
      <c r="CQ41" s="244">
        <v>6.9000000000000006E-2</v>
      </c>
      <c r="CR41" s="244">
        <v>4.6999999999999999E-4</v>
      </c>
      <c r="CS41" s="243">
        <v>146.75</v>
      </c>
      <c r="CT41" s="243" t="s">
        <v>420</v>
      </c>
      <c r="CU41" s="244">
        <v>2E-16</v>
      </c>
      <c r="CV41" s="81" t="s">
        <v>385</v>
      </c>
      <c r="CW41" s="245" t="s">
        <v>460</v>
      </c>
      <c r="CX41" s="246" t="s">
        <v>329</v>
      </c>
      <c r="CY41" s="246" t="s">
        <v>318</v>
      </c>
      <c r="CZ41" s="247">
        <f t="shared" si="30"/>
        <v>4.2999999999999997E-2</v>
      </c>
      <c r="DA41" s="245" t="s">
        <v>317</v>
      </c>
      <c r="DC41" s="169" t="s">
        <v>460</v>
      </c>
      <c r="DD41" s="258" t="s">
        <v>329</v>
      </c>
      <c r="DE41" s="258" t="s">
        <v>318</v>
      </c>
      <c r="DF41" s="169">
        <f>$AP17</f>
        <v>2.7764561070302125E-2</v>
      </c>
      <c r="DG41" s="169" t="s">
        <v>317</v>
      </c>
    </row>
    <row r="42" spans="2:111" ht="15" customHeight="1" thickTop="1" thickBot="1" x14ac:dyDescent="0.3">
      <c r="B42" s="81" t="s">
        <v>277</v>
      </c>
      <c r="D42" s="81">
        <f>0.55</f>
        <v>0.55000000000000004</v>
      </c>
      <c r="L42" s="81"/>
      <c r="M42" s="81"/>
      <c r="N42" s="81" t="s">
        <v>127</v>
      </c>
      <c r="O42" s="152">
        <f>S14/1000000</f>
        <v>50.437708000000008</v>
      </c>
      <c r="Q42" s="152">
        <f>U14/1000000</f>
        <v>14.901928000000002</v>
      </c>
      <c r="R42" s="81"/>
      <c r="X42" s="181"/>
      <c r="Y42" s="182" t="s">
        <v>128</v>
      </c>
      <c r="Z42" s="182">
        <v>0.02</v>
      </c>
      <c r="AA42" s="182">
        <v>1.4</v>
      </c>
      <c r="AB42" s="182">
        <v>2100</v>
      </c>
      <c r="AC42" s="182">
        <v>840</v>
      </c>
      <c r="AD42" s="231">
        <f>Z42/AA42</f>
        <v>1.4285714285714287E-2</v>
      </c>
      <c r="AE42" s="232">
        <f>Z42*AB42*AC42</f>
        <v>35280</v>
      </c>
      <c r="AF42" s="222" t="s">
        <v>104</v>
      </c>
      <c r="AG42" s="222"/>
      <c r="AH42" s="222"/>
      <c r="AM42" s="158" t="s">
        <v>314</v>
      </c>
      <c r="AN42" s="81" t="s">
        <v>315</v>
      </c>
      <c r="AO42" s="81" t="s">
        <v>353</v>
      </c>
      <c r="AP42" s="81">
        <f>SUM(O26)/SUM($O$6:$O$14,$O$26,2*$O$27)</f>
        <v>0.1495730449319701</v>
      </c>
      <c r="AQ42" s="81" t="s">
        <v>317</v>
      </c>
      <c r="AR42" s="81" t="s">
        <v>354</v>
      </c>
      <c r="AV42" s="167" t="s">
        <v>314</v>
      </c>
      <c r="AW42" s="167" t="s">
        <v>315</v>
      </c>
      <c r="AX42" s="167" t="s">
        <v>353</v>
      </c>
      <c r="AY42" s="168" t="s">
        <v>318</v>
      </c>
      <c r="AZ42" s="161">
        <f>AP42</f>
        <v>0.1495730449319701</v>
      </c>
      <c r="BA42" s="167" t="s">
        <v>317</v>
      </c>
      <c r="BC42" s="81" t="s">
        <v>373</v>
      </c>
      <c r="BD42" s="81" t="s">
        <v>416</v>
      </c>
      <c r="BE42" s="166">
        <v>660</v>
      </c>
      <c r="BF42" s="166">
        <v>5.62</v>
      </c>
      <c r="BG42" s="81">
        <v>117.56</v>
      </c>
      <c r="BH42" s="81" t="s">
        <v>384</v>
      </c>
      <c r="BI42" s="81" t="s">
        <v>385</v>
      </c>
      <c r="BL42" s="167" t="s">
        <v>314</v>
      </c>
      <c r="BM42" s="167" t="s">
        <v>315</v>
      </c>
      <c r="BN42" s="167" t="s">
        <v>353</v>
      </c>
      <c r="BO42" s="168" t="s">
        <v>318</v>
      </c>
      <c r="BP42" s="161">
        <f>BE15</f>
        <v>2.8899999999999999E-2</v>
      </c>
      <c r="BQ42" s="167" t="s">
        <v>317</v>
      </c>
      <c r="BS42" s="81" t="s">
        <v>373</v>
      </c>
      <c r="BT42" s="81" t="s">
        <v>416</v>
      </c>
      <c r="BU42" s="166">
        <v>50</v>
      </c>
      <c r="BV42" s="166">
        <v>5.01</v>
      </c>
      <c r="BW42" s="81">
        <v>9.9700000000000006</v>
      </c>
      <c r="BX42" s="81" t="s">
        <v>420</v>
      </c>
      <c r="BY42" s="166">
        <v>2E-16</v>
      </c>
      <c r="BZ42" s="81" t="s">
        <v>385</v>
      </c>
      <c r="CA42" s="167" t="s">
        <v>314</v>
      </c>
      <c r="CB42" s="167" t="s">
        <v>315</v>
      </c>
      <c r="CC42" s="167" t="s">
        <v>355</v>
      </c>
      <c r="CD42" s="168" t="s">
        <v>318</v>
      </c>
      <c r="CE42" s="161">
        <f>BU86</f>
        <v>0.32</v>
      </c>
      <c r="CF42" s="167" t="s">
        <v>317</v>
      </c>
      <c r="CI42" s="81" t="s">
        <v>355</v>
      </c>
      <c r="CJ42" s="239">
        <f t="shared" si="1"/>
        <v>0.34185433414359345</v>
      </c>
      <c r="CK42" s="239">
        <f t="shared" si="2"/>
        <v>9.7500000000000003E-2</v>
      </c>
      <c r="CL42" s="239">
        <f t="shared" si="3"/>
        <v>0.32</v>
      </c>
      <c r="CO42" s="243" t="s">
        <v>373</v>
      </c>
      <c r="CP42" s="243" t="s">
        <v>403</v>
      </c>
      <c r="CQ42" s="244">
        <v>0.13500000000000001</v>
      </c>
      <c r="CR42" s="244">
        <v>8.5599999999999999E-4</v>
      </c>
      <c r="CS42" s="243">
        <v>157.31</v>
      </c>
      <c r="CT42" s="243" t="s">
        <v>420</v>
      </c>
      <c r="CU42" s="244">
        <v>2E-16</v>
      </c>
      <c r="CV42" s="81" t="s">
        <v>385</v>
      </c>
      <c r="CW42" s="245" t="s">
        <v>460</v>
      </c>
      <c r="CX42" s="246" t="s">
        <v>430</v>
      </c>
      <c r="CY42" s="246" t="s">
        <v>318</v>
      </c>
      <c r="CZ42" s="247">
        <f t="shared" si="30"/>
        <v>4.2099999999999999E-2</v>
      </c>
      <c r="DA42" s="245" t="s">
        <v>317</v>
      </c>
      <c r="DC42" s="169" t="s">
        <v>460</v>
      </c>
      <c r="DD42" s="258" t="s">
        <v>430</v>
      </c>
      <c r="DE42" s="258" t="s">
        <v>318</v>
      </c>
      <c r="DF42" s="169">
        <f>$AP46</f>
        <v>2.9914608986394021E-2</v>
      </c>
      <c r="DG42" s="169" t="s">
        <v>317</v>
      </c>
    </row>
    <row r="43" spans="2:111" ht="15" customHeight="1" thickTop="1" thickBot="1" x14ac:dyDescent="0.3">
      <c r="B43" s="81" t="s">
        <v>278</v>
      </c>
      <c r="D43" s="81">
        <v>0.99</v>
      </c>
      <c r="E43" s="81" t="s">
        <v>279</v>
      </c>
      <c r="L43" s="81"/>
      <c r="M43" s="81"/>
      <c r="N43" s="81"/>
      <c r="Q43" s="81"/>
      <c r="R43" s="81"/>
      <c r="X43" s="175"/>
      <c r="Y43" s="176" t="s">
        <v>129</v>
      </c>
      <c r="Z43" s="176">
        <v>0.08</v>
      </c>
      <c r="AA43" s="176">
        <v>0.6</v>
      </c>
      <c r="AB43" s="176">
        <v>1100</v>
      </c>
      <c r="AC43" s="176">
        <v>860</v>
      </c>
      <c r="AD43" s="227">
        <f>Z43/AA43</f>
        <v>0.13333333333333333</v>
      </c>
      <c r="AE43" s="177">
        <f>Z43*AB43*AC43</f>
        <v>75680</v>
      </c>
      <c r="AF43" s="222"/>
      <c r="AG43" s="222"/>
      <c r="AH43" s="222"/>
      <c r="AM43" s="158" t="s">
        <v>314</v>
      </c>
      <c r="AN43" s="81" t="s">
        <v>315</v>
      </c>
      <c r="AO43" s="81" t="s">
        <v>355</v>
      </c>
      <c r="AP43" s="81">
        <f>SUM(O26)/SUM(O$17:O$25,2*O$28,O$26)</f>
        <v>0.34185433414359345</v>
      </c>
      <c r="AQ43" s="81" t="s">
        <v>317</v>
      </c>
      <c r="AR43" s="81" t="s">
        <v>356</v>
      </c>
      <c r="AV43" s="167" t="s">
        <v>314</v>
      </c>
      <c r="AW43" s="167" t="s">
        <v>315</v>
      </c>
      <c r="AX43" s="167" t="s">
        <v>355</v>
      </c>
      <c r="AY43" s="168" t="s">
        <v>318</v>
      </c>
      <c r="AZ43" s="161">
        <f t="shared" ref="AZ43:AZ50" si="31">AP43</f>
        <v>0.34185433414359345</v>
      </c>
      <c r="BA43" s="167" t="s">
        <v>317</v>
      </c>
      <c r="BC43" s="81" t="s">
        <v>373</v>
      </c>
      <c r="BD43" s="81" t="s">
        <v>417</v>
      </c>
      <c r="BE43" s="166">
        <v>301</v>
      </c>
      <c r="BF43" s="166">
        <v>3.03</v>
      </c>
      <c r="BG43" s="81">
        <v>99.4</v>
      </c>
      <c r="BH43" s="81" t="s">
        <v>384</v>
      </c>
      <c r="BI43" s="81" t="s">
        <v>385</v>
      </c>
      <c r="BL43" s="167" t="s">
        <v>314</v>
      </c>
      <c r="BM43" s="167" t="s">
        <v>315</v>
      </c>
      <c r="BN43" s="167" t="s">
        <v>355</v>
      </c>
      <c r="BO43" s="168" t="s">
        <v>318</v>
      </c>
      <c r="BP43" s="161">
        <f>BE55</f>
        <v>9.7500000000000003E-2</v>
      </c>
      <c r="BQ43" s="167" t="s">
        <v>317</v>
      </c>
      <c r="BS43" s="81" t="s">
        <v>373</v>
      </c>
      <c r="BT43" s="81" t="s">
        <v>417</v>
      </c>
      <c r="BU43" s="166">
        <v>4.59</v>
      </c>
      <c r="BV43" s="166">
        <v>0.312</v>
      </c>
      <c r="BW43" s="81">
        <v>14.68</v>
      </c>
      <c r="BX43" s="81" t="s">
        <v>420</v>
      </c>
      <c r="BY43" s="166">
        <v>2E-16</v>
      </c>
      <c r="BZ43" s="81" t="s">
        <v>385</v>
      </c>
      <c r="CA43" s="167" t="s">
        <v>314</v>
      </c>
      <c r="CB43" s="167" t="s">
        <v>315</v>
      </c>
      <c r="CC43" s="167" t="s">
        <v>357</v>
      </c>
      <c r="CD43" s="168" t="s">
        <v>318</v>
      </c>
      <c r="CE43" s="161">
        <f>BU87</f>
        <v>990000000</v>
      </c>
      <c r="CF43" s="167" t="s">
        <v>317</v>
      </c>
      <c r="CI43" s="81" t="s">
        <v>357</v>
      </c>
      <c r="CJ43" s="241">
        <f t="shared" si="1"/>
        <v>4177488.9999999995</v>
      </c>
      <c r="CK43" s="241">
        <f t="shared" si="2"/>
        <v>248000</v>
      </c>
      <c r="CL43" s="241">
        <f t="shared" si="3"/>
        <v>990000000</v>
      </c>
      <c r="CO43" s="243" t="s">
        <v>373</v>
      </c>
      <c r="CP43" s="243" t="s">
        <v>404</v>
      </c>
      <c r="CQ43" s="244">
        <v>0.71099999999999997</v>
      </c>
      <c r="CR43" s="244">
        <v>1.31E-3</v>
      </c>
      <c r="CS43" s="243">
        <v>542.97</v>
      </c>
      <c r="CT43" s="243" t="s">
        <v>420</v>
      </c>
      <c r="CU43" s="244">
        <v>2E-16</v>
      </c>
      <c r="CV43" s="81" t="s">
        <v>385</v>
      </c>
      <c r="CY43" s="246"/>
      <c r="DC43" s="169"/>
      <c r="DD43" s="169"/>
      <c r="DE43" s="258"/>
      <c r="DF43" s="169"/>
      <c r="DG43" s="169"/>
    </row>
    <row r="44" spans="2:111" ht="15" customHeight="1" thickTop="1" thickBot="1" x14ac:dyDescent="0.3">
      <c r="B44" s="81" t="s">
        <v>282</v>
      </c>
      <c r="D44" s="81">
        <v>0.7</v>
      </c>
      <c r="F44" s="79"/>
      <c r="L44" s="81"/>
      <c r="M44" s="81"/>
      <c r="N44" s="81"/>
      <c r="Q44" s="81"/>
      <c r="R44" s="81"/>
      <c r="X44" s="175"/>
      <c r="Y44" s="176" t="s">
        <v>280</v>
      </c>
      <c r="Z44" s="176">
        <v>0</v>
      </c>
      <c r="AA44" s="176">
        <v>3.5999999999999997E-2</v>
      </c>
      <c r="AB44" s="176">
        <v>30</v>
      </c>
      <c r="AC44" s="176">
        <v>1470</v>
      </c>
      <c r="AD44" s="227">
        <f>Z44/AA44</f>
        <v>0</v>
      </c>
      <c r="AE44" s="177">
        <f>Z44*AB44*AC44</f>
        <v>0</v>
      </c>
      <c r="AF44" s="228" t="s">
        <v>281</v>
      </c>
      <c r="AG44" s="222"/>
      <c r="AH44" s="222"/>
      <c r="AM44" s="158" t="s">
        <v>314</v>
      </c>
      <c r="AN44" s="81" t="s">
        <v>315</v>
      </c>
      <c r="AO44" s="81" t="s">
        <v>357</v>
      </c>
      <c r="AP44" s="81">
        <f>U26/2</f>
        <v>4177488.9999999995</v>
      </c>
      <c r="AQ44" s="81" t="s">
        <v>317</v>
      </c>
      <c r="AR44" s="81" t="s">
        <v>358</v>
      </c>
      <c r="AV44" s="167" t="s">
        <v>314</v>
      </c>
      <c r="AW44" s="167" t="s">
        <v>315</v>
      </c>
      <c r="AX44" s="167" t="s">
        <v>357</v>
      </c>
      <c r="AY44" s="168" t="s">
        <v>318</v>
      </c>
      <c r="AZ44" s="161">
        <f t="shared" si="31"/>
        <v>4177488.9999999995</v>
      </c>
      <c r="BA44" s="167" t="s">
        <v>317</v>
      </c>
      <c r="BL44" s="167" t="s">
        <v>314</v>
      </c>
      <c r="BM44" s="167" t="s">
        <v>315</v>
      </c>
      <c r="BN44" s="167" t="s">
        <v>357</v>
      </c>
      <c r="BO44" s="168" t="s">
        <v>318</v>
      </c>
      <c r="BP44" s="161">
        <f>BE86</f>
        <v>248000</v>
      </c>
      <c r="BQ44" s="167" t="s">
        <v>317</v>
      </c>
      <c r="CA44" s="167" t="s">
        <v>314</v>
      </c>
      <c r="CB44" s="167" t="s">
        <v>315</v>
      </c>
      <c r="CC44" s="167" t="s">
        <v>359</v>
      </c>
      <c r="CD44" s="168" t="s">
        <v>318</v>
      </c>
      <c r="CE44" s="161">
        <f>BU88</f>
        <v>113000000</v>
      </c>
      <c r="CF44" s="167" t="s">
        <v>317</v>
      </c>
      <c r="CI44" s="81" t="s">
        <v>359</v>
      </c>
      <c r="CJ44" s="241">
        <f t="shared" si="1"/>
        <v>4177488.9999999995</v>
      </c>
      <c r="CK44" s="241">
        <f t="shared" si="2"/>
        <v>6990000</v>
      </c>
      <c r="CL44" s="241">
        <f t="shared" si="3"/>
        <v>113000000</v>
      </c>
      <c r="CO44" s="243" t="s">
        <v>373</v>
      </c>
      <c r="CP44" s="243" t="s">
        <v>405</v>
      </c>
      <c r="CQ44" s="244">
        <v>4.2999999999999997E-2</v>
      </c>
      <c r="CR44" s="244">
        <v>1.9699999999999999E-4</v>
      </c>
      <c r="CS44" s="243">
        <v>218.64</v>
      </c>
      <c r="CT44" s="243" t="s">
        <v>420</v>
      </c>
      <c r="CU44" s="244">
        <v>2E-16</v>
      </c>
      <c r="CV44" s="81" t="s">
        <v>385</v>
      </c>
      <c r="CW44" s="245" t="s">
        <v>460</v>
      </c>
      <c r="CX44" s="251" t="s">
        <v>482</v>
      </c>
      <c r="CY44" s="246" t="s">
        <v>318</v>
      </c>
      <c r="CZ44" s="247">
        <f>CQ68</f>
        <v>1.02</v>
      </c>
      <c r="DA44" s="245" t="s">
        <v>317</v>
      </c>
      <c r="DC44" s="169" t="s">
        <v>460</v>
      </c>
      <c r="DD44" s="264" t="s">
        <v>482</v>
      </c>
      <c r="DE44" s="258" t="s">
        <v>318</v>
      </c>
      <c r="DF44" s="169">
        <f>$O$22*$Z$37*$AP$26</f>
        <v>0.60205559319286994</v>
      </c>
      <c r="DG44" s="169" t="s">
        <v>317</v>
      </c>
    </row>
    <row r="45" spans="2:111" ht="15" customHeight="1" thickTop="1" thickBot="1" x14ac:dyDescent="0.3">
      <c r="B45" s="81" t="s">
        <v>283</v>
      </c>
      <c r="D45" s="81">
        <v>0.7</v>
      </c>
      <c r="F45" s="79"/>
      <c r="L45" s="81"/>
      <c r="M45" s="81"/>
      <c r="N45" s="81"/>
      <c r="Q45" s="81"/>
      <c r="R45" s="81"/>
      <c r="X45" s="175"/>
      <c r="Y45" s="176" t="s">
        <v>131</v>
      </c>
      <c r="Z45" s="176">
        <v>0.15</v>
      </c>
      <c r="AA45" s="176">
        <v>1.4</v>
      </c>
      <c r="AB45" s="176">
        <v>2100</v>
      </c>
      <c r="AC45" s="176">
        <v>840</v>
      </c>
      <c r="AD45" s="227">
        <f>Z45/AA45</f>
        <v>0.10714285714285715</v>
      </c>
      <c r="AE45" s="177">
        <f>Z45*AB45*AC45</f>
        <v>264600</v>
      </c>
      <c r="AF45" s="222"/>
      <c r="AG45" s="222"/>
      <c r="AH45" s="222"/>
      <c r="AM45" s="158" t="s">
        <v>314</v>
      </c>
      <c r="AN45" s="81" t="s">
        <v>315</v>
      </c>
      <c r="AO45" s="81" t="s">
        <v>359</v>
      </c>
      <c r="AP45" s="81">
        <f>U26/2</f>
        <v>4177488.9999999995</v>
      </c>
      <c r="AQ45" s="81" t="s">
        <v>317</v>
      </c>
      <c r="AR45" s="81" t="s">
        <v>360</v>
      </c>
      <c r="AV45" s="167" t="s">
        <v>314</v>
      </c>
      <c r="AW45" s="167" t="s">
        <v>315</v>
      </c>
      <c r="AX45" s="167" t="s">
        <v>359</v>
      </c>
      <c r="AY45" s="168" t="s">
        <v>318</v>
      </c>
      <c r="AZ45" s="161">
        <f t="shared" si="31"/>
        <v>4177488.9999999995</v>
      </c>
      <c r="BA45" s="167" t="s">
        <v>317</v>
      </c>
      <c r="BC45" s="81" t="s">
        <v>373</v>
      </c>
      <c r="BD45" s="81" t="s">
        <v>374</v>
      </c>
      <c r="BE45" s="81" t="s">
        <v>419</v>
      </c>
      <c r="BL45" s="167" t="s">
        <v>314</v>
      </c>
      <c r="BM45" s="167" t="s">
        <v>315</v>
      </c>
      <c r="BN45" s="167" t="s">
        <v>359</v>
      </c>
      <c r="BO45" s="168" t="s">
        <v>318</v>
      </c>
      <c r="BP45" s="161">
        <f>BE87</f>
        <v>6990000</v>
      </c>
      <c r="BQ45" s="167" t="s">
        <v>317</v>
      </c>
      <c r="BS45" s="81" t="s">
        <v>373</v>
      </c>
      <c r="BT45" s="81" t="s">
        <v>374</v>
      </c>
      <c r="BU45" s="81" t="s">
        <v>419</v>
      </c>
      <c r="CA45" s="167" t="s">
        <v>314</v>
      </c>
      <c r="CB45" s="167" t="s">
        <v>315</v>
      </c>
      <c r="CC45" s="167" t="s">
        <v>361</v>
      </c>
      <c r="CD45" s="168" t="s">
        <v>318</v>
      </c>
      <c r="CE45" s="161">
        <f>BU30</f>
        <v>2.69E-2</v>
      </c>
      <c r="CF45" s="167" t="s">
        <v>317</v>
      </c>
      <c r="CI45" s="81" t="s">
        <v>361</v>
      </c>
      <c r="CJ45" s="239">
        <f t="shared" si="1"/>
        <v>2.9914608986394021E-2</v>
      </c>
      <c r="CK45" s="239">
        <f t="shared" si="2"/>
        <v>1.9E-2</v>
      </c>
      <c r="CL45" s="239">
        <f t="shared" si="3"/>
        <v>2.69E-2</v>
      </c>
      <c r="CO45" s="243" t="s">
        <v>373</v>
      </c>
      <c r="CP45" s="243" t="s">
        <v>406</v>
      </c>
      <c r="CQ45" s="244">
        <v>4.2099999999999999E-2</v>
      </c>
      <c r="CR45" s="244">
        <v>3.1799999999999998E-4</v>
      </c>
      <c r="CS45" s="243">
        <v>132.19999999999999</v>
      </c>
      <c r="CT45" s="243" t="s">
        <v>420</v>
      </c>
      <c r="CU45" s="244">
        <v>2E-16</v>
      </c>
      <c r="CV45" s="81" t="s">
        <v>385</v>
      </c>
      <c r="CW45" s="245" t="s">
        <v>460</v>
      </c>
      <c r="CX45" s="251" t="s">
        <v>483</v>
      </c>
      <c r="CY45" s="246" t="s">
        <v>318</v>
      </c>
      <c r="CZ45" s="247">
        <f t="shared" ref="CZ45:CZ59" si="32">CQ69</f>
        <v>2.7</v>
      </c>
      <c r="DA45" s="245" t="s">
        <v>317</v>
      </c>
      <c r="DC45" s="169" t="s">
        <v>460</v>
      </c>
      <c r="DD45" s="264" t="s">
        <v>483</v>
      </c>
      <c r="DE45" s="258" t="s">
        <v>318</v>
      </c>
      <c r="DF45" s="169">
        <f>$O$21*$Z$37*$AP$26</f>
        <v>0.69916133403042957</v>
      </c>
      <c r="DG45" s="169" t="s">
        <v>317</v>
      </c>
    </row>
    <row r="46" spans="2:111" ht="15" customHeight="1" thickTop="1" thickBot="1" x14ac:dyDescent="0.3">
      <c r="L46" s="81"/>
      <c r="M46" s="81"/>
      <c r="N46" s="81"/>
      <c r="Q46" s="81"/>
      <c r="R46" s="81"/>
      <c r="X46" s="187"/>
      <c r="Y46" s="174" t="s">
        <v>132</v>
      </c>
      <c r="Z46" s="174">
        <v>0</v>
      </c>
      <c r="AA46" s="174">
        <v>0.02</v>
      </c>
      <c r="AB46" s="174">
        <v>30</v>
      </c>
      <c r="AC46" s="174">
        <v>1470</v>
      </c>
      <c r="AD46" s="229">
        <f>Z46/AA46</f>
        <v>0</v>
      </c>
      <c r="AE46" s="192">
        <f>Z46*AB46*AC46</f>
        <v>0</v>
      </c>
      <c r="AF46" s="222"/>
      <c r="AG46" s="222"/>
      <c r="AH46" s="222"/>
      <c r="AM46" s="158" t="s">
        <v>314</v>
      </c>
      <c r="AN46" s="81" t="s">
        <v>315</v>
      </c>
      <c r="AO46" s="81" t="s">
        <v>361</v>
      </c>
      <c r="AP46" s="81">
        <f>AP42*0.2</f>
        <v>2.9914608986394021E-2</v>
      </c>
      <c r="AQ46" s="81" t="s">
        <v>317</v>
      </c>
      <c r="AR46" s="81" t="s">
        <v>362</v>
      </c>
      <c r="AV46" s="167" t="s">
        <v>314</v>
      </c>
      <c r="AW46" s="167" t="s">
        <v>315</v>
      </c>
      <c r="AX46" s="167" t="s">
        <v>361</v>
      </c>
      <c r="AY46" s="168" t="s">
        <v>318</v>
      </c>
      <c r="AZ46" s="161">
        <f t="shared" si="31"/>
        <v>2.9914608986394021E-2</v>
      </c>
      <c r="BA46" s="167" t="s">
        <v>317</v>
      </c>
      <c r="BC46" s="81" t="s">
        <v>373</v>
      </c>
      <c r="BD46" s="81" t="s">
        <v>376</v>
      </c>
      <c r="BL46" s="167" t="s">
        <v>314</v>
      </c>
      <c r="BM46" s="167" t="s">
        <v>315</v>
      </c>
      <c r="BN46" s="167" t="s">
        <v>361</v>
      </c>
      <c r="BO46" s="168" t="s">
        <v>318</v>
      </c>
      <c r="BP46" s="161">
        <f>BE30</f>
        <v>1.9E-2</v>
      </c>
      <c r="BQ46" s="167" t="s">
        <v>317</v>
      </c>
      <c r="BS46" s="81" t="s">
        <v>373</v>
      </c>
      <c r="BT46" s="81" t="s">
        <v>376</v>
      </c>
      <c r="CA46" s="167" t="s">
        <v>314</v>
      </c>
      <c r="CB46" s="167" t="s">
        <v>315</v>
      </c>
      <c r="CC46" s="167" t="s">
        <v>363</v>
      </c>
      <c r="CD46" s="168" t="s">
        <v>318</v>
      </c>
      <c r="CE46" s="161">
        <f>BU67</f>
        <v>0.121</v>
      </c>
      <c r="CF46" s="167" t="s">
        <v>317</v>
      </c>
      <c r="CI46" s="81" t="s">
        <v>363</v>
      </c>
      <c r="CJ46" s="239">
        <f t="shared" si="1"/>
        <v>6.8370866828718693E-2</v>
      </c>
      <c r="CK46" s="239">
        <f t="shared" si="2"/>
        <v>0.184</v>
      </c>
      <c r="CL46" s="239">
        <f t="shared" si="3"/>
        <v>0.121</v>
      </c>
      <c r="CO46" s="243" t="s">
        <v>373</v>
      </c>
      <c r="CP46" s="243" t="s">
        <v>407</v>
      </c>
      <c r="CQ46" s="244">
        <v>535</v>
      </c>
      <c r="CR46" s="244">
        <v>1.59</v>
      </c>
      <c r="CS46" s="243">
        <v>337.14</v>
      </c>
      <c r="CT46" s="243" t="s">
        <v>420</v>
      </c>
      <c r="CU46" s="244">
        <v>2E-16</v>
      </c>
      <c r="CV46" s="81" t="s">
        <v>385</v>
      </c>
      <c r="CW46" s="245" t="s">
        <v>460</v>
      </c>
      <c r="CX46" s="251" t="s">
        <v>484</v>
      </c>
      <c r="CY46" s="246" t="s">
        <v>318</v>
      </c>
      <c r="CZ46" s="247">
        <f t="shared" si="32"/>
        <v>1.81</v>
      </c>
      <c r="DA46" s="245" t="s">
        <v>317</v>
      </c>
      <c r="DC46" s="169" t="s">
        <v>460</v>
      </c>
      <c r="DD46" s="264" t="s">
        <v>484</v>
      </c>
      <c r="DE46" s="258" t="s">
        <v>318</v>
      </c>
      <c r="DF46" s="169">
        <f>$O$23*$Z$37*$AP$26</f>
        <v>0.78979335881215185</v>
      </c>
      <c r="DG46" s="169" t="s">
        <v>317</v>
      </c>
    </row>
    <row r="47" spans="2:111" ht="15" customHeight="1" thickTop="1" thickBot="1" x14ac:dyDescent="0.3">
      <c r="C47" s="152"/>
      <c r="L47" s="81"/>
      <c r="M47" s="81"/>
      <c r="N47" s="81"/>
      <c r="Q47" s="81"/>
      <c r="R47" s="81"/>
      <c r="X47" s="176"/>
      <c r="Y47" s="176"/>
      <c r="Z47" s="176"/>
      <c r="AA47" s="176"/>
      <c r="AB47" s="176"/>
      <c r="AC47" s="176"/>
      <c r="AD47" s="227"/>
      <c r="AE47" s="176"/>
      <c r="AF47" s="222"/>
      <c r="AG47" s="222"/>
      <c r="AH47" s="222"/>
      <c r="AM47" s="158" t="s">
        <v>314</v>
      </c>
      <c r="AN47" s="81" t="s">
        <v>315</v>
      </c>
      <c r="AO47" s="81" t="s">
        <v>363</v>
      </c>
      <c r="AP47" s="81">
        <f>AP43*0.2</f>
        <v>6.8370866828718693E-2</v>
      </c>
      <c r="AQ47" s="81" t="s">
        <v>317</v>
      </c>
      <c r="AR47" s="81" t="s">
        <v>364</v>
      </c>
      <c r="AV47" s="167" t="s">
        <v>314</v>
      </c>
      <c r="AW47" s="167" t="s">
        <v>315</v>
      </c>
      <c r="AX47" s="167" t="s">
        <v>363</v>
      </c>
      <c r="AY47" s="168" t="s">
        <v>318</v>
      </c>
      <c r="AZ47" s="161">
        <f t="shared" si="31"/>
        <v>6.8370866828718693E-2</v>
      </c>
      <c r="BA47" s="167" t="s">
        <v>317</v>
      </c>
      <c r="BC47" s="81" t="s">
        <v>373</v>
      </c>
      <c r="BD47" s="81" t="s">
        <v>377</v>
      </c>
      <c r="BE47" s="81" t="s">
        <v>378</v>
      </c>
      <c r="BF47" s="81" t="s">
        <v>379</v>
      </c>
      <c r="BG47" s="81" t="s">
        <v>380</v>
      </c>
      <c r="BH47" s="81" t="s">
        <v>381</v>
      </c>
      <c r="BI47" s="81" t="s">
        <v>382</v>
      </c>
      <c r="BL47" s="167" t="s">
        <v>314</v>
      </c>
      <c r="BM47" s="167" t="s">
        <v>315</v>
      </c>
      <c r="BN47" s="167" t="s">
        <v>363</v>
      </c>
      <c r="BO47" s="168" t="s">
        <v>318</v>
      </c>
      <c r="BP47" s="161">
        <f>BE67</f>
        <v>0.184</v>
      </c>
      <c r="BQ47" s="167" t="s">
        <v>317</v>
      </c>
      <c r="BS47" s="81" t="s">
        <v>373</v>
      </c>
      <c r="BT47" s="81" t="s">
        <v>377</v>
      </c>
      <c r="BU47" s="81" t="s">
        <v>378</v>
      </c>
      <c r="BV47" s="81" t="s">
        <v>379</v>
      </c>
      <c r="BW47" s="81" t="s">
        <v>380</v>
      </c>
      <c r="BX47" s="81" t="s">
        <v>381</v>
      </c>
      <c r="BY47" s="81" t="s">
        <v>382</v>
      </c>
      <c r="CA47" s="167" t="s">
        <v>314</v>
      </c>
      <c r="CB47" s="167" t="s">
        <v>315</v>
      </c>
      <c r="CC47" s="167" t="s">
        <v>365</v>
      </c>
      <c r="CD47" s="168" t="s">
        <v>318</v>
      </c>
      <c r="CE47" s="161">
        <f>BU95</f>
        <v>78.400000000000006</v>
      </c>
      <c r="CF47" s="167" t="s">
        <v>317</v>
      </c>
      <c r="CI47" s="81" t="s">
        <v>365</v>
      </c>
      <c r="CJ47" s="242">
        <f t="shared" si="1"/>
        <v>530.8615897720955</v>
      </c>
      <c r="CK47" s="242">
        <f t="shared" si="2"/>
        <v>476</v>
      </c>
      <c r="CL47" s="242">
        <f t="shared" si="3"/>
        <v>78.400000000000006</v>
      </c>
      <c r="CO47" s="243" t="s">
        <v>373</v>
      </c>
      <c r="CP47" s="243" t="s">
        <v>408</v>
      </c>
      <c r="CQ47" s="244">
        <v>223</v>
      </c>
      <c r="CR47" s="244">
        <v>0.64900000000000002</v>
      </c>
      <c r="CS47" s="243">
        <v>343.53</v>
      </c>
      <c r="CT47" s="243" t="s">
        <v>420</v>
      </c>
      <c r="CU47" s="244">
        <v>2E-16</v>
      </c>
      <c r="CV47" s="81" t="s">
        <v>385</v>
      </c>
      <c r="CW47" s="245" t="s">
        <v>460</v>
      </c>
      <c r="CX47" s="251" t="s">
        <v>485</v>
      </c>
      <c r="CY47" s="246" t="s">
        <v>318</v>
      </c>
      <c r="CZ47" s="247">
        <f t="shared" si="32"/>
        <v>0.76200000000000001</v>
      </c>
      <c r="DA47" s="245" t="s">
        <v>317</v>
      </c>
      <c r="DC47" s="169" t="s">
        <v>460</v>
      </c>
      <c r="DD47" s="264" t="s">
        <v>485</v>
      </c>
      <c r="DE47" s="258" t="s">
        <v>318</v>
      </c>
      <c r="DF47" s="169">
        <f>$O$24*$Z$37*$AP$26</f>
        <v>0.57616072896952064</v>
      </c>
      <c r="DG47" s="169" t="s">
        <v>317</v>
      </c>
    </row>
    <row r="48" spans="2:111" ht="15" customHeight="1" thickTop="1" thickBot="1" x14ac:dyDescent="0.3">
      <c r="C48" s="152"/>
      <c r="L48" s="81"/>
      <c r="M48" s="81"/>
      <c r="N48" s="81"/>
      <c r="Q48" s="81"/>
      <c r="R48" s="81"/>
      <c r="Z48" s="221" t="s">
        <v>4</v>
      </c>
      <c r="AA48" s="221">
        <v>4</v>
      </c>
      <c r="AB48" s="221" t="s">
        <v>5</v>
      </c>
      <c r="AF48" s="222"/>
      <c r="AG48" s="222"/>
      <c r="AH48" s="222"/>
      <c r="AM48" s="158" t="s">
        <v>314</v>
      </c>
      <c r="AN48" s="81" t="s">
        <v>315</v>
      </c>
      <c r="AO48" s="81" t="s">
        <v>365</v>
      </c>
      <c r="AP48" s="81">
        <f>AA27*4*O26</f>
        <v>530.8615897720955</v>
      </c>
      <c r="AQ48" s="81" t="s">
        <v>317</v>
      </c>
      <c r="AR48" s="81" t="s">
        <v>366</v>
      </c>
      <c r="AV48" s="167" t="s">
        <v>314</v>
      </c>
      <c r="AW48" s="167" t="s">
        <v>315</v>
      </c>
      <c r="AX48" s="167" t="s">
        <v>365</v>
      </c>
      <c r="AY48" s="168" t="s">
        <v>318</v>
      </c>
      <c r="AZ48" s="161">
        <f t="shared" si="31"/>
        <v>530.8615897720955</v>
      </c>
      <c r="BA48" s="167" t="s">
        <v>317</v>
      </c>
      <c r="BC48" s="81" t="s">
        <v>373</v>
      </c>
      <c r="BD48" s="81" t="s">
        <v>383</v>
      </c>
      <c r="BE48" s="166">
        <v>288</v>
      </c>
      <c r="BF48" s="166">
        <v>2.2799999999999998</v>
      </c>
      <c r="BG48" s="81">
        <v>126.5</v>
      </c>
      <c r="BH48" s="81" t="s">
        <v>420</v>
      </c>
      <c r="BI48" s="166">
        <v>2E-16</v>
      </c>
      <c r="BJ48" s="81" t="s">
        <v>385</v>
      </c>
      <c r="BL48" s="167" t="s">
        <v>314</v>
      </c>
      <c r="BM48" s="167" t="s">
        <v>315</v>
      </c>
      <c r="BN48" s="167" t="s">
        <v>365</v>
      </c>
      <c r="BO48" s="168" t="s">
        <v>318</v>
      </c>
      <c r="BP48" s="161">
        <f>BE94</f>
        <v>476</v>
      </c>
      <c r="BQ48" s="167" t="s">
        <v>317</v>
      </c>
      <c r="BS48" s="81" t="s">
        <v>373</v>
      </c>
      <c r="BT48" s="81" t="s">
        <v>383</v>
      </c>
      <c r="BU48" s="166">
        <v>291</v>
      </c>
      <c r="BV48" s="166">
        <v>0.16200000000000001</v>
      </c>
      <c r="BW48" s="81">
        <v>1794.55</v>
      </c>
      <c r="BX48" s="81" t="s">
        <v>420</v>
      </c>
      <c r="BY48" s="166">
        <v>2E-16</v>
      </c>
      <c r="BZ48" s="81" t="s">
        <v>385</v>
      </c>
      <c r="CA48" s="167" t="s">
        <v>314</v>
      </c>
      <c r="CB48" s="167" t="s">
        <v>315</v>
      </c>
      <c r="CC48" s="167" t="s">
        <v>367</v>
      </c>
      <c r="CD48" s="168" t="s">
        <v>318</v>
      </c>
      <c r="CE48" s="161">
        <f>BU96</f>
        <v>5.5999999999999995E-4</v>
      </c>
      <c r="CF48" s="167" t="s">
        <v>317</v>
      </c>
      <c r="CI48" s="81" t="s">
        <v>367</v>
      </c>
      <c r="CJ48" s="242">
        <f t="shared" si="1"/>
        <v>265.43079488604775</v>
      </c>
      <c r="CK48" s="242">
        <f t="shared" si="2"/>
        <v>3410</v>
      </c>
      <c r="CL48" s="242">
        <f t="shared" si="3"/>
        <v>5.5999999999999995E-4</v>
      </c>
      <c r="CO48" s="243" t="s">
        <v>373</v>
      </c>
      <c r="CP48" s="243" t="s">
        <v>290</v>
      </c>
      <c r="CQ48" s="244">
        <v>841</v>
      </c>
      <c r="CR48" s="244">
        <v>3.13</v>
      </c>
      <c r="CS48" s="243">
        <v>268.35000000000002</v>
      </c>
      <c r="CT48" s="243" t="s">
        <v>420</v>
      </c>
      <c r="CU48" s="244">
        <v>2E-16</v>
      </c>
      <c r="CV48" s="81" t="s">
        <v>385</v>
      </c>
      <c r="CW48" s="245" t="s">
        <v>460</v>
      </c>
      <c r="CX48" s="251" t="s">
        <v>486</v>
      </c>
      <c r="CY48" s="246" t="s">
        <v>318</v>
      </c>
      <c r="CZ48" s="247">
        <f t="shared" si="32"/>
        <v>0.53300000000000003</v>
      </c>
      <c r="DA48" s="245" t="s">
        <v>317</v>
      </c>
      <c r="DC48" s="169" t="s">
        <v>460</v>
      </c>
      <c r="DD48" s="264" t="s">
        <v>486</v>
      </c>
      <c r="DE48" s="258" t="s">
        <v>318</v>
      </c>
      <c r="DF48" s="169">
        <f>$O$22*$Z$37*$AP$27</f>
        <v>0.22268013736543479</v>
      </c>
      <c r="DG48" s="169" t="s">
        <v>317</v>
      </c>
    </row>
    <row r="49" spans="1:111" ht="15" customHeight="1" thickTop="1" thickBot="1" x14ac:dyDescent="0.3">
      <c r="C49" s="152"/>
      <c r="L49" s="81"/>
      <c r="M49" s="81"/>
      <c r="N49" s="81"/>
      <c r="Q49" s="81"/>
      <c r="R49" s="81"/>
      <c r="X49" s="216" t="s">
        <v>68</v>
      </c>
      <c r="Y49" s="217"/>
      <c r="Z49" s="218" t="s">
        <v>21</v>
      </c>
      <c r="AA49" s="200">
        <v>4</v>
      </c>
      <c r="AB49" s="217" t="s">
        <v>5</v>
      </c>
      <c r="AC49" s="217"/>
      <c r="AD49" s="217" t="s">
        <v>22</v>
      </c>
      <c r="AE49" s="220">
        <f>0.04*550*1660</f>
        <v>36520</v>
      </c>
      <c r="AF49" s="222" t="s">
        <v>23</v>
      </c>
      <c r="AG49" s="222">
        <f>SUM(AE52:AE53)</f>
        <v>0</v>
      </c>
      <c r="AH49" s="222"/>
      <c r="AM49" s="158" t="s">
        <v>314</v>
      </c>
      <c r="AN49" s="81" t="s">
        <v>315</v>
      </c>
      <c r="AO49" s="81" t="s">
        <v>367</v>
      </c>
      <c r="AP49" s="81">
        <f>AP50/2</f>
        <v>265.43079488604775</v>
      </c>
      <c r="AQ49" s="81" t="s">
        <v>317</v>
      </c>
      <c r="AR49" s="81" t="s">
        <v>368</v>
      </c>
      <c r="AV49" s="167" t="s">
        <v>314</v>
      </c>
      <c r="AW49" s="167" t="s">
        <v>315</v>
      </c>
      <c r="AX49" s="167" t="s">
        <v>367</v>
      </c>
      <c r="AY49" s="168" t="s">
        <v>318</v>
      </c>
      <c r="AZ49" s="161">
        <f t="shared" si="31"/>
        <v>265.43079488604775</v>
      </c>
      <c r="BA49" s="167" t="s">
        <v>317</v>
      </c>
      <c r="BC49" s="81" t="s">
        <v>373</v>
      </c>
      <c r="BD49" s="81" t="s">
        <v>386</v>
      </c>
      <c r="BE49" s="166">
        <v>287</v>
      </c>
      <c r="BF49" s="166">
        <v>1.8</v>
      </c>
      <c r="BG49" s="81">
        <v>159.38999999999999</v>
      </c>
      <c r="BH49" s="81" t="s">
        <v>420</v>
      </c>
      <c r="BI49" s="166">
        <v>2E-16</v>
      </c>
      <c r="BJ49" s="81" t="s">
        <v>385</v>
      </c>
      <c r="BL49" s="167" t="s">
        <v>314</v>
      </c>
      <c r="BM49" s="167" t="s">
        <v>315</v>
      </c>
      <c r="BN49" s="167" t="s">
        <v>367</v>
      </c>
      <c r="BO49" s="168" t="s">
        <v>318</v>
      </c>
      <c r="BP49" s="161">
        <f t="shared" ref="BP49:BP50" si="33">BE95</f>
        <v>3410</v>
      </c>
      <c r="BQ49" s="167" t="s">
        <v>317</v>
      </c>
      <c r="BS49" s="81" t="s">
        <v>373</v>
      </c>
      <c r="BT49" s="81" t="s">
        <v>386</v>
      </c>
      <c r="BU49" s="166">
        <v>284</v>
      </c>
      <c r="BV49" s="166">
        <v>0.14199999999999999</v>
      </c>
      <c r="BW49" s="81">
        <v>1993.85</v>
      </c>
      <c r="BX49" s="81" t="s">
        <v>420</v>
      </c>
      <c r="BY49" s="166">
        <v>2E-16</v>
      </c>
      <c r="BZ49" s="81" t="s">
        <v>385</v>
      </c>
      <c r="CA49" s="167" t="s">
        <v>314</v>
      </c>
      <c r="CB49" s="167" t="s">
        <v>315</v>
      </c>
      <c r="CC49" s="167" t="s">
        <v>369</v>
      </c>
      <c r="CD49" s="168" t="s">
        <v>318</v>
      </c>
      <c r="CE49" s="161">
        <f>BU97</f>
        <v>236</v>
      </c>
      <c r="CF49" s="167" t="s">
        <v>317</v>
      </c>
      <c r="CI49" s="81" t="s">
        <v>369</v>
      </c>
      <c r="CJ49" s="242">
        <f t="shared" si="1"/>
        <v>530.8615897720955</v>
      </c>
      <c r="CK49" s="242">
        <f t="shared" si="2"/>
        <v>989</v>
      </c>
      <c r="CL49" s="242">
        <f t="shared" si="3"/>
        <v>236</v>
      </c>
      <c r="CO49" s="243" t="s">
        <v>373</v>
      </c>
      <c r="CP49" s="243" t="s">
        <v>120</v>
      </c>
      <c r="CQ49" s="244">
        <v>99.1</v>
      </c>
      <c r="CR49" s="244">
        <v>0.44900000000000001</v>
      </c>
      <c r="CS49" s="243">
        <v>220.65</v>
      </c>
      <c r="CT49" s="243" t="s">
        <v>420</v>
      </c>
      <c r="CU49" s="244">
        <v>2E-16</v>
      </c>
      <c r="CV49" s="81" t="s">
        <v>385</v>
      </c>
      <c r="CW49" s="245" t="s">
        <v>460</v>
      </c>
      <c r="CX49" s="251" t="s">
        <v>487</v>
      </c>
      <c r="CY49" s="246" t="s">
        <v>318</v>
      </c>
      <c r="CZ49" s="247">
        <f t="shared" si="32"/>
        <v>0.33900000000000002</v>
      </c>
      <c r="DA49" s="245" t="s">
        <v>317</v>
      </c>
      <c r="DC49" s="169" t="s">
        <v>460</v>
      </c>
      <c r="DD49" s="264" t="s">
        <v>487</v>
      </c>
      <c r="DE49" s="258" t="s">
        <v>318</v>
      </c>
      <c r="DF49" s="169">
        <f>$O$21*$Z$37*$AP$27</f>
        <v>0.25859628855340816</v>
      </c>
      <c r="DG49" s="169" t="s">
        <v>317</v>
      </c>
    </row>
    <row r="50" spans="1:111" ht="15" customHeight="1" thickTop="1" thickBot="1" x14ac:dyDescent="0.3">
      <c r="L50" s="81"/>
      <c r="M50" s="81"/>
      <c r="N50" s="81"/>
      <c r="Q50" s="81"/>
      <c r="R50" s="81"/>
      <c r="X50" s="224"/>
      <c r="Y50" s="225" t="s">
        <v>27</v>
      </c>
      <c r="Z50" s="225" t="s">
        <v>28</v>
      </c>
      <c r="AA50" s="225" t="s">
        <v>29</v>
      </c>
      <c r="AB50" s="225" t="s">
        <v>30</v>
      </c>
      <c r="AC50" s="225" t="s">
        <v>31</v>
      </c>
      <c r="AD50" s="225" t="s">
        <v>32</v>
      </c>
      <c r="AE50" s="226" t="s">
        <v>33</v>
      </c>
      <c r="AF50" s="222"/>
      <c r="AG50" s="222"/>
      <c r="AH50" s="222"/>
      <c r="AM50" s="158" t="s">
        <v>314</v>
      </c>
      <c r="AN50" s="81" t="s">
        <v>315</v>
      </c>
      <c r="AO50" s="81" t="s">
        <v>369</v>
      </c>
      <c r="AP50" s="81">
        <f>AP48</f>
        <v>530.8615897720955</v>
      </c>
      <c r="AQ50" s="81" t="s">
        <v>317</v>
      </c>
      <c r="AR50" s="81" t="s">
        <v>370</v>
      </c>
      <c r="AV50" s="167" t="s">
        <v>314</v>
      </c>
      <c r="AW50" s="167" t="s">
        <v>315</v>
      </c>
      <c r="AX50" s="167" t="s">
        <v>369</v>
      </c>
      <c r="AY50" s="168" t="s">
        <v>318</v>
      </c>
      <c r="AZ50" s="161">
        <f t="shared" si="31"/>
        <v>530.8615897720955</v>
      </c>
      <c r="BA50" s="167" t="s">
        <v>317</v>
      </c>
      <c r="BC50" s="81" t="s">
        <v>373</v>
      </c>
      <c r="BD50" s="81" t="s">
        <v>387</v>
      </c>
      <c r="BE50" s="166">
        <v>288</v>
      </c>
      <c r="BF50" s="166">
        <v>6.47</v>
      </c>
      <c r="BG50" s="81">
        <v>44.51</v>
      </c>
      <c r="BH50" s="81" t="s">
        <v>420</v>
      </c>
      <c r="BI50" s="166">
        <v>2E-16</v>
      </c>
      <c r="BJ50" s="81" t="s">
        <v>385</v>
      </c>
      <c r="BL50" s="167" t="s">
        <v>314</v>
      </c>
      <c r="BM50" s="167" t="s">
        <v>315</v>
      </c>
      <c r="BN50" s="167" t="s">
        <v>369</v>
      </c>
      <c r="BO50" s="168" t="s">
        <v>318</v>
      </c>
      <c r="BP50" s="161">
        <f t="shared" si="33"/>
        <v>989</v>
      </c>
      <c r="BQ50" s="167" t="s">
        <v>317</v>
      </c>
      <c r="BS50" s="81" t="s">
        <v>373</v>
      </c>
      <c r="BT50" s="81" t="s">
        <v>387</v>
      </c>
      <c r="BU50" s="166">
        <v>293</v>
      </c>
      <c r="BV50" s="166">
        <v>9.8400000000000001E-2</v>
      </c>
      <c r="BW50" s="81">
        <v>2974.56</v>
      </c>
      <c r="BX50" s="81" t="s">
        <v>420</v>
      </c>
      <c r="BY50" s="166">
        <v>2E-16</v>
      </c>
      <c r="BZ50" s="81" t="s">
        <v>385</v>
      </c>
      <c r="CA50" s="160"/>
      <c r="CB50" s="160"/>
      <c r="CC50" s="160"/>
      <c r="CD50" s="160"/>
      <c r="CE50" s="161"/>
      <c r="CF50" s="160"/>
      <c r="CO50" s="243" t="s">
        <v>373</v>
      </c>
      <c r="CP50" s="243" t="s">
        <v>409</v>
      </c>
      <c r="CQ50" s="244">
        <v>-6.15</v>
      </c>
      <c r="CR50" s="244">
        <v>1.72E-2</v>
      </c>
      <c r="CS50" s="243">
        <v>-357.41</v>
      </c>
      <c r="CT50" s="243" t="s">
        <v>420</v>
      </c>
      <c r="CU50" s="244">
        <v>2E-16</v>
      </c>
      <c r="CV50" s="81" t="s">
        <v>385</v>
      </c>
      <c r="CW50" s="245" t="s">
        <v>460</v>
      </c>
      <c r="CX50" s="251" t="s">
        <v>488</v>
      </c>
      <c r="CY50" s="246" t="s">
        <v>318</v>
      </c>
      <c r="CZ50" s="247">
        <f t="shared" si="32"/>
        <v>0.52100000000000002</v>
      </c>
      <c r="DA50" s="245" t="s">
        <v>317</v>
      </c>
      <c r="DC50" s="169" t="s">
        <v>460</v>
      </c>
      <c r="DD50" s="264" t="s">
        <v>488</v>
      </c>
      <c r="DE50" s="258" t="s">
        <v>318</v>
      </c>
      <c r="DF50" s="169">
        <f>$O$23*$Z$37*$AP$27</f>
        <v>0.29211802966218325</v>
      </c>
      <c r="DG50" s="169" t="s">
        <v>317</v>
      </c>
    </row>
    <row r="51" spans="1:111" ht="15" customHeight="1" thickTop="1" thickBot="1" x14ac:dyDescent="0.3">
      <c r="L51" s="81"/>
      <c r="M51" s="81"/>
      <c r="N51" s="81"/>
      <c r="Q51" s="81"/>
      <c r="R51" s="81"/>
      <c r="X51" s="181"/>
      <c r="Y51" s="182" t="s">
        <v>16</v>
      </c>
      <c r="Z51" s="182">
        <v>4</v>
      </c>
      <c r="AA51" s="182" t="s">
        <v>5</v>
      </c>
      <c r="AB51" s="182"/>
      <c r="AC51" s="182" t="s">
        <v>308</v>
      </c>
      <c r="AD51" s="182">
        <f>0.11*(1/AA49-1/23-1/8)</f>
        <v>8.9673913043478264E-3</v>
      </c>
      <c r="AE51" s="233"/>
      <c r="AF51" s="222"/>
      <c r="AG51" s="222"/>
      <c r="AH51" s="222"/>
      <c r="BC51" s="81" t="s">
        <v>373</v>
      </c>
      <c r="BD51" s="81" t="s">
        <v>388</v>
      </c>
      <c r="BE51" s="166">
        <v>292</v>
      </c>
      <c r="BF51" s="166">
        <v>2.2999999999999998</v>
      </c>
      <c r="BG51" s="81">
        <v>126.59</v>
      </c>
      <c r="BH51" s="81" t="s">
        <v>420</v>
      </c>
      <c r="BI51" s="166">
        <v>2E-16</v>
      </c>
      <c r="BJ51" s="81" t="s">
        <v>385</v>
      </c>
      <c r="BS51" s="81" t="s">
        <v>373</v>
      </c>
      <c r="BT51" s="81" t="s">
        <v>388</v>
      </c>
      <c r="BU51" s="166">
        <v>296</v>
      </c>
      <c r="BV51" s="166">
        <v>0.11899999999999999</v>
      </c>
      <c r="BW51" s="81">
        <v>2478.6</v>
      </c>
      <c r="BX51" s="81" t="s">
        <v>420</v>
      </c>
      <c r="BY51" s="166">
        <v>2E-16</v>
      </c>
      <c r="BZ51" s="81" t="s">
        <v>385</v>
      </c>
      <c r="CO51" s="243" t="s">
        <v>373</v>
      </c>
      <c r="CP51" s="243" t="s">
        <v>410</v>
      </c>
      <c r="CQ51" s="244">
        <v>-6.59</v>
      </c>
      <c r="CR51" s="244">
        <v>1.43E-2</v>
      </c>
      <c r="CS51" s="243">
        <v>-462.06</v>
      </c>
      <c r="CT51" s="243" t="s">
        <v>420</v>
      </c>
      <c r="CU51" s="244">
        <v>2E-16</v>
      </c>
      <c r="CV51" s="81" t="s">
        <v>385</v>
      </c>
      <c r="CW51" s="245" t="s">
        <v>460</v>
      </c>
      <c r="CX51" s="251" t="s">
        <v>489</v>
      </c>
      <c r="CY51" s="246" t="s">
        <v>318</v>
      </c>
      <c r="CZ51" s="247">
        <f t="shared" si="32"/>
        <v>0.28399999999999997</v>
      </c>
      <c r="DA51" s="245" t="s">
        <v>317</v>
      </c>
      <c r="DC51" s="169" t="s">
        <v>460</v>
      </c>
      <c r="DD51" s="264" t="s">
        <v>489</v>
      </c>
      <c r="DE51" s="258" t="s">
        <v>318</v>
      </c>
      <c r="DF51" s="169">
        <f>$O$24*$Z$37*$AP$27</f>
        <v>0.2131024970486419</v>
      </c>
      <c r="DG51" s="169" t="s">
        <v>317</v>
      </c>
    </row>
    <row r="52" spans="1:111" thickTop="1" thickBot="1" x14ac:dyDescent="0.3">
      <c r="X52" s="187"/>
      <c r="Y52" s="174" t="s">
        <v>121</v>
      </c>
      <c r="Z52" s="174">
        <v>0</v>
      </c>
      <c r="AA52" s="174"/>
      <c r="AB52" s="174"/>
      <c r="AC52" s="174"/>
      <c r="AD52" s="174"/>
      <c r="AE52" s="192"/>
      <c r="BC52" s="81" t="s">
        <v>373</v>
      </c>
      <c r="BD52" s="81" t="s">
        <v>390</v>
      </c>
      <c r="BE52" s="166">
        <v>0.01</v>
      </c>
      <c r="BF52" s="166">
        <v>1.0200000000000001E-3</v>
      </c>
      <c r="BG52" s="81">
        <v>9.8000000000000007</v>
      </c>
      <c r="BH52" s="81" t="s">
        <v>420</v>
      </c>
      <c r="BI52" s="166">
        <v>2E-16</v>
      </c>
      <c r="BJ52" s="81" t="s">
        <v>385</v>
      </c>
      <c r="BS52" s="81" t="s">
        <v>373</v>
      </c>
      <c r="BT52" s="81" t="s">
        <v>390</v>
      </c>
      <c r="BU52" s="166">
        <v>0.39200000000000002</v>
      </c>
      <c r="BV52" s="166">
        <v>3.8899999999999998E-3</v>
      </c>
      <c r="BW52" s="81">
        <v>100.85</v>
      </c>
      <c r="BX52" s="81" t="s">
        <v>420</v>
      </c>
      <c r="BY52" s="166">
        <v>2E-16</v>
      </c>
      <c r="BZ52" s="81" t="s">
        <v>385</v>
      </c>
      <c r="CO52" s="243" t="s">
        <v>373</v>
      </c>
      <c r="CP52" s="243" t="s">
        <v>411</v>
      </c>
      <c r="CQ52" s="244">
        <v>-6.46</v>
      </c>
      <c r="CR52" s="244">
        <v>1.6500000000000001E-2</v>
      </c>
      <c r="CS52" s="243">
        <v>-392.77</v>
      </c>
      <c r="CT52" s="243" t="s">
        <v>420</v>
      </c>
      <c r="CU52" s="244">
        <v>2E-16</v>
      </c>
      <c r="CV52" s="81" t="s">
        <v>385</v>
      </c>
      <c r="CW52" s="245" t="s">
        <v>460</v>
      </c>
      <c r="CX52" s="251" t="s">
        <v>490</v>
      </c>
      <c r="CY52" s="246" t="s">
        <v>318</v>
      </c>
      <c r="CZ52" s="247">
        <f t="shared" si="32"/>
        <v>1.0300000000000001E-10</v>
      </c>
      <c r="DA52" s="245" t="s">
        <v>317</v>
      </c>
      <c r="DC52" s="169" t="s">
        <v>460</v>
      </c>
      <c r="DD52" s="264" t="s">
        <v>490</v>
      </c>
      <c r="DE52" s="258" t="s">
        <v>318</v>
      </c>
      <c r="DF52" s="169">
        <f>$O$22*$Z$37*$AP$28</f>
        <v>3.8290681079201305E-2</v>
      </c>
      <c r="DG52" s="169" t="s">
        <v>317</v>
      </c>
    </row>
    <row r="53" spans="1:111" thickTop="1" thickBot="1" x14ac:dyDescent="0.3">
      <c r="BC53" s="81" t="s">
        <v>373</v>
      </c>
      <c r="BD53" s="81" t="s">
        <v>391</v>
      </c>
      <c r="BE53" s="166">
        <v>1.0200000000000001E-2</v>
      </c>
      <c r="BF53" s="166">
        <v>1.07E-3</v>
      </c>
      <c r="BG53" s="81">
        <v>9.57</v>
      </c>
      <c r="BH53" s="81" t="s">
        <v>420</v>
      </c>
      <c r="BI53" s="166">
        <v>2E-16</v>
      </c>
      <c r="BJ53" s="81" t="s">
        <v>385</v>
      </c>
      <c r="BS53" s="81" t="s">
        <v>373</v>
      </c>
      <c r="BT53" s="81" t="s">
        <v>391</v>
      </c>
      <c r="BU53" s="166">
        <v>0.155</v>
      </c>
      <c r="BV53" s="166">
        <v>1.1800000000000001E-3</v>
      </c>
      <c r="BW53" s="81">
        <v>131.32</v>
      </c>
      <c r="BX53" s="81" t="s">
        <v>420</v>
      </c>
      <c r="BY53" s="166">
        <v>2E-16</v>
      </c>
      <c r="BZ53" s="81" t="s">
        <v>385</v>
      </c>
      <c r="CO53" s="243" t="s">
        <v>373</v>
      </c>
      <c r="CP53" s="243" t="s">
        <v>412</v>
      </c>
      <c r="CQ53" s="244">
        <v>-5.79</v>
      </c>
      <c r="CR53" s="244">
        <v>1.5100000000000001E-2</v>
      </c>
      <c r="CS53" s="243">
        <v>-382.6</v>
      </c>
      <c r="CT53" s="243" t="s">
        <v>420</v>
      </c>
      <c r="CU53" s="244">
        <v>2E-16</v>
      </c>
      <c r="CV53" s="81" t="s">
        <v>385</v>
      </c>
      <c r="CW53" s="245" t="s">
        <v>460</v>
      </c>
      <c r="CX53" s="251" t="s">
        <v>491</v>
      </c>
      <c r="CY53" s="246" t="s">
        <v>318</v>
      </c>
      <c r="CZ53" s="247">
        <f t="shared" si="32"/>
        <v>6.0000000000000003E-12</v>
      </c>
      <c r="DA53" s="245" t="s">
        <v>317</v>
      </c>
      <c r="DC53" s="169" t="s">
        <v>460</v>
      </c>
      <c r="DD53" s="264" t="s">
        <v>491</v>
      </c>
      <c r="DE53" s="258" t="s">
        <v>318</v>
      </c>
      <c r="DF53" s="169">
        <f>$O$21*$Z$37*$AP$28</f>
        <v>4.4466597382298287E-2</v>
      </c>
      <c r="DG53" s="169" t="s">
        <v>317</v>
      </c>
    </row>
    <row r="54" spans="1:111" thickTop="1" thickBot="1" x14ac:dyDescent="0.3">
      <c r="AO54" s="169" t="s">
        <v>371</v>
      </c>
      <c r="AP54" s="169">
        <f>SUM(AP42,AP4:AP7)</f>
        <v>1</v>
      </c>
      <c r="AQ54" s="169"/>
      <c r="BC54" s="81" t="s">
        <v>373</v>
      </c>
      <c r="BD54" s="81" t="s">
        <v>392</v>
      </c>
      <c r="BE54" s="166">
        <v>0.69799999999999995</v>
      </c>
      <c r="BF54" s="166">
        <v>0.156</v>
      </c>
      <c r="BG54" s="81">
        <v>4.47</v>
      </c>
      <c r="BH54" s="166">
        <v>8.1000000000000004E-6</v>
      </c>
      <c r="BI54" s="81" t="s">
        <v>385</v>
      </c>
      <c r="BS54" s="81" t="s">
        <v>373</v>
      </c>
      <c r="BT54" s="81" t="s">
        <v>392</v>
      </c>
      <c r="BU54" s="166">
        <v>1.06E-7</v>
      </c>
      <c r="BV54" s="166">
        <v>9.1300000000000004E-8</v>
      </c>
      <c r="BW54" s="81">
        <v>1.1599999999999999</v>
      </c>
      <c r="BX54" s="166">
        <v>0.25</v>
      </c>
      <c r="CO54" s="243" t="s">
        <v>373</v>
      </c>
      <c r="CP54" s="243" t="s">
        <v>413</v>
      </c>
      <c r="CQ54" s="244">
        <v>-6.48</v>
      </c>
      <c r="CR54" s="244">
        <v>1.4999999999999999E-2</v>
      </c>
      <c r="CS54" s="243">
        <v>-432.44</v>
      </c>
      <c r="CT54" s="243" t="s">
        <v>420</v>
      </c>
      <c r="CU54" s="244">
        <v>2E-16</v>
      </c>
      <c r="CV54" s="81" t="s">
        <v>385</v>
      </c>
      <c r="CW54" s="245" t="s">
        <v>460</v>
      </c>
      <c r="CX54" s="251" t="s">
        <v>492</v>
      </c>
      <c r="CY54" s="246" t="s">
        <v>318</v>
      </c>
      <c r="CZ54" s="247">
        <f t="shared" si="32"/>
        <v>0.20499999999999999</v>
      </c>
      <c r="DA54" s="245" t="s">
        <v>317</v>
      </c>
      <c r="DC54" s="169" t="s">
        <v>460</v>
      </c>
      <c r="DD54" s="264" t="s">
        <v>492</v>
      </c>
      <c r="DE54" s="258" t="s">
        <v>318</v>
      </c>
      <c r="DF54" s="169">
        <f>$O$23*$Z$37*$AP$28</f>
        <v>5.0230785931855468E-2</v>
      </c>
      <c r="DG54" s="169" t="s">
        <v>317</v>
      </c>
    </row>
    <row r="55" spans="1:111" thickTop="1" thickBot="1" x14ac:dyDescent="0.3">
      <c r="AO55" s="169" t="s">
        <v>371</v>
      </c>
      <c r="AP55" s="169">
        <f>SUM(AP43,AP26:AP28)</f>
        <v>1</v>
      </c>
      <c r="AQ55" s="169"/>
      <c r="BC55" s="81" t="s">
        <v>373</v>
      </c>
      <c r="BD55" s="81" t="s">
        <v>393</v>
      </c>
      <c r="BE55" s="166">
        <v>9.7500000000000003E-2</v>
      </c>
      <c r="BF55" s="166">
        <v>9.8200000000000006E-3</v>
      </c>
      <c r="BG55" s="81">
        <v>9.93</v>
      </c>
      <c r="BH55" s="81" t="s">
        <v>420</v>
      </c>
      <c r="BI55" s="166">
        <v>2E-16</v>
      </c>
      <c r="BJ55" s="81" t="s">
        <v>385</v>
      </c>
      <c r="BS55" s="81" t="s">
        <v>373</v>
      </c>
      <c r="BT55" s="81" t="s">
        <v>393</v>
      </c>
      <c r="BU55" s="166">
        <v>0.309</v>
      </c>
      <c r="BV55" s="166">
        <v>2.5600000000000002E-3</v>
      </c>
      <c r="BW55" s="81">
        <v>120.59</v>
      </c>
      <c r="BX55" s="81" t="s">
        <v>420</v>
      </c>
      <c r="BY55" s="166">
        <v>2E-16</v>
      </c>
      <c r="BZ55" s="81" t="s">
        <v>385</v>
      </c>
      <c r="CO55" s="243" t="s">
        <v>373</v>
      </c>
      <c r="CP55" s="243" t="s">
        <v>414</v>
      </c>
      <c r="CQ55" s="244">
        <v>6.8499999999999995E-4</v>
      </c>
      <c r="CR55" s="244">
        <v>8.6300000000000004E-6</v>
      </c>
      <c r="CS55" s="243">
        <v>79.42</v>
      </c>
      <c r="CT55" s="243" t="s">
        <v>420</v>
      </c>
      <c r="CU55" s="244">
        <v>2E-16</v>
      </c>
      <c r="CV55" s="81" t="s">
        <v>385</v>
      </c>
      <c r="CW55" s="245" t="s">
        <v>460</v>
      </c>
      <c r="CX55" s="251" t="s">
        <v>493</v>
      </c>
      <c r="CY55" s="246" t="s">
        <v>318</v>
      </c>
      <c r="CZ55" s="247">
        <f t="shared" si="32"/>
        <v>0.38300000000000001</v>
      </c>
      <c r="DA55" s="245" t="s">
        <v>317</v>
      </c>
      <c r="DC55" s="169" t="s">
        <v>460</v>
      </c>
      <c r="DD55" s="264" t="s">
        <v>493</v>
      </c>
      <c r="DE55" s="258" t="s">
        <v>318</v>
      </c>
      <c r="DF55" s="169">
        <f>$O$24*$Z$37*$AP$28</f>
        <v>3.664377006504211E-2</v>
      </c>
      <c r="DG55" s="169" t="s">
        <v>317</v>
      </c>
    </row>
    <row r="56" spans="1:111" thickTop="1" thickBot="1" x14ac:dyDescent="0.3">
      <c r="AO56" s="169" t="s">
        <v>372</v>
      </c>
      <c r="AP56" s="169">
        <f>SUM(AP46,AP14:AP17)</f>
        <v>1.0000000000000002</v>
      </c>
      <c r="AQ56" s="169"/>
      <c r="BC56" s="81" t="s">
        <v>373</v>
      </c>
      <c r="BD56" s="81" t="s">
        <v>303</v>
      </c>
      <c r="BE56" s="166">
        <v>69800</v>
      </c>
      <c r="BF56" s="166">
        <v>108000</v>
      </c>
      <c r="BG56" s="81">
        <v>0.65</v>
      </c>
      <c r="BH56" s="81">
        <v>0.51685000000000003</v>
      </c>
      <c r="BS56" s="81" t="s">
        <v>373</v>
      </c>
      <c r="BT56" s="81" t="s">
        <v>303</v>
      </c>
      <c r="BU56" s="166">
        <v>986000000</v>
      </c>
      <c r="BV56" s="166">
        <v>3920000</v>
      </c>
      <c r="BW56" s="81">
        <v>251.81</v>
      </c>
      <c r="BX56" s="81" t="s">
        <v>420</v>
      </c>
      <c r="BY56" s="166">
        <v>2E-16</v>
      </c>
      <c r="BZ56" s="81" t="s">
        <v>385</v>
      </c>
      <c r="CO56" s="243" t="s">
        <v>373</v>
      </c>
      <c r="CP56" s="243" t="s">
        <v>415</v>
      </c>
      <c r="CQ56" s="244">
        <v>180</v>
      </c>
      <c r="CR56" s="244">
        <v>1.1100000000000001</v>
      </c>
      <c r="CS56" s="243">
        <v>161.91</v>
      </c>
      <c r="CT56" s="243" t="s">
        <v>420</v>
      </c>
      <c r="CU56" s="244">
        <v>2E-16</v>
      </c>
      <c r="CV56" s="81" t="s">
        <v>385</v>
      </c>
      <c r="CW56" s="245" t="s">
        <v>460</v>
      </c>
      <c r="CX56" s="251" t="s">
        <v>494</v>
      </c>
      <c r="CY56" s="246" t="s">
        <v>318</v>
      </c>
      <c r="CZ56" s="247">
        <f t="shared" si="32"/>
        <v>0.47199999999999998</v>
      </c>
      <c r="DA56" s="245" t="s">
        <v>317</v>
      </c>
      <c r="DC56" s="169" t="s">
        <v>460</v>
      </c>
      <c r="DD56" s="264" t="s">
        <v>494</v>
      </c>
      <c r="DE56" s="258" t="s">
        <v>318</v>
      </c>
      <c r="DF56" s="169">
        <f>$O$22*$Z$37*$AP$43</f>
        <v>0.44827358836249415</v>
      </c>
      <c r="DG56" s="169" t="s">
        <v>317</v>
      </c>
    </row>
    <row r="57" spans="1:111" thickTop="1" thickBot="1" x14ac:dyDescent="0.3">
      <c r="A57" s="271" t="s">
        <v>518</v>
      </c>
      <c r="B57" s="271"/>
      <c r="C57" s="269"/>
      <c r="D57" s="269"/>
      <c r="E57" s="269"/>
      <c r="AD57" s="172">
        <f>1/(0.04/0.18)</f>
        <v>4.5</v>
      </c>
      <c r="AO57" s="169" t="s">
        <v>372</v>
      </c>
      <c r="AP57" s="169">
        <f>SUM(AP47,AP33:AP35)</f>
        <v>1</v>
      </c>
      <c r="AQ57" s="169"/>
      <c r="BC57" s="81" t="s">
        <v>373</v>
      </c>
      <c r="BD57" s="81" t="s">
        <v>395</v>
      </c>
      <c r="BE57" s="166">
        <v>3800000</v>
      </c>
      <c r="BF57" s="166">
        <v>1390000</v>
      </c>
      <c r="BG57" s="81">
        <v>2.72</v>
      </c>
      <c r="BH57" s="81">
        <v>6.4799999999999996E-3</v>
      </c>
      <c r="BI57" s="81" t="s">
        <v>398</v>
      </c>
      <c r="BS57" s="81" t="s">
        <v>373</v>
      </c>
      <c r="BT57" s="81" t="s">
        <v>395</v>
      </c>
      <c r="BU57" s="166">
        <v>1010000</v>
      </c>
      <c r="BV57" s="166">
        <v>13600</v>
      </c>
      <c r="BW57" s="81">
        <v>73.87</v>
      </c>
      <c r="BX57" s="81" t="s">
        <v>420</v>
      </c>
      <c r="BY57" s="166">
        <v>2E-16</v>
      </c>
      <c r="BZ57" s="81" t="s">
        <v>385</v>
      </c>
      <c r="CK57" s="81">
        <f>0.75*0.87*28.8</f>
        <v>18.791999999999998</v>
      </c>
      <c r="CO57" s="243" t="s">
        <v>373</v>
      </c>
      <c r="CP57" s="243" t="s">
        <v>416</v>
      </c>
      <c r="CQ57" s="244">
        <v>114</v>
      </c>
      <c r="CR57" s="244">
        <v>1.57</v>
      </c>
      <c r="CS57" s="243">
        <v>72.62</v>
      </c>
      <c r="CT57" s="243" t="s">
        <v>420</v>
      </c>
      <c r="CU57" s="244">
        <v>2E-16</v>
      </c>
      <c r="CV57" s="81" t="s">
        <v>385</v>
      </c>
      <c r="CW57" s="245" t="s">
        <v>460</v>
      </c>
      <c r="CX57" s="251" t="s">
        <v>495</v>
      </c>
      <c r="CY57" s="246" t="s">
        <v>318</v>
      </c>
      <c r="CZ57" s="247">
        <f t="shared" si="32"/>
        <v>3.73E-10</v>
      </c>
      <c r="DA57" s="245" t="s">
        <v>317</v>
      </c>
      <c r="DC57" s="169" t="s">
        <v>460</v>
      </c>
      <c r="DD57" s="264" t="s">
        <v>495</v>
      </c>
      <c r="DE57" s="258" t="s">
        <v>318</v>
      </c>
      <c r="DF57" s="169">
        <f>$O$21*$Z$37*$AP$43</f>
        <v>0.52057578003386418</v>
      </c>
      <c r="DG57" s="169" t="s">
        <v>317</v>
      </c>
    </row>
    <row r="58" spans="1:111" thickTop="1" thickBot="1" x14ac:dyDescent="0.3">
      <c r="A58" s="270" t="s">
        <v>122</v>
      </c>
      <c r="B58" s="273">
        <f>C4*1008*1.204*5</f>
        <v>4648210.5599999996</v>
      </c>
      <c r="C58" s="273">
        <f>C34*1008*1.204*5</f>
        <v>2237471.9649032257</v>
      </c>
      <c r="D58" s="273">
        <f>B58-C58</f>
        <v>2410738.5950967739</v>
      </c>
      <c r="E58" s="269"/>
      <c r="BC58" s="81" t="s">
        <v>373</v>
      </c>
      <c r="BD58" s="81" t="s">
        <v>296</v>
      </c>
      <c r="BE58" s="166">
        <v>78400000</v>
      </c>
      <c r="BF58" s="166">
        <v>49600000</v>
      </c>
      <c r="BG58" s="81">
        <v>1.58</v>
      </c>
      <c r="BH58" s="81">
        <v>0.11389000000000001</v>
      </c>
      <c r="BS58" s="81" t="s">
        <v>373</v>
      </c>
      <c r="BT58" s="81" t="s">
        <v>296</v>
      </c>
      <c r="BU58" s="166">
        <v>36900000</v>
      </c>
      <c r="BV58" s="166">
        <v>2550000</v>
      </c>
      <c r="BW58" s="81">
        <v>14.46</v>
      </c>
      <c r="BX58" s="81" t="s">
        <v>420</v>
      </c>
      <c r="BY58" s="166">
        <v>2E-16</v>
      </c>
      <c r="BZ58" s="81" t="s">
        <v>385</v>
      </c>
      <c r="CO58" s="243" t="s">
        <v>373</v>
      </c>
      <c r="CP58" s="243" t="s">
        <v>417</v>
      </c>
      <c r="CQ58" s="244">
        <v>9.7999999999999997E-3</v>
      </c>
      <c r="CR58" s="244">
        <v>0.77200000000000002</v>
      </c>
      <c r="CS58" s="243">
        <v>0.01</v>
      </c>
      <c r="CT58" s="243">
        <v>0.9899</v>
      </c>
      <c r="CU58" s="244"/>
      <c r="CW58" s="245" t="s">
        <v>460</v>
      </c>
      <c r="CX58" s="251" t="s">
        <v>496</v>
      </c>
      <c r="CY58" s="246" t="s">
        <v>318</v>
      </c>
      <c r="CZ58" s="247">
        <f t="shared" si="32"/>
        <v>0.49099999999999999</v>
      </c>
      <c r="DA58" s="245" t="s">
        <v>317</v>
      </c>
      <c r="DC58" s="169" t="s">
        <v>460</v>
      </c>
      <c r="DD58" s="264" t="s">
        <v>496</v>
      </c>
      <c r="DE58" s="258" t="s">
        <v>318</v>
      </c>
      <c r="DF58" s="169">
        <f>$O$23*$Z$37*$AP$43</f>
        <v>0.58805782559380948</v>
      </c>
      <c r="DG58" s="169" t="s">
        <v>317</v>
      </c>
    </row>
    <row r="59" spans="1:111" thickTop="1" thickBot="1" x14ac:dyDescent="0.3">
      <c r="A59" s="270" t="s">
        <v>152</v>
      </c>
      <c r="B59" s="272">
        <f>'Tabula data'!B21</f>
        <v>1.2783711615487316</v>
      </c>
      <c r="C59" s="272">
        <f>B59</f>
        <v>1.2783711615487316</v>
      </c>
      <c r="D59" s="272">
        <f>B59</f>
        <v>1.2783711615487316</v>
      </c>
      <c r="E59" s="269"/>
      <c r="BC59" s="81" t="s">
        <v>373</v>
      </c>
      <c r="BD59" s="81" t="s">
        <v>298</v>
      </c>
      <c r="BE59" s="166">
        <v>12500000</v>
      </c>
      <c r="BF59" s="166">
        <v>17900000</v>
      </c>
      <c r="BG59" s="81">
        <v>0.7</v>
      </c>
      <c r="BH59" s="81">
        <v>0.48460999999999999</v>
      </c>
      <c r="BS59" s="81" t="s">
        <v>373</v>
      </c>
      <c r="BT59" s="81" t="s">
        <v>298</v>
      </c>
      <c r="BU59" s="166">
        <v>46000000</v>
      </c>
      <c r="BV59" s="166">
        <v>7560000</v>
      </c>
      <c r="BW59" s="81">
        <v>6.09</v>
      </c>
      <c r="BX59" s="166">
        <v>1.2E-9</v>
      </c>
      <c r="BY59" s="81" t="s">
        <v>385</v>
      </c>
      <c r="CW59" s="245" t="s">
        <v>460</v>
      </c>
      <c r="CX59" s="251" t="s">
        <v>497</v>
      </c>
      <c r="CY59" s="246" t="s">
        <v>318</v>
      </c>
      <c r="CZ59" s="247">
        <f t="shared" si="32"/>
        <v>0.59799999999999998</v>
      </c>
      <c r="DA59" s="245" t="s">
        <v>317</v>
      </c>
      <c r="DC59" s="169" t="s">
        <v>460</v>
      </c>
      <c r="DD59" s="264" t="s">
        <v>497</v>
      </c>
      <c r="DE59" s="258" t="s">
        <v>318</v>
      </c>
      <c r="DF59" s="169">
        <f>$O$24*$Z$37*$AP$43</f>
        <v>0.42899300391679546</v>
      </c>
      <c r="DG59" s="169" t="s">
        <v>317</v>
      </c>
    </row>
    <row r="60" spans="1:111" thickTop="1" thickBot="1" x14ac:dyDescent="0.3">
      <c r="A60" s="270" t="s">
        <v>519</v>
      </c>
      <c r="B60" s="273">
        <f>SUM(S6:S28)</f>
        <v>226196022.80000004</v>
      </c>
      <c r="C60" s="273">
        <f>SUM(S6:S14,S16,S26/2,S27)</f>
        <v>186930963.42400002</v>
      </c>
      <c r="D60" s="273">
        <f>SUM(S17:S25,S26/2,S28)</f>
        <v>39265059.376000002</v>
      </c>
      <c r="E60" s="269"/>
      <c r="BC60" s="81" t="s">
        <v>373</v>
      </c>
      <c r="BD60" s="81" t="s">
        <v>396</v>
      </c>
      <c r="BE60" s="166">
        <v>-13.2</v>
      </c>
      <c r="BF60" s="166">
        <v>3.9</v>
      </c>
      <c r="BG60" s="81">
        <v>-3.38</v>
      </c>
      <c r="BH60" s="81">
        <v>7.3999999999999999E-4</v>
      </c>
      <c r="BI60" s="81" t="s">
        <v>385</v>
      </c>
      <c r="BS60" s="81" t="s">
        <v>373</v>
      </c>
      <c r="BT60" s="81" t="s">
        <v>396</v>
      </c>
      <c r="BU60" s="166">
        <v>-32.4</v>
      </c>
      <c r="BV60" s="166">
        <v>1.84</v>
      </c>
      <c r="BW60" s="81">
        <v>-17.57</v>
      </c>
      <c r="BX60" s="81" t="s">
        <v>420</v>
      </c>
      <c r="BY60" s="166">
        <v>2E-16</v>
      </c>
      <c r="BZ60" s="81" t="s">
        <v>385</v>
      </c>
      <c r="CX60" s="251"/>
      <c r="CY60" s="246"/>
      <c r="CZ60" s="247"/>
      <c r="DC60" s="169"/>
      <c r="DD60" s="264"/>
      <c r="DE60" s="258"/>
      <c r="DF60" s="169"/>
      <c r="DG60" s="169"/>
    </row>
    <row r="61" spans="1:111" thickTop="1" thickBot="1" x14ac:dyDescent="0.3">
      <c r="A61" s="270" t="s">
        <v>520</v>
      </c>
      <c r="B61" s="270">
        <f>Z18</f>
        <v>0.25</v>
      </c>
      <c r="C61" s="270">
        <f>B61</f>
        <v>0.25</v>
      </c>
      <c r="D61" s="270">
        <f>C61</f>
        <v>0.25</v>
      </c>
      <c r="E61" s="269"/>
      <c r="BC61" s="81" t="s">
        <v>373</v>
      </c>
      <c r="BD61" s="81" t="s">
        <v>397</v>
      </c>
      <c r="BE61" s="166">
        <v>-1</v>
      </c>
      <c r="BF61" s="166">
        <v>0.91300000000000003</v>
      </c>
      <c r="BG61" s="81">
        <v>-1.1000000000000001</v>
      </c>
      <c r="BH61" s="81">
        <v>0.27290999999999999</v>
      </c>
      <c r="BS61" s="81" t="s">
        <v>373</v>
      </c>
      <c r="BT61" s="81" t="s">
        <v>397</v>
      </c>
      <c r="BU61" s="166">
        <v>-31.2</v>
      </c>
      <c r="BV61" s="166">
        <v>2.09</v>
      </c>
      <c r="BW61" s="81">
        <v>-14.94</v>
      </c>
      <c r="BX61" s="81" t="s">
        <v>420</v>
      </c>
      <c r="BY61" s="166">
        <v>2E-16</v>
      </c>
      <c r="BZ61" s="81" t="s">
        <v>385</v>
      </c>
      <c r="CO61" s="243" t="s">
        <v>373</v>
      </c>
      <c r="CP61" s="243" t="s">
        <v>374</v>
      </c>
      <c r="CQ61" s="243" t="s">
        <v>458</v>
      </c>
      <c r="CW61" s="245" t="s">
        <v>460</v>
      </c>
      <c r="CX61" s="251" t="s">
        <v>339</v>
      </c>
      <c r="CY61" s="246" t="s">
        <v>318</v>
      </c>
      <c r="CZ61" s="247">
        <f>CQ85</f>
        <v>2510000</v>
      </c>
      <c r="DA61" s="245" t="s">
        <v>317</v>
      </c>
      <c r="DC61" s="169" t="s">
        <v>460</v>
      </c>
      <c r="DD61" s="264" t="s">
        <v>339</v>
      </c>
      <c r="DE61" s="258" t="s">
        <v>318</v>
      </c>
      <c r="DF61" s="262">
        <f>AP30</f>
        <v>2090628.9192831542</v>
      </c>
      <c r="DG61" s="169" t="s">
        <v>317</v>
      </c>
    </row>
    <row r="62" spans="1:111" thickTop="1" thickBot="1" x14ac:dyDescent="0.3">
      <c r="A62" s="270" t="s">
        <v>521</v>
      </c>
      <c r="B62" s="270">
        <f>0.15</f>
        <v>0.15</v>
      </c>
      <c r="C62" s="270">
        <f>B62</f>
        <v>0.15</v>
      </c>
      <c r="D62" s="270">
        <f>C62</f>
        <v>0.15</v>
      </c>
      <c r="E62" s="269"/>
      <c r="BC62" s="81" t="s">
        <v>373</v>
      </c>
      <c r="BD62" s="81" t="s">
        <v>399</v>
      </c>
      <c r="BE62" s="166">
        <v>-1.02</v>
      </c>
      <c r="BF62" s="166">
        <v>0.91400000000000003</v>
      </c>
      <c r="BG62" s="81">
        <v>-1.1100000000000001</v>
      </c>
      <c r="BH62" s="81">
        <v>0.26651000000000002</v>
      </c>
      <c r="BS62" s="81" t="s">
        <v>373</v>
      </c>
      <c r="BT62" s="81" t="s">
        <v>399</v>
      </c>
      <c r="BU62" s="166">
        <v>-12.9</v>
      </c>
      <c r="BV62" s="166">
        <v>0.74399999999999999</v>
      </c>
      <c r="BW62" s="81">
        <v>-17.36</v>
      </c>
      <c r="BX62" s="81" t="s">
        <v>420</v>
      </c>
      <c r="BY62" s="166">
        <v>2E-16</v>
      </c>
      <c r="BZ62" s="81" t="s">
        <v>385</v>
      </c>
      <c r="CO62" s="243" t="s">
        <v>373</v>
      </c>
      <c r="CP62" s="243" t="s">
        <v>376</v>
      </c>
      <c r="CW62" s="245" t="s">
        <v>460</v>
      </c>
      <c r="CX62" s="251" t="s">
        <v>340</v>
      </c>
      <c r="CY62" s="246" t="s">
        <v>318</v>
      </c>
      <c r="CZ62" s="247">
        <f t="shared" ref="CZ62:CZ63" si="34">CQ86</f>
        <v>11800000</v>
      </c>
      <c r="DA62" s="245" t="s">
        <v>317</v>
      </c>
      <c r="DC62" s="169" t="s">
        <v>460</v>
      </c>
      <c r="DD62" s="264" t="s">
        <v>340</v>
      </c>
      <c r="DE62" s="258" t="s">
        <v>318</v>
      </c>
      <c r="DF62" s="262">
        <f>AP31</f>
        <v>21240578.712000005</v>
      </c>
      <c r="DG62" s="169" t="s">
        <v>317</v>
      </c>
    </row>
    <row r="63" spans="1:111" thickTop="1" thickBot="1" x14ac:dyDescent="0.3">
      <c r="A63" s="270" t="s">
        <v>522</v>
      </c>
      <c r="B63" s="270">
        <v>1</v>
      </c>
      <c r="C63" s="270">
        <v>1</v>
      </c>
      <c r="D63" s="270">
        <v>1</v>
      </c>
      <c r="E63" s="269"/>
      <c r="BC63" s="81" t="s">
        <v>373</v>
      </c>
      <c r="BD63" s="81" t="s">
        <v>400</v>
      </c>
      <c r="BE63" s="166">
        <v>-1</v>
      </c>
      <c r="BF63" s="166">
        <v>0.91300000000000003</v>
      </c>
      <c r="BG63" s="81">
        <v>-1.0900000000000001</v>
      </c>
      <c r="BH63" s="81">
        <v>0.27359</v>
      </c>
      <c r="BS63" s="81" t="s">
        <v>373</v>
      </c>
      <c r="BT63" s="81" t="s">
        <v>400</v>
      </c>
      <c r="BU63" s="166">
        <v>-13.6</v>
      </c>
      <c r="BV63" s="166">
        <v>1.23</v>
      </c>
      <c r="BW63" s="81">
        <v>-11.03</v>
      </c>
      <c r="BX63" s="81" t="s">
        <v>420</v>
      </c>
      <c r="BY63" s="166">
        <v>2E-16</v>
      </c>
      <c r="BZ63" s="81" t="s">
        <v>385</v>
      </c>
      <c r="CO63" s="243" t="s">
        <v>373</v>
      </c>
      <c r="CP63" s="243" t="s">
        <v>377</v>
      </c>
      <c r="CQ63" s="243" t="s">
        <v>378</v>
      </c>
      <c r="CR63" s="243" t="s">
        <v>379</v>
      </c>
      <c r="CS63" s="243" t="s">
        <v>380</v>
      </c>
      <c r="CT63" s="243" t="s">
        <v>381</v>
      </c>
      <c r="CU63" s="243" t="s">
        <v>382</v>
      </c>
      <c r="CW63" s="245" t="s">
        <v>460</v>
      </c>
      <c r="CX63" s="251" t="s">
        <v>341</v>
      </c>
      <c r="CY63" s="246" t="s">
        <v>318</v>
      </c>
      <c r="CZ63" s="247">
        <f t="shared" si="34"/>
        <v>2530000</v>
      </c>
      <c r="DA63" s="245" t="s">
        <v>317</v>
      </c>
      <c r="DC63" s="169" t="s">
        <v>460</v>
      </c>
      <c r="DD63" s="264" t="s">
        <v>341</v>
      </c>
      <c r="DE63" s="258" t="s">
        <v>318</v>
      </c>
      <c r="DF63" s="262">
        <f>AP32</f>
        <v>5403923.364000001</v>
      </c>
      <c r="DG63" s="169" t="s">
        <v>317</v>
      </c>
    </row>
    <row r="64" spans="1:111" thickTop="1" thickBot="1" x14ac:dyDescent="0.3">
      <c r="A64" s="270" t="s">
        <v>523</v>
      </c>
      <c r="B64" s="272">
        <f>C64+D64</f>
        <v>830.27233267898828</v>
      </c>
      <c r="C64" s="272">
        <f>'Verwarming Tabula 2zone RefULG1'!B42+'Verwarming Tabula 2zone RefULG1'!B60</f>
        <v>660.1495942398833</v>
      </c>
      <c r="D64" s="272">
        <f>'Verwarming Tabula 2zone RefULG1'!B121+'Verwarming Tabula 2zone RefULG1'!B139</f>
        <v>170.12273843910492</v>
      </c>
      <c r="E64" s="269"/>
      <c r="BC64" s="81" t="s">
        <v>373</v>
      </c>
      <c r="BD64" s="81" t="s">
        <v>402</v>
      </c>
      <c r="BE64" s="166">
        <v>1.6E-2</v>
      </c>
      <c r="BF64" s="166">
        <v>6.1700000000000001E-3</v>
      </c>
      <c r="BG64" s="81">
        <v>2.6</v>
      </c>
      <c r="BH64" s="81">
        <v>9.41E-3</v>
      </c>
      <c r="BI64" s="81" t="s">
        <v>398</v>
      </c>
      <c r="BS64" s="81" t="s">
        <v>373</v>
      </c>
      <c r="BT64" s="81" t="s">
        <v>402</v>
      </c>
      <c r="BU64" s="166">
        <v>0.16</v>
      </c>
      <c r="BV64" s="166">
        <v>4.84E-4</v>
      </c>
      <c r="BW64" s="81">
        <v>330.38</v>
      </c>
      <c r="BX64" s="81" t="s">
        <v>420</v>
      </c>
      <c r="BY64" s="166">
        <v>2E-16</v>
      </c>
      <c r="BZ64" s="81" t="s">
        <v>385</v>
      </c>
      <c r="CO64" s="243" t="s">
        <v>373</v>
      </c>
      <c r="CP64" s="243" t="s">
        <v>383</v>
      </c>
      <c r="CQ64" s="244">
        <v>292</v>
      </c>
      <c r="CR64" s="244">
        <v>2.7300000000000001E-2</v>
      </c>
      <c r="CS64" s="243">
        <v>10659.57</v>
      </c>
      <c r="CT64" s="243" t="s">
        <v>420</v>
      </c>
      <c r="CU64" s="244">
        <v>2E-16</v>
      </c>
      <c r="CV64" s="81" t="s">
        <v>385</v>
      </c>
      <c r="CY64" s="246"/>
      <c r="DC64" s="169"/>
      <c r="DD64" s="169"/>
      <c r="DE64" s="258"/>
      <c r="DF64" s="169"/>
      <c r="DG64" s="169"/>
    </row>
    <row r="65" spans="1:111" thickTop="1" thickBot="1" x14ac:dyDescent="0.3">
      <c r="A65" s="270" t="s">
        <v>524</v>
      </c>
      <c r="B65" s="273">
        <f>B64/B60</f>
        <v>3.6705876717076748E-6</v>
      </c>
      <c r="C65" s="273">
        <f t="shared" ref="C65:D65" si="35">C64/C60</f>
        <v>3.5315154972080289E-6</v>
      </c>
      <c r="D65" s="273">
        <f t="shared" si="35"/>
        <v>4.3326749314197936E-6</v>
      </c>
      <c r="E65" s="269"/>
      <c r="BC65" s="81" t="s">
        <v>373</v>
      </c>
      <c r="BD65" s="81" t="s">
        <v>403</v>
      </c>
      <c r="BE65" s="166">
        <v>4.2999999999999997E-2</v>
      </c>
      <c r="BF65" s="166">
        <v>6.2700000000000006E-2</v>
      </c>
      <c r="BG65" s="81">
        <v>0.69</v>
      </c>
      <c r="BH65" s="81">
        <v>0.49241000000000001</v>
      </c>
      <c r="BS65" s="81" t="s">
        <v>373</v>
      </c>
      <c r="BT65" s="81" t="s">
        <v>403</v>
      </c>
      <c r="BU65" s="166">
        <v>5.7200000000000001E-2</v>
      </c>
      <c r="BV65" s="166">
        <v>1.3899999999999999E-4</v>
      </c>
      <c r="BW65" s="81">
        <v>412.4</v>
      </c>
      <c r="BX65" s="81" t="s">
        <v>420</v>
      </c>
      <c r="BY65" s="166">
        <v>2E-16</v>
      </c>
      <c r="BZ65" s="81" t="s">
        <v>385</v>
      </c>
      <c r="CO65" s="243" t="s">
        <v>373</v>
      </c>
      <c r="CP65" s="243" t="s">
        <v>386</v>
      </c>
      <c r="CQ65" s="244">
        <v>288</v>
      </c>
      <c r="CR65" s="244">
        <v>5.3699999999999998E-2</v>
      </c>
      <c r="CS65" s="243">
        <v>5365.37</v>
      </c>
      <c r="CT65" s="243" t="s">
        <v>420</v>
      </c>
      <c r="CU65" s="244">
        <v>2E-16</v>
      </c>
      <c r="CV65" s="81" t="s">
        <v>385</v>
      </c>
      <c r="CW65" s="245" t="s">
        <v>460</v>
      </c>
      <c r="CX65" s="251" t="s">
        <v>342</v>
      </c>
      <c r="CY65" s="246" t="s">
        <v>318</v>
      </c>
      <c r="CZ65" s="247">
        <f>CQ92</f>
        <v>0.14499999999999999</v>
      </c>
      <c r="DA65" s="245" t="s">
        <v>317</v>
      </c>
      <c r="DC65" s="169" t="s">
        <v>460</v>
      </c>
      <c r="DD65" s="264" t="s">
        <v>342</v>
      </c>
      <c r="DE65" s="258" t="s">
        <v>318</v>
      </c>
      <c r="DF65" s="169">
        <f>AP33</f>
        <v>9.1825759657266817E-2</v>
      </c>
      <c r="DG65" s="169" t="s">
        <v>317</v>
      </c>
    </row>
    <row r="66" spans="1:111" thickTop="1" thickBot="1" x14ac:dyDescent="0.3">
      <c r="A66" s="270" t="s">
        <v>525</v>
      </c>
      <c r="B66" s="270">
        <f>1</f>
        <v>1</v>
      </c>
      <c r="C66" s="270">
        <v>1</v>
      </c>
      <c r="D66" s="270">
        <v>1</v>
      </c>
      <c r="E66" s="269"/>
      <c r="BC66" s="81" t="s">
        <v>373</v>
      </c>
      <c r="BD66" s="81" t="s">
        <v>404</v>
      </c>
      <c r="BE66" s="166">
        <v>0.73</v>
      </c>
      <c r="BF66" s="166">
        <v>3.09E-2</v>
      </c>
      <c r="BG66" s="81">
        <v>23.6</v>
      </c>
      <c r="BH66" s="81" t="s">
        <v>420</v>
      </c>
      <c r="BI66" s="166">
        <v>2E-16</v>
      </c>
      <c r="BJ66" s="81" t="s">
        <v>385</v>
      </c>
      <c r="BS66" s="81" t="s">
        <v>373</v>
      </c>
      <c r="BT66" s="81" t="s">
        <v>404</v>
      </c>
      <c r="BU66" s="166">
        <v>0.38300000000000001</v>
      </c>
      <c r="BV66" s="166">
        <v>1.07E-3</v>
      </c>
      <c r="BW66" s="81">
        <v>359.26</v>
      </c>
      <c r="BX66" s="81" t="s">
        <v>420</v>
      </c>
      <c r="BY66" s="166">
        <v>2E-16</v>
      </c>
      <c r="BZ66" s="81" t="s">
        <v>385</v>
      </c>
      <c r="CO66" s="243" t="s">
        <v>373</v>
      </c>
      <c r="CP66" s="243" t="s">
        <v>387</v>
      </c>
      <c r="CQ66" s="244">
        <v>292</v>
      </c>
      <c r="CR66" s="244">
        <v>4.2099999999999999E-2</v>
      </c>
      <c r="CS66" s="243">
        <v>6921.63</v>
      </c>
      <c r="CT66" s="243" t="s">
        <v>420</v>
      </c>
      <c r="CU66" s="244">
        <v>2E-16</v>
      </c>
      <c r="CV66" s="81" t="s">
        <v>385</v>
      </c>
      <c r="CW66" s="245" t="s">
        <v>460</v>
      </c>
      <c r="CX66" s="251" t="s">
        <v>343</v>
      </c>
      <c r="CY66" s="246" t="s">
        <v>318</v>
      </c>
      <c r="CZ66" s="247">
        <f t="shared" ref="CZ66:CZ68" si="36">CQ93</f>
        <v>4.9500000000000002E-2</v>
      </c>
      <c r="DA66" s="245" t="s">
        <v>317</v>
      </c>
      <c r="DC66" s="169" t="s">
        <v>460</v>
      </c>
      <c r="DD66" s="264" t="s">
        <v>343</v>
      </c>
      <c r="DE66" s="258" t="s">
        <v>318</v>
      </c>
      <c r="DF66" s="169">
        <f>AP34</f>
        <v>3.3963263534726576E-2</v>
      </c>
      <c r="DG66" s="169" t="s">
        <v>317</v>
      </c>
    </row>
    <row r="67" spans="1:111" thickTop="1" thickBot="1" x14ac:dyDescent="0.3">
      <c r="A67" s="270"/>
      <c r="B67" s="270"/>
      <c r="C67" s="270"/>
      <c r="D67" s="270"/>
      <c r="E67" s="269"/>
      <c r="BC67" s="81" t="s">
        <v>373</v>
      </c>
      <c r="BD67" s="81" t="s">
        <v>405</v>
      </c>
      <c r="BE67" s="166">
        <v>0.184</v>
      </c>
      <c r="BF67" s="166">
        <v>5.0500000000000003E-2</v>
      </c>
      <c r="BG67" s="81">
        <v>3.64</v>
      </c>
      <c r="BH67" s="81">
        <v>2.7E-4</v>
      </c>
      <c r="BI67" s="81" t="s">
        <v>385</v>
      </c>
      <c r="BS67" s="81" t="s">
        <v>373</v>
      </c>
      <c r="BT67" s="81" t="s">
        <v>405</v>
      </c>
      <c r="BU67" s="166">
        <v>0.121</v>
      </c>
      <c r="BV67" s="166">
        <v>2.8499999999999999E-4</v>
      </c>
      <c r="BW67" s="81">
        <v>425.28</v>
      </c>
      <c r="BX67" s="81" t="s">
        <v>420</v>
      </c>
      <c r="BY67" s="166">
        <v>2E-16</v>
      </c>
      <c r="BZ67" s="81" t="s">
        <v>385</v>
      </c>
      <c r="CO67" s="243" t="s">
        <v>373</v>
      </c>
      <c r="CP67" s="243" t="s">
        <v>388</v>
      </c>
      <c r="CQ67" s="244">
        <v>295</v>
      </c>
      <c r="CR67" s="244">
        <v>8.7900000000000006E-2</v>
      </c>
      <c r="CS67" s="243">
        <v>3358.15</v>
      </c>
      <c r="CT67" s="243" t="s">
        <v>420</v>
      </c>
      <c r="CU67" s="244">
        <v>2E-16</v>
      </c>
      <c r="CV67" s="81" t="s">
        <v>385</v>
      </c>
      <c r="CW67" s="245" t="s">
        <v>460</v>
      </c>
      <c r="CX67" s="251" t="s">
        <v>345</v>
      </c>
      <c r="CY67" s="246" t="s">
        <v>318</v>
      </c>
      <c r="CZ67" s="247">
        <f t="shared" si="36"/>
        <v>0.69699999999999995</v>
      </c>
      <c r="DA67" s="245" t="s">
        <v>317</v>
      </c>
      <c r="DC67" s="169" t="s">
        <v>460</v>
      </c>
      <c r="DD67" s="264" t="s">
        <v>345</v>
      </c>
      <c r="DE67" s="258" t="s">
        <v>318</v>
      </c>
      <c r="DF67" s="169">
        <f>AP35</f>
        <v>0.80584010997928801</v>
      </c>
      <c r="DG67" s="169" t="s">
        <v>317</v>
      </c>
    </row>
    <row r="68" spans="1:111" thickTop="1" thickBot="1" x14ac:dyDescent="0.3">
      <c r="A68" s="269"/>
      <c r="B68" s="269"/>
      <c r="C68" s="269"/>
      <c r="D68" s="269"/>
      <c r="E68" s="269"/>
      <c r="BC68" s="81" t="s">
        <v>373</v>
      </c>
      <c r="BD68" s="81" t="s">
        <v>407</v>
      </c>
      <c r="BE68" s="166">
        <v>1350</v>
      </c>
      <c r="BF68" s="166">
        <v>248</v>
      </c>
      <c r="BG68" s="81">
        <v>5.42</v>
      </c>
      <c r="BH68" s="166">
        <v>6.1000000000000004E-8</v>
      </c>
      <c r="BI68" s="81" t="s">
        <v>385</v>
      </c>
      <c r="BS68" s="81" t="s">
        <v>373</v>
      </c>
      <c r="BT68" s="81" t="s">
        <v>407</v>
      </c>
      <c r="BU68" s="166">
        <v>332</v>
      </c>
      <c r="BV68" s="166">
        <v>2.44</v>
      </c>
      <c r="BW68" s="81">
        <v>136.41</v>
      </c>
      <c r="BX68" s="81" t="s">
        <v>420</v>
      </c>
      <c r="BY68" s="166">
        <v>2E-16</v>
      </c>
      <c r="BZ68" s="81" t="s">
        <v>385</v>
      </c>
      <c r="CO68" s="243" t="s">
        <v>373</v>
      </c>
      <c r="CP68" s="243" t="s">
        <v>442</v>
      </c>
      <c r="CQ68" s="244">
        <v>1.02</v>
      </c>
      <c r="CR68" s="244">
        <v>8.4900000000000003E-2</v>
      </c>
      <c r="CS68" s="243">
        <v>12.07</v>
      </c>
      <c r="CT68" s="244" t="s">
        <v>420</v>
      </c>
      <c r="CU68" s="244">
        <v>2E-16</v>
      </c>
      <c r="CV68" s="81" t="s">
        <v>385</v>
      </c>
      <c r="CW68" s="245" t="s">
        <v>460</v>
      </c>
      <c r="CX68" s="251" t="s">
        <v>431</v>
      </c>
      <c r="CY68" s="246" t="s">
        <v>318</v>
      </c>
      <c r="CZ68" s="247">
        <f t="shared" si="36"/>
        <v>9.4700000000000006E-2</v>
      </c>
      <c r="DA68" s="245" t="s">
        <v>317</v>
      </c>
      <c r="DC68" s="169" t="s">
        <v>460</v>
      </c>
      <c r="DD68" s="264" t="s">
        <v>431</v>
      </c>
      <c r="DE68" s="258" t="s">
        <v>318</v>
      </c>
      <c r="DF68" s="169">
        <f>AP47</f>
        <v>6.8370866828718693E-2</v>
      </c>
      <c r="DG68" s="169" t="s">
        <v>317</v>
      </c>
    </row>
    <row r="69" spans="1:111" thickTop="1" thickBot="1" x14ac:dyDescent="0.3">
      <c r="A69" s="269"/>
      <c r="B69" s="269"/>
      <c r="C69" s="269"/>
      <c r="D69" s="269"/>
      <c r="E69" s="269"/>
      <c r="BC69" s="81" t="s">
        <v>373</v>
      </c>
      <c r="BD69" s="81" t="s">
        <v>290</v>
      </c>
      <c r="BE69" s="166">
        <v>372</v>
      </c>
      <c r="BF69" s="166">
        <v>148</v>
      </c>
      <c r="BG69" s="81">
        <v>2.5099999999999998</v>
      </c>
      <c r="BH69" s="81">
        <v>1.21E-2</v>
      </c>
      <c r="BI69" s="81" t="s">
        <v>418</v>
      </c>
      <c r="BS69" s="81" t="s">
        <v>373</v>
      </c>
      <c r="BT69" s="81" t="s">
        <v>290</v>
      </c>
      <c r="BU69" s="166">
        <v>128</v>
      </c>
      <c r="BV69" s="166">
        <v>0.69899999999999995</v>
      </c>
      <c r="BW69" s="81">
        <v>182.74</v>
      </c>
      <c r="BX69" s="81" t="s">
        <v>420</v>
      </c>
      <c r="BY69" s="166">
        <v>2E-16</v>
      </c>
      <c r="BZ69" s="81" t="s">
        <v>385</v>
      </c>
      <c r="CO69" s="243" t="s">
        <v>373</v>
      </c>
      <c r="CP69" s="243" t="s">
        <v>336</v>
      </c>
      <c r="CQ69" s="244">
        <v>2.7</v>
      </c>
      <c r="CR69" s="244">
        <v>0.17599999999999999</v>
      </c>
      <c r="CS69" s="243">
        <v>15.37</v>
      </c>
      <c r="CT69" s="243" t="s">
        <v>420</v>
      </c>
      <c r="CU69" s="244">
        <v>2E-16</v>
      </c>
      <c r="CV69" s="81" t="s">
        <v>385</v>
      </c>
      <c r="CY69" s="246"/>
      <c r="DC69" s="169"/>
      <c r="DD69" s="169"/>
      <c r="DE69" s="258"/>
      <c r="DF69" s="169"/>
      <c r="DG69" s="169"/>
    </row>
    <row r="70" spans="1:111" thickTop="1" thickBot="1" x14ac:dyDescent="0.3">
      <c r="BC70" s="81" t="s">
        <v>373</v>
      </c>
      <c r="BD70" s="81" t="s">
        <v>120</v>
      </c>
      <c r="BE70" s="166">
        <v>31.9</v>
      </c>
      <c r="BF70" s="166">
        <v>23.8</v>
      </c>
      <c r="BG70" s="81">
        <v>1.34</v>
      </c>
      <c r="BH70" s="81">
        <v>0.18071999999999999</v>
      </c>
      <c r="BS70" s="81" t="s">
        <v>373</v>
      </c>
      <c r="BT70" s="81" t="s">
        <v>120</v>
      </c>
      <c r="BU70" s="166">
        <v>1.3200000000000001E-4</v>
      </c>
      <c r="BV70" s="166">
        <v>1.4800000000000001E-5</v>
      </c>
      <c r="BW70" s="81">
        <v>8.91</v>
      </c>
      <c r="BX70" s="81" t="s">
        <v>420</v>
      </c>
      <c r="BY70" s="166">
        <v>2E-16</v>
      </c>
      <c r="BZ70" s="81" t="s">
        <v>385</v>
      </c>
      <c r="CO70" s="243" t="s">
        <v>373</v>
      </c>
      <c r="CP70" s="243" t="s">
        <v>443</v>
      </c>
      <c r="CQ70" s="244">
        <v>1.81</v>
      </c>
      <c r="CR70" s="244">
        <v>4.0300000000000002E-2</v>
      </c>
      <c r="CS70" s="243">
        <v>44.94</v>
      </c>
      <c r="CT70" s="243" t="s">
        <v>420</v>
      </c>
      <c r="CU70" s="244">
        <v>2E-16</v>
      </c>
      <c r="CV70" s="81" t="s">
        <v>385</v>
      </c>
      <c r="CW70" s="245" t="s">
        <v>460</v>
      </c>
      <c r="CX70" s="251" t="s">
        <v>347</v>
      </c>
      <c r="CY70" s="246" t="s">
        <v>318</v>
      </c>
      <c r="CZ70" s="247">
        <f>CQ96</f>
        <v>251</v>
      </c>
      <c r="DA70" s="245" t="s">
        <v>317</v>
      </c>
      <c r="DC70" s="169" t="s">
        <v>460</v>
      </c>
      <c r="DD70" s="264" t="s">
        <v>347</v>
      </c>
      <c r="DE70" s="258" t="s">
        <v>318</v>
      </c>
      <c r="DF70" s="169">
        <f>AP37</f>
        <v>404.72290727889629</v>
      </c>
      <c r="DG70" s="169" t="s">
        <v>317</v>
      </c>
    </row>
    <row r="71" spans="1:111" thickTop="1" thickBot="1" x14ac:dyDescent="0.3">
      <c r="BC71" s="81" t="s">
        <v>373</v>
      </c>
      <c r="BD71" s="81" t="s">
        <v>409</v>
      </c>
      <c r="BE71" s="166">
        <v>-6.79</v>
      </c>
      <c r="BF71" s="166">
        <v>0.47699999999999998</v>
      </c>
      <c r="BG71" s="81">
        <v>-14.23</v>
      </c>
      <c r="BH71" s="81" t="s">
        <v>420</v>
      </c>
      <c r="BI71" s="166">
        <v>2E-16</v>
      </c>
      <c r="BJ71" s="81" t="s">
        <v>385</v>
      </c>
      <c r="BS71" s="81" t="s">
        <v>373</v>
      </c>
      <c r="BT71" s="81" t="s">
        <v>409</v>
      </c>
      <c r="BU71" s="166">
        <v>-4.92</v>
      </c>
      <c r="BV71" s="166">
        <v>1.5299999999999999E-2</v>
      </c>
      <c r="BW71" s="81">
        <v>-322.11</v>
      </c>
      <c r="BX71" s="81" t="s">
        <v>420</v>
      </c>
      <c r="BY71" s="166">
        <v>2E-16</v>
      </c>
      <c r="BZ71" s="81" t="s">
        <v>385</v>
      </c>
      <c r="CO71" s="243" t="s">
        <v>373</v>
      </c>
      <c r="CP71" s="243" t="s">
        <v>444</v>
      </c>
      <c r="CQ71" s="244">
        <v>0.76200000000000001</v>
      </c>
      <c r="CR71" s="244">
        <v>3.3000000000000002E-2</v>
      </c>
      <c r="CS71" s="243">
        <v>23.08</v>
      </c>
      <c r="CT71" s="243" t="s">
        <v>420</v>
      </c>
      <c r="CU71" s="244">
        <v>2E-16</v>
      </c>
      <c r="CV71" s="81" t="s">
        <v>385</v>
      </c>
      <c r="CW71" s="245" t="s">
        <v>460</v>
      </c>
      <c r="CX71" s="251" t="s">
        <v>349</v>
      </c>
      <c r="CY71" s="246" t="s">
        <v>318</v>
      </c>
      <c r="CZ71" s="247">
        <f t="shared" ref="CZ71:CZ72" si="37">CQ97</f>
        <v>116</v>
      </c>
      <c r="DA71" s="245" t="s">
        <v>317</v>
      </c>
      <c r="DC71" s="169" t="s">
        <v>460</v>
      </c>
      <c r="DD71" s="264" t="s">
        <v>349</v>
      </c>
      <c r="DE71" s="258" t="s">
        <v>318</v>
      </c>
      <c r="DF71" s="169">
        <f>AP38</f>
        <v>95.603674876847322</v>
      </c>
      <c r="DG71" s="169" t="s">
        <v>317</v>
      </c>
    </row>
    <row r="72" spans="1:111" thickTop="1" thickBot="1" x14ac:dyDescent="0.3">
      <c r="BC72" s="81" t="s">
        <v>373</v>
      </c>
      <c r="BD72" s="81" t="s">
        <v>410</v>
      </c>
      <c r="BE72" s="166">
        <v>-4.62</v>
      </c>
      <c r="BF72" s="166">
        <v>0.26700000000000002</v>
      </c>
      <c r="BG72" s="81">
        <v>-17.32</v>
      </c>
      <c r="BH72" s="81" t="s">
        <v>420</v>
      </c>
      <c r="BI72" s="166">
        <v>2E-16</v>
      </c>
      <c r="BJ72" s="81" t="s">
        <v>385</v>
      </c>
      <c r="BS72" s="81" t="s">
        <v>373</v>
      </c>
      <c r="BT72" s="81" t="s">
        <v>410</v>
      </c>
      <c r="BU72" s="166">
        <v>-5.39</v>
      </c>
      <c r="BV72" s="166">
        <v>1.66E-2</v>
      </c>
      <c r="BW72" s="81">
        <v>-324.86</v>
      </c>
      <c r="BX72" s="81" t="s">
        <v>420</v>
      </c>
      <c r="BY72" s="166">
        <v>2E-16</v>
      </c>
      <c r="BZ72" s="81" t="s">
        <v>385</v>
      </c>
      <c r="CO72" s="243" t="s">
        <v>373</v>
      </c>
      <c r="CP72" s="243" t="s">
        <v>445</v>
      </c>
      <c r="CQ72" s="244">
        <v>0.53300000000000003</v>
      </c>
      <c r="CR72" s="244">
        <v>3.78E-2</v>
      </c>
      <c r="CS72" s="243">
        <v>14.11</v>
      </c>
      <c r="CT72" s="243" t="s">
        <v>420</v>
      </c>
      <c r="CU72" s="244">
        <v>2E-16</v>
      </c>
      <c r="CV72" s="81" t="s">
        <v>385</v>
      </c>
      <c r="CW72" s="245" t="s">
        <v>460</v>
      </c>
      <c r="CX72" s="251" t="s">
        <v>350</v>
      </c>
      <c r="CY72" s="246" t="s">
        <v>318</v>
      </c>
      <c r="CZ72" s="247">
        <f t="shared" si="37"/>
        <v>45.2</v>
      </c>
      <c r="DA72" s="245" t="s">
        <v>317</v>
      </c>
      <c r="DC72" s="169" t="s">
        <v>460</v>
      </c>
      <c r="DD72" s="264" t="s">
        <v>350</v>
      </c>
      <c r="DE72" s="258" t="s">
        <v>318</v>
      </c>
      <c r="DF72" s="263">
        <f>AP39</f>
        <v>24.720000000000002</v>
      </c>
      <c r="DG72" s="169" t="s">
        <v>317</v>
      </c>
    </row>
    <row r="73" spans="1:111" thickTop="1" thickBot="1" x14ac:dyDescent="0.3">
      <c r="BC73" s="81" t="s">
        <v>373</v>
      </c>
      <c r="BD73" s="81" t="s">
        <v>411</v>
      </c>
      <c r="BE73" s="166">
        <v>-4.95</v>
      </c>
      <c r="BF73" s="166">
        <v>0.26600000000000001</v>
      </c>
      <c r="BG73" s="81">
        <v>-18.59</v>
      </c>
      <c r="BH73" s="81" t="s">
        <v>420</v>
      </c>
      <c r="BI73" s="166">
        <v>2E-16</v>
      </c>
      <c r="BJ73" s="81" t="s">
        <v>385</v>
      </c>
      <c r="BS73" s="81" t="s">
        <v>373</v>
      </c>
      <c r="BT73" s="81" t="s">
        <v>411</v>
      </c>
      <c r="BU73" s="166">
        <v>-5.67</v>
      </c>
      <c r="BV73" s="166">
        <v>1.5900000000000001E-2</v>
      </c>
      <c r="BW73" s="81">
        <v>-356.16</v>
      </c>
      <c r="BX73" s="81" t="s">
        <v>420</v>
      </c>
      <c r="BY73" s="166">
        <v>2E-16</v>
      </c>
      <c r="BZ73" s="81" t="s">
        <v>385</v>
      </c>
      <c r="CO73" s="243" t="s">
        <v>373</v>
      </c>
      <c r="CP73" s="243" t="s">
        <v>337</v>
      </c>
      <c r="CQ73" s="244">
        <v>0.33900000000000002</v>
      </c>
      <c r="CR73" s="244">
        <v>8.3199999999999996E-2</v>
      </c>
      <c r="CS73" s="243">
        <v>4.07</v>
      </c>
      <c r="CT73" s="244">
        <v>4.8000000000000001E-5</v>
      </c>
      <c r="CU73" s="243" t="s">
        <v>385</v>
      </c>
      <c r="CW73" s="245" t="s">
        <v>460</v>
      </c>
      <c r="CX73" s="251" t="s">
        <v>352</v>
      </c>
      <c r="CY73" s="246" t="s">
        <v>318</v>
      </c>
      <c r="CZ73" s="247">
        <f>1/CQ103</f>
        <v>176.05633802816902</v>
      </c>
      <c r="DA73" s="245" t="s">
        <v>317</v>
      </c>
      <c r="DC73" s="169" t="s">
        <v>460</v>
      </c>
      <c r="DD73" s="264" t="s">
        <v>352</v>
      </c>
      <c r="DE73" s="258" t="s">
        <v>318</v>
      </c>
      <c r="DF73" s="169">
        <f>AP40</f>
        <v>229.11946783126223</v>
      </c>
      <c r="DG73" s="169" t="s">
        <v>317</v>
      </c>
    </row>
    <row r="74" spans="1:111" thickTop="1" thickBot="1" x14ac:dyDescent="0.3">
      <c r="BC74" s="81" t="s">
        <v>373</v>
      </c>
      <c r="BD74" s="81" t="s">
        <v>412</v>
      </c>
      <c r="BE74" s="166">
        <v>-1.07</v>
      </c>
      <c r="BF74" s="166">
        <v>0.64</v>
      </c>
      <c r="BG74" s="81">
        <v>-1.68</v>
      </c>
      <c r="BH74" s="81">
        <v>9.3189999999999995E-2</v>
      </c>
      <c r="BI74" s="81" t="s">
        <v>428</v>
      </c>
      <c r="BS74" s="81" t="s">
        <v>373</v>
      </c>
      <c r="BT74" s="81" t="s">
        <v>412</v>
      </c>
      <c r="BU74" s="166">
        <v>-5.55</v>
      </c>
      <c r="BV74" s="166">
        <v>1.6E-2</v>
      </c>
      <c r="BW74" s="81">
        <v>-347.31</v>
      </c>
      <c r="BX74" s="81" t="s">
        <v>420</v>
      </c>
      <c r="BY74" s="166">
        <v>2E-16</v>
      </c>
      <c r="BZ74" s="81" t="s">
        <v>385</v>
      </c>
      <c r="CO74" s="243" t="s">
        <v>373</v>
      </c>
      <c r="CP74" s="243" t="s">
        <v>446</v>
      </c>
      <c r="CQ74" s="244">
        <v>0.52100000000000002</v>
      </c>
      <c r="CR74" s="244">
        <v>1.7299999999999999E-2</v>
      </c>
      <c r="CS74" s="243">
        <v>30.18</v>
      </c>
      <c r="CT74" s="243" t="s">
        <v>420</v>
      </c>
      <c r="CU74" s="244">
        <v>2E-16</v>
      </c>
      <c r="CV74" s="81" t="s">
        <v>385</v>
      </c>
      <c r="CY74" s="246"/>
      <c r="DC74" s="169"/>
      <c r="DD74" s="169"/>
      <c r="DE74" s="258"/>
      <c r="DF74" s="169"/>
      <c r="DG74" s="169"/>
    </row>
    <row r="75" spans="1:111" thickTop="1" thickBot="1" x14ac:dyDescent="0.3">
      <c r="BC75" s="81" t="s">
        <v>373</v>
      </c>
      <c r="BD75" s="81" t="s">
        <v>414</v>
      </c>
      <c r="BE75" s="166">
        <v>9.0299999999999998E-3</v>
      </c>
      <c r="BF75" s="166">
        <v>1.08E-3</v>
      </c>
      <c r="BG75" s="81">
        <v>8.4</v>
      </c>
      <c r="BH75" s="81" t="s">
        <v>420</v>
      </c>
      <c r="BI75" s="166">
        <v>2E-16</v>
      </c>
      <c r="BJ75" s="81" t="s">
        <v>385</v>
      </c>
      <c r="BS75" s="81" t="s">
        <v>373</v>
      </c>
      <c r="BT75" s="81" t="s">
        <v>414</v>
      </c>
      <c r="BU75" s="166">
        <v>4.8500000000000003E-4</v>
      </c>
      <c r="BV75" s="166">
        <v>2.1100000000000001E-5</v>
      </c>
      <c r="BW75" s="81">
        <v>22.96</v>
      </c>
      <c r="BX75" s="81" t="s">
        <v>420</v>
      </c>
      <c r="BY75" s="166">
        <v>2E-16</v>
      </c>
      <c r="BZ75" s="81" t="s">
        <v>385</v>
      </c>
      <c r="CO75" s="243" t="s">
        <v>373</v>
      </c>
      <c r="CP75" s="243" t="s">
        <v>447</v>
      </c>
      <c r="CQ75" s="244">
        <v>0.28399999999999997</v>
      </c>
      <c r="CR75" s="244">
        <v>1.46E-2</v>
      </c>
      <c r="CS75" s="243">
        <v>19.440000000000001</v>
      </c>
      <c r="CT75" s="243" t="s">
        <v>420</v>
      </c>
      <c r="CU75" s="244">
        <v>2E-16</v>
      </c>
      <c r="CV75" s="81" t="s">
        <v>385</v>
      </c>
      <c r="CW75" s="245" t="s">
        <v>460</v>
      </c>
      <c r="CX75" s="251" t="s">
        <v>424</v>
      </c>
      <c r="CY75" s="246" t="s">
        <v>318</v>
      </c>
      <c r="CZ75" s="247">
        <f>CQ112</f>
        <v>3390000</v>
      </c>
      <c r="DA75" s="245" t="s">
        <v>317</v>
      </c>
      <c r="DC75" s="169" t="s">
        <v>460</v>
      </c>
      <c r="DD75" s="264" t="s">
        <v>424</v>
      </c>
      <c r="DE75" s="258" t="s">
        <v>318</v>
      </c>
      <c r="DF75" s="169">
        <f>AP44</f>
        <v>4177488.9999999995</v>
      </c>
      <c r="DG75" s="169" t="s">
        <v>317</v>
      </c>
    </row>
    <row r="76" spans="1:111" thickTop="1" thickBot="1" x14ac:dyDescent="0.3">
      <c r="BC76" s="81" t="s">
        <v>373</v>
      </c>
      <c r="BD76" s="81" t="s">
        <v>415</v>
      </c>
      <c r="BE76" s="166">
        <v>531</v>
      </c>
      <c r="BF76" s="166">
        <v>102</v>
      </c>
      <c r="BG76" s="81">
        <v>5.22</v>
      </c>
      <c r="BH76" s="166">
        <v>1.9000000000000001E-7</v>
      </c>
      <c r="BI76" s="81" t="s">
        <v>385</v>
      </c>
      <c r="BS76" s="81" t="s">
        <v>373</v>
      </c>
      <c r="BT76" s="81" t="s">
        <v>415</v>
      </c>
      <c r="BU76" s="166">
        <v>241</v>
      </c>
      <c r="BV76" s="166">
        <v>1.51</v>
      </c>
      <c r="BW76" s="81">
        <v>159.18</v>
      </c>
      <c r="BX76" s="81" t="s">
        <v>420</v>
      </c>
      <c r="BY76" s="166">
        <v>2E-16</v>
      </c>
      <c r="BZ76" s="81" t="s">
        <v>385</v>
      </c>
      <c r="CO76" s="243" t="s">
        <v>373</v>
      </c>
      <c r="CP76" s="243" t="s">
        <v>448</v>
      </c>
      <c r="CQ76" s="244">
        <v>1.0300000000000001E-10</v>
      </c>
      <c r="CR76" s="244">
        <v>5.4100000000000001E-8</v>
      </c>
      <c r="CS76" s="243">
        <v>0</v>
      </c>
      <c r="CT76" s="244">
        <v>0.99850000000000005</v>
      </c>
      <c r="CW76" s="245" t="s">
        <v>460</v>
      </c>
      <c r="CX76" s="251" t="s">
        <v>359</v>
      </c>
      <c r="CY76" s="246" t="s">
        <v>318</v>
      </c>
      <c r="CZ76" s="247">
        <f>CQ113</f>
        <v>6890000</v>
      </c>
      <c r="DA76" s="245" t="s">
        <v>317</v>
      </c>
      <c r="DC76" s="169" t="s">
        <v>460</v>
      </c>
      <c r="DD76" s="264" t="s">
        <v>359</v>
      </c>
      <c r="DE76" s="258" t="s">
        <v>318</v>
      </c>
      <c r="DF76" s="169">
        <f>AP45</f>
        <v>4177488.9999999995</v>
      </c>
      <c r="DG76" s="169" t="s">
        <v>317</v>
      </c>
    </row>
    <row r="77" spans="1:111" thickTop="1" thickBot="1" x14ac:dyDescent="0.3">
      <c r="BC77" s="81" t="s">
        <v>373</v>
      </c>
      <c r="BD77" s="81" t="s">
        <v>416</v>
      </c>
      <c r="BE77" s="166">
        <v>697</v>
      </c>
      <c r="BF77" s="166">
        <v>233</v>
      </c>
      <c r="BG77" s="81">
        <v>2.99</v>
      </c>
      <c r="BH77" s="81">
        <v>2.7799999999999999E-3</v>
      </c>
      <c r="BI77" s="81" t="s">
        <v>398</v>
      </c>
      <c r="BS77" s="81" t="s">
        <v>373</v>
      </c>
      <c r="BT77" s="81" t="s">
        <v>416</v>
      </c>
      <c r="BU77" s="166">
        <v>3490</v>
      </c>
      <c r="BV77" s="166">
        <v>74.8</v>
      </c>
      <c r="BW77" s="81">
        <v>46.64</v>
      </c>
      <c r="BX77" s="81" t="s">
        <v>420</v>
      </c>
      <c r="BY77" s="166">
        <v>2E-16</v>
      </c>
      <c r="BZ77" s="81" t="s">
        <v>385</v>
      </c>
      <c r="CO77" s="243" t="s">
        <v>373</v>
      </c>
      <c r="CP77" s="243" t="s">
        <v>338</v>
      </c>
      <c r="CQ77" s="244">
        <v>6.0000000000000003E-12</v>
      </c>
      <c r="CR77" s="244">
        <v>1.9599999999999998E-9</v>
      </c>
      <c r="CS77" s="243">
        <v>0</v>
      </c>
      <c r="CT77" s="243">
        <v>0.99760000000000004</v>
      </c>
      <c r="CW77" s="245" t="s">
        <v>460</v>
      </c>
      <c r="CX77" s="251" t="s">
        <v>365</v>
      </c>
      <c r="CY77" s="246" t="s">
        <v>318</v>
      </c>
      <c r="CZ77" s="247">
        <f>CQ120</f>
        <v>173</v>
      </c>
      <c r="DA77" s="245" t="s">
        <v>317</v>
      </c>
      <c r="DC77" s="169" t="s">
        <v>460</v>
      </c>
      <c r="DD77" s="264" t="s">
        <v>365</v>
      </c>
      <c r="DE77" s="258" t="s">
        <v>318</v>
      </c>
      <c r="DF77" s="169">
        <f>AP48</f>
        <v>530.8615897720955</v>
      </c>
      <c r="DG77" s="169" t="s">
        <v>317</v>
      </c>
    </row>
    <row r="78" spans="1:111" thickTop="1" thickBot="1" x14ac:dyDescent="0.3">
      <c r="CO78" s="243" t="s">
        <v>373</v>
      </c>
      <c r="CP78" s="243" t="s">
        <v>449</v>
      </c>
      <c r="CQ78" s="244">
        <v>0.20499999999999999</v>
      </c>
      <c r="CR78" s="244">
        <v>6.3E-2</v>
      </c>
      <c r="CS78" s="243">
        <v>3.25</v>
      </c>
      <c r="CT78" s="243">
        <v>1.1999999999999999E-3</v>
      </c>
      <c r="CU78" s="243" t="s">
        <v>398</v>
      </c>
      <c r="CW78" s="245" t="s">
        <v>460</v>
      </c>
      <c r="CX78" s="251" t="s">
        <v>367</v>
      </c>
      <c r="CY78" s="246" t="s">
        <v>318</v>
      </c>
      <c r="CZ78" s="247">
        <f t="shared" ref="CZ78:CZ79" si="38">CQ121</f>
        <v>295</v>
      </c>
      <c r="DA78" s="245" t="s">
        <v>317</v>
      </c>
      <c r="DC78" s="169" t="s">
        <v>460</v>
      </c>
      <c r="DD78" s="264" t="s">
        <v>367</v>
      </c>
      <c r="DE78" s="258" t="s">
        <v>318</v>
      </c>
      <c r="DF78" s="169">
        <f>AP49</f>
        <v>265.43079488604775</v>
      </c>
      <c r="DG78" s="169" t="s">
        <v>317</v>
      </c>
    </row>
    <row r="79" spans="1:111" thickTop="1" thickBot="1" x14ac:dyDescent="0.3">
      <c r="BC79" s="81" t="s">
        <v>373</v>
      </c>
      <c r="BD79" s="81" t="s">
        <v>374</v>
      </c>
      <c r="BE79" s="81" t="s">
        <v>429</v>
      </c>
      <c r="CO79" s="243" t="s">
        <v>373</v>
      </c>
      <c r="CP79" s="243" t="s">
        <v>450</v>
      </c>
      <c r="CQ79" s="244">
        <v>0.38300000000000001</v>
      </c>
      <c r="CR79" s="244">
        <v>6.9699999999999998E-2</v>
      </c>
      <c r="CS79" s="243">
        <v>5.5</v>
      </c>
      <c r="CT79" s="244">
        <v>3.8999999999999998E-8</v>
      </c>
      <c r="CU79" s="243" t="s">
        <v>385</v>
      </c>
      <c r="CW79" s="245" t="s">
        <v>460</v>
      </c>
      <c r="CX79" s="251" t="s">
        <v>369</v>
      </c>
      <c r="CY79" s="246" t="s">
        <v>318</v>
      </c>
      <c r="CZ79" s="247">
        <f t="shared" si="38"/>
        <v>171</v>
      </c>
      <c r="DA79" s="245" t="s">
        <v>317</v>
      </c>
      <c r="DC79" s="169" t="s">
        <v>460</v>
      </c>
      <c r="DD79" s="264" t="s">
        <v>369</v>
      </c>
      <c r="DE79" s="258" t="s">
        <v>318</v>
      </c>
      <c r="DF79" s="169">
        <f>AP50</f>
        <v>530.8615897720955</v>
      </c>
      <c r="DG79" s="169" t="s">
        <v>317</v>
      </c>
    </row>
    <row r="80" spans="1:111" thickTop="1" thickBot="1" x14ac:dyDescent="0.3">
      <c r="BC80" s="81" t="s">
        <v>373</v>
      </c>
      <c r="BD80" s="81" t="s">
        <v>376</v>
      </c>
      <c r="BS80" s="81" t="s">
        <v>373</v>
      </c>
      <c r="BT80" s="81" t="s">
        <v>374</v>
      </c>
      <c r="BU80" s="81" t="s">
        <v>429</v>
      </c>
      <c r="CO80" s="243" t="s">
        <v>373</v>
      </c>
      <c r="CP80" s="243" t="s">
        <v>451</v>
      </c>
      <c r="CQ80" s="244">
        <v>0.47199999999999998</v>
      </c>
      <c r="CR80" s="244">
        <v>6.4699999999999994E-2</v>
      </c>
      <c r="CS80" s="243">
        <v>7.28</v>
      </c>
      <c r="CT80" s="244">
        <v>3.5000000000000002E-13</v>
      </c>
      <c r="CU80" s="244" t="s">
        <v>385</v>
      </c>
    </row>
    <row r="81" spans="55:100" thickTop="1" thickBot="1" x14ac:dyDescent="0.3">
      <c r="BC81" s="81" t="s">
        <v>373</v>
      </c>
      <c r="BD81" s="81" t="s">
        <v>377</v>
      </c>
      <c r="BE81" s="81" t="s">
        <v>378</v>
      </c>
      <c r="BF81" s="81" t="s">
        <v>379</v>
      </c>
      <c r="BG81" s="81" t="s">
        <v>380</v>
      </c>
      <c r="BH81" s="81" t="s">
        <v>381</v>
      </c>
      <c r="BI81" s="81" t="s">
        <v>382</v>
      </c>
      <c r="BS81" s="81" t="s">
        <v>373</v>
      </c>
      <c r="BT81" s="81" t="s">
        <v>376</v>
      </c>
      <c r="CO81" s="243" t="s">
        <v>373</v>
      </c>
      <c r="CP81" s="243" t="s">
        <v>452</v>
      </c>
      <c r="CQ81" s="244">
        <v>3.73E-10</v>
      </c>
      <c r="CR81" s="244">
        <v>1.23E-7</v>
      </c>
      <c r="CS81" s="243">
        <v>0</v>
      </c>
      <c r="CT81" s="243">
        <v>0.99760000000000004</v>
      </c>
    </row>
    <row r="82" spans="55:100" thickTop="1" thickBot="1" x14ac:dyDescent="0.3">
      <c r="BC82" s="81" t="s">
        <v>373</v>
      </c>
      <c r="BD82" s="81" t="s">
        <v>422</v>
      </c>
      <c r="BE82" s="166">
        <v>291</v>
      </c>
      <c r="BF82" s="166">
        <v>0.112</v>
      </c>
      <c r="BG82" s="81">
        <v>2609.3000000000002</v>
      </c>
      <c r="BH82" s="81" t="s">
        <v>420</v>
      </c>
      <c r="BI82" s="166">
        <v>2E-16</v>
      </c>
      <c r="BJ82" s="81" t="s">
        <v>385</v>
      </c>
      <c r="BS82" s="81" t="s">
        <v>373</v>
      </c>
      <c r="BT82" s="81" t="s">
        <v>377</v>
      </c>
      <c r="BU82" s="81" t="s">
        <v>378</v>
      </c>
      <c r="BV82" s="81" t="s">
        <v>379</v>
      </c>
      <c r="BW82" s="81" t="s">
        <v>380</v>
      </c>
      <c r="BX82" s="81" t="s">
        <v>381</v>
      </c>
      <c r="BY82" s="81" t="s">
        <v>382</v>
      </c>
      <c r="CO82" s="243" t="s">
        <v>373</v>
      </c>
      <c r="CP82" s="243" t="s">
        <v>453</v>
      </c>
      <c r="CQ82" s="244">
        <v>0.49099999999999999</v>
      </c>
      <c r="CR82" s="244">
        <v>3.4200000000000001E-2</v>
      </c>
      <c r="CS82" s="243">
        <v>14.36</v>
      </c>
      <c r="CT82" s="243" t="s">
        <v>420</v>
      </c>
      <c r="CU82" s="244">
        <v>2E-16</v>
      </c>
      <c r="CV82" s="81" t="s">
        <v>385</v>
      </c>
    </row>
    <row r="83" spans="55:100" thickTop="1" thickBot="1" x14ac:dyDescent="0.3">
      <c r="BC83" s="81" t="s">
        <v>373</v>
      </c>
      <c r="BD83" s="81" t="s">
        <v>423</v>
      </c>
      <c r="BE83" s="166">
        <v>291</v>
      </c>
      <c r="BF83" s="166">
        <v>3.9800000000000002E-2</v>
      </c>
      <c r="BG83" s="81">
        <v>7295.15</v>
      </c>
      <c r="BH83" s="81" t="s">
        <v>420</v>
      </c>
      <c r="BI83" s="166">
        <v>2E-16</v>
      </c>
      <c r="BJ83" s="81" t="s">
        <v>385</v>
      </c>
      <c r="BS83" s="81" t="s">
        <v>373</v>
      </c>
      <c r="BT83" s="81" t="s">
        <v>422</v>
      </c>
      <c r="BU83" s="166">
        <v>289</v>
      </c>
      <c r="BV83" s="166">
        <v>0.183</v>
      </c>
      <c r="BW83" s="81">
        <v>1576.41</v>
      </c>
      <c r="BX83" s="81" t="s">
        <v>384</v>
      </c>
      <c r="BY83" s="166" t="s">
        <v>385</v>
      </c>
      <c r="BZ83" s="81" t="s">
        <v>385</v>
      </c>
      <c r="CO83" s="243" t="s">
        <v>373</v>
      </c>
      <c r="CP83" s="243" t="s">
        <v>454</v>
      </c>
      <c r="CQ83" s="244">
        <v>0.59799999999999998</v>
      </c>
      <c r="CR83" s="244">
        <v>2.8400000000000002E-2</v>
      </c>
      <c r="CS83" s="243">
        <v>21.04</v>
      </c>
      <c r="CT83" s="243" t="s">
        <v>420</v>
      </c>
      <c r="CU83" s="244">
        <v>2E-16</v>
      </c>
      <c r="CV83" s="81" t="s">
        <v>385</v>
      </c>
    </row>
    <row r="84" spans="55:100" thickTop="1" thickBot="1" x14ac:dyDescent="0.3">
      <c r="BC84" s="81" t="s">
        <v>373</v>
      </c>
      <c r="BD84" s="81" t="s">
        <v>353</v>
      </c>
      <c r="BE84" s="166">
        <v>6.6500000000000004E-2</v>
      </c>
      <c r="BF84" s="166">
        <v>1.2700000000000001E-3</v>
      </c>
      <c r="BG84" s="81">
        <v>52.59</v>
      </c>
      <c r="BH84" s="81" t="s">
        <v>420</v>
      </c>
      <c r="BI84" s="166">
        <v>2E-16</v>
      </c>
      <c r="BJ84" s="81" t="s">
        <v>385</v>
      </c>
      <c r="BS84" s="81" t="s">
        <v>373</v>
      </c>
      <c r="BT84" s="81" t="s">
        <v>423</v>
      </c>
      <c r="BU84" s="166">
        <v>296</v>
      </c>
      <c r="BV84" s="166">
        <v>0.124</v>
      </c>
      <c r="BW84" s="81">
        <v>2387.71</v>
      </c>
      <c r="BX84" s="81" t="s">
        <v>384</v>
      </c>
      <c r="BY84" s="166" t="s">
        <v>385</v>
      </c>
      <c r="BZ84" s="81" t="s">
        <v>385</v>
      </c>
      <c r="CO84" s="243" t="s">
        <v>373</v>
      </c>
      <c r="CP84" s="243" t="s">
        <v>303</v>
      </c>
      <c r="CQ84" s="244">
        <v>112000000</v>
      </c>
      <c r="CR84" s="244">
        <v>79900000</v>
      </c>
      <c r="CS84" s="243">
        <v>1.41</v>
      </c>
      <c r="CT84" s="243">
        <v>0.16</v>
      </c>
    </row>
    <row r="85" spans="55:100" thickTop="1" thickBot="1" x14ac:dyDescent="0.3">
      <c r="BC85" s="81" t="s">
        <v>373</v>
      </c>
      <c r="BD85" s="81" t="s">
        <v>355</v>
      </c>
      <c r="BE85" s="166">
        <v>0.246</v>
      </c>
      <c r="BF85" s="166">
        <v>7.6600000000000001E-3</v>
      </c>
      <c r="BG85" s="81">
        <v>32.04</v>
      </c>
      <c r="BH85" s="81" t="s">
        <v>420</v>
      </c>
      <c r="BI85" s="166">
        <v>2E-16</v>
      </c>
      <c r="BJ85" s="81" t="s">
        <v>385</v>
      </c>
      <c r="BS85" s="81" t="s">
        <v>373</v>
      </c>
      <c r="BT85" s="81" t="s">
        <v>353</v>
      </c>
      <c r="BU85" s="166">
        <v>6.9400000000000003E-2</v>
      </c>
      <c r="BV85" s="166">
        <v>4.7399999999999997E-4</v>
      </c>
      <c r="BW85" s="81">
        <v>146.54</v>
      </c>
      <c r="BX85" s="166" t="s">
        <v>384</v>
      </c>
      <c r="BY85" s="81" t="s">
        <v>385</v>
      </c>
      <c r="CO85" s="243" t="s">
        <v>373</v>
      </c>
      <c r="CP85" s="243" t="s">
        <v>395</v>
      </c>
      <c r="CQ85" s="244">
        <v>2510000</v>
      </c>
      <c r="CR85" s="244">
        <v>15700</v>
      </c>
      <c r="CS85" s="243">
        <v>159.86000000000001</v>
      </c>
      <c r="CT85" s="243" t="s">
        <v>420</v>
      </c>
      <c r="CU85" s="244">
        <v>2E-16</v>
      </c>
      <c r="CV85" s="81" t="s">
        <v>385</v>
      </c>
    </row>
    <row r="86" spans="55:100" thickTop="1" thickBot="1" x14ac:dyDescent="0.3">
      <c r="BC86" s="81" t="s">
        <v>373</v>
      </c>
      <c r="BD86" s="81" t="s">
        <v>424</v>
      </c>
      <c r="BE86" s="166">
        <v>248000</v>
      </c>
      <c r="BF86" s="166">
        <v>22200</v>
      </c>
      <c r="BG86" s="81">
        <v>11.17</v>
      </c>
      <c r="BH86" s="81" t="s">
        <v>420</v>
      </c>
      <c r="BI86" s="166">
        <v>2E-16</v>
      </c>
      <c r="BJ86" s="81" t="s">
        <v>385</v>
      </c>
      <c r="BS86" s="81" t="s">
        <v>373</v>
      </c>
      <c r="BT86" s="81" t="s">
        <v>355</v>
      </c>
      <c r="BU86" s="166">
        <v>0.32</v>
      </c>
      <c r="BV86" s="166">
        <v>2.48E-3</v>
      </c>
      <c r="BW86" s="81">
        <v>128.66</v>
      </c>
      <c r="BX86" s="166" t="s">
        <v>384</v>
      </c>
      <c r="BY86" s="81" t="s">
        <v>385</v>
      </c>
      <c r="CO86" s="243" t="s">
        <v>373</v>
      </c>
      <c r="CP86" s="243" t="s">
        <v>296</v>
      </c>
      <c r="CQ86" s="244">
        <v>11800000</v>
      </c>
      <c r="CR86" s="244">
        <v>324000</v>
      </c>
      <c r="CS86" s="243">
        <v>36.44</v>
      </c>
      <c r="CT86" s="243" t="s">
        <v>420</v>
      </c>
      <c r="CU86" s="244">
        <v>2E-16</v>
      </c>
      <c r="CV86" s="81" t="s">
        <v>385</v>
      </c>
    </row>
    <row r="87" spans="55:100" thickTop="1" thickBot="1" x14ac:dyDescent="0.3">
      <c r="BC87" s="81" t="s">
        <v>373</v>
      </c>
      <c r="BD87" s="81" t="s">
        <v>359</v>
      </c>
      <c r="BE87" s="166">
        <v>6990000</v>
      </c>
      <c r="BF87" s="166">
        <v>43300</v>
      </c>
      <c r="BG87" s="81">
        <v>161.22</v>
      </c>
      <c r="BH87" s="81" t="s">
        <v>420</v>
      </c>
      <c r="BI87" s="166">
        <v>2E-16</v>
      </c>
      <c r="BJ87" s="81" t="s">
        <v>385</v>
      </c>
      <c r="BS87" s="81" t="s">
        <v>373</v>
      </c>
      <c r="BT87" s="81" t="s">
        <v>424</v>
      </c>
      <c r="BU87" s="166">
        <v>990000000</v>
      </c>
      <c r="BV87" s="166">
        <v>91900000</v>
      </c>
      <c r="BW87" s="81">
        <v>10.78</v>
      </c>
      <c r="BX87" s="166" t="s">
        <v>384</v>
      </c>
      <c r="BY87" s="81" t="s">
        <v>385</v>
      </c>
      <c r="CO87" s="243" t="s">
        <v>373</v>
      </c>
      <c r="CP87" s="243" t="s">
        <v>298</v>
      </c>
      <c r="CQ87" s="244">
        <v>2530000</v>
      </c>
      <c r="CR87" s="244">
        <v>43900</v>
      </c>
      <c r="CS87" s="243">
        <v>57.54</v>
      </c>
      <c r="CT87" s="243" t="s">
        <v>420</v>
      </c>
      <c r="CU87" s="244">
        <v>2E-16</v>
      </c>
      <c r="CV87" s="81" t="s">
        <v>385</v>
      </c>
    </row>
    <row r="88" spans="55:100" thickTop="1" thickBot="1" x14ac:dyDescent="0.3">
      <c r="BC88" s="81" t="s">
        <v>373</v>
      </c>
      <c r="BD88" s="81" t="s">
        <v>401</v>
      </c>
      <c r="BE88" s="166">
        <v>3.27</v>
      </c>
      <c r="BF88" s="166">
        <v>0.71599999999999997</v>
      </c>
      <c r="BG88" s="81">
        <v>4.57</v>
      </c>
      <c r="BH88" s="166">
        <v>5.2000000000000002E-6</v>
      </c>
      <c r="BI88" s="81" t="s">
        <v>385</v>
      </c>
      <c r="BS88" s="81" t="s">
        <v>373</v>
      </c>
      <c r="BT88" s="81" t="s">
        <v>359</v>
      </c>
      <c r="BU88" s="166">
        <v>113000000</v>
      </c>
      <c r="BV88" s="166">
        <v>48700000</v>
      </c>
      <c r="BW88" s="81">
        <v>2.3199999999999998</v>
      </c>
      <c r="BX88" s="166">
        <v>0.02</v>
      </c>
      <c r="BY88" s="81" t="s">
        <v>418</v>
      </c>
      <c r="CO88" s="243" t="s">
        <v>373</v>
      </c>
      <c r="CP88" s="243" t="s">
        <v>396</v>
      </c>
      <c r="CQ88" s="244">
        <v>-31</v>
      </c>
      <c r="CR88" s="244">
        <v>332</v>
      </c>
      <c r="CS88" s="243">
        <v>-0.09</v>
      </c>
      <c r="CT88" s="243">
        <v>0.92559999999999998</v>
      </c>
    </row>
    <row r="89" spans="55:100" thickTop="1" thickBot="1" x14ac:dyDescent="0.3">
      <c r="BC89" s="81" t="s">
        <v>373</v>
      </c>
      <c r="BD89" s="81" t="s">
        <v>425</v>
      </c>
      <c r="BE89" s="166">
        <v>-1.33</v>
      </c>
      <c r="BF89" s="166">
        <v>0.96699999999999997</v>
      </c>
      <c r="BG89" s="81">
        <v>-1.38</v>
      </c>
      <c r="BH89" s="81">
        <v>0.17</v>
      </c>
      <c r="BS89" s="81" t="s">
        <v>373</v>
      </c>
      <c r="BT89" s="81" t="s">
        <v>401</v>
      </c>
      <c r="BU89" s="166">
        <v>-16.5</v>
      </c>
      <c r="BV89" s="166">
        <v>67</v>
      </c>
      <c r="BW89" s="81">
        <v>-0.25</v>
      </c>
      <c r="BX89" s="81">
        <v>0.81</v>
      </c>
      <c r="BY89" s="166"/>
      <c r="BZ89" s="81" t="s">
        <v>385</v>
      </c>
      <c r="CO89" s="243" t="s">
        <v>373</v>
      </c>
      <c r="CP89" s="243" t="s">
        <v>397</v>
      </c>
      <c r="CQ89" s="244">
        <v>-15.3</v>
      </c>
      <c r="CR89" s="244">
        <v>279</v>
      </c>
      <c r="CS89" s="243">
        <v>-0.05</v>
      </c>
      <c r="CT89" s="243">
        <v>0.95620000000000005</v>
      </c>
    </row>
    <row r="90" spans="55:100" thickTop="1" thickBot="1" x14ac:dyDescent="0.3">
      <c r="BC90" s="81" t="s">
        <v>373</v>
      </c>
      <c r="BD90" s="81" t="s">
        <v>430</v>
      </c>
      <c r="BE90" s="166">
        <v>5.4399999999999997E-2</v>
      </c>
      <c r="BF90" s="166">
        <v>1.76E-4</v>
      </c>
      <c r="BG90" s="81">
        <v>309.37</v>
      </c>
      <c r="BH90" s="81" t="s">
        <v>420</v>
      </c>
      <c r="BI90" s="166">
        <v>2E-16</v>
      </c>
      <c r="BJ90" s="81" t="s">
        <v>385</v>
      </c>
      <c r="BS90" s="81" t="s">
        <v>373</v>
      </c>
      <c r="BT90" s="81" t="s">
        <v>425</v>
      </c>
      <c r="BU90" s="166">
        <v>-13.4</v>
      </c>
      <c r="BV90" s="166">
        <v>132</v>
      </c>
      <c r="BW90" s="81">
        <v>-0.1</v>
      </c>
      <c r="BX90" s="81">
        <v>0.92</v>
      </c>
      <c r="BY90" s="166"/>
      <c r="BZ90" s="81" t="s">
        <v>385</v>
      </c>
      <c r="CO90" s="243" t="s">
        <v>373</v>
      </c>
      <c r="CP90" s="243" t="s">
        <v>399</v>
      </c>
      <c r="CQ90" s="244">
        <v>-26.4</v>
      </c>
      <c r="CR90" s="244">
        <v>549</v>
      </c>
      <c r="CS90" s="243">
        <v>-0.05</v>
      </c>
      <c r="CT90" s="243">
        <v>0.96160000000000001</v>
      </c>
    </row>
    <row r="91" spans="55:100" thickTop="1" thickBot="1" x14ac:dyDescent="0.3">
      <c r="BC91" s="81" t="s">
        <v>373</v>
      </c>
      <c r="BD91" s="81" t="s">
        <v>431</v>
      </c>
      <c r="BE91" s="166">
        <v>0.16</v>
      </c>
      <c r="BF91" s="166">
        <v>5.0500000000000002E-4</v>
      </c>
      <c r="BG91" s="81">
        <v>315.95999999999998</v>
      </c>
      <c r="BH91" s="81" t="s">
        <v>420</v>
      </c>
      <c r="BI91" s="166">
        <v>2E-16</v>
      </c>
      <c r="BJ91" s="81" t="s">
        <v>385</v>
      </c>
      <c r="BS91" s="81" t="s">
        <v>373</v>
      </c>
      <c r="BT91" s="81" t="s">
        <v>430</v>
      </c>
      <c r="BU91" s="166">
        <v>2.6700000000000002E-2</v>
      </c>
      <c r="BV91" s="166">
        <v>1.1E-4</v>
      </c>
      <c r="BW91" s="81">
        <v>243.55</v>
      </c>
      <c r="BX91" s="81" t="s">
        <v>384</v>
      </c>
      <c r="BY91" s="166" t="s">
        <v>385</v>
      </c>
      <c r="BZ91" s="81" t="s">
        <v>385</v>
      </c>
      <c r="CO91" s="243" t="s">
        <v>373</v>
      </c>
      <c r="CP91" s="243" t="s">
        <v>400</v>
      </c>
      <c r="CQ91" s="244">
        <v>-17</v>
      </c>
      <c r="CR91" s="244">
        <v>56.6</v>
      </c>
      <c r="CS91" s="243">
        <v>-0.3</v>
      </c>
      <c r="CT91" s="243">
        <v>0.76370000000000005</v>
      </c>
    </row>
    <row r="92" spans="55:100" thickTop="1" thickBot="1" x14ac:dyDescent="0.3">
      <c r="BC92" s="81" t="s">
        <v>373</v>
      </c>
      <c r="BD92" s="81" t="s">
        <v>413</v>
      </c>
      <c r="BE92" s="166">
        <v>-6.96</v>
      </c>
      <c r="BF92" s="166">
        <v>3.44E-2</v>
      </c>
      <c r="BG92" s="81">
        <v>-202.39</v>
      </c>
      <c r="BH92" s="81" t="s">
        <v>420</v>
      </c>
      <c r="BI92" s="166">
        <v>2E-16</v>
      </c>
      <c r="BJ92" s="81" t="s">
        <v>385</v>
      </c>
      <c r="BS92" s="81" t="s">
        <v>373</v>
      </c>
      <c r="BT92" s="81" t="s">
        <v>431</v>
      </c>
      <c r="BU92" s="166">
        <v>0.121</v>
      </c>
      <c r="BV92" s="166">
        <v>2.8400000000000002E-4</v>
      </c>
      <c r="BW92" s="81">
        <v>427.31</v>
      </c>
      <c r="BX92" s="81" t="s">
        <v>384</v>
      </c>
      <c r="BY92" s="166" t="s">
        <v>385</v>
      </c>
      <c r="BZ92" s="81" t="s">
        <v>385</v>
      </c>
      <c r="CO92" s="243" t="s">
        <v>373</v>
      </c>
      <c r="CP92" s="243" t="s">
        <v>402</v>
      </c>
      <c r="CQ92" s="244">
        <v>0.14499999999999999</v>
      </c>
      <c r="CR92" s="244">
        <v>5.4900000000000001E-4</v>
      </c>
      <c r="CS92" s="243">
        <v>264.26</v>
      </c>
      <c r="CT92" s="243" t="s">
        <v>420</v>
      </c>
      <c r="CU92" s="244">
        <v>2E-16</v>
      </c>
      <c r="CV92" s="81" t="s">
        <v>385</v>
      </c>
    </row>
    <row r="93" spans="55:100" thickTop="1" thickBot="1" x14ac:dyDescent="0.3">
      <c r="BC93" s="81" t="s">
        <v>373</v>
      </c>
      <c r="BD93" s="81" t="s">
        <v>426</v>
      </c>
      <c r="BE93" s="166">
        <v>-3.98</v>
      </c>
      <c r="BF93" s="166">
        <v>4.7100000000000003E-2</v>
      </c>
      <c r="BG93" s="81">
        <v>-84.36</v>
      </c>
      <c r="BH93" s="81" t="s">
        <v>420</v>
      </c>
      <c r="BI93" s="166">
        <v>2E-16</v>
      </c>
      <c r="BJ93" s="81" t="s">
        <v>385</v>
      </c>
      <c r="BS93" s="81" t="s">
        <v>373</v>
      </c>
      <c r="BT93" s="81" t="s">
        <v>413</v>
      </c>
      <c r="BU93" s="166">
        <v>-5.48</v>
      </c>
      <c r="BV93" s="166">
        <v>1.5299999999999999E-2</v>
      </c>
      <c r="BW93" s="81">
        <v>-358.38</v>
      </c>
      <c r="BX93" s="81" t="s">
        <v>384</v>
      </c>
      <c r="BY93" s="166" t="s">
        <v>385</v>
      </c>
      <c r="BZ93" s="81" t="s">
        <v>385</v>
      </c>
      <c r="CO93" s="243" t="s">
        <v>373</v>
      </c>
      <c r="CP93" s="243" t="s">
        <v>403</v>
      </c>
      <c r="CQ93" s="244">
        <v>4.9500000000000002E-2</v>
      </c>
      <c r="CR93" s="244">
        <v>2.2900000000000001E-4</v>
      </c>
      <c r="CS93" s="243">
        <v>215.83</v>
      </c>
      <c r="CT93" s="243" t="s">
        <v>420</v>
      </c>
      <c r="CU93" s="244">
        <v>2E-16</v>
      </c>
      <c r="CV93" s="81" t="s">
        <v>385</v>
      </c>
    </row>
    <row r="94" spans="55:100" thickTop="1" thickBot="1" x14ac:dyDescent="0.3">
      <c r="BC94" s="81" t="s">
        <v>373</v>
      </c>
      <c r="BD94" s="81" t="s">
        <v>365</v>
      </c>
      <c r="BE94" s="166">
        <v>476</v>
      </c>
      <c r="BF94" s="166">
        <v>0.70699999999999996</v>
      </c>
      <c r="BG94" s="81">
        <v>673.36</v>
      </c>
      <c r="BH94" s="81" t="s">
        <v>420</v>
      </c>
      <c r="BI94" s="166">
        <v>2E-16</v>
      </c>
      <c r="BJ94" s="81" t="s">
        <v>385</v>
      </c>
      <c r="BS94" s="81" t="s">
        <v>373</v>
      </c>
      <c r="BT94" s="81" t="s">
        <v>426</v>
      </c>
      <c r="BU94" s="166">
        <v>-5.1100000000000003</v>
      </c>
      <c r="BV94" s="166">
        <v>1.72E-2</v>
      </c>
      <c r="BW94" s="81">
        <v>-296.77</v>
      </c>
      <c r="BX94" s="81" t="s">
        <v>384</v>
      </c>
      <c r="BY94" s="81" t="s">
        <v>385</v>
      </c>
      <c r="CO94" s="243" t="s">
        <v>373</v>
      </c>
      <c r="CP94" s="243" t="s">
        <v>404</v>
      </c>
      <c r="CQ94" s="244">
        <v>0.69699999999999995</v>
      </c>
      <c r="CR94" s="244">
        <v>2.6099999999999999E-3</v>
      </c>
      <c r="CS94" s="243">
        <v>266.97000000000003</v>
      </c>
      <c r="CT94" s="243" t="s">
        <v>420</v>
      </c>
      <c r="CU94" s="244">
        <v>2E-16</v>
      </c>
      <c r="CV94" s="81" t="s">
        <v>385</v>
      </c>
    </row>
    <row r="95" spans="55:100" thickTop="1" thickBot="1" x14ac:dyDescent="0.3">
      <c r="BC95" s="81" t="s">
        <v>373</v>
      </c>
      <c r="BD95" s="81" t="s">
        <v>367</v>
      </c>
      <c r="BE95" s="166">
        <v>3410</v>
      </c>
      <c r="BF95" s="166">
        <v>3.6</v>
      </c>
      <c r="BG95" s="81">
        <v>945.88</v>
      </c>
      <c r="BH95" s="81" t="s">
        <v>420</v>
      </c>
      <c r="BI95" s="166">
        <v>2E-16</v>
      </c>
      <c r="BJ95" s="81" t="s">
        <v>385</v>
      </c>
      <c r="BS95" s="81" t="s">
        <v>373</v>
      </c>
      <c r="BT95" s="81" t="s">
        <v>365</v>
      </c>
      <c r="BU95" s="166">
        <v>78.400000000000006</v>
      </c>
      <c r="BV95" s="166">
        <v>0.80500000000000005</v>
      </c>
      <c r="BW95" s="81">
        <v>97.36</v>
      </c>
      <c r="BX95" s="81" t="s">
        <v>384</v>
      </c>
      <c r="BY95" s="166" t="s">
        <v>385</v>
      </c>
      <c r="BZ95" s="81" t="s">
        <v>385</v>
      </c>
      <c r="CO95" s="243" t="s">
        <v>373</v>
      </c>
      <c r="CP95" s="243" t="s">
        <v>405</v>
      </c>
      <c r="CQ95" s="244">
        <v>9.4700000000000006E-2</v>
      </c>
      <c r="CR95" s="244">
        <v>5.2999999999999998E-4</v>
      </c>
      <c r="CS95" s="243">
        <v>178.55</v>
      </c>
      <c r="CT95" s="243" t="s">
        <v>420</v>
      </c>
      <c r="CU95" s="244">
        <v>2E-16</v>
      </c>
      <c r="CV95" s="81" t="s">
        <v>385</v>
      </c>
    </row>
    <row r="96" spans="55:100" thickTop="1" thickBot="1" x14ac:dyDescent="0.3">
      <c r="BC96" s="81" t="s">
        <v>373</v>
      </c>
      <c r="BD96" s="81" t="s">
        <v>369</v>
      </c>
      <c r="BE96" s="166">
        <v>989</v>
      </c>
      <c r="BF96" s="166">
        <v>2.68</v>
      </c>
      <c r="BG96" s="81">
        <v>369.05</v>
      </c>
      <c r="BH96" s="81" t="s">
        <v>420</v>
      </c>
      <c r="BI96" s="166">
        <v>2E-16</v>
      </c>
      <c r="BJ96" s="81" t="s">
        <v>385</v>
      </c>
      <c r="BS96" s="81" t="s">
        <v>373</v>
      </c>
      <c r="BT96" s="81" t="s">
        <v>367</v>
      </c>
      <c r="BU96" s="166">
        <v>5.5999999999999995E-4</v>
      </c>
      <c r="BV96" s="166">
        <v>6.08E-2</v>
      </c>
      <c r="BW96" s="81">
        <v>0.01</v>
      </c>
      <c r="BX96" s="81">
        <v>0.99</v>
      </c>
      <c r="CO96" s="243" t="s">
        <v>373</v>
      </c>
      <c r="CP96" s="243" t="s">
        <v>407</v>
      </c>
      <c r="CQ96" s="244">
        <v>251</v>
      </c>
      <c r="CR96" s="244">
        <v>2.11</v>
      </c>
      <c r="CS96" s="243">
        <v>119.16</v>
      </c>
      <c r="CT96" s="243" t="s">
        <v>420</v>
      </c>
      <c r="CU96" s="244">
        <v>2E-16</v>
      </c>
      <c r="CV96" s="81" t="s">
        <v>385</v>
      </c>
    </row>
    <row r="97" spans="71:100" thickTop="1" thickBot="1" x14ac:dyDescent="0.3">
      <c r="BS97" s="81" t="s">
        <v>373</v>
      </c>
      <c r="BT97" s="81" t="s">
        <v>369</v>
      </c>
      <c r="BU97" s="166">
        <v>236</v>
      </c>
      <c r="BV97" s="166">
        <v>1.49</v>
      </c>
      <c r="BW97" s="81">
        <v>158.13999999999999</v>
      </c>
      <c r="BX97" s="81" t="s">
        <v>384</v>
      </c>
      <c r="BY97" s="81" t="s">
        <v>385</v>
      </c>
      <c r="CO97" s="243" t="s">
        <v>373</v>
      </c>
      <c r="CP97" s="243" t="s">
        <v>290</v>
      </c>
      <c r="CQ97" s="244">
        <v>116</v>
      </c>
      <c r="CR97" s="244">
        <v>0.93600000000000005</v>
      </c>
      <c r="CS97" s="243">
        <v>124.48</v>
      </c>
      <c r="CT97" s="243" t="s">
        <v>420</v>
      </c>
      <c r="CU97" s="244">
        <v>2E-16</v>
      </c>
      <c r="CV97" s="81" t="s">
        <v>385</v>
      </c>
    </row>
    <row r="98" spans="71:100" thickTop="1" thickBot="1" x14ac:dyDescent="0.3">
      <c r="CO98" s="243" t="s">
        <v>373</v>
      </c>
      <c r="CP98" s="243" t="s">
        <v>120</v>
      </c>
      <c r="CQ98" s="244">
        <v>45.2</v>
      </c>
      <c r="CR98" s="244">
        <v>0.39500000000000002</v>
      </c>
      <c r="CS98" s="243">
        <v>114.57</v>
      </c>
      <c r="CT98" s="243" t="s">
        <v>420</v>
      </c>
      <c r="CU98" s="244">
        <v>2E-16</v>
      </c>
      <c r="CV98" s="81" t="s">
        <v>385</v>
      </c>
    </row>
    <row r="99" spans="71:100" thickTop="1" thickBot="1" x14ac:dyDescent="0.3">
      <c r="CO99" s="243" t="s">
        <v>373</v>
      </c>
      <c r="CP99" s="243" t="s">
        <v>409</v>
      </c>
      <c r="CQ99" s="244">
        <v>-6.91</v>
      </c>
      <c r="CR99" s="244">
        <v>1.72E-2</v>
      </c>
      <c r="CS99" s="243">
        <v>-400.93</v>
      </c>
      <c r="CT99" s="243" t="s">
        <v>420</v>
      </c>
      <c r="CU99" s="244">
        <v>2E-16</v>
      </c>
      <c r="CV99" s="81" t="s">
        <v>385</v>
      </c>
    </row>
    <row r="100" spans="71:100" thickTop="1" thickBot="1" x14ac:dyDescent="0.3">
      <c r="CO100" s="243" t="s">
        <v>373</v>
      </c>
      <c r="CP100" s="243" t="s">
        <v>410</v>
      </c>
      <c r="CQ100" s="244">
        <v>-6.4</v>
      </c>
      <c r="CR100" s="244">
        <v>1.67E-2</v>
      </c>
      <c r="CS100" s="243">
        <v>-382.98</v>
      </c>
      <c r="CT100" s="243" t="s">
        <v>420</v>
      </c>
      <c r="CU100" s="244">
        <v>2E-16</v>
      </c>
      <c r="CV100" s="81" t="s">
        <v>385</v>
      </c>
    </row>
    <row r="101" spans="71:100" thickTop="1" thickBot="1" x14ac:dyDescent="0.3">
      <c r="CO101" s="243" t="s">
        <v>373</v>
      </c>
      <c r="CP101" s="243" t="s">
        <v>411</v>
      </c>
      <c r="CQ101" s="244">
        <v>-6.52</v>
      </c>
      <c r="CR101" s="244">
        <v>1.5100000000000001E-2</v>
      </c>
      <c r="CS101" s="243">
        <v>-431.33</v>
      </c>
      <c r="CT101" s="243" t="s">
        <v>420</v>
      </c>
      <c r="CU101" s="244">
        <v>2E-16</v>
      </c>
      <c r="CV101" s="81" t="s">
        <v>385</v>
      </c>
    </row>
    <row r="102" spans="71:100" thickTop="1" thickBot="1" x14ac:dyDescent="0.3">
      <c r="CO102" s="243" t="s">
        <v>373</v>
      </c>
      <c r="CP102" s="243" t="s">
        <v>412</v>
      </c>
      <c r="CQ102" s="244">
        <v>-5.94</v>
      </c>
      <c r="CR102" s="244">
        <v>2.0500000000000001E-2</v>
      </c>
      <c r="CS102" s="243">
        <v>-289.27999999999997</v>
      </c>
      <c r="CT102" s="243" t="s">
        <v>420</v>
      </c>
      <c r="CU102" s="244">
        <v>2E-16</v>
      </c>
      <c r="CV102" s="81" t="s">
        <v>385</v>
      </c>
    </row>
    <row r="103" spans="71:100" thickTop="1" thickBot="1" x14ac:dyDescent="0.3">
      <c r="CO103" s="243" t="s">
        <v>373</v>
      </c>
      <c r="CP103" s="243" t="s">
        <v>414</v>
      </c>
      <c r="CQ103" s="244">
        <v>5.6800000000000002E-3</v>
      </c>
      <c r="CR103" s="244">
        <v>4.7700000000000001E-5</v>
      </c>
      <c r="CS103" s="243">
        <v>119.06</v>
      </c>
      <c r="CT103" s="243" t="s">
        <v>420</v>
      </c>
      <c r="CU103" s="244">
        <v>2E-16</v>
      </c>
      <c r="CV103" s="81" t="s">
        <v>385</v>
      </c>
    </row>
    <row r="104" spans="71:100" thickTop="1" thickBot="1" x14ac:dyDescent="0.3">
      <c r="CO104" s="243" t="s">
        <v>373</v>
      </c>
      <c r="CP104" s="243" t="s">
        <v>415</v>
      </c>
      <c r="CQ104" s="244">
        <v>133</v>
      </c>
      <c r="CR104" s="244">
        <v>1.77</v>
      </c>
      <c r="CS104" s="243">
        <v>74.97</v>
      </c>
      <c r="CT104" s="243" t="s">
        <v>420</v>
      </c>
      <c r="CU104" s="244">
        <v>2E-16</v>
      </c>
    </row>
    <row r="105" spans="71:100" thickTop="1" thickBot="1" x14ac:dyDescent="0.3">
      <c r="CO105" s="243" t="s">
        <v>373</v>
      </c>
      <c r="CP105" s="243" t="s">
        <v>416</v>
      </c>
      <c r="CQ105" s="244">
        <v>5610</v>
      </c>
      <c r="CR105" s="244">
        <v>2280</v>
      </c>
      <c r="CS105" s="243">
        <v>2.46</v>
      </c>
      <c r="CT105" s="243">
        <v>1.3979999999999999E-2</v>
      </c>
      <c r="CU105" s="243" t="s">
        <v>418</v>
      </c>
    </row>
    <row r="107" spans="71:100" thickTop="1" thickBot="1" x14ac:dyDescent="0.3">
      <c r="CO107" s="243" t="s">
        <v>507</v>
      </c>
    </row>
    <row r="108" spans="71:100" thickTop="1" thickBot="1" x14ac:dyDescent="0.3">
      <c r="CO108" s="243" t="s">
        <v>373</v>
      </c>
      <c r="CP108" s="243" t="s">
        <v>422</v>
      </c>
      <c r="CQ108" s="244">
        <v>293</v>
      </c>
      <c r="CR108" s="244">
        <v>0.13200000000000001</v>
      </c>
      <c r="CS108" s="243">
        <v>2225.42</v>
      </c>
      <c r="CT108" s="243" t="s">
        <v>384</v>
      </c>
      <c r="CU108" s="244" t="s">
        <v>385</v>
      </c>
      <c r="CV108" s="243" t="s">
        <v>385</v>
      </c>
    </row>
    <row r="109" spans="71:100" thickTop="1" thickBot="1" x14ac:dyDescent="0.3">
      <c r="CO109" s="243" t="s">
        <v>373</v>
      </c>
      <c r="CP109" s="243" t="s">
        <v>423</v>
      </c>
      <c r="CQ109" s="244">
        <v>294</v>
      </c>
      <c r="CR109" s="244">
        <v>9.9699999999999997E-2</v>
      </c>
      <c r="CS109" s="243">
        <v>2952.05</v>
      </c>
      <c r="CT109" s="243" t="s">
        <v>384</v>
      </c>
      <c r="CU109" s="244" t="s">
        <v>385</v>
      </c>
      <c r="CV109" s="81" t="s">
        <v>385</v>
      </c>
    </row>
    <row r="110" spans="71:100" thickTop="1" thickBot="1" x14ac:dyDescent="0.3">
      <c r="CO110" s="243" t="s">
        <v>373</v>
      </c>
      <c r="CP110" s="243" t="s">
        <v>353</v>
      </c>
      <c r="CQ110" s="244">
        <v>7.6600000000000001E-2</v>
      </c>
      <c r="CR110" s="244">
        <v>4.8700000000000002E-3</v>
      </c>
      <c r="CS110" s="243">
        <v>15.72</v>
      </c>
      <c r="CT110" s="244" t="s">
        <v>384</v>
      </c>
      <c r="CU110" s="243" t="s">
        <v>385</v>
      </c>
    </row>
    <row r="111" spans="71:100" thickTop="1" thickBot="1" x14ac:dyDescent="0.3">
      <c r="CO111" s="243" t="s">
        <v>373</v>
      </c>
      <c r="CP111" s="243" t="s">
        <v>355</v>
      </c>
      <c r="CQ111" s="244">
        <v>0.28899999999999998</v>
      </c>
      <c r="CR111" s="244">
        <v>9.5200000000000007E-3</v>
      </c>
      <c r="CS111" s="243">
        <v>30.33</v>
      </c>
      <c r="CT111" s="244" t="s">
        <v>384</v>
      </c>
      <c r="CU111" s="243" t="s">
        <v>385</v>
      </c>
    </row>
    <row r="112" spans="71:100" thickTop="1" thickBot="1" x14ac:dyDescent="0.3">
      <c r="CO112" s="243" t="s">
        <v>373</v>
      </c>
      <c r="CP112" s="243" t="s">
        <v>424</v>
      </c>
      <c r="CQ112" s="244">
        <v>3390000</v>
      </c>
      <c r="CR112" s="244">
        <v>116000</v>
      </c>
      <c r="CS112" s="243">
        <v>29.16</v>
      </c>
      <c r="CT112" s="244" t="s">
        <v>384</v>
      </c>
      <c r="CU112" s="243" t="s">
        <v>385</v>
      </c>
    </row>
    <row r="113" spans="93:100" thickTop="1" thickBot="1" x14ac:dyDescent="0.3">
      <c r="CO113" s="243" t="s">
        <v>373</v>
      </c>
      <c r="CP113" s="243" t="s">
        <v>359</v>
      </c>
      <c r="CQ113" s="244">
        <v>6890000</v>
      </c>
      <c r="CR113" s="244">
        <v>257000</v>
      </c>
      <c r="CS113" s="243">
        <v>26.83</v>
      </c>
      <c r="CT113" s="244" t="s">
        <v>384</v>
      </c>
      <c r="CU113" s="243" t="s">
        <v>385</v>
      </c>
    </row>
    <row r="114" spans="93:100" thickTop="1" thickBot="1" x14ac:dyDescent="0.3">
      <c r="CO114" s="243" t="s">
        <v>373</v>
      </c>
      <c r="CP114" s="243" t="s">
        <v>401</v>
      </c>
      <c r="CQ114" s="244">
        <v>-14.3</v>
      </c>
      <c r="CR114" s="244">
        <v>118</v>
      </c>
      <c r="CS114" s="243">
        <v>-0.12</v>
      </c>
      <c r="CT114" s="243">
        <v>0.9</v>
      </c>
      <c r="CU114" s="244"/>
      <c r="CV114" s="81" t="s">
        <v>385</v>
      </c>
    </row>
    <row r="115" spans="93:100" thickTop="1" thickBot="1" x14ac:dyDescent="0.3">
      <c r="CO115" s="243" t="s">
        <v>373</v>
      </c>
      <c r="CP115" s="243" t="s">
        <v>425</v>
      </c>
      <c r="CQ115" s="244">
        <v>-15</v>
      </c>
      <c r="CR115" s="244">
        <v>80.5</v>
      </c>
      <c r="CS115" s="243">
        <v>-0.19</v>
      </c>
      <c r="CT115" s="243">
        <v>0.85</v>
      </c>
      <c r="CU115" s="244"/>
      <c r="CV115" s="81" t="s">
        <v>385</v>
      </c>
    </row>
    <row r="116" spans="93:100" thickTop="1" thickBot="1" x14ac:dyDescent="0.3">
      <c r="CO116" s="243" t="s">
        <v>373</v>
      </c>
      <c r="CP116" s="243" t="s">
        <v>430</v>
      </c>
      <c r="CQ116" s="244">
        <v>4.24E-2</v>
      </c>
      <c r="CR116" s="244">
        <v>2.1800000000000001E-4</v>
      </c>
      <c r="CS116" s="243">
        <v>194.88</v>
      </c>
      <c r="CT116" s="243" t="s">
        <v>384</v>
      </c>
      <c r="CU116" s="244" t="s">
        <v>385</v>
      </c>
      <c r="CV116" s="81" t="s">
        <v>385</v>
      </c>
    </row>
    <row r="117" spans="93:100" thickTop="1" thickBot="1" x14ac:dyDescent="0.3">
      <c r="CO117" s="243" t="s">
        <v>373</v>
      </c>
      <c r="CP117" s="243" t="s">
        <v>431</v>
      </c>
      <c r="CQ117" s="244">
        <v>9.1300000000000006E-2</v>
      </c>
      <c r="CR117" s="244">
        <v>3.97E-4</v>
      </c>
      <c r="CS117" s="243">
        <v>229.99</v>
      </c>
      <c r="CT117" s="243" t="s">
        <v>384</v>
      </c>
      <c r="CU117" s="244" t="s">
        <v>385</v>
      </c>
      <c r="CV117" s="81" t="s">
        <v>385</v>
      </c>
    </row>
    <row r="118" spans="93:100" thickTop="1" thickBot="1" x14ac:dyDescent="0.3">
      <c r="CO118" s="243" t="s">
        <v>373</v>
      </c>
      <c r="CP118" s="243" t="s">
        <v>413</v>
      </c>
      <c r="CQ118" s="244">
        <v>-5.77</v>
      </c>
      <c r="CR118" s="244">
        <v>1.6199999999999999E-2</v>
      </c>
      <c r="CS118" s="243">
        <v>-355.51</v>
      </c>
      <c r="CT118" s="243" t="s">
        <v>384</v>
      </c>
      <c r="CU118" s="244" t="s">
        <v>385</v>
      </c>
      <c r="CV118" s="81" t="s">
        <v>385</v>
      </c>
    </row>
    <row r="119" spans="93:100" thickTop="1" thickBot="1" x14ac:dyDescent="0.3">
      <c r="CO119" s="243" t="s">
        <v>373</v>
      </c>
      <c r="CP119" s="243" t="s">
        <v>426</v>
      </c>
      <c r="CQ119" s="244">
        <v>-5.4</v>
      </c>
      <c r="CR119" s="244">
        <v>1.66E-2</v>
      </c>
      <c r="CS119" s="243">
        <v>-324.47000000000003</v>
      </c>
      <c r="CT119" s="243" t="s">
        <v>384</v>
      </c>
      <c r="CU119" s="243" t="s">
        <v>385</v>
      </c>
    </row>
    <row r="120" spans="93:100" thickTop="1" thickBot="1" x14ac:dyDescent="0.3">
      <c r="CO120" s="243" t="s">
        <v>373</v>
      </c>
      <c r="CP120" s="243" t="s">
        <v>365</v>
      </c>
      <c r="CQ120" s="244">
        <v>173</v>
      </c>
      <c r="CR120" s="244">
        <v>1.1100000000000001</v>
      </c>
      <c r="CS120" s="243">
        <v>156.71</v>
      </c>
      <c r="CT120" s="243" t="s">
        <v>384</v>
      </c>
      <c r="CU120" s="244" t="s">
        <v>385</v>
      </c>
      <c r="CV120" s="81" t="s">
        <v>385</v>
      </c>
    </row>
    <row r="121" spans="93:100" thickTop="1" thickBot="1" x14ac:dyDescent="0.3">
      <c r="CO121" s="243" t="s">
        <v>373</v>
      </c>
      <c r="CP121" s="243" t="s">
        <v>367</v>
      </c>
      <c r="CQ121" s="244">
        <v>295</v>
      </c>
      <c r="CR121" s="244">
        <v>6.18</v>
      </c>
      <c r="CS121" s="243">
        <v>47.74</v>
      </c>
      <c r="CT121" s="243" t="s">
        <v>384</v>
      </c>
      <c r="CU121" s="243" t="s">
        <v>385</v>
      </c>
    </row>
    <row r="122" spans="93:100" thickTop="1" thickBot="1" x14ac:dyDescent="0.3">
      <c r="CO122" s="243" t="s">
        <v>373</v>
      </c>
      <c r="CP122" s="243" t="s">
        <v>369</v>
      </c>
      <c r="CQ122" s="244">
        <v>171</v>
      </c>
      <c r="CR122" s="244">
        <v>1.66</v>
      </c>
      <c r="CS122" s="243">
        <v>103.38</v>
      </c>
      <c r="CT122" s="243" t="s">
        <v>384</v>
      </c>
      <c r="CU122" s="243" t="s">
        <v>385</v>
      </c>
    </row>
  </sheetData>
  <mergeCells count="8">
    <mergeCell ref="F36:G36"/>
    <mergeCell ref="B1:H1"/>
    <mergeCell ref="B3:I3"/>
    <mergeCell ref="K3:U3"/>
    <mergeCell ref="W3:AH3"/>
    <mergeCell ref="L4:P4"/>
    <mergeCell ref="F33:G33"/>
    <mergeCell ref="F34:G34"/>
  </mergeCells>
  <pageMargins left="0.25" right="0.25" top="0.75" bottom="0.75" header="0.51180555555555496" footer="0.51180555555555496"/>
  <pageSetup paperSize="9" firstPageNumber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Gebouwgegevens Tabula</vt:lpstr>
      <vt:lpstr>Gebouwgegevens Allacker</vt:lpstr>
      <vt:lpstr>Tabula data</vt:lpstr>
      <vt:lpstr>Verwarming Allacker</vt:lpstr>
      <vt:lpstr>Verwarming Tabula</vt:lpstr>
      <vt:lpstr>Gebouwgegevens Tabula 2zone</vt:lpstr>
      <vt:lpstr>Tabula 2zone Ref 1</vt:lpstr>
      <vt:lpstr>Tabula 2zone Ref 2 (LE)</vt:lpstr>
      <vt:lpstr>Tabula RefULG1</vt:lpstr>
      <vt:lpstr>Tabula RefULG2</vt:lpstr>
      <vt:lpstr>Verwarming Tabula 2zone</vt:lpstr>
      <vt:lpstr>Verwarming Tabula 2zone Ref1</vt:lpstr>
      <vt:lpstr>Verwarming Tabula 2zone Ref2 LE</vt:lpstr>
      <vt:lpstr>Verwarming Tabula 2zone RefULG1</vt:lpstr>
      <vt:lpstr>Verwarming Tabula 2zone RefULG2</vt:lpstr>
      <vt:lpstr>PropertiesGB_Theoretical</vt:lpstr>
      <vt:lpstr>Sheet8</vt:lpstr>
      <vt:lpstr>Sheet9</vt:lpstr>
      <vt:lpstr>'Gebouwgegevens Allacker'!Print_Area</vt:lpstr>
      <vt:lpstr>'Gebouwgegevens Tabula'!Print_Area</vt:lpstr>
      <vt:lpstr>'Gebouwgegevens Tabula 2zone'!Print_Area</vt:lpstr>
      <vt:lpstr>'Tabula 2zone Ref 1'!Print_Area</vt:lpstr>
      <vt:lpstr>'Tabula 2zone Ref 2 (LE)'!Print_Area</vt:lpstr>
      <vt:lpstr>'Tabula data'!Print_Area</vt:lpstr>
      <vt:lpstr>'Tabula RefULG1'!Print_Area</vt:lpstr>
      <vt:lpstr>'Tabula RefULG2'!Print_Area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REYNDERG</dc:creator>
  <cp:lastModifiedBy>Glenn Reynders</cp:lastModifiedBy>
  <cp:revision>0</cp:revision>
  <cp:lastPrinted>2013-07-29T10:47:59Z</cp:lastPrinted>
  <dcterms:created xsi:type="dcterms:W3CDTF">2011-08-19T12:11:09Z</dcterms:created>
  <dcterms:modified xsi:type="dcterms:W3CDTF">2018-01-30T14:37:35Z</dcterms:modified>
</cp:coreProperties>
</file>